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_my/github/article-tta-codon/suppl_data/"/>
    </mc:Choice>
  </mc:AlternateContent>
  <xr:revisionPtr revIDLastSave="0" documentId="13_ncr:1_{4040FBD6-DF95-4D4B-AEA0-BC6650D0A0E8}" xr6:coauthVersionLast="45" xr6:coauthVersionMax="45" xr10:uidLastSave="{00000000-0000-0000-0000-000000000000}"/>
  <bookViews>
    <workbookView xWindow="0" yWindow="500" windowWidth="30480" windowHeight="17240" tabRatio="500" xr2:uid="{00000000-000D-0000-FFFF-FFFF00000000}"/>
  </bookViews>
  <sheets>
    <sheet name="Collection_TTA_codons_in_cluste" sheetId="1" r:id="rId1"/>
  </sheet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6982" i="1" l="1"/>
  <c r="O6981" i="1"/>
  <c r="O6980" i="1"/>
  <c r="O6978" i="1"/>
  <c r="O6977" i="1"/>
  <c r="O6975" i="1"/>
  <c r="O6974" i="1"/>
  <c r="O6972" i="1"/>
  <c r="O6971" i="1"/>
  <c r="O6969" i="1"/>
  <c r="O6968" i="1"/>
  <c r="O6966" i="1"/>
  <c r="O6965" i="1"/>
  <c r="O6964" i="1"/>
  <c r="O6963" i="1"/>
  <c r="O6962" i="1"/>
  <c r="O6961" i="1"/>
  <c r="O6959" i="1"/>
  <c r="O6958" i="1"/>
  <c r="O6956" i="1"/>
  <c r="O6955" i="1"/>
  <c r="O6954" i="1"/>
  <c r="O6953" i="1"/>
  <c r="O6952" i="1"/>
  <c r="O6951" i="1"/>
  <c r="O6950" i="1"/>
  <c r="O6949" i="1"/>
  <c r="O6948" i="1"/>
  <c r="O6946" i="1"/>
  <c r="O6945" i="1"/>
  <c r="O6943" i="1"/>
  <c r="O6942" i="1"/>
  <c r="O6941" i="1"/>
  <c r="O6939" i="1"/>
  <c r="O6938" i="1"/>
  <c r="O6937" i="1"/>
  <c r="O6935" i="1"/>
  <c r="O6934" i="1"/>
  <c r="O6933" i="1"/>
  <c r="O6931" i="1"/>
  <c r="O6930" i="1"/>
  <c r="O6929" i="1"/>
  <c r="O6927" i="1"/>
  <c r="O6926" i="1"/>
  <c r="O6925" i="1"/>
  <c r="O6924" i="1"/>
  <c r="O6922" i="1"/>
  <c r="O6921" i="1"/>
  <c r="O6919" i="1"/>
  <c r="O6918" i="1"/>
  <c r="O6917" i="1"/>
  <c r="O6916" i="1"/>
  <c r="O6914" i="1"/>
  <c r="O6913" i="1"/>
  <c r="O6911" i="1"/>
  <c r="O6910" i="1"/>
  <c r="O6909" i="1"/>
  <c r="O6908" i="1"/>
  <c r="O6907" i="1"/>
  <c r="O6905" i="1"/>
  <c r="O6904" i="1"/>
  <c r="O6903" i="1"/>
  <c r="O6901" i="1"/>
  <c r="O6900" i="1"/>
  <c r="O6898" i="1"/>
  <c r="O6897" i="1"/>
  <c r="O6896" i="1"/>
  <c r="O6895" i="1"/>
  <c r="O6894" i="1"/>
  <c r="O6893" i="1"/>
  <c r="O6892" i="1"/>
  <c r="O6891" i="1"/>
  <c r="O6889" i="1"/>
  <c r="O6888" i="1"/>
  <c r="O6886" i="1"/>
  <c r="O6885" i="1"/>
  <c r="O6884" i="1"/>
  <c r="O6882" i="1"/>
  <c r="O6881" i="1"/>
  <c r="O6879" i="1"/>
  <c r="O6878" i="1"/>
  <c r="O6877" i="1"/>
  <c r="O6876" i="1"/>
  <c r="O6874" i="1"/>
  <c r="O6873" i="1"/>
  <c r="O6871" i="1"/>
  <c r="O6870" i="1"/>
  <c r="O6869" i="1"/>
  <c r="O6868" i="1"/>
  <c r="O6867" i="1"/>
  <c r="O6866" i="1"/>
  <c r="O6865" i="1"/>
  <c r="O6864" i="1"/>
  <c r="O6863" i="1"/>
  <c r="O6862" i="1"/>
  <c r="O6860" i="1"/>
  <c r="O6859" i="1"/>
  <c r="O6858" i="1"/>
  <c r="O6857" i="1"/>
  <c r="O6856" i="1"/>
  <c r="O6855" i="1"/>
  <c r="O6853" i="1"/>
  <c r="O6852" i="1"/>
  <c r="O6850" i="1"/>
  <c r="O6849" i="1"/>
  <c r="O6847" i="1"/>
  <c r="O6846" i="1"/>
  <c r="O6844" i="1"/>
  <c r="O6843" i="1"/>
  <c r="O6841" i="1"/>
  <c r="O6840" i="1"/>
  <c r="O6838" i="1"/>
  <c r="O6837" i="1"/>
  <c r="O6835" i="1"/>
  <c r="O6834" i="1"/>
  <c r="O6832" i="1"/>
  <c r="O6831" i="1"/>
  <c r="O6830" i="1"/>
  <c r="O6829" i="1"/>
  <c r="O6828" i="1"/>
  <c r="O6826" i="1"/>
  <c r="O6825" i="1"/>
  <c r="O6823" i="1"/>
  <c r="O6822" i="1"/>
  <c r="O6820" i="1"/>
  <c r="O6819" i="1"/>
  <c r="O6817" i="1"/>
  <c r="O6816" i="1"/>
  <c r="O6814" i="1"/>
  <c r="O6813" i="1"/>
  <c r="O6811" i="1"/>
  <c r="O6810" i="1"/>
  <c r="O6809" i="1"/>
  <c r="O6808" i="1"/>
  <c r="O6806" i="1"/>
  <c r="O6805" i="1"/>
  <c r="O6804" i="1"/>
  <c r="O6803" i="1"/>
  <c r="O6802" i="1"/>
  <c r="O6801" i="1"/>
  <c r="O6800" i="1"/>
  <c r="O6799" i="1"/>
  <c r="O6798" i="1"/>
  <c r="O6797" i="1"/>
  <c r="O6796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7" i="1"/>
  <c r="O6776" i="1"/>
  <c r="O6774" i="1"/>
  <c r="O6773" i="1"/>
  <c r="O6771" i="1"/>
  <c r="O6770" i="1"/>
  <c r="O6768" i="1"/>
  <c r="O6767" i="1"/>
  <c r="O6765" i="1"/>
  <c r="O6764" i="1"/>
  <c r="O6763" i="1"/>
  <c r="O6761" i="1"/>
  <c r="O6760" i="1"/>
  <c r="O6758" i="1"/>
  <c r="O6757" i="1"/>
  <c r="O6755" i="1"/>
  <c r="O6754" i="1"/>
  <c r="O6752" i="1"/>
  <c r="O6751" i="1"/>
  <c r="O6749" i="1"/>
  <c r="O6748" i="1"/>
  <c r="O6746" i="1"/>
  <c r="O6745" i="1"/>
  <c r="O6743" i="1"/>
  <c r="O6742" i="1"/>
  <c r="O6741" i="1"/>
  <c r="O6740" i="1"/>
  <c r="O6738" i="1"/>
  <c r="O6737" i="1"/>
  <c r="O6736" i="1"/>
  <c r="O6735" i="1"/>
  <c r="O6734" i="1"/>
  <c r="O6732" i="1"/>
  <c r="O6731" i="1"/>
  <c r="O6730" i="1"/>
  <c r="O6728" i="1"/>
  <c r="O6727" i="1"/>
  <c r="O6725" i="1"/>
  <c r="O6724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1" i="1"/>
  <c r="O6700" i="1"/>
  <c r="O6698" i="1"/>
  <c r="O6697" i="1"/>
  <c r="O6695" i="1"/>
  <c r="O6694" i="1"/>
  <c r="O6692" i="1"/>
  <c r="O6691" i="1"/>
  <c r="O6689" i="1"/>
  <c r="O6688" i="1"/>
  <c r="O6686" i="1"/>
  <c r="O6685" i="1"/>
  <c r="O6683" i="1"/>
  <c r="O6682" i="1"/>
  <c r="O6681" i="1"/>
  <c r="O6680" i="1"/>
  <c r="O6679" i="1"/>
  <c r="O6678" i="1"/>
  <c r="O6677" i="1"/>
  <c r="O6675" i="1"/>
  <c r="O6674" i="1"/>
  <c r="O6673" i="1"/>
  <c r="O6672" i="1"/>
  <c r="O6671" i="1"/>
  <c r="O6670" i="1"/>
  <c r="O6668" i="1"/>
  <c r="O6667" i="1"/>
  <c r="O6665" i="1"/>
  <c r="O6664" i="1"/>
  <c r="O6662" i="1"/>
  <c r="O6661" i="1"/>
  <c r="O6660" i="1"/>
  <c r="O6659" i="1"/>
  <c r="O6658" i="1"/>
  <c r="O6656" i="1"/>
  <c r="O6655" i="1"/>
  <c r="O6653" i="1"/>
  <c r="O6652" i="1"/>
  <c r="O6650" i="1"/>
  <c r="O6649" i="1"/>
  <c r="O6648" i="1"/>
  <c r="O6647" i="1"/>
  <c r="O6645" i="1"/>
  <c r="O6644" i="1"/>
  <c r="O6642" i="1"/>
  <c r="O6641" i="1"/>
  <c r="O6639" i="1"/>
  <c r="O6638" i="1"/>
  <c r="O6637" i="1"/>
  <c r="O6636" i="1"/>
  <c r="O6634" i="1"/>
  <c r="O6633" i="1"/>
  <c r="O6631" i="1"/>
  <c r="O6630" i="1"/>
  <c r="O6629" i="1"/>
  <c r="O6628" i="1"/>
  <c r="O6627" i="1"/>
  <c r="O6626" i="1"/>
  <c r="O6624" i="1"/>
  <c r="O6623" i="1"/>
  <c r="O6621" i="1"/>
  <c r="O6620" i="1"/>
  <c r="O6618" i="1"/>
  <c r="O6617" i="1"/>
  <c r="O6615" i="1"/>
  <c r="O6614" i="1"/>
  <c r="O6613" i="1"/>
  <c r="O6612" i="1"/>
  <c r="O6611" i="1"/>
  <c r="O6610" i="1"/>
  <c r="O6608" i="1"/>
  <c r="O6607" i="1"/>
  <c r="O6606" i="1"/>
  <c r="O6605" i="1"/>
  <c r="O6604" i="1"/>
  <c r="O6603" i="1"/>
  <c r="O6601" i="1"/>
  <c r="O6600" i="1"/>
  <c r="O6599" i="1"/>
  <c r="O6598" i="1"/>
  <c r="O6597" i="1"/>
  <c r="O6596" i="1"/>
  <c r="O6595" i="1"/>
  <c r="O6593" i="1"/>
  <c r="O6592" i="1"/>
  <c r="O6590" i="1"/>
  <c r="O6589" i="1"/>
  <c r="O6587" i="1"/>
  <c r="O6586" i="1"/>
  <c r="O6584" i="1"/>
  <c r="O6583" i="1"/>
  <c r="O6582" i="1"/>
  <c r="O6580" i="1"/>
  <c r="O6579" i="1"/>
  <c r="O6578" i="1"/>
  <c r="O6577" i="1"/>
  <c r="O6576" i="1"/>
  <c r="O6574" i="1"/>
  <c r="O6573" i="1"/>
  <c r="O6571" i="1"/>
  <c r="O6570" i="1"/>
  <c r="O6569" i="1"/>
  <c r="O6568" i="1"/>
  <c r="O6567" i="1"/>
  <c r="O6566" i="1"/>
  <c r="O6565" i="1"/>
  <c r="O6563" i="1"/>
  <c r="O6562" i="1"/>
  <c r="O6560" i="1"/>
  <c r="O6559" i="1"/>
  <c r="O6557" i="1"/>
  <c r="O6556" i="1"/>
  <c r="O6554" i="1"/>
  <c r="O6553" i="1"/>
  <c r="O6552" i="1"/>
  <c r="O6551" i="1"/>
  <c r="O6550" i="1"/>
  <c r="O6549" i="1"/>
  <c r="O6548" i="1"/>
  <c r="O6547" i="1"/>
  <c r="O6546" i="1"/>
  <c r="O6544" i="1"/>
  <c r="O6543" i="1"/>
  <c r="O6542" i="1"/>
  <c r="O6540" i="1"/>
  <c r="O6539" i="1"/>
  <c r="O6537" i="1"/>
  <c r="O6536" i="1"/>
  <c r="O6535" i="1"/>
  <c r="O6534" i="1"/>
  <c r="O6532" i="1"/>
  <c r="O6531" i="1"/>
  <c r="O6529" i="1"/>
  <c r="O6528" i="1"/>
  <c r="O6527" i="1"/>
  <c r="O6526" i="1"/>
  <c r="O6524" i="1"/>
  <c r="O6523" i="1"/>
  <c r="O6522" i="1"/>
  <c r="O6520" i="1"/>
  <c r="O6519" i="1"/>
  <c r="O6518" i="1"/>
  <c r="O6517" i="1"/>
  <c r="O6515" i="1"/>
  <c r="O6514" i="1"/>
  <c r="O6512" i="1"/>
  <c r="O6511" i="1"/>
  <c r="O6509" i="1"/>
  <c r="O6508" i="1"/>
  <c r="O6506" i="1"/>
  <c r="O6505" i="1"/>
  <c r="O6503" i="1"/>
  <c r="O6502" i="1"/>
  <c r="O6501" i="1"/>
  <c r="O6500" i="1"/>
  <c r="O6499" i="1"/>
  <c r="O6498" i="1"/>
  <c r="O6496" i="1"/>
  <c r="O6495" i="1"/>
  <c r="O6494" i="1"/>
  <c r="O6493" i="1"/>
  <c r="O6492" i="1"/>
  <c r="O6491" i="1"/>
  <c r="O6490" i="1"/>
  <c r="O6488" i="1"/>
  <c r="O6487" i="1"/>
  <c r="O6485" i="1"/>
  <c r="O6484" i="1"/>
  <c r="O6482" i="1"/>
  <c r="O6481" i="1"/>
  <c r="O6480" i="1"/>
  <c r="O6479" i="1"/>
  <c r="O6478" i="1"/>
  <c r="O6477" i="1"/>
  <c r="O6475" i="1"/>
  <c r="O6474" i="1"/>
  <c r="O6472" i="1"/>
  <c r="O6471" i="1"/>
  <c r="O6470" i="1"/>
  <c r="O6469" i="1"/>
  <c r="O6468" i="1"/>
  <c r="O6467" i="1"/>
  <c r="O6466" i="1"/>
  <c r="O6465" i="1"/>
  <c r="O6463" i="1"/>
  <c r="O6462" i="1"/>
  <c r="O6461" i="1"/>
  <c r="O6460" i="1"/>
  <c r="O6459" i="1"/>
  <c r="O6457" i="1"/>
  <c r="O6456" i="1"/>
  <c r="O6454" i="1"/>
  <c r="O6453" i="1"/>
  <c r="O6452" i="1"/>
  <c r="O6451" i="1"/>
  <c r="O6450" i="1"/>
  <c r="O6449" i="1"/>
  <c r="O6448" i="1"/>
  <c r="O6446" i="1"/>
  <c r="O6445" i="1"/>
  <c r="O6443" i="1"/>
  <c r="O6442" i="1"/>
  <c r="O6441" i="1"/>
  <c r="O6440" i="1"/>
  <c r="O6438" i="1"/>
  <c r="O6437" i="1"/>
  <c r="O6435" i="1"/>
  <c r="O6434" i="1"/>
  <c r="O6432" i="1"/>
  <c r="O6431" i="1"/>
  <c r="O6429" i="1"/>
  <c r="O6428" i="1"/>
  <c r="O6426" i="1"/>
  <c r="O6425" i="1"/>
  <c r="O6423" i="1"/>
  <c r="O6422" i="1"/>
  <c r="O6421" i="1"/>
  <c r="O6419" i="1"/>
  <c r="O6418" i="1"/>
  <c r="O6416" i="1"/>
  <c r="O6415" i="1"/>
  <c r="O6414" i="1"/>
  <c r="O6413" i="1"/>
  <c r="O6411" i="1"/>
  <c r="O6410" i="1"/>
  <c r="O6409" i="1"/>
  <c r="O6407" i="1"/>
  <c r="O6406" i="1"/>
  <c r="O6405" i="1"/>
  <c r="O6404" i="1"/>
  <c r="O6403" i="1"/>
  <c r="O6402" i="1"/>
  <c r="O6401" i="1"/>
  <c r="O6399" i="1"/>
  <c r="O6398" i="1"/>
  <c r="O6397" i="1"/>
  <c r="O6396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7" i="1"/>
  <c r="O6376" i="1"/>
  <c r="O6375" i="1"/>
  <c r="O6374" i="1"/>
  <c r="O6372" i="1"/>
  <c r="O6371" i="1"/>
  <c r="O6369" i="1"/>
  <c r="O6368" i="1"/>
  <c r="O6367" i="1"/>
  <c r="O6366" i="1"/>
  <c r="O6364" i="1"/>
  <c r="O6363" i="1"/>
  <c r="O6361" i="1"/>
  <c r="O6360" i="1"/>
  <c r="O6358" i="1"/>
  <c r="O6357" i="1"/>
  <c r="O6355" i="1"/>
  <c r="O6354" i="1"/>
  <c r="O6352" i="1"/>
  <c r="O6351" i="1"/>
  <c r="O6350" i="1"/>
  <c r="O6348" i="1"/>
  <c r="O6347" i="1"/>
  <c r="O6345" i="1"/>
  <c r="O6344" i="1"/>
  <c r="O6342" i="1"/>
  <c r="O6341" i="1"/>
  <c r="O6339" i="1"/>
  <c r="O6338" i="1"/>
  <c r="O6336" i="1"/>
  <c r="O6335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2" i="1"/>
  <c r="O6301" i="1"/>
  <c r="O6299" i="1"/>
  <c r="O6298" i="1"/>
  <c r="O6296" i="1"/>
  <c r="O6295" i="1"/>
  <c r="O6293" i="1"/>
  <c r="O6292" i="1"/>
  <c r="O6290" i="1"/>
  <c r="O6289" i="1"/>
  <c r="O6288" i="1"/>
  <c r="O6286" i="1"/>
  <c r="O6285" i="1"/>
  <c r="O6283" i="1"/>
  <c r="O6282" i="1"/>
  <c r="O6281" i="1"/>
  <c r="O6280" i="1"/>
  <c r="O6279" i="1"/>
  <c r="O6278" i="1"/>
  <c r="O6276" i="1"/>
  <c r="O6275" i="1"/>
  <c r="O6274" i="1"/>
  <c r="O6272" i="1"/>
  <c r="O6271" i="1"/>
  <c r="O6269" i="1"/>
  <c r="O6268" i="1"/>
  <c r="O6266" i="1"/>
  <c r="O6265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7" i="1"/>
  <c r="O6226" i="1"/>
  <c r="O6225" i="1"/>
  <c r="O6224" i="1"/>
  <c r="O6222" i="1"/>
  <c r="O6221" i="1"/>
  <c r="O6219" i="1"/>
  <c r="O6218" i="1"/>
  <c r="O6216" i="1"/>
  <c r="O6215" i="1"/>
  <c r="O6214" i="1"/>
  <c r="O6213" i="1"/>
  <c r="O6212" i="1"/>
  <c r="O6210" i="1"/>
  <c r="O6209" i="1"/>
  <c r="O6208" i="1"/>
  <c r="O6206" i="1"/>
  <c r="O6205" i="1"/>
  <c r="O6203" i="1"/>
  <c r="O6202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1" i="1"/>
  <c r="O6170" i="1"/>
  <c r="O6168" i="1"/>
  <c r="O6167" i="1"/>
  <c r="O6165" i="1"/>
  <c r="O6164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3" i="1"/>
  <c r="O6142" i="1"/>
  <c r="O6141" i="1"/>
  <c r="O6140" i="1"/>
  <c r="O6139" i="1"/>
  <c r="O6138" i="1"/>
  <c r="O6136" i="1"/>
  <c r="O6135" i="1"/>
  <c r="O6134" i="1"/>
  <c r="O6133" i="1"/>
  <c r="O6132" i="1"/>
  <c r="O6131" i="1"/>
  <c r="O6130" i="1"/>
  <c r="O6129" i="1"/>
  <c r="O6128" i="1"/>
  <c r="O6127" i="1"/>
  <c r="O6125" i="1"/>
  <c r="O6124" i="1"/>
  <c r="O6122" i="1"/>
  <c r="O6121" i="1"/>
  <c r="O6120" i="1"/>
  <c r="O6118" i="1"/>
  <c r="O6117" i="1"/>
  <c r="O6115" i="1"/>
  <c r="O6114" i="1"/>
  <c r="O6112" i="1"/>
  <c r="O6111" i="1"/>
  <c r="O6110" i="1"/>
  <c r="O6109" i="1"/>
  <c r="O6108" i="1"/>
  <c r="O6107" i="1"/>
  <c r="O6106" i="1"/>
  <c r="O6104" i="1"/>
  <c r="O6103" i="1"/>
  <c r="O6102" i="1"/>
  <c r="O6100" i="1"/>
  <c r="O6099" i="1"/>
  <c r="O6097" i="1"/>
  <c r="O6096" i="1"/>
  <c r="O6094" i="1"/>
  <c r="O6093" i="1"/>
  <c r="O6091" i="1"/>
  <c r="O6090" i="1"/>
  <c r="O6089" i="1"/>
  <c r="O6088" i="1"/>
  <c r="O6087" i="1"/>
  <c r="O6086" i="1"/>
  <c r="O6085" i="1"/>
  <c r="O6084" i="1"/>
  <c r="O6082" i="1"/>
  <c r="O6081" i="1"/>
  <c r="O6079" i="1"/>
  <c r="O6078" i="1"/>
  <c r="O6076" i="1"/>
  <c r="O6075" i="1"/>
  <c r="O6074" i="1"/>
  <c r="O6073" i="1"/>
  <c r="O6071" i="1"/>
  <c r="O6070" i="1"/>
  <c r="O6068" i="1"/>
  <c r="O6067" i="1"/>
  <c r="O6065" i="1"/>
  <c r="O6064" i="1"/>
  <c r="O6063" i="1"/>
  <c r="O6061" i="1"/>
  <c r="O6060" i="1"/>
  <c r="O6059" i="1"/>
  <c r="O6058" i="1"/>
  <c r="O6057" i="1"/>
  <c r="O6055" i="1"/>
  <c r="O6054" i="1"/>
  <c r="O6052" i="1"/>
  <c r="O6051" i="1"/>
  <c r="O6049" i="1"/>
  <c r="O6048" i="1"/>
  <c r="O6046" i="1"/>
  <c r="O6045" i="1"/>
  <c r="O6044" i="1"/>
  <c r="O6042" i="1"/>
  <c r="O6041" i="1"/>
  <c r="O6040" i="1"/>
  <c r="O6038" i="1"/>
  <c r="O6037" i="1"/>
  <c r="O6035" i="1"/>
  <c r="O6034" i="1"/>
  <c r="O6032" i="1"/>
  <c r="O6031" i="1"/>
  <c r="O6030" i="1"/>
  <c r="O6029" i="1"/>
  <c r="O6028" i="1"/>
  <c r="O6027" i="1"/>
  <c r="O6026" i="1"/>
  <c r="O6024" i="1"/>
  <c r="O6023" i="1"/>
  <c r="O6022" i="1"/>
  <c r="O6021" i="1"/>
  <c r="O6019" i="1"/>
  <c r="O6018" i="1"/>
  <c r="O6017" i="1"/>
  <c r="O6015" i="1"/>
  <c r="O6014" i="1"/>
  <c r="O6013" i="1"/>
  <c r="O6012" i="1"/>
  <c r="O6011" i="1"/>
  <c r="O6009" i="1"/>
  <c r="O6008" i="1"/>
  <c r="O6007" i="1"/>
  <c r="O6005" i="1"/>
  <c r="O6004" i="1"/>
  <c r="O6002" i="1"/>
  <c r="O6001" i="1"/>
  <c r="O5999" i="1"/>
  <c r="O5998" i="1"/>
  <c r="O5997" i="1"/>
  <c r="O5995" i="1"/>
  <c r="O5994" i="1"/>
  <c r="O5992" i="1"/>
  <c r="O5991" i="1"/>
  <c r="O5989" i="1"/>
  <c r="O5988" i="1"/>
  <c r="O5986" i="1"/>
  <c r="O5985" i="1"/>
  <c r="O5983" i="1"/>
  <c r="O5982" i="1"/>
  <c r="O5981" i="1"/>
  <c r="O5980" i="1"/>
  <c r="O5978" i="1"/>
  <c r="O5977" i="1"/>
  <c r="O5976" i="1"/>
  <c r="O5974" i="1"/>
  <c r="O5973" i="1"/>
  <c r="O5971" i="1"/>
  <c r="O5970" i="1"/>
  <c r="O5968" i="1"/>
  <c r="O5967" i="1"/>
  <c r="O5966" i="1"/>
  <c r="O5965" i="1"/>
  <c r="O5963" i="1"/>
  <c r="O5962" i="1"/>
  <c r="O5961" i="1"/>
  <c r="O5960" i="1"/>
  <c r="O5959" i="1"/>
  <c r="O5957" i="1"/>
  <c r="O5956" i="1"/>
  <c r="O5954" i="1"/>
  <c r="O5953" i="1"/>
  <c r="O5951" i="1"/>
  <c r="O5950" i="1"/>
  <c r="O5949" i="1"/>
  <c r="O5947" i="1"/>
  <c r="O5946" i="1"/>
  <c r="O5944" i="1"/>
  <c r="O5943" i="1"/>
  <c r="O5941" i="1"/>
  <c r="O5940" i="1"/>
  <c r="O5939" i="1"/>
  <c r="O5938" i="1"/>
  <c r="O5937" i="1"/>
  <c r="O5936" i="1"/>
  <c r="O5935" i="1"/>
  <c r="O5934" i="1"/>
  <c r="O5932" i="1"/>
  <c r="O5931" i="1"/>
  <c r="O5930" i="1"/>
  <c r="O5928" i="1"/>
  <c r="O5927" i="1"/>
  <c r="O5925" i="1"/>
  <c r="O5924" i="1"/>
  <c r="O5923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8" i="1"/>
  <c r="O5907" i="1"/>
  <c r="O5905" i="1"/>
  <c r="O5904" i="1"/>
  <c r="O5903" i="1"/>
  <c r="O5901" i="1"/>
  <c r="O5900" i="1"/>
  <c r="O5899" i="1"/>
  <c r="O5898" i="1"/>
  <c r="O5897" i="1"/>
  <c r="O5896" i="1"/>
  <c r="O5894" i="1"/>
  <c r="O5893" i="1"/>
  <c r="O5892" i="1"/>
  <c r="O5891" i="1"/>
  <c r="O5890" i="1"/>
  <c r="O5889" i="1"/>
  <c r="O5888" i="1"/>
  <c r="O5886" i="1"/>
  <c r="O5885" i="1"/>
  <c r="O5883" i="1"/>
  <c r="O5882" i="1"/>
  <c r="O5880" i="1"/>
  <c r="O5879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4" i="1"/>
  <c r="O5863" i="1"/>
  <c r="O5861" i="1"/>
  <c r="O5860" i="1"/>
  <c r="O5858" i="1"/>
  <c r="O5857" i="1"/>
  <c r="O5855" i="1"/>
  <c r="O5854" i="1"/>
  <c r="O5853" i="1"/>
  <c r="O5852" i="1"/>
  <c r="O5851" i="1"/>
  <c r="O5850" i="1"/>
  <c r="O5849" i="1"/>
  <c r="O5847" i="1"/>
  <c r="O5846" i="1"/>
  <c r="O5844" i="1"/>
  <c r="O5843" i="1"/>
  <c r="O5841" i="1"/>
  <c r="O5840" i="1"/>
  <c r="O5838" i="1"/>
  <c r="O5837" i="1"/>
  <c r="O5835" i="1"/>
  <c r="O5834" i="1"/>
  <c r="O5832" i="1"/>
  <c r="O5831" i="1"/>
  <c r="O5830" i="1"/>
  <c r="O5828" i="1"/>
  <c r="O5827" i="1"/>
  <c r="O5825" i="1"/>
  <c r="O5824" i="1"/>
  <c r="O5822" i="1"/>
  <c r="O5821" i="1"/>
  <c r="O5819" i="1"/>
  <c r="O5818" i="1"/>
  <c r="O5817" i="1"/>
  <c r="O5816" i="1"/>
  <c r="O5815" i="1"/>
  <c r="O5814" i="1"/>
  <c r="O5813" i="1"/>
  <c r="O5812" i="1"/>
  <c r="O5811" i="1"/>
  <c r="O5810" i="1"/>
  <c r="O5808" i="1"/>
  <c r="O5807" i="1"/>
  <c r="O5806" i="1"/>
  <c r="O5804" i="1"/>
  <c r="O5803" i="1"/>
  <c r="O5802" i="1"/>
  <c r="O5801" i="1"/>
  <c r="O5800" i="1"/>
  <c r="O5799" i="1"/>
  <c r="O5797" i="1"/>
  <c r="O5796" i="1"/>
  <c r="O5795" i="1"/>
  <c r="O5793" i="1"/>
  <c r="O5792" i="1"/>
  <c r="O5790" i="1"/>
  <c r="O5789" i="1"/>
  <c r="O5788" i="1"/>
  <c r="O5787" i="1"/>
  <c r="O5785" i="1"/>
  <c r="O5784" i="1"/>
  <c r="O5783" i="1"/>
  <c r="O5782" i="1"/>
  <c r="O5781" i="1"/>
  <c r="O5780" i="1"/>
  <c r="O5779" i="1"/>
  <c r="O5777" i="1"/>
  <c r="O5776" i="1"/>
  <c r="O5775" i="1"/>
  <c r="O5774" i="1"/>
  <c r="O5773" i="1"/>
  <c r="O5771" i="1"/>
  <c r="O5770" i="1"/>
  <c r="O5769" i="1"/>
  <c r="O5767" i="1"/>
  <c r="O5766" i="1"/>
  <c r="O5764" i="1"/>
  <c r="O5763" i="1"/>
  <c r="O5761" i="1"/>
  <c r="O5760" i="1"/>
  <c r="O5758" i="1"/>
  <c r="O5757" i="1"/>
  <c r="O5755" i="1"/>
  <c r="O5754" i="1"/>
  <c r="O5752" i="1"/>
  <c r="O5751" i="1"/>
  <c r="O5750" i="1"/>
  <c r="O5748" i="1"/>
  <c r="O5747" i="1"/>
  <c r="O5745" i="1"/>
  <c r="O5744" i="1"/>
  <c r="O5742" i="1"/>
  <c r="O5741" i="1"/>
  <c r="O5739" i="1"/>
  <c r="O5738" i="1"/>
  <c r="O5736" i="1"/>
  <c r="O5735" i="1"/>
  <c r="O5733" i="1"/>
  <c r="O5732" i="1"/>
  <c r="O5730" i="1"/>
  <c r="O5729" i="1"/>
  <c r="O5728" i="1"/>
  <c r="O5726" i="1"/>
  <c r="O5725" i="1"/>
  <c r="O5723" i="1"/>
  <c r="O5722" i="1"/>
  <c r="O5721" i="1"/>
  <c r="O5719" i="1"/>
  <c r="O5718" i="1"/>
  <c r="O5716" i="1"/>
  <c r="O5715" i="1"/>
  <c r="O5714" i="1"/>
  <c r="O5713" i="1"/>
  <c r="O5711" i="1"/>
  <c r="O5710" i="1"/>
  <c r="O5709" i="1"/>
  <c r="O5708" i="1"/>
  <c r="O5707" i="1"/>
  <c r="O5706" i="1"/>
  <c r="O5704" i="1"/>
  <c r="O5703" i="1"/>
  <c r="O5701" i="1"/>
  <c r="O5700" i="1"/>
  <c r="O5698" i="1"/>
  <c r="O5697" i="1"/>
  <c r="O5695" i="1"/>
  <c r="O5694" i="1"/>
  <c r="O5692" i="1"/>
  <c r="O5691" i="1"/>
  <c r="O5690" i="1"/>
  <c r="O5689" i="1"/>
  <c r="O5688" i="1"/>
  <c r="O5687" i="1"/>
  <c r="O5686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4" i="1"/>
  <c r="O5633" i="1"/>
  <c r="O5631" i="1"/>
  <c r="O5630" i="1"/>
  <c r="O5629" i="1"/>
  <c r="O5627" i="1"/>
  <c r="O5626" i="1"/>
  <c r="O5624" i="1"/>
  <c r="O5623" i="1"/>
  <c r="O5621" i="1"/>
  <c r="O5620" i="1"/>
  <c r="O5618" i="1"/>
  <c r="O5617" i="1"/>
  <c r="O5616" i="1"/>
  <c r="O5614" i="1"/>
  <c r="O5613" i="1"/>
  <c r="O5611" i="1"/>
  <c r="O5610" i="1"/>
  <c r="O5609" i="1"/>
  <c r="O5608" i="1"/>
  <c r="O5607" i="1"/>
  <c r="O5606" i="1"/>
  <c r="O5605" i="1"/>
  <c r="O5603" i="1"/>
  <c r="O5602" i="1"/>
  <c r="O5600" i="1"/>
  <c r="O5599" i="1"/>
  <c r="O5598" i="1"/>
  <c r="O5596" i="1"/>
  <c r="O5595" i="1"/>
  <c r="O5593" i="1"/>
  <c r="O5592" i="1"/>
  <c r="O5591" i="1"/>
  <c r="O5590" i="1"/>
  <c r="O5589" i="1"/>
  <c r="O5588" i="1"/>
  <c r="O5587" i="1"/>
  <c r="O5586" i="1"/>
  <c r="O5585" i="1"/>
  <c r="O5583" i="1"/>
  <c r="O5582" i="1"/>
  <c r="O5580" i="1"/>
  <c r="O5579" i="1"/>
  <c r="O5577" i="1"/>
  <c r="O5576" i="1"/>
  <c r="O5574" i="1"/>
  <c r="O5573" i="1"/>
  <c r="O5572" i="1"/>
  <c r="O5570" i="1"/>
  <c r="O5569" i="1"/>
  <c r="O5567" i="1"/>
  <c r="O5566" i="1"/>
  <c r="O5565" i="1"/>
  <c r="O5563" i="1"/>
  <c r="O5562" i="1"/>
  <c r="O5560" i="1"/>
  <c r="O5559" i="1"/>
  <c r="O5557" i="1"/>
  <c r="O5556" i="1"/>
  <c r="O5554" i="1"/>
  <c r="O5553" i="1"/>
  <c r="O5552" i="1"/>
  <c r="O5551" i="1"/>
  <c r="O5550" i="1"/>
  <c r="O5549" i="1"/>
  <c r="O5548" i="1"/>
  <c r="O5547" i="1"/>
  <c r="O5546" i="1"/>
  <c r="O5545" i="1"/>
  <c r="O5543" i="1"/>
  <c r="O5542" i="1"/>
  <c r="O5541" i="1"/>
  <c r="O5539" i="1"/>
  <c r="O5538" i="1"/>
  <c r="O5536" i="1"/>
  <c r="O5535" i="1"/>
  <c r="O5533" i="1"/>
  <c r="O5532" i="1"/>
  <c r="O5531" i="1"/>
  <c r="O5529" i="1"/>
  <c r="O5528" i="1"/>
  <c r="O5526" i="1"/>
  <c r="O5525" i="1"/>
  <c r="O5524" i="1"/>
  <c r="O5522" i="1"/>
  <c r="O5521" i="1"/>
  <c r="O5520" i="1"/>
  <c r="O5519" i="1"/>
  <c r="O5517" i="1"/>
  <c r="O5516" i="1"/>
  <c r="O5514" i="1"/>
  <c r="O5513" i="1"/>
  <c r="O5512" i="1"/>
  <c r="O5511" i="1"/>
  <c r="O5509" i="1"/>
  <c r="O5508" i="1"/>
  <c r="O5507" i="1"/>
  <c r="O5505" i="1"/>
  <c r="O5504" i="1"/>
  <c r="O5503" i="1"/>
  <c r="O5502" i="1"/>
  <c r="O5501" i="1"/>
  <c r="O5500" i="1"/>
  <c r="O5499" i="1"/>
  <c r="O5498" i="1"/>
  <c r="O5496" i="1"/>
  <c r="O5495" i="1"/>
  <c r="O5494" i="1"/>
  <c r="O5493" i="1"/>
  <c r="O5492" i="1"/>
  <c r="O5491" i="1"/>
  <c r="O5490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7" i="1"/>
  <c r="O5466" i="1"/>
  <c r="O5464" i="1"/>
  <c r="O5463" i="1"/>
  <c r="O5462" i="1"/>
  <c r="O5461" i="1"/>
  <c r="O5460" i="1"/>
  <c r="O5458" i="1"/>
  <c r="O5457" i="1"/>
  <c r="O5455" i="1"/>
  <c r="O5454" i="1"/>
  <c r="O5453" i="1"/>
  <c r="O5452" i="1"/>
  <c r="O5450" i="1"/>
  <c r="O5449" i="1"/>
  <c r="O5448" i="1"/>
  <c r="O5446" i="1"/>
  <c r="O5445" i="1"/>
  <c r="O5443" i="1"/>
  <c r="O5442" i="1"/>
  <c r="O5440" i="1"/>
  <c r="O5439" i="1"/>
  <c r="O5438" i="1"/>
  <c r="O5436" i="1"/>
  <c r="O5435" i="1"/>
  <c r="O5434" i="1"/>
  <c r="O5432" i="1"/>
  <c r="O5431" i="1"/>
  <c r="O5430" i="1"/>
  <c r="O5429" i="1"/>
  <c r="O5428" i="1"/>
  <c r="O5426" i="1"/>
  <c r="O5425" i="1"/>
  <c r="O5424" i="1"/>
  <c r="O5422" i="1"/>
  <c r="O5421" i="1"/>
  <c r="O5420" i="1"/>
  <c r="O5419" i="1"/>
  <c r="O5417" i="1"/>
  <c r="O5416" i="1"/>
  <c r="O5415" i="1"/>
  <c r="O5414" i="1"/>
  <c r="O5412" i="1"/>
  <c r="O5411" i="1"/>
  <c r="O5410" i="1"/>
  <c r="O5408" i="1"/>
  <c r="O5407" i="1"/>
  <c r="O5406" i="1"/>
  <c r="O5404" i="1"/>
  <c r="O5403" i="1"/>
  <c r="O5401" i="1"/>
  <c r="O5400" i="1"/>
  <c r="O5398" i="1"/>
  <c r="O5397" i="1"/>
  <c r="O5396" i="1"/>
  <c r="O5394" i="1"/>
  <c r="O5393" i="1"/>
  <c r="O5391" i="1"/>
  <c r="O5390" i="1"/>
  <c r="O5388" i="1"/>
  <c r="O5387" i="1"/>
  <c r="O5385" i="1"/>
  <c r="O5384" i="1"/>
  <c r="O5382" i="1"/>
  <c r="O5381" i="1"/>
  <c r="O5380" i="1"/>
  <c r="O5379" i="1"/>
  <c r="O5378" i="1"/>
  <c r="O5376" i="1"/>
  <c r="O5375" i="1"/>
  <c r="O5373" i="1"/>
  <c r="O5372" i="1"/>
  <c r="O5370" i="1"/>
  <c r="O5369" i="1"/>
  <c r="O5368" i="1"/>
  <c r="O5367" i="1"/>
  <c r="O5365" i="1"/>
  <c r="O5364" i="1"/>
  <c r="O5362" i="1"/>
  <c r="O5361" i="1"/>
  <c r="O5359" i="1"/>
  <c r="O5358" i="1"/>
  <c r="O5356" i="1"/>
  <c r="O5355" i="1"/>
  <c r="O5354" i="1"/>
  <c r="O5352" i="1"/>
  <c r="O5351" i="1"/>
  <c r="O5350" i="1"/>
  <c r="O5348" i="1"/>
  <c r="O5347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2" i="1"/>
  <c r="O5331" i="1"/>
  <c r="O5329" i="1"/>
  <c r="O5328" i="1"/>
  <c r="O5327" i="1"/>
  <c r="O5325" i="1"/>
  <c r="O5324" i="1"/>
  <c r="O5323" i="1"/>
  <c r="O5322" i="1"/>
  <c r="O5321" i="1"/>
  <c r="O5320" i="1"/>
  <c r="O5318" i="1"/>
  <c r="O5317" i="1"/>
  <c r="O5316" i="1"/>
  <c r="O5315" i="1"/>
  <c r="O5314" i="1"/>
  <c r="O5313" i="1"/>
  <c r="O5312" i="1"/>
  <c r="O5310" i="1"/>
  <c r="O5309" i="1"/>
  <c r="O5308" i="1"/>
  <c r="O5306" i="1"/>
  <c r="O5305" i="1"/>
  <c r="O5303" i="1"/>
  <c r="O5302" i="1"/>
  <c r="O5300" i="1"/>
  <c r="O5299" i="1"/>
  <c r="O5297" i="1"/>
  <c r="O5296" i="1"/>
  <c r="O5294" i="1"/>
  <c r="O5293" i="1"/>
  <c r="O5291" i="1"/>
  <c r="O5290" i="1"/>
  <c r="O5288" i="1"/>
  <c r="O5287" i="1"/>
  <c r="O5286" i="1"/>
  <c r="O5284" i="1"/>
  <c r="O5283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4" i="1"/>
  <c r="O5263" i="1"/>
  <c r="O5261" i="1"/>
  <c r="O5260" i="1"/>
  <c r="O5259" i="1"/>
  <c r="O5257" i="1"/>
  <c r="O5256" i="1"/>
  <c r="O5254" i="1"/>
  <c r="O5253" i="1"/>
  <c r="O5251" i="1"/>
  <c r="O5250" i="1"/>
  <c r="O5248" i="1"/>
  <c r="O5247" i="1"/>
  <c r="O5245" i="1"/>
  <c r="O5244" i="1"/>
  <c r="O5242" i="1"/>
  <c r="O5241" i="1"/>
  <c r="O5240" i="1"/>
  <c r="O5238" i="1"/>
  <c r="O5237" i="1"/>
  <c r="O5235" i="1"/>
  <c r="O5234" i="1"/>
  <c r="O5232" i="1"/>
  <c r="O5231" i="1"/>
  <c r="O5230" i="1"/>
  <c r="O5229" i="1"/>
  <c r="O5227" i="1"/>
  <c r="O5226" i="1"/>
  <c r="O5225" i="1"/>
  <c r="O5224" i="1"/>
  <c r="O5222" i="1"/>
  <c r="O5221" i="1"/>
  <c r="O5220" i="1"/>
  <c r="O5218" i="1"/>
  <c r="O5217" i="1"/>
  <c r="O5216" i="1"/>
  <c r="O5215" i="1"/>
  <c r="O5214" i="1"/>
  <c r="O5213" i="1"/>
  <c r="O5212" i="1"/>
  <c r="O5211" i="1"/>
  <c r="O5210" i="1"/>
  <c r="O5209" i="1"/>
  <c r="O5207" i="1"/>
  <c r="O5206" i="1"/>
  <c r="O5205" i="1"/>
  <c r="O5204" i="1"/>
  <c r="O5202" i="1"/>
  <c r="O5201" i="1"/>
  <c r="O5200" i="1"/>
  <c r="O5199" i="1"/>
  <c r="O5198" i="1"/>
  <c r="O5196" i="1"/>
  <c r="O5195" i="1"/>
  <c r="O5193" i="1"/>
  <c r="O5192" i="1"/>
  <c r="O5190" i="1"/>
  <c r="O5189" i="1"/>
  <c r="O5187" i="1"/>
  <c r="O5186" i="1"/>
  <c r="O5184" i="1"/>
  <c r="O5183" i="1"/>
  <c r="O5181" i="1"/>
  <c r="O5180" i="1"/>
  <c r="O5178" i="1"/>
  <c r="O5177" i="1"/>
  <c r="O5175" i="1"/>
  <c r="O5174" i="1"/>
  <c r="O5173" i="1"/>
  <c r="O5172" i="1"/>
  <c r="O5170" i="1"/>
  <c r="O5169" i="1"/>
  <c r="O5167" i="1"/>
  <c r="O5166" i="1"/>
  <c r="O5165" i="1"/>
  <c r="O5164" i="1"/>
  <c r="O5163" i="1"/>
  <c r="O5161" i="1"/>
  <c r="O5160" i="1"/>
  <c r="O5159" i="1"/>
  <c r="O5157" i="1"/>
  <c r="O5156" i="1"/>
  <c r="O5155" i="1"/>
  <c r="O5153" i="1"/>
  <c r="O5152" i="1"/>
  <c r="O5151" i="1"/>
  <c r="O5150" i="1"/>
  <c r="O5149" i="1"/>
  <c r="O5147" i="1"/>
  <c r="O5146" i="1"/>
  <c r="O5145" i="1"/>
  <c r="O5144" i="1"/>
  <c r="O5142" i="1"/>
  <c r="O5141" i="1"/>
  <c r="O5139" i="1"/>
  <c r="O5138" i="1"/>
  <c r="O5136" i="1"/>
  <c r="O5135" i="1"/>
  <c r="O5133" i="1"/>
  <c r="O5132" i="1"/>
  <c r="O5130" i="1"/>
  <c r="O5129" i="1"/>
  <c r="O5128" i="1"/>
  <c r="O5127" i="1"/>
  <c r="O5126" i="1"/>
  <c r="O5124" i="1"/>
  <c r="O5123" i="1"/>
  <c r="O5122" i="1"/>
  <c r="O5121" i="1"/>
  <c r="O5120" i="1"/>
  <c r="O5119" i="1"/>
  <c r="O5117" i="1"/>
  <c r="O5116" i="1"/>
  <c r="O5115" i="1"/>
  <c r="O5114" i="1"/>
  <c r="O5113" i="1"/>
  <c r="O5111" i="1"/>
  <c r="O5110" i="1"/>
  <c r="O5109" i="1"/>
  <c r="O5107" i="1"/>
  <c r="O5106" i="1"/>
  <c r="O5104" i="1"/>
  <c r="O5103" i="1"/>
  <c r="O5101" i="1"/>
  <c r="O5100" i="1"/>
  <c r="O5099" i="1"/>
  <c r="O5098" i="1"/>
  <c r="O5097" i="1"/>
  <c r="O5095" i="1"/>
  <c r="O5094" i="1"/>
  <c r="O5093" i="1"/>
  <c r="O5091" i="1"/>
  <c r="O5090" i="1"/>
  <c r="O5088" i="1"/>
  <c r="O5087" i="1"/>
  <c r="O5086" i="1"/>
  <c r="O5085" i="1"/>
  <c r="O5084" i="1"/>
  <c r="O5083" i="1"/>
  <c r="O5082" i="1"/>
  <c r="O5081" i="1"/>
  <c r="O5080" i="1"/>
  <c r="O5078" i="1"/>
  <c r="O5077" i="1"/>
  <c r="O5076" i="1"/>
  <c r="O5075" i="1"/>
  <c r="O5073" i="1"/>
  <c r="O5072" i="1"/>
  <c r="O5071" i="1"/>
  <c r="O5069" i="1"/>
  <c r="O5068" i="1"/>
  <c r="O5067" i="1"/>
  <c r="O5066" i="1"/>
  <c r="O5064" i="1"/>
  <c r="O5063" i="1"/>
  <c r="O5062" i="1"/>
  <c r="O5060" i="1"/>
  <c r="O5059" i="1"/>
  <c r="O5057" i="1"/>
  <c r="O5056" i="1"/>
  <c r="O5054" i="1"/>
  <c r="O5053" i="1"/>
  <c r="O5051" i="1"/>
  <c r="O5050" i="1"/>
  <c r="O5048" i="1"/>
  <c r="O5047" i="1"/>
  <c r="O5045" i="1"/>
  <c r="O5044" i="1"/>
  <c r="O5042" i="1"/>
  <c r="O5041" i="1"/>
  <c r="O5040" i="1"/>
  <c r="O5039" i="1"/>
  <c r="O5038" i="1"/>
  <c r="O5037" i="1"/>
  <c r="O5036" i="1"/>
  <c r="O5035" i="1"/>
  <c r="O5033" i="1"/>
  <c r="O5032" i="1"/>
  <c r="O5031" i="1"/>
  <c r="O5030" i="1"/>
  <c r="O5029" i="1"/>
  <c r="O5028" i="1"/>
  <c r="O5027" i="1"/>
  <c r="O5025" i="1"/>
  <c r="O5024" i="1"/>
  <c r="O5023" i="1"/>
  <c r="O5022" i="1"/>
  <c r="O5020" i="1"/>
  <c r="O5019" i="1"/>
  <c r="O5017" i="1"/>
  <c r="O5016" i="1"/>
  <c r="O5014" i="1"/>
  <c r="O5013" i="1"/>
  <c r="O5012" i="1"/>
  <c r="O5011" i="1"/>
  <c r="O5009" i="1"/>
  <c r="O5008" i="1"/>
  <c r="O5006" i="1"/>
  <c r="O5005" i="1"/>
  <c r="O5003" i="1"/>
  <c r="O5002" i="1"/>
  <c r="O5001" i="1"/>
  <c r="O4999" i="1"/>
  <c r="O4998" i="1"/>
  <c r="O4997" i="1"/>
  <c r="O4996" i="1"/>
  <c r="O4994" i="1"/>
  <c r="O4993" i="1"/>
  <c r="O4992" i="1"/>
  <c r="O4990" i="1"/>
  <c r="O4989" i="1"/>
  <c r="O4988" i="1"/>
  <c r="O4987" i="1"/>
  <c r="O4985" i="1"/>
  <c r="O4984" i="1"/>
  <c r="O4983" i="1"/>
  <c r="O4982" i="1"/>
  <c r="O4980" i="1"/>
  <c r="O4979" i="1"/>
  <c r="O4977" i="1"/>
  <c r="O4976" i="1"/>
  <c r="O4974" i="1"/>
  <c r="O4973" i="1"/>
  <c r="O4972" i="1"/>
  <c r="O4971" i="1"/>
  <c r="O4969" i="1"/>
  <c r="O4968" i="1"/>
  <c r="O4966" i="1"/>
  <c r="O4965" i="1"/>
  <c r="O4964" i="1"/>
  <c r="O4963" i="1"/>
  <c r="O4962" i="1"/>
  <c r="O4961" i="1"/>
  <c r="O4959" i="1"/>
  <c r="O4958" i="1"/>
  <c r="O4956" i="1"/>
  <c r="O4955" i="1"/>
  <c r="O4953" i="1"/>
  <c r="O4952" i="1"/>
  <c r="O4950" i="1"/>
  <c r="O4949" i="1"/>
  <c r="O4947" i="1"/>
  <c r="O4946" i="1"/>
  <c r="O4944" i="1"/>
  <c r="O4943" i="1"/>
  <c r="O4941" i="1"/>
  <c r="O4940" i="1"/>
  <c r="O4939" i="1"/>
  <c r="O4938" i="1"/>
  <c r="O4936" i="1"/>
  <c r="O4935" i="1"/>
  <c r="O4934" i="1"/>
  <c r="O4932" i="1"/>
  <c r="O4931" i="1"/>
  <c r="O4930" i="1"/>
  <c r="O4929" i="1"/>
  <c r="O4928" i="1"/>
  <c r="O4927" i="1"/>
  <c r="O4926" i="1"/>
  <c r="O4925" i="1"/>
  <c r="O4924" i="1"/>
  <c r="O4922" i="1"/>
  <c r="O4921" i="1"/>
  <c r="O4919" i="1"/>
  <c r="O4918" i="1"/>
  <c r="O4916" i="1"/>
  <c r="O4915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6" i="1"/>
  <c r="O4885" i="1"/>
  <c r="O4883" i="1"/>
  <c r="O4882" i="1"/>
  <c r="O4880" i="1"/>
  <c r="O4879" i="1"/>
  <c r="O4877" i="1"/>
  <c r="O4876" i="1"/>
  <c r="O4874" i="1"/>
  <c r="O4873" i="1"/>
  <c r="O4871" i="1"/>
  <c r="O4870" i="1"/>
  <c r="O4869" i="1"/>
  <c r="O4867" i="1"/>
  <c r="O4866" i="1"/>
  <c r="O4865" i="1"/>
  <c r="O4864" i="1"/>
  <c r="O4863" i="1"/>
  <c r="O4862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0" i="1"/>
  <c r="O4839" i="1"/>
  <c r="O4837" i="1"/>
  <c r="O4836" i="1"/>
  <c r="O4834" i="1"/>
  <c r="O4833" i="1"/>
  <c r="O4832" i="1"/>
  <c r="O4830" i="1"/>
  <c r="O4829" i="1"/>
  <c r="O4827" i="1"/>
  <c r="O4826" i="1"/>
  <c r="O4825" i="1"/>
  <c r="O4823" i="1"/>
  <c r="O4822" i="1"/>
  <c r="O4820" i="1"/>
  <c r="O4819" i="1"/>
  <c r="O4817" i="1"/>
  <c r="O4816" i="1"/>
  <c r="O4814" i="1"/>
  <c r="O4813" i="1"/>
  <c r="O4811" i="1"/>
  <c r="O4810" i="1"/>
  <c r="O4809" i="1"/>
  <c r="O4807" i="1"/>
  <c r="O4806" i="1"/>
  <c r="O4804" i="1"/>
  <c r="O4803" i="1"/>
  <c r="O4801" i="1"/>
  <c r="O4800" i="1"/>
  <c r="O4798" i="1"/>
  <c r="O4797" i="1"/>
  <c r="O4795" i="1"/>
  <c r="O4794" i="1"/>
  <c r="O4792" i="1"/>
  <c r="O4791" i="1"/>
  <c r="O4789" i="1"/>
  <c r="O4788" i="1"/>
  <c r="O4786" i="1"/>
  <c r="O4785" i="1"/>
  <c r="O4783" i="1"/>
  <c r="O4782" i="1"/>
  <c r="O4780" i="1"/>
  <c r="O4779" i="1"/>
  <c r="O4777" i="1"/>
  <c r="O4776" i="1"/>
  <c r="O4775" i="1"/>
  <c r="O4773" i="1"/>
  <c r="O4772" i="1"/>
  <c r="O4771" i="1"/>
  <c r="O4769" i="1"/>
  <c r="O4768" i="1"/>
  <c r="O4766" i="1"/>
  <c r="O4765" i="1"/>
  <c r="O4764" i="1"/>
  <c r="O4763" i="1"/>
  <c r="O4761" i="1"/>
  <c r="O4760" i="1"/>
  <c r="O4758" i="1"/>
  <c r="O4757" i="1"/>
  <c r="O4755" i="1"/>
  <c r="O4754" i="1"/>
  <c r="O4753" i="1"/>
  <c r="O4752" i="1"/>
  <c r="O4750" i="1"/>
  <c r="O4749" i="1"/>
  <c r="O4747" i="1"/>
  <c r="O4746" i="1"/>
  <c r="O4745" i="1"/>
  <c r="O4743" i="1"/>
  <c r="O4742" i="1"/>
  <c r="O4741" i="1"/>
  <c r="O4739" i="1"/>
  <c r="O4738" i="1"/>
  <c r="O4736" i="1"/>
  <c r="O4735" i="1"/>
  <c r="O4734" i="1"/>
  <c r="O4732" i="1"/>
  <c r="O4731" i="1"/>
  <c r="O4729" i="1"/>
  <c r="O4728" i="1"/>
  <c r="O4727" i="1"/>
  <c r="O4726" i="1"/>
  <c r="O4725" i="1"/>
  <c r="O4724" i="1"/>
  <c r="O4723" i="1"/>
  <c r="O4722" i="1"/>
  <c r="O4720" i="1"/>
  <c r="O4719" i="1"/>
  <c r="O4717" i="1"/>
  <c r="O4716" i="1"/>
  <c r="O4715" i="1"/>
  <c r="O4714" i="1"/>
  <c r="O4713" i="1"/>
  <c r="O4712" i="1"/>
  <c r="O4710" i="1"/>
  <c r="O4709" i="1"/>
  <c r="O4708" i="1"/>
  <c r="O4707" i="1"/>
  <c r="O4706" i="1"/>
  <c r="O4705" i="1"/>
  <c r="O4704" i="1"/>
  <c r="O4702" i="1"/>
  <c r="O4701" i="1"/>
  <c r="O4700" i="1"/>
  <c r="O4699" i="1"/>
  <c r="O4697" i="1"/>
  <c r="O4696" i="1"/>
  <c r="O4694" i="1"/>
  <c r="O4693" i="1"/>
  <c r="O4692" i="1"/>
  <c r="O4690" i="1"/>
  <c r="O4689" i="1"/>
  <c r="O4687" i="1"/>
  <c r="O4686" i="1"/>
  <c r="O4684" i="1"/>
  <c r="O4683" i="1"/>
  <c r="O4682" i="1"/>
  <c r="O4681" i="1"/>
  <c r="O4680" i="1"/>
  <c r="O4679" i="1"/>
  <c r="O4678" i="1"/>
  <c r="O4677" i="1"/>
  <c r="O4676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7" i="1"/>
  <c r="O4656" i="1"/>
  <c r="O4655" i="1"/>
  <c r="O4653" i="1"/>
  <c r="O4652" i="1"/>
  <c r="O4650" i="1"/>
  <c r="O4649" i="1"/>
  <c r="O4647" i="1"/>
  <c r="O4646" i="1"/>
  <c r="O4644" i="1"/>
  <c r="O4643" i="1"/>
  <c r="O4642" i="1"/>
  <c r="O4640" i="1"/>
  <c r="O4639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8" i="1"/>
  <c r="O4607" i="1"/>
  <c r="O4606" i="1"/>
  <c r="O4605" i="1"/>
  <c r="O4603" i="1"/>
  <c r="O4602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7" i="1"/>
  <c r="O4566" i="1"/>
  <c r="O4564" i="1"/>
  <c r="O4563" i="1"/>
  <c r="O4561" i="1"/>
  <c r="O4560" i="1"/>
  <c r="O4559" i="1"/>
  <c r="O4558" i="1"/>
  <c r="O4556" i="1"/>
  <c r="O4555" i="1"/>
  <c r="O4553" i="1"/>
  <c r="O4552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6" i="1"/>
  <c r="O4535" i="1"/>
  <c r="O4533" i="1"/>
  <c r="O4532" i="1"/>
  <c r="O4530" i="1"/>
  <c r="O4529" i="1"/>
  <c r="O4527" i="1"/>
  <c r="O4526" i="1"/>
  <c r="O4524" i="1"/>
  <c r="O4523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6" i="1"/>
  <c r="O4465" i="1"/>
  <c r="O4463" i="1"/>
  <c r="O4462" i="1"/>
  <c r="O4461" i="1"/>
  <c r="O4459" i="1"/>
  <c r="O4458" i="1"/>
  <c r="O4457" i="1"/>
  <c r="O4456" i="1"/>
  <c r="O4455" i="1"/>
  <c r="O4454" i="1"/>
  <c r="O4452" i="1"/>
  <c r="O4451" i="1"/>
  <c r="O4450" i="1"/>
  <c r="O4449" i="1"/>
  <c r="O4448" i="1"/>
  <c r="O4447" i="1"/>
  <c r="O4446" i="1"/>
  <c r="O4445" i="1"/>
  <c r="O4444" i="1"/>
  <c r="O4443" i="1"/>
  <c r="O4441" i="1"/>
  <c r="O4440" i="1"/>
  <c r="O4438" i="1"/>
  <c r="O4437" i="1"/>
  <c r="O4436" i="1"/>
  <c r="O4435" i="1"/>
  <c r="O4434" i="1"/>
  <c r="O4432" i="1"/>
  <c r="O4431" i="1"/>
  <c r="O4430" i="1"/>
  <c r="O4429" i="1"/>
  <c r="O4428" i="1"/>
  <c r="O4427" i="1"/>
  <c r="O4426" i="1"/>
  <c r="O4425" i="1"/>
  <c r="O4424" i="1"/>
  <c r="O4422" i="1"/>
  <c r="O4421" i="1"/>
  <c r="O4419" i="1"/>
  <c r="O4418" i="1"/>
  <c r="O4416" i="1"/>
  <c r="O4415" i="1"/>
  <c r="O4414" i="1"/>
  <c r="O4413" i="1"/>
  <c r="O4411" i="1"/>
  <c r="O4410" i="1"/>
  <c r="O4408" i="1"/>
  <c r="O4407" i="1"/>
  <c r="O4406" i="1"/>
  <c r="O4404" i="1"/>
  <c r="O4403" i="1"/>
  <c r="O4402" i="1"/>
  <c r="O4400" i="1"/>
  <c r="O4399" i="1"/>
  <c r="O4398" i="1"/>
  <c r="O4397" i="1"/>
  <c r="O4396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1" i="1"/>
  <c r="O4380" i="1"/>
  <c r="O4378" i="1"/>
  <c r="O4377" i="1"/>
  <c r="O4376" i="1"/>
  <c r="O4375" i="1"/>
  <c r="O4374" i="1"/>
  <c r="O4373" i="1"/>
  <c r="O4372" i="1"/>
  <c r="O4371" i="1"/>
  <c r="O4370" i="1"/>
  <c r="O4369" i="1"/>
  <c r="O4367" i="1"/>
  <c r="O4366" i="1"/>
  <c r="O4365" i="1"/>
  <c r="O4363" i="1"/>
  <c r="O4362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7" i="1"/>
  <c r="O4346" i="1"/>
  <c r="O4344" i="1"/>
  <c r="O4343" i="1"/>
  <c r="O4341" i="1"/>
  <c r="O4340" i="1"/>
  <c r="O4338" i="1"/>
  <c r="O4337" i="1"/>
  <c r="O4335" i="1"/>
  <c r="O4334" i="1"/>
  <c r="O4332" i="1"/>
  <c r="O4331" i="1"/>
  <c r="O4329" i="1"/>
  <c r="O4328" i="1"/>
  <c r="O4326" i="1"/>
  <c r="O4325" i="1"/>
  <c r="O4323" i="1"/>
  <c r="O4322" i="1"/>
  <c r="O4321" i="1"/>
  <c r="O4319" i="1"/>
  <c r="O4318" i="1"/>
  <c r="O4316" i="1"/>
  <c r="O4315" i="1"/>
  <c r="O4314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8" i="1"/>
  <c r="O4297" i="1"/>
  <c r="O4296" i="1"/>
  <c r="O4295" i="1"/>
  <c r="O4294" i="1"/>
  <c r="O4293" i="1"/>
  <c r="O4291" i="1"/>
  <c r="O4290" i="1"/>
  <c r="O4288" i="1"/>
  <c r="O4287" i="1"/>
  <c r="O4285" i="1"/>
  <c r="O4284" i="1"/>
  <c r="O4283" i="1"/>
  <c r="O4281" i="1"/>
  <c r="O4280" i="1"/>
  <c r="O4278" i="1"/>
  <c r="O4277" i="1"/>
  <c r="O4276" i="1"/>
  <c r="O4275" i="1"/>
  <c r="O4274" i="1"/>
  <c r="O4273" i="1"/>
  <c r="O4272" i="1"/>
  <c r="O4270" i="1"/>
  <c r="O4269" i="1"/>
  <c r="O4267" i="1"/>
  <c r="O4266" i="1"/>
  <c r="O4264" i="1"/>
  <c r="O4263" i="1"/>
  <c r="O4261" i="1"/>
  <c r="O4260" i="1"/>
  <c r="O4259" i="1"/>
  <c r="O4258" i="1"/>
  <c r="O4257" i="1"/>
  <c r="O4256" i="1"/>
  <c r="O4254" i="1"/>
  <c r="O4253" i="1"/>
  <c r="O4251" i="1"/>
  <c r="O4250" i="1"/>
  <c r="O4249" i="1"/>
  <c r="O4248" i="1"/>
  <c r="O4247" i="1"/>
  <c r="O4245" i="1"/>
  <c r="O4244" i="1"/>
  <c r="O4242" i="1"/>
  <c r="O4241" i="1"/>
  <c r="O4239" i="1"/>
  <c r="O4238" i="1"/>
  <c r="O4237" i="1"/>
  <c r="O4236" i="1"/>
  <c r="O4234" i="1"/>
  <c r="O4233" i="1"/>
  <c r="O4231" i="1"/>
  <c r="O4230" i="1"/>
  <c r="O4229" i="1"/>
  <c r="O4228" i="1"/>
  <c r="O4227" i="1"/>
  <c r="O4226" i="1"/>
  <c r="O4225" i="1"/>
  <c r="O4224" i="1"/>
  <c r="O4222" i="1"/>
  <c r="O4221" i="1"/>
  <c r="O4220" i="1"/>
  <c r="O4218" i="1"/>
  <c r="O4217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0" i="1"/>
  <c r="O4199" i="1"/>
  <c r="O4198" i="1"/>
  <c r="O4197" i="1"/>
  <c r="O4196" i="1"/>
  <c r="O4195" i="1"/>
  <c r="O4194" i="1"/>
  <c r="O4193" i="1"/>
  <c r="O4191" i="1"/>
  <c r="O4190" i="1"/>
  <c r="O4189" i="1"/>
  <c r="O4188" i="1"/>
  <c r="O4187" i="1"/>
  <c r="O4186" i="1"/>
  <c r="O4185" i="1"/>
  <c r="O4184" i="1"/>
  <c r="O4183" i="1"/>
  <c r="O4182" i="1"/>
  <c r="O4181" i="1"/>
  <c r="O4179" i="1"/>
  <c r="O4178" i="1"/>
  <c r="O4176" i="1"/>
  <c r="O4175" i="1"/>
  <c r="O4173" i="1"/>
  <c r="O4172" i="1"/>
  <c r="O4170" i="1"/>
  <c r="O4169" i="1"/>
  <c r="O4167" i="1"/>
  <c r="O4166" i="1"/>
  <c r="O4164" i="1"/>
  <c r="O4163" i="1"/>
  <c r="O4161" i="1"/>
  <c r="O4160" i="1"/>
  <c r="O4158" i="1"/>
  <c r="O4157" i="1"/>
  <c r="O4155" i="1"/>
  <c r="O4154" i="1"/>
  <c r="O4153" i="1"/>
  <c r="O4151" i="1"/>
  <c r="O4150" i="1"/>
  <c r="O4149" i="1"/>
  <c r="O4147" i="1"/>
  <c r="O4146" i="1"/>
  <c r="O4144" i="1"/>
  <c r="O4143" i="1"/>
  <c r="O4141" i="1"/>
  <c r="O4140" i="1"/>
  <c r="O4139" i="1"/>
  <c r="O4137" i="1"/>
  <c r="O4136" i="1"/>
  <c r="O4134" i="1"/>
  <c r="O4133" i="1"/>
  <c r="O4132" i="1"/>
  <c r="O4130" i="1"/>
  <c r="O4129" i="1"/>
  <c r="O4127" i="1"/>
  <c r="O4126" i="1"/>
  <c r="O4125" i="1"/>
  <c r="O4123" i="1"/>
  <c r="O4122" i="1"/>
  <c r="O4120" i="1"/>
  <c r="O4119" i="1"/>
  <c r="O4117" i="1"/>
  <c r="O4116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1" i="1"/>
  <c r="O4090" i="1"/>
  <c r="O4088" i="1"/>
  <c r="O4087" i="1"/>
  <c r="O4085" i="1"/>
  <c r="O4084" i="1"/>
  <c r="O4083" i="1"/>
  <c r="O4081" i="1"/>
  <c r="O4080" i="1"/>
  <c r="O4078" i="1"/>
  <c r="O4077" i="1"/>
  <c r="O4075" i="1"/>
  <c r="O4074" i="1"/>
  <c r="O4072" i="1"/>
  <c r="O4071" i="1"/>
  <c r="O4070" i="1"/>
  <c r="O4069" i="1"/>
  <c r="O4068" i="1"/>
  <c r="O4067" i="1"/>
  <c r="O4066" i="1"/>
  <c r="O4065" i="1"/>
  <c r="O4064" i="1"/>
  <c r="O4063" i="1"/>
  <c r="O4061" i="1"/>
  <c r="O4060" i="1"/>
  <c r="O4059" i="1"/>
  <c r="O4058" i="1"/>
  <c r="O4057" i="1"/>
  <c r="O4056" i="1"/>
  <c r="O4055" i="1"/>
  <c r="O4054" i="1"/>
  <c r="O4053" i="1"/>
  <c r="O4052" i="1"/>
  <c r="O4051" i="1"/>
  <c r="O4049" i="1"/>
  <c r="O4048" i="1"/>
  <c r="O4047" i="1"/>
  <c r="O4046" i="1"/>
  <c r="O4044" i="1"/>
  <c r="O4043" i="1"/>
  <c r="O4042" i="1"/>
  <c r="O4041" i="1"/>
  <c r="O4040" i="1"/>
  <c r="O4038" i="1"/>
  <c r="O4037" i="1"/>
  <c r="O4035" i="1"/>
  <c r="O4034" i="1"/>
  <c r="O4033" i="1"/>
  <c r="O4032" i="1"/>
  <c r="O4031" i="1"/>
  <c r="O4029" i="1"/>
  <c r="O4028" i="1"/>
  <c r="O4026" i="1"/>
  <c r="O4025" i="1"/>
  <c r="O4024" i="1"/>
  <c r="O4022" i="1"/>
  <c r="O4021" i="1"/>
  <c r="O4020" i="1"/>
  <c r="O4019" i="1"/>
  <c r="O4017" i="1"/>
  <c r="O4016" i="1"/>
  <c r="O4014" i="1"/>
  <c r="O4013" i="1"/>
  <c r="O4011" i="1"/>
  <c r="O4010" i="1"/>
  <c r="O4008" i="1"/>
  <c r="O4007" i="1"/>
  <c r="O4005" i="1"/>
  <c r="O4004" i="1"/>
  <c r="O4003" i="1"/>
  <c r="O4002" i="1"/>
  <c r="O4001" i="1"/>
  <c r="O4000" i="1"/>
  <c r="O3999" i="1"/>
  <c r="O3998" i="1"/>
  <c r="O3996" i="1"/>
  <c r="O3995" i="1"/>
  <c r="O3993" i="1"/>
  <c r="O3992" i="1"/>
  <c r="O3990" i="1"/>
  <c r="O3989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6" i="1"/>
  <c r="O3935" i="1"/>
  <c r="O3934" i="1"/>
  <c r="O3932" i="1"/>
  <c r="O3931" i="1"/>
  <c r="O3929" i="1"/>
  <c r="O3928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8" i="1"/>
  <c r="O3907" i="1"/>
  <c r="O3906" i="1"/>
  <c r="O3905" i="1"/>
  <c r="O3904" i="1"/>
  <c r="O3902" i="1"/>
  <c r="O3901" i="1"/>
  <c r="O3899" i="1"/>
  <c r="O3898" i="1"/>
  <c r="O3896" i="1"/>
  <c r="O3895" i="1"/>
  <c r="O3894" i="1"/>
  <c r="O3893" i="1"/>
  <c r="O3892" i="1"/>
  <c r="O3890" i="1"/>
  <c r="O3889" i="1"/>
  <c r="O3887" i="1"/>
  <c r="O3886" i="1"/>
  <c r="O3884" i="1"/>
  <c r="O3883" i="1"/>
  <c r="O3882" i="1"/>
  <c r="O3881" i="1"/>
  <c r="O3880" i="1"/>
  <c r="O3879" i="1"/>
  <c r="O3878" i="1"/>
  <c r="O3876" i="1"/>
  <c r="O3875" i="1"/>
  <c r="O3873" i="1"/>
  <c r="O3872" i="1"/>
  <c r="O3871" i="1"/>
  <c r="O3869" i="1"/>
  <c r="O3868" i="1"/>
  <c r="O3866" i="1"/>
  <c r="O3865" i="1"/>
  <c r="O3863" i="1"/>
  <c r="O3862" i="1"/>
  <c r="O3861" i="1"/>
  <c r="O3859" i="1"/>
  <c r="O3858" i="1"/>
  <c r="O3857" i="1"/>
  <c r="O3855" i="1"/>
  <c r="O3854" i="1"/>
  <c r="O3853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6" i="1"/>
  <c r="O3825" i="1"/>
  <c r="O3824" i="1"/>
  <c r="O3823" i="1"/>
  <c r="O3822" i="1"/>
  <c r="O3820" i="1"/>
  <c r="O3819" i="1"/>
  <c r="O3818" i="1"/>
  <c r="O3817" i="1"/>
  <c r="O3816" i="1"/>
  <c r="O3814" i="1"/>
  <c r="O3813" i="1"/>
  <c r="O3812" i="1"/>
  <c r="O3811" i="1"/>
  <c r="O3810" i="1"/>
  <c r="O3809" i="1"/>
  <c r="O3808" i="1"/>
  <c r="O3807" i="1"/>
  <c r="O3806" i="1"/>
  <c r="O3805" i="1"/>
  <c r="O3803" i="1"/>
  <c r="O3802" i="1"/>
  <c r="O3800" i="1"/>
  <c r="O3799" i="1"/>
  <c r="O3797" i="1"/>
  <c r="O3796" i="1"/>
  <c r="O3794" i="1"/>
  <c r="O3793" i="1"/>
  <c r="O3792" i="1"/>
  <c r="O3790" i="1"/>
  <c r="O3789" i="1"/>
  <c r="O3788" i="1"/>
  <c r="O3786" i="1"/>
  <c r="O3785" i="1"/>
  <c r="O3783" i="1"/>
  <c r="O3782" i="1"/>
  <c r="O3780" i="1"/>
  <c r="O3779" i="1"/>
  <c r="O3777" i="1"/>
  <c r="O3776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7" i="1"/>
  <c r="O3756" i="1"/>
  <c r="O3754" i="1"/>
  <c r="O3753" i="1"/>
  <c r="O3752" i="1"/>
  <c r="O3751" i="1"/>
  <c r="O3749" i="1"/>
  <c r="O3748" i="1"/>
  <c r="O3746" i="1"/>
  <c r="O3745" i="1"/>
  <c r="O3744" i="1"/>
  <c r="O3743" i="1"/>
  <c r="O3741" i="1"/>
  <c r="O3740" i="1"/>
  <c r="O3739" i="1"/>
  <c r="O3737" i="1"/>
  <c r="O3736" i="1"/>
  <c r="O3734" i="1"/>
  <c r="O3733" i="1"/>
  <c r="O3731" i="1"/>
  <c r="O3730" i="1"/>
  <c r="O3729" i="1"/>
  <c r="O3727" i="1"/>
  <c r="O3726" i="1"/>
  <c r="O3725" i="1"/>
  <c r="O3724" i="1"/>
  <c r="O3723" i="1"/>
  <c r="O3722" i="1"/>
  <c r="O3720" i="1"/>
  <c r="O3719" i="1"/>
  <c r="O3718" i="1"/>
  <c r="O3717" i="1"/>
  <c r="O3715" i="1"/>
  <c r="O3714" i="1"/>
  <c r="O3713" i="1"/>
  <c r="O3711" i="1"/>
  <c r="O3710" i="1"/>
  <c r="O3708" i="1"/>
  <c r="O3707" i="1"/>
  <c r="O3706" i="1"/>
  <c r="O3704" i="1"/>
  <c r="O3703" i="1"/>
  <c r="O3701" i="1"/>
  <c r="O3700" i="1"/>
  <c r="O3698" i="1"/>
  <c r="O3697" i="1"/>
  <c r="O3696" i="1"/>
  <c r="O3695" i="1"/>
  <c r="O3694" i="1"/>
  <c r="O3693" i="1"/>
  <c r="O3692" i="1"/>
  <c r="O3691" i="1"/>
  <c r="O3690" i="1"/>
  <c r="O3689" i="1"/>
  <c r="O3688" i="1"/>
  <c r="O3686" i="1"/>
  <c r="O3685" i="1"/>
  <c r="O3683" i="1"/>
  <c r="O3682" i="1"/>
  <c r="O3681" i="1"/>
  <c r="O3680" i="1"/>
  <c r="O3679" i="1"/>
  <c r="O3678" i="1"/>
  <c r="O3677" i="1"/>
  <c r="O3676" i="1"/>
  <c r="O3674" i="1"/>
  <c r="O3673" i="1"/>
  <c r="O3671" i="1"/>
  <c r="O3670" i="1"/>
  <c r="O3669" i="1"/>
  <c r="O3668" i="1"/>
  <c r="O3667" i="1"/>
  <c r="O3665" i="1"/>
  <c r="O3664" i="1"/>
  <c r="O3662" i="1"/>
  <c r="O3661" i="1"/>
  <c r="O3659" i="1"/>
  <c r="O3658" i="1"/>
  <c r="O3657" i="1"/>
  <c r="O3655" i="1"/>
  <c r="O3654" i="1"/>
  <c r="O3653" i="1"/>
  <c r="O3652" i="1"/>
  <c r="O3650" i="1"/>
  <c r="O3649" i="1"/>
  <c r="O3648" i="1"/>
  <c r="O3646" i="1"/>
  <c r="O3645" i="1"/>
  <c r="O3643" i="1"/>
  <c r="O3642" i="1"/>
  <c r="O3641" i="1"/>
  <c r="O3639" i="1"/>
  <c r="O3638" i="1"/>
  <c r="O3637" i="1"/>
  <c r="O3636" i="1"/>
  <c r="O3635" i="1"/>
  <c r="O3634" i="1"/>
  <c r="O3633" i="1"/>
  <c r="O3632" i="1"/>
  <c r="O3630" i="1"/>
  <c r="O3629" i="1"/>
  <c r="O3628" i="1"/>
  <c r="O3627" i="1"/>
  <c r="O3626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0" i="1"/>
  <c r="O3609" i="1"/>
  <c r="O3608" i="1"/>
  <c r="O3606" i="1"/>
  <c r="O3605" i="1"/>
  <c r="O3604" i="1"/>
  <c r="O3602" i="1"/>
  <c r="O3601" i="1"/>
  <c r="O3599" i="1"/>
  <c r="O3598" i="1"/>
  <c r="O3596" i="1"/>
  <c r="O3595" i="1"/>
  <c r="O3594" i="1"/>
  <c r="O3592" i="1"/>
  <c r="O3591" i="1"/>
  <c r="O3589" i="1"/>
  <c r="O3588" i="1"/>
  <c r="O3586" i="1"/>
  <c r="O3585" i="1"/>
  <c r="O3584" i="1"/>
  <c r="O3583" i="1"/>
  <c r="O3581" i="1"/>
  <c r="O3580" i="1"/>
  <c r="O3579" i="1"/>
  <c r="O3578" i="1"/>
  <c r="O3577" i="1"/>
  <c r="O3576" i="1"/>
  <c r="O3575" i="1"/>
  <c r="O3574" i="1"/>
  <c r="O3573" i="1"/>
  <c r="O3571" i="1"/>
  <c r="O3570" i="1"/>
  <c r="O3568" i="1"/>
  <c r="O3567" i="1"/>
  <c r="O3565" i="1"/>
  <c r="O3564" i="1"/>
  <c r="O3562" i="1"/>
  <c r="O3561" i="1"/>
  <c r="O3559" i="1"/>
  <c r="O3558" i="1"/>
  <c r="O3556" i="1"/>
  <c r="O3555" i="1"/>
  <c r="O3553" i="1"/>
  <c r="O3552" i="1"/>
  <c r="O3551" i="1"/>
  <c r="O3549" i="1"/>
  <c r="O3548" i="1"/>
  <c r="O3546" i="1"/>
  <c r="O3545" i="1"/>
  <c r="O3543" i="1"/>
  <c r="O3542" i="1"/>
  <c r="O3541" i="1"/>
  <c r="O3539" i="1"/>
  <c r="O3538" i="1"/>
  <c r="O3536" i="1"/>
  <c r="O3535" i="1"/>
  <c r="O3534" i="1"/>
  <c r="O3533" i="1"/>
  <c r="O3532" i="1"/>
  <c r="O3530" i="1"/>
  <c r="O3529" i="1"/>
  <c r="O3528" i="1"/>
  <c r="O3527" i="1"/>
  <c r="O3526" i="1"/>
  <c r="O3525" i="1"/>
  <c r="O3524" i="1"/>
  <c r="O3522" i="1"/>
  <c r="O3521" i="1"/>
  <c r="O3519" i="1"/>
  <c r="O3518" i="1"/>
  <c r="O3516" i="1"/>
  <c r="O3515" i="1"/>
  <c r="O3514" i="1"/>
  <c r="O3512" i="1"/>
  <c r="O3511" i="1"/>
  <c r="O3510" i="1"/>
  <c r="O3508" i="1"/>
  <c r="O3507" i="1"/>
  <c r="O3505" i="1"/>
  <c r="O3504" i="1"/>
  <c r="O3503" i="1"/>
  <c r="O3501" i="1"/>
  <c r="O3500" i="1"/>
  <c r="O3499" i="1"/>
  <c r="O3498" i="1"/>
  <c r="O3497" i="1"/>
  <c r="O3496" i="1"/>
  <c r="O3494" i="1"/>
  <c r="O3493" i="1"/>
  <c r="O3491" i="1"/>
  <c r="O3490" i="1"/>
  <c r="O3489" i="1"/>
  <c r="O3488" i="1"/>
  <c r="O3486" i="1"/>
  <c r="O3485" i="1"/>
  <c r="O3483" i="1"/>
  <c r="O3482" i="1"/>
  <c r="O3481" i="1"/>
  <c r="O3480" i="1"/>
  <c r="O3478" i="1"/>
  <c r="O3477" i="1"/>
  <c r="O3475" i="1"/>
  <c r="O3474" i="1"/>
  <c r="O3472" i="1"/>
  <c r="O3471" i="1"/>
  <c r="O3470" i="1"/>
  <c r="O3469" i="1"/>
  <c r="O3467" i="1"/>
  <c r="O3466" i="1"/>
  <c r="O3464" i="1"/>
  <c r="O3463" i="1"/>
  <c r="O3462" i="1"/>
  <c r="O3460" i="1"/>
  <c r="O3459" i="1"/>
  <c r="O3457" i="1"/>
  <c r="O3456" i="1"/>
  <c r="O3455" i="1"/>
  <c r="O3454" i="1"/>
  <c r="O3452" i="1"/>
  <c r="O3451" i="1"/>
  <c r="O3449" i="1"/>
  <c r="O3448" i="1"/>
  <c r="O3447" i="1"/>
  <c r="O3446" i="1"/>
  <c r="O3445" i="1"/>
  <c r="O3444" i="1"/>
  <c r="O3443" i="1"/>
  <c r="O3442" i="1"/>
  <c r="O3441" i="1"/>
  <c r="O3440" i="1"/>
  <c r="O3439" i="1"/>
  <c r="O3437" i="1"/>
  <c r="O3436" i="1"/>
  <c r="O3434" i="1"/>
  <c r="O3433" i="1"/>
  <c r="O3432" i="1"/>
  <c r="O3431" i="1"/>
  <c r="O3429" i="1"/>
  <c r="O3428" i="1"/>
  <c r="O3427" i="1"/>
  <c r="O3425" i="1"/>
  <c r="O3424" i="1"/>
  <c r="O3422" i="1"/>
  <c r="O3421" i="1"/>
  <c r="O3420" i="1"/>
  <c r="O3418" i="1"/>
  <c r="O3417" i="1"/>
  <c r="O3416" i="1"/>
  <c r="O3415" i="1"/>
  <c r="O3414" i="1"/>
  <c r="O3413" i="1"/>
  <c r="O3412" i="1"/>
  <c r="O3411" i="1"/>
  <c r="O3410" i="1"/>
  <c r="O3408" i="1"/>
  <c r="O3407" i="1"/>
  <c r="O3406" i="1"/>
  <c r="O3404" i="1"/>
  <c r="O3403" i="1"/>
  <c r="O3401" i="1"/>
  <c r="O3400" i="1"/>
  <c r="O3399" i="1"/>
  <c r="O3397" i="1"/>
  <c r="O3396" i="1"/>
  <c r="O3394" i="1"/>
  <c r="O3393" i="1"/>
  <c r="O3391" i="1"/>
  <c r="O3390" i="1"/>
  <c r="O3388" i="1"/>
  <c r="O3387" i="1"/>
  <c r="O3385" i="1"/>
  <c r="O3384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3" i="1"/>
  <c r="O3342" i="1"/>
  <c r="O3341" i="1"/>
  <c r="O3340" i="1"/>
  <c r="O3339" i="1"/>
  <c r="O3337" i="1"/>
  <c r="O3336" i="1"/>
  <c r="O3334" i="1"/>
  <c r="O3333" i="1"/>
  <c r="O3332" i="1"/>
  <c r="O3331" i="1"/>
  <c r="O3330" i="1"/>
  <c r="O3329" i="1"/>
  <c r="O3328" i="1"/>
  <c r="O3326" i="1"/>
  <c r="O3325" i="1"/>
  <c r="O3323" i="1"/>
  <c r="O3322" i="1"/>
  <c r="O3321" i="1"/>
  <c r="O3319" i="1"/>
  <c r="O3318" i="1"/>
  <c r="O3316" i="1"/>
  <c r="O3315" i="1"/>
  <c r="O3314" i="1"/>
  <c r="O3312" i="1"/>
  <c r="O3311" i="1"/>
  <c r="O3310" i="1"/>
  <c r="O3309" i="1"/>
  <c r="O3308" i="1"/>
  <c r="O3307" i="1"/>
  <c r="O3305" i="1"/>
  <c r="O3304" i="1"/>
  <c r="O3302" i="1"/>
  <c r="O3301" i="1"/>
  <c r="O3300" i="1"/>
  <c r="O3299" i="1"/>
  <c r="O3298" i="1"/>
  <c r="O3297" i="1"/>
  <c r="O3296" i="1"/>
  <c r="O3295" i="1"/>
  <c r="O3294" i="1"/>
  <c r="O3293" i="1"/>
  <c r="O3291" i="1"/>
  <c r="O3290" i="1"/>
  <c r="O3288" i="1"/>
  <c r="O3287" i="1"/>
  <c r="O3285" i="1"/>
  <c r="O3284" i="1"/>
  <c r="O3283" i="1"/>
  <c r="O3282" i="1"/>
  <c r="O3281" i="1"/>
  <c r="O3279" i="1"/>
  <c r="O3278" i="1"/>
  <c r="O3277" i="1"/>
  <c r="O3275" i="1"/>
  <c r="O3274" i="1"/>
  <c r="O3272" i="1"/>
  <c r="O3271" i="1"/>
  <c r="O3270" i="1"/>
  <c r="O3269" i="1"/>
  <c r="O3267" i="1"/>
  <c r="O3266" i="1"/>
  <c r="O3264" i="1"/>
  <c r="O3263" i="1"/>
  <c r="O3262" i="1"/>
  <c r="O3261" i="1"/>
  <c r="O3259" i="1"/>
  <c r="O3258" i="1"/>
  <c r="O3257" i="1"/>
  <c r="O3256" i="1"/>
  <c r="O3255" i="1"/>
  <c r="O3254" i="1"/>
  <c r="O3253" i="1"/>
  <c r="O3251" i="1"/>
  <c r="O3250" i="1"/>
  <c r="O3248" i="1"/>
  <c r="O3247" i="1"/>
  <c r="O3245" i="1"/>
  <c r="O3244" i="1"/>
  <c r="O3242" i="1"/>
  <c r="O3241" i="1"/>
  <c r="O3240" i="1"/>
  <c r="O3239" i="1"/>
  <c r="O3238" i="1"/>
  <c r="O3237" i="1"/>
  <c r="O3236" i="1"/>
  <c r="O3235" i="1"/>
  <c r="O3233" i="1"/>
  <c r="O3232" i="1"/>
  <c r="O3231" i="1"/>
  <c r="O3230" i="1"/>
  <c r="O3229" i="1"/>
  <c r="O3227" i="1"/>
  <c r="O3226" i="1"/>
  <c r="O3224" i="1"/>
  <c r="O3223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4" i="1"/>
  <c r="O3183" i="1"/>
  <c r="O3181" i="1"/>
  <c r="O3180" i="1"/>
  <c r="O3178" i="1"/>
  <c r="O3177" i="1"/>
  <c r="O3176" i="1"/>
  <c r="O3174" i="1"/>
  <c r="O3173" i="1"/>
  <c r="O3171" i="1"/>
  <c r="O3170" i="1"/>
  <c r="O3168" i="1"/>
  <c r="O3167" i="1"/>
  <c r="O3165" i="1"/>
  <c r="O3164" i="1"/>
  <c r="O3162" i="1"/>
  <c r="O3161" i="1"/>
  <c r="O3160" i="1"/>
  <c r="O3159" i="1"/>
  <c r="O3157" i="1"/>
  <c r="O3156" i="1"/>
  <c r="O3154" i="1"/>
  <c r="O3153" i="1"/>
  <c r="O3152" i="1"/>
  <c r="O3151" i="1"/>
  <c r="O3150" i="1"/>
  <c r="O3148" i="1"/>
  <c r="O3147" i="1"/>
  <c r="O3146" i="1"/>
  <c r="O3145" i="1"/>
  <c r="O3144" i="1"/>
  <c r="O3143" i="1"/>
  <c r="O3141" i="1"/>
  <c r="O3140" i="1"/>
  <c r="O3138" i="1"/>
  <c r="O3137" i="1"/>
  <c r="O3135" i="1"/>
  <c r="O3134" i="1"/>
  <c r="O3132" i="1"/>
  <c r="O3131" i="1"/>
  <c r="O3130" i="1"/>
  <c r="O3128" i="1"/>
  <c r="O3127" i="1"/>
  <c r="O3125" i="1"/>
  <c r="O3124" i="1"/>
  <c r="O3122" i="1"/>
  <c r="O3121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5" i="1"/>
  <c r="O3104" i="1"/>
  <c r="O3102" i="1"/>
  <c r="O3101" i="1"/>
  <c r="O3100" i="1"/>
  <c r="O3099" i="1"/>
  <c r="O3098" i="1"/>
  <c r="O3096" i="1"/>
  <c r="O3095" i="1"/>
  <c r="O3093" i="1"/>
  <c r="O3092" i="1"/>
  <c r="O3091" i="1"/>
  <c r="O3090" i="1"/>
  <c r="O3089" i="1"/>
  <c r="O3088" i="1"/>
  <c r="O3087" i="1"/>
  <c r="O3086" i="1"/>
  <c r="O3085" i="1"/>
  <c r="O3084" i="1"/>
  <c r="O3082" i="1"/>
  <c r="O3081" i="1"/>
  <c r="O3080" i="1"/>
  <c r="O3079" i="1"/>
  <c r="O3078" i="1"/>
  <c r="O3077" i="1"/>
  <c r="O3075" i="1"/>
  <c r="O3074" i="1"/>
  <c r="O3072" i="1"/>
  <c r="O3071" i="1"/>
  <c r="O3070" i="1"/>
  <c r="O3069" i="1"/>
  <c r="O3067" i="1"/>
  <c r="O3066" i="1"/>
  <c r="O3065" i="1"/>
  <c r="O3063" i="1"/>
  <c r="O3062" i="1"/>
  <c r="O3060" i="1"/>
  <c r="O3059" i="1"/>
  <c r="O3057" i="1"/>
  <c r="O3056" i="1"/>
  <c r="O3054" i="1"/>
  <c r="O3053" i="1"/>
  <c r="O3051" i="1"/>
  <c r="O3050" i="1"/>
  <c r="O3048" i="1"/>
  <c r="O3047" i="1"/>
  <c r="O3046" i="1"/>
  <c r="O3045" i="1"/>
  <c r="O3044" i="1"/>
  <c r="O3042" i="1"/>
  <c r="O3041" i="1"/>
  <c r="O3039" i="1"/>
  <c r="O3038" i="1"/>
  <c r="O3037" i="1"/>
  <c r="O3035" i="1"/>
  <c r="O3034" i="1"/>
  <c r="O3032" i="1"/>
  <c r="O3031" i="1"/>
  <c r="O3029" i="1"/>
  <c r="O3028" i="1"/>
  <c r="O3026" i="1"/>
  <c r="O3025" i="1"/>
  <c r="O3023" i="1"/>
  <c r="O3022" i="1"/>
  <c r="O3020" i="1"/>
  <c r="O3019" i="1"/>
  <c r="O3018" i="1"/>
  <c r="O3017" i="1"/>
  <c r="O3015" i="1"/>
  <c r="O3014" i="1"/>
  <c r="O3012" i="1"/>
  <c r="O3011" i="1"/>
  <c r="O3010" i="1"/>
  <c r="O3008" i="1"/>
  <c r="O3007" i="1"/>
  <c r="O3005" i="1"/>
  <c r="O3004" i="1"/>
  <c r="O3002" i="1"/>
  <c r="O3001" i="1"/>
  <c r="O3000" i="1"/>
  <c r="O2999" i="1"/>
  <c r="O2998" i="1"/>
  <c r="O2996" i="1"/>
  <c r="O2995" i="1"/>
  <c r="O2993" i="1"/>
  <c r="O2992" i="1"/>
  <c r="O2991" i="1"/>
  <c r="O2990" i="1"/>
  <c r="O2989" i="1"/>
  <c r="O2988" i="1"/>
  <c r="O2987" i="1"/>
  <c r="O2986" i="1"/>
  <c r="O2985" i="1"/>
  <c r="O2984" i="1"/>
  <c r="O2983" i="1"/>
  <c r="O2981" i="1"/>
  <c r="O2980" i="1"/>
  <c r="O2978" i="1"/>
  <c r="O2977" i="1"/>
  <c r="O2975" i="1"/>
  <c r="O2974" i="1"/>
  <c r="O2972" i="1"/>
  <c r="O2971" i="1"/>
  <c r="O2970" i="1"/>
  <c r="O2969" i="1"/>
  <c r="O2968" i="1"/>
  <c r="O2966" i="1"/>
  <c r="O2965" i="1"/>
  <c r="O2963" i="1"/>
  <c r="O2962" i="1"/>
  <c r="O2961" i="1"/>
  <c r="O2959" i="1"/>
  <c r="O2958" i="1"/>
  <c r="O2956" i="1"/>
  <c r="O2955" i="1"/>
  <c r="O2953" i="1"/>
  <c r="O2952" i="1"/>
  <c r="O2951" i="1"/>
  <c r="O2949" i="1"/>
  <c r="O2948" i="1"/>
  <c r="O2946" i="1"/>
  <c r="O2945" i="1"/>
  <c r="O2944" i="1"/>
  <c r="O2943" i="1"/>
  <c r="O2941" i="1"/>
  <c r="O2940" i="1"/>
  <c r="O2938" i="1"/>
  <c r="O2937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2" i="1"/>
  <c r="O2921" i="1"/>
  <c r="O2920" i="1"/>
  <c r="O2919" i="1"/>
  <c r="O2917" i="1"/>
  <c r="O2916" i="1"/>
  <c r="O2914" i="1"/>
  <c r="O2913" i="1"/>
  <c r="O2911" i="1"/>
  <c r="O2910" i="1"/>
  <c r="O2908" i="1"/>
  <c r="O2907" i="1"/>
  <c r="O2906" i="1"/>
  <c r="O2904" i="1"/>
  <c r="O2903" i="1"/>
  <c r="O2901" i="1"/>
  <c r="O2900" i="1"/>
  <c r="O2899" i="1"/>
  <c r="O2898" i="1"/>
  <c r="O2897" i="1"/>
  <c r="O2896" i="1"/>
  <c r="O2895" i="1"/>
  <c r="O2893" i="1"/>
  <c r="O2892" i="1"/>
  <c r="O2890" i="1"/>
  <c r="O2889" i="1"/>
  <c r="O2887" i="1"/>
  <c r="O2886" i="1"/>
  <c r="O2885" i="1"/>
  <c r="O2884" i="1"/>
  <c r="O2883" i="1"/>
  <c r="O2882" i="1"/>
  <c r="O2881" i="1"/>
  <c r="O2880" i="1"/>
  <c r="O2879" i="1"/>
  <c r="O2878" i="1"/>
  <c r="O2877" i="1"/>
  <c r="O2875" i="1"/>
  <c r="O2874" i="1"/>
  <c r="O2873" i="1"/>
  <c r="O2872" i="1"/>
  <c r="O2871" i="1"/>
  <c r="O2869" i="1"/>
  <c r="O2868" i="1"/>
  <c r="O2867" i="1"/>
  <c r="O2865" i="1"/>
  <c r="O2864" i="1"/>
  <c r="O2863" i="1"/>
  <c r="O2861" i="1"/>
  <c r="O2860" i="1"/>
  <c r="O2858" i="1"/>
  <c r="O2857" i="1"/>
  <c r="O2856" i="1"/>
  <c r="O2855" i="1"/>
  <c r="O2854" i="1"/>
  <c r="O2853" i="1"/>
  <c r="O2851" i="1"/>
  <c r="O2850" i="1"/>
  <c r="O2848" i="1"/>
  <c r="O2847" i="1"/>
  <c r="O2845" i="1"/>
  <c r="O2844" i="1"/>
  <c r="O2842" i="1"/>
  <c r="O2841" i="1"/>
  <c r="O2840" i="1"/>
  <c r="O2838" i="1"/>
  <c r="O2837" i="1"/>
  <c r="O2835" i="1"/>
  <c r="O2834" i="1"/>
  <c r="O2832" i="1"/>
  <c r="O2831" i="1"/>
  <c r="O2830" i="1"/>
  <c r="O2829" i="1"/>
  <c r="O2828" i="1"/>
  <c r="O2827" i="1"/>
  <c r="O2825" i="1"/>
  <c r="O2824" i="1"/>
  <c r="O2822" i="1"/>
  <c r="O2821" i="1"/>
  <c r="O2820" i="1"/>
  <c r="O2819" i="1"/>
  <c r="O2817" i="1"/>
  <c r="O2816" i="1"/>
  <c r="O2814" i="1"/>
  <c r="O2813" i="1"/>
  <c r="O2811" i="1"/>
  <c r="O2810" i="1"/>
  <c r="O2808" i="1"/>
  <c r="O2807" i="1"/>
  <c r="O2805" i="1"/>
  <c r="O2804" i="1"/>
  <c r="O2803" i="1"/>
  <c r="O2801" i="1"/>
  <c r="O2800" i="1"/>
  <c r="O2798" i="1"/>
  <c r="O2797" i="1"/>
  <c r="O2795" i="1"/>
  <c r="O2794" i="1"/>
  <c r="O2793" i="1"/>
  <c r="O2791" i="1"/>
  <c r="O2790" i="1"/>
  <c r="O2788" i="1"/>
  <c r="O2787" i="1"/>
  <c r="O2786" i="1"/>
  <c r="O2784" i="1"/>
  <c r="O2783" i="1"/>
  <c r="O2782" i="1"/>
  <c r="O2780" i="1"/>
  <c r="O2779" i="1"/>
  <c r="O2778" i="1"/>
  <c r="O2777" i="1"/>
  <c r="O2776" i="1"/>
  <c r="O2775" i="1"/>
  <c r="O2774" i="1"/>
  <c r="O2773" i="1"/>
  <c r="O2772" i="1"/>
  <c r="O2771" i="1"/>
  <c r="O2769" i="1"/>
  <c r="O2768" i="1"/>
  <c r="O2767" i="1"/>
  <c r="O2765" i="1"/>
  <c r="O2764" i="1"/>
  <c r="O2762" i="1"/>
  <c r="O2761" i="1"/>
  <c r="O2760" i="1"/>
  <c r="O2758" i="1"/>
  <c r="O2757" i="1"/>
  <c r="O2756" i="1"/>
  <c r="O2755" i="1"/>
  <c r="O2754" i="1"/>
  <c r="O2753" i="1"/>
  <c r="O2752" i="1"/>
  <c r="O2751" i="1"/>
  <c r="O2750" i="1"/>
  <c r="O2749" i="1"/>
  <c r="O2747" i="1"/>
  <c r="O2746" i="1"/>
  <c r="O2744" i="1"/>
  <c r="O2743" i="1"/>
  <c r="O2741" i="1"/>
  <c r="O2740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3" i="1"/>
  <c r="O2692" i="1"/>
  <c r="O2691" i="1"/>
  <c r="O2690" i="1"/>
  <c r="O2689" i="1"/>
  <c r="O2687" i="1"/>
  <c r="O2686" i="1"/>
  <c r="O2684" i="1"/>
  <c r="O2683" i="1"/>
  <c r="O2682" i="1"/>
  <c r="O2681" i="1"/>
  <c r="O2680" i="1"/>
  <c r="O2679" i="1"/>
  <c r="O2678" i="1"/>
  <c r="O2677" i="1"/>
  <c r="O2676" i="1"/>
  <c r="O2674" i="1"/>
  <c r="O2673" i="1"/>
  <c r="O2672" i="1"/>
  <c r="O2670" i="1"/>
  <c r="O2669" i="1"/>
  <c r="O2668" i="1"/>
  <c r="O2667" i="1"/>
  <c r="O2665" i="1"/>
  <c r="O2664" i="1"/>
  <c r="O2663" i="1"/>
  <c r="O2662" i="1"/>
  <c r="O2660" i="1"/>
  <c r="O2659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1" i="1"/>
  <c r="O2640" i="1"/>
  <c r="O2639" i="1"/>
  <c r="O2638" i="1"/>
  <c r="O2637" i="1"/>
  <c r="O2636" i="1"/>
  <c r="O2635" i="1"/>
  <c r="O2634" i="1"/>
  <c r="O2633" i="1"/>
  <c r="O2632" i="1"/>
  <c r="O2631" i="1"/>
  <c r="O2629" i="1"/>
  <c r="O2628" i="1"/>
  <c r="O2627" i="1"/>
  <c r="O2626" i="1"/>
  <c r="O2625" i="1"/>
  <c r="O2623" i="1"/>
  <c r="O2622" i="1"/>
  <c r="O2621" i="1"/>
  <c r="O2620" i="1"/>
  <c r="O2619" i="1"/>
  <c r="O2618" i="1"/>
  <c r="O2617" i="1"/>
  <c r="O2616" i="1"/>
  <c r="O2614" i="1"/>
  <c r="O2613" i="1"/>
  <c r="O2611" i="1"/>
  <c r="O2610" i="1"/>
  <c r="O2609" i="1"/>
  <c r="O2608" i="1"/>
  <c r="O2606" i="1"/>
  <c r="O2605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0" i="1"/>
  <c r="O2589" i="1"/>
  <c r="O2588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6" i="1"/>
  <c r="O2455" i="1"/>
  <c r="O2453" i="1"/>
  <c r="O2452" i="1"/>
  <c r="O2451" i="1"/>
  <c r="O2450" i="1"/>
  <c r="O2449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2" i="1"/>
  <c r="O2431" i="1"/>
  <c r="O2429" i="1"/>
  <c r="O2428" i="1"/>
  <c r="O2426" i="1"/>
  <c r="O2425" i="1"/>
  <c r="O2424" i="1"/>
  <c r="O2423" i="1"/>
  <c r="O2422" i="1"/>
  <c r="O2421" i="1"/>
  <c r="O2419" i="1"/>
  <c r="O2418" i="1"/>
  <c r="O2416" i="1"/>
  <c r="O2415" i="1"/>
  <c r="O2414" i="1"/>
  <c r="O2413" i="1"/>
  <c r="O2412" i="1"/>
  <c r="O2410" i="1"/>
  <c r="O2409" i="1"/>
  <c r="O2408" i="1"/>
  <c r="O2406" i="1"/>
  <c r="O2405" i="1"/>
  <c r="O2404" i="1"/>
  <c r="O2402" i="1"/>
  <c r="O2401" i="1"/>
  <c r="O2400" i="1"/>
  <c r="O2399" i="1"/>
  <c r="O2398" i="1"/>
  <c r="O2397" i="1"/>
  <c r="O2396" i="1"/>
  <c r="O2395" i="1"/>
  <c r="O2394" i="1"/>
  <c r="O2393" i="1"/>
  <c r="O2391" i="1"/>
  <c r="O2390" i="1"/>
  <c r="O2389" i="1"/>
  <c r="O2388" i="1"/>
  <c r="O2386" i="1"/>
  <c r="O2385" i="1"/>
  <c r="O2384" i="1"/>
  <c r="O2383" i="1"/>
  <c r="O2382" i="1"/>
  <c r="O2381" i="1"/>
  <c r="O2380" i="1"/>
  <c r="O2379" i="1"/>
  <c r="O2377" i="1"/>
  <c r="O2376" i="1"/>
  <c r="O2375" i="1"/>
  <c r="O2374" i="1"/>
  <c r="O2373" i="1"/>
  <c r="O2371" i="1"/>
  <c r="O2370" i="1"/>
  <c r="O2368" i="1"/>
  <c r="O2367" i="1"/>
  <c r="O2365" i="1"/>
  <c r="O2364" i="1"/>
  <c r="O2362" i="1"/>
  <c r="O2361" i="1"/>
  <c r="O2359" i="1"/>
  <c r="O2358" i="1"/>
  <c r="O2356" i="1"/>
  <c r="O2355" i="1"/>
  <c r="O2353" i="1"/>
  <c r="O2352" i="1"/>
  <c r="O2350" i="1"/>
  <c r="O2349" i="1"/>
  <c r="O2348" i="1"/>
  <c r="O2346" i="1"/>
  <c r="O2345" i="1"/>
  <c r="O2343" i="1"/>
  <c r="O2342" i="1"/>
  <c r="O2340" i="1"/>
  <c r="O2339" i="1"/>
  <c r="O2337" i="1"/>
  <c r="O2336" i="1"/>
  <c r="O2335" i="1"/>
  <c r="O2334" i="1"/>
  <c r="O2332" i="1"/>
  <c r="O2331" i="1"/>
  <c r="O2330" i="1"/>
  <c r="O2329" i="1"/>
  <c r="O2328" i="1"/>
  <c r="O2327" i="1"/>
  <c r="O2325" i="1"/>
  <c r="O2324" i="1"/>
  <c r="O2323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0" i="1"/>
  <c r="O2299" i="1"/>
  <c r="O2298" i="1"/>
  <c r="O2296" i="1"/>
  <c r="O2295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6" i="1"/>
  <c r="O2265" i="1"/>
  <c r="O2264" i="1"/>
  <c r="O2263" i="1"/>
  <c r="O2262" i="1"/>
  <c r="O2261" i="1"/>
  <c r="O2260" i="1"/>
  <c r="O2259" i="1"/>
  <c r="O2258" i="1"/>
  <c r="O2256" i="1"/>
  <c r="O2255" i="1"/>
  <c r="O2254" i="1"/>
  <c r="O2253" i="1"/>
  <c r="O2252" i="1"/>
  <c r="O2251" i="1"/>
  <c r="O2249" i="1"/>
  <c r="O2248" i="1"/>
  <c r="O2247" i="1"/>
  <c r="O2246" i="1"/>
  <c r="O2245" i="1"/>
  <c r="O2243" i="1"/>
  <c r="O2242" i="1"/>
  <c r="O2240" i="1"/>
  <c r="O2239" i="1"/>
  <c r="O2237" i="1"/>
  <c r="O2236" i="1"/>
  <c r="O2235" i="1"/>
  <c r="O2233" i="1"/>
  <c r="O2232" i="1"/>
  <c r="O2231" i="1"/>
  <c r="O2230" i="1"/>
  <c r="O2229" i="1"/>
  <c r="O2227" i="1"/>
  <c r="O2226" i="1"/>
  <c r="O2224" i="1"/>
  <c r="O2223" i="1"/>
  <c r="O2221" i="1"/>
  <c r="O2220" i="1"/>
  <c r="O2218" i="1"/>
  <c r="O2217" i="1"/>
  <c r="O2216" i="1"/>
  <c r="O2215" i="1"/>
  <c r="O2213" i="1"/>
  <c r="O2212" i="1"/>
  <c r="O2211" i="1"/>
  <c r="O2209" i="1"/>
  <c r="O2208" i="1"/>
  <c r="O2207" i="1"/>
  <c r="O2206" i="1"/>
  <c r="O2205" i="1"/>
  <c r="O2204" i="1"/>
  <c r="O2203" i="1"/>
  <c r="O2201" i="1"/>
  <c r="O2200" i="1"/>
  <c r="O2199" i="1"/>
  <c r="O2197" i="1"/>
  <c r="O2196" i="1"/>
  <c r="O2195" i="1"/>
  <c r="O2194" i="1"/>
  <c r="O2193" i="1"/>
  <c r="O2192" i="1"/>
  <c r="O2191" i="1"/>
  <c r="O2189" i="1"/>
  <c r="O2188" i="1"/>
  <c r="O2187" i="1"/>
  <c r="O2186" i="1"/>
  <c r="O2185" i="1"/>
  <c r="O2183" i="1"/>
  <c r="O2182" i="1"/>
  <c r="O2180" i="1"/>
  <c r="O2179" i="1"/>
  <c r="O2178" i="1"/>
  <c r="O2176" i="1"/>
  <c r="O2175" i="1"/>
  <c r="O2173" i="1"/>
  <c r="O2172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6" i="1"/>
  <c r="O2125" i="1"/>
  <c r="O2123" i="1"/>
  <c r="O2122" i="1"/>
  <c r="O2120" i="1"/>
  <c r="O2119" i="1"/>
  <c r="O2118" i="1"/>
  <c r="O2116" i="1"/>
  <c r="O2115" i="1"/>
  <c r="O2114" i="1"/>
  <c r="O2113" i="1"/>
  <c r="O2111" i="1"/>
  <c r="O2110" i="1"/>
  <c r="O2108" i="1"/>
  <c r="O2107" i="1"/>
  <c r="O2105" i="1"/>
  <c r="O2104" i="1"/>
  <c r="O2103" i="1"/>
  <c r="O2101" i="1"/>
  <c r="O2100" i="1"/>
  <c r="O2099" i="1"/>
  <c r="O2097" i="1"/>
  <c r="O2096" i="1"/>
  <c r="O2094" i="1"/>
  <c r="O2093" i="1"/>
  <c r="O2092" i="1"/>
  <c r="O2091" i="1"/>
  <c r="O2090" i="1"/>
  <c r="O2089" i="1"/>
  <c r="O2088" i="1"/>
  <c r="O2086" i="1"/>
  <c r="O2085" i="1"/>
  <c r="O2083" i="1"/>
  <c r="O2082" i="1"/>
  <c r="O2081" i="1"/>
  <c r="O2079" i="1"/>
  <c r="O2078" i="1"/>
  <c r="O2076" i="1"/>
  <c r="O2075" i="1"/>
  <c r="O2073" i="1"/>
  <c r="O2072" i="1"/>
  <c r="O2070" i="1"/>
  <c r="O2069" i="1"/>
  <c r="O2067" i="1"/>
  <c r="O2066" i="1"/>
  <c r="O2064" i="1"/>
  <c r="O2063" i="1"/>
  <c r="O2061" i="1"/>
  <c r="O2060" i="1"/>
  <c r="O2058" i="1"/>
  <c r="O2057" i="1"/>
  <c r="O2056" i="1"/>
  <c r="O2055" i="1"/>
  <c r="O2054" i="1"/>
  <c r="O2053" i="1"/>
  <c r="O2052" i="1"/>
  <c r="O2051" i="1"/>
  <c r="O2050" i="1"/>
  <c r="O2048" i="1"/>
  <c r="O2047" i="1"/>
  <c r="O2045" i="1"/>
  <c r="O2044" i="1"/>
  <c r="O2043" i="1"/>
  <c r="O2042" i="1"/>
  <c r="O2040" i="1"/>
  <c r="O2039" i="1"/>
  <c r="O2037" i="1"/>
  <c r="O2036" i="1"/>
  <c r="O2035" i="1"/>
  <c r="O2033" i="1"/>
  <c r="O2032" i="1"/>
  <c r="O2031" i="1"/>
  <c r="O2029" i="1"/>
  <c r="O2028" i="1"/>
  <c r="O2026" i="1"/>
  <c r="O2025" i="1"/>
  <c r="O2024" i="1"/>
  <c r="O2023" i="1"/>
  <c r="O2022" i="1"/>
  <c r="O2020" i="1"/>
  <c r="O2019" i="1"/>
  <c r="O2017" i="1"/>
  <c r="O2016" i="1"/>
  <c r="O2014" i="1"/>
  <c r="O2013" i="1"/>
  <c r="O2011" i="1"/>
  <c r="O2010" i="1"/>
  <c r="O2008" i="1"/>
  <c r="O2007" i="1"/>
  <c r="O2005" i="1"/>
  <c r="O2004" i="1"/>
  <c r="O2002" i="1"/>
  <c r="O2001" i="1"/>
  <c r="O1999" i="1"/>
  <c r="O1998" i="1"/>
  <c r="O1996" i="1"/>
  <c r="O1995" i="1"/>
  <c r="O1993" i="1"/>
  <c r="O1992" i="1"/>
  <c r="O1990" i="1"/>
  <c r="O1989" i="1"/>
  <c r="O1987" i="1"/>
  <c r="O1986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69" i="1"/>
  <c r="O1968" i="1"/>
  <c r="O1967" i="1"/>
  <c r="O1965" i="1"/>
  <c r="O1964" i="1"/>
  <c r="O1963" i="1"/>
  <c r="O1962" i="1"/>
  <c r="O1960" i="1"/>
  <c r="O1959" i="1"/>
  <c r="O1958" i="1"/>
  <c r="O1957" i="1"/>
  <c r="O1956" i="1"/>
  <c r="O1955" i="1"/>
  <c r="O1953" i="1"/>
  <c r="O1952" i="1"/>
  <c r="O1951" i="1"/>
  <c r="O1949" i="1"/>
  <c r="O1948" i="1"/>
  <c r="O1947" i="1"/>
  <c r="O1945" i="1"/>
  <c r="O1944" i="1"/>
  <c r="O1942" i="1"/>
  <c r="O1941" i="1"/>
  <c r="O1940" i="1"/>
  <c r="O1939" i="1"/>
  <c r="O1937" i="1"/>
  <c r="O1936" i="1"/>
  <c r="O1935" i="1"/>
  <c r="O1933" i="1"/>
  <c r="O1932" i="1"/>
  <c r="O1931" i="1"/>
  <c r="O1929" i="1"/>
  <c r="O1928" i="1"/>
  <c r="O1926" i="1"/>
  <c r="O1925" i="1"/>
  <c r="O1924" i="1"/>
  <c r="O1923" i="1"/>
  <c r="O1922" i="1"/>
  <c r="O1921" i="1"/>
  <c r="O1920" i="1"/>
  <c r="O1919" i="1"/>
  <c r="O1918" i="1"/>
  <c r="O1916" i="1"/>
  <c r="O1915" i="1"/>
  <c r="O1913" i="1"/>
  <c r="O1912" i="1"/>
  <c r="O1911" i="1"/>
  <c r="O1909" i="1"/>
  <c r="O1908" i="1"/>
  <c r="O1907" i="1"/>
  <c r="O1905" i="1"/>
  <c r="O1904" i="1"/>
  <c r="O1902" i="1"/>
  <c r="O1901" i="1"/>
  <c r="O1900" i="1"/>
  <c r="O1899" i="1"/>
  <c r="O1898" i="1"/>
  <c r="O1896" i="1"/>
  <c r="O1895" i="1"/>
  <c r="O1893" i="1"/>
  <c r="O1892" i="1"/>
  <c r="O1890" i="1"/>
  <c r="O1889" i="1"/>
  <c r="O1888" i="1"/>
  <c r="O1887" i="1"/>
  <c r="O1886" i="1"/>
  <c r="O1885" i="1"/>
  <c r="O1884" i="1"/>
  <c r="O1883" i="1"/>
  <c r="O1882" i="1"/>
  <c r="O1881" i="1"/>
  <c r="O1880" i="1"/>
  <c r="O1878" i="1"/>
  <c r="O1877" i="1"/>
  <c r="O1875" i="1"/>
  <c r="O1874" i="1"/>
  <c r="O1872" i="1"/>
  <c r="O1871" i="1"/>
  <c r="O1870" i="1"/>
  <c r="O1869" i="1"/>
  <c r="O1868" i="1"/>
  <c r="O1867" i="1"/>
  <c r="O1866" i="1"/>
  <c r="O1864" i="1"/>
  <c r="O1863" i="1"/>
  <c r="O1861" i="1"/>
  <c r="O1860" i="1"/>
  <c r="O1858" i="1"/>
  <c r="O1857" i="1"/>
  <c r="O1855" i="1"/>
  <c r="O1854" i="1"/>
  <c r="O1853" i="1"/>
  <c r="O1852" i="1"/>
  <c r="O1850" i="1"/>
  <c r="O1849" i="1"/>
  <c r="O1847" i="1"/>
  <c r="O1846" i="1"/>
  <c r="O1845" i="1"/>
  <c r="O1844" i="1"/>
  <c r="O1843" i="1"/>
  <c r="O1841" i="1"/>
  <c r="O1840" i="1"/>
  <c r="O1838" i="1"/>
  <c r="O1837" i="1"/>
  <c r="O1835" i="1"/>
  <c r="O1834" i="1"/>
  <c r="O1832" i="1"/>
  <c r="O1831" i="1"/>
  <c r="O1830" i="1"/>
  <c r="O1828" i="1"/>
  <c r="O1827" i="1"/>
  <c r="O1826" i="1"/>
  <c r="O1824" i="1"/>
  <c r="O1823" i="1"/>
  <c r="O1822" i="1"/>
  <c r="O1820" i="1"/>
  <c r="O1819" i="1"/>
  <c r="O1817" i="1"/>
  <c r="O1816" i="1"/>
  <c r="O1814" i="1"/>
  <c r="O1813" i="1"/>
  <c r="O1811" i="1"/>
  <c r="O1810" i="1"/>
  <c r="O1808" i="1"/>
  <c r="O1807" i="1"/>
  <c r="O1806" i="1"/>
  <c r="O1804" i="1"/>
  <c r="O1803" i="1"/>
  <c r="O1801" i="1"/>
  <c r="O1800" i="1"/>
  <c r="O1799" i="1"/>
  <c r="O1797" i="1"/>
  <c r="O1796" i="1"/>
  <c r="O1794" i="1"/>
  <c r="O1793" i="1"/>
  <c r="O1791" i="1"/>
  <c r="O1790" i="1"/>
  <c r="O1788" i="1"/>
  <c r="O1787" i="1"/>
  <c r="O1785" i="1"/>
  <c r="O1784" i="1"/>
  <c r="O1783" i="1"/>
  <c r="O1781" i="1"/>
  <c r="O1780" i="1"/>
  <c r="O1779" i="1"/>
  <c r="O1778" i="1"/>
  <c r="O1777" i="1"/>
  <c r="O1776" i="1"/>
  <c r="O1775" i="1"/>
  <c r="O1774" i="1"/>
  <c r="O1772" i="1"/>
  <c r="O1771" i="1"/>
  <c r="O1769" i="1"/>
  <c r="O1768" i="1"/>
  <c r="O1766" i="1"/>
  <c r="O1765" i="1"/>
  <c r="O1763" i="1"/>
  <c r="O1762" i="1"/>
  <c r="O1760" i="1"/>
  <c r="O1759" i="1"/>
  <c r="O1758" i="1"/>
  <c r="O1756" i="1"/>
  <c r="O1755" i="1"/>
  <c r="O1754" i="1"/>
  <c r="O1753" i="1"/>
  <c r="O1751" i="1"/>
  <c r="O1750" i="1"/>
  <c r="O1748" i="1"/>
  <c r="O1747" i="1"/>
  <c r="O1746" i="1"/>
  <c r="O1745" i="1"/>
  <c r="O1744" i="1"/>
  <c r="O1743" i="1"/>
  <c r="O1742" i="1"/>
  <c r="O1741" i="1"/>
  <c r="O1740" i="1"/>
  <c r="O1738" i="1"/>
  <c r="O1737" i="1"/>
  <c r="O1736" i="1"/>
  <c r="O1735" i="1"/>
  <c r="O1734" i="1"/>
  <c r="O1733" i="1"/>
  <c r="O1732" i="1"/>
  <c r="O1731" i="1"/>
  <c r="O1730" i="1"/>
  <c r="O1729" i="1"/>
  <c r="O1727" i="1"/>
  <c r="O1726" i="1"/>
  <c r="O1725" i="1"/>
  <c r="O1723" i="1"/>
  <c r="O1722" i="1"/>
  <c r="O1721" i="1"/>
  <c r="O1720" i="1"/>
  <c r="O1718" i="1"/>
  <c r="O1717" i="1"/>
  <c r="O1716" i="1"/>
  <c r="O1715" i="1"/>
  <c r="O1713" i="1"/>
  <c r="O1712" i="1"/>
  <c r="O1710" i="1"/>
  <c r="O1709" i="1"/>
  <c r="O1707" i="1"/>
  <c r="O1706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3" i="1"/>
  <c r="O1682" i="1"/>
  <c r="O1681" i="1"/>
  <c r="O1680" i="1"/>
  <c r="O1679" i="1"/>
  <c r="O1678" i="1"/>
  <c r="O1677" i="1"/>
  <c r="O1676" i="1"/>
  <c r="O1674" i="1"/>
  <c r="O1673" i="1"/>
  <c r="O1671" i="1"/>
  <c r="O1670" i="1"/>
  <c r="O1669" i="1"/>
  <c r="O1667" i="1"/>
  <c r="O1666" i="1"/>
  <c r="O1664" i="1"/>
  <c r="O1663" i="1"/>
  <c r="O1662" i="1"/>
  <c r="O1661" i="1"/>
  <c r="O1660" i="1"/>
  <c r="O1659" i="1"/>
  <c r="O1658" i="1"/>
  <c r="O1657" i="1"/>
  <c r="O1656" i="1"/>
  <c r="O1655" i="1"/>
  <c r="O1654" i="1"/>
  <c r="O1652" i="1"/>
  <c r="O1651" i="1"/>
  <c r="O1649" i="1"/>
  <c r="O1648" i="1"/>
  <c r="O1646" i="1"/>
  <c r="O1645" i="1"/>
  <c r="O1644" i="1"/>
  <c r="O1642" i="1"/>
  <c r="O1641" i="1"/>
  <c r="O1639" i="1"/>
  <c r="O1638" i="1"/>
  <c r="O1637" i="1"/>
  <c r="O1636" i="1"/>
  <c r="O1635" i="1"/>
  <c r="O1633" i="1"/>
  <c r="O1632" i="1"/>
  <c r="O1630" i="1"/>
  <c r="O1629" i="1"/>
  <c r="O1628" i="1"/>
  <c r="O1627" i="1"/>
  <c r="O1626" i="1"/>
  <c r="O1625" i="1"/>
  <c r="O1623" i="1"/>
  <c r="O1622" i="1"/>
  <c r="O1621" i="1"/>
  <c r="O1620" i="1"/>
  <c r="O1618" i="1"/>
  <c r="O1617" i="1"/>
  <c r="O1615" i="1"/>
  <c r="O1614" i="1"/>
  <c r="O1612" i="1"/>
  <c r="O1611" i="1"/>
  <c r="O1609" i="1"/>
  <c r="O1608" i="1"/>
  <c r="O1606" i="1"/>
  <c r="O1605" i="1"/>
  <c r="O1603" i="1"/>
  <c r="O1602" i="1"/>
  <c r="O1600" i="1"/>
  <c r="O1599" i="1"/>
  <c r="O1597" i="1"/>
  <c r="O1596" i="1"/>
  <c r="O1595" i="1"/>
  <c r="O1594" i="1"/>
  <c r="O1592" i="1"/>
  <c r="O1591" i="1"/>
  <c r="O1590" i="1"/>
  <c r="O1589" i="1"/>
  <c r="O1588" i="1"/>
  <c r="O1587" i="1"/>
  <c r="O1586" i="1"/>
  <c r="O1585" i="1"/>
  <c r="O1584" i="1"/>
  <c r="O1583" i="1"/>
  <c r="O1581" i="1"/>
  <c r="O1580" i="1"/>
  <c r="O1578" i="1"/>
  <c r="O1577" i="1"/>
  <c r="O1575" i="1"/>
  <c r="O1574" i="1"/>
  <c r="O1572" i="1"/>
  <c r="O1571" i="1"/>
  <c r="O1570" i="1"/>
  <c r="O1568" i="1"/>
  <c r="O1567" i="1"/>
  <c r="O1565" i="1"/>
  <c r="O1564" i="1"/>
  <c r="O1563" i="1"/>
  <c r="O1562" i="1"/>
  <c r="O1560" i="1"/>
  <c r="O1559" i="1"/>
  <c r="O1557" i="1"/>
  <c r="O1556" i="1"/>
  <c r="O1555" i="1"/>
  <c r="O1554" i="1"/>
  <c r="O1553" i="1"/>
  <c r="O1552" i="1"/>
  <c r="O1551" i="1"/>
  <c r="O1549" i="1"/>
  <c r="O1548" i="1"/>
  <c r="O1547" i="1"/>
  <c r="O1546" i="1"/>
  <c r="O1544" i="1"/>
  <c r="O1543" i="1"/>
  <c r="O1542" i="1"/>
  <c r="O1540" i="1"/>
  <c r="O1539" i="1"/>
  <c r="O1538" i="1"/>
  <c r="O1536" i="1"/>
  <c r="O1535" i="1"/>
  <c r="O1534" i="1"/>
  <c r="O1532" i="1"/>
  <c r="O1531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1" i="1"/>
  <c r="O1510" i="1"/>
  <c r="O1509" i="1"/>
  <c r="O1507" i="1"/>
  <c r="O1506" i="1"/>
  <c r="O1505" i="1"/>
  <c r="O1504" i="1"/>
  <c r="O1503" i="1"/>
  <c r="O1501" i="1"/>
  <c r="O1500" i="1"/>
  <c r="O1499" i="1"/>
  <c r="O1497" i="1"/>
  <c r="O1496" i="1"/>
  <c r="O1495" i="1"/>
  <c r="O1493" i="1"/>
  <c r="O1492" i="1"/>
  <c r="O1490" i="1"/>
  <c r="O1489" i="1"/>
  <c r="O1487" i="1"/>
  <c r="O1486" i="1"/>
  <c r="O1485" i="1"/>
  <c r="O1484" i="1"/>
  <c r="O1483" i="1"/>
  <c r="O1482" i="1"/>
  <c r="O1480" i="1"/>
  <c r="O1479" i="1"/>
  <c r="O1478" i="1"/>
  <c r="O1476" i="1"/>
  <c r="O1475" i="1"/>
  <c r="O1473" i="1"/>
  <c r="O1472" i="1"/>
  <c r="O1470" i="1"/>
  <c r="O1469" i="1"/>
  <c r="O1467" i="1"/>
  <c r="O1466" i="1"/>
  <c r="O1464" i="1"/>
  <c r="O1463" i="1"/>
  <c r="O1462" i="1"/>
  <c r="O1461" i="1"/>
  <c r="O1460" i="1"/>
  <c r="O1459" i="1"/>
  <c r="O1458" i="1"/>
  <c r="O1456" i="1"/>
  <c r="O1455" i="1"/>
  <c r="O1453" i="1"/>
  <c r="O1452" i="1"/>
  <c r="O1450" i="1"/>
  <c r="O1449" i="1"/>
  <c r="O1448" i="1"/>
  <c r="O1446" i="1"/>
  <c r="O1445" i="1"/>
  <c r="O1444" i="1"/>
  <c r="O1443" i="1"/>
  <c r="O1442" i="1"/>
  <c r="O1441" i="1"/>
  <c r="O1439" i="1"/>
  <c r="O1438" i="1"/>
  <c r="O1436" i="1"/>
  <c r="O1435" i="1"/>
  <c r="O1433" i="1"/>
  <c r="O1432" i="1"/>
  <c r="O1431" i="1"/>
  <c r="O1429" i="1"/>
  <c r="O1428" i="1"/>
  <c r="O1427" i="1"/>
  <c r="O1426" i="1"/>
  <c r="O1425" i="1"/>
  <c r="O1424" i="1"/>
  <c r="O1423" i="1"/>
  <c r="O1422" i="1"/>
  <c r="O1421" i="1"/>
  <c r="O1420" i="1"/>
  <c r="O1419" i="1"/>
  <c r="O1417" i="1"/>
  <c r="O1416" i="1"/>
  <c r="O1414" i="1"/>
  <c r="O1413" i="1"/>
  <c r="O1411" i="1"/>
  <c r="O1410" i="1"/>
  <c r="O1409" i="1"/>
  <c r="O1408" i="1"/>
  <c r="O1407" i="1"/>
  <c r="O1406" i="1"/>
  <c r="O1405" i="1"/>
  <c r="O1404" i="1"/>
  <c r="O1403" i="1"/>
  <c r="O1401" i="1"/>
  <c r="O1400" i="1"/>
  <c r="O1398" i="1"/>
  <c r="O1397" i="1"/>
  <c r="O1396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1" i="1"/>
  <c r="O1380" i="1"/>
  <c r="O1378" i="1"/>
  <c r="O1377" i="1"/>
  <c r="O1376" i="1"/>
  <c r="O1375" i="1"/>
  <c r="O1373" i="1"/>
  <c r="O1372" i="1"/>
  <c r="O1371" i="1"/>
  <c r="O1369" i="1"/>
  <c r="O1368" i="1"/>
  <c r="O1366" i="1"/>
  <c r="O1365" i="1"/>
  <c r="O1363" i="1"/>
  <c r="O1362" i="1"/>
  <c r="O1360" i="1"/>
  <c r="O1359" i="1"/>
  <c r="O1357" i="1"/>
  <c r="O1356" i="1"/>
  <c r="O1354" i="1"/>
  <c r="O1353" i="1"/>
  <c r="O1351" i="1"/>
  <c r="O1350" i="1"/>
  <c r="O1348" i="1"/>
  <c r="O1347" i="1"/>
  <c r="O1345" i="1"/>
  <c r="O1344" i="1"/>
  <c r="O1342" i="1"/>
  <c r="O1341" i="1"/>
  <c r="O1339" i="1"/>
  <c r="O1338" i="1"/>
  <c r="O1337" i="1"/>
  <c r="O1335" i="1"/>
  <c r="O1334" i="1"/>
  <c r="O1333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5" i="1"/>
  <c r="O1314" i="1"/>
  <c r="O1312" i="1"/>
  <c r="O1311" i="1"/>
  <c r="O1309" i="1"/>
  <c r="O1308" i="1"/>
  <c r="O1306" i="1"/>
  <c r="O1305" i="1"/>
  <c r="O1303" i="1"/>
  <c r="O1302" i="1"/>
  <c r="O1300" i="1"/>
  <c r="O1299" i="1"/>
  <c r="O1297" i="1"/>
  <c r="O1296" i="1"/>
  <c r="O1294" i="1"/>
  <c r="O1293" i="1"/>
  <c r="O1292" i="1"/>
  <c r="O1291" i="1"/>
  <c r="O1289" i="1"/>
  <c r="O1288" i="1"/>
  <c r="O1286" i="1"/>
  <c r="O1285" i="1"/>
  <c r="O1283" i="1"/>
  <c r="O1282" i="1"/>
  <c r="O1281" i="1"/>
  <c r="O1279" i="1"/>
  <c r="O1278" i="1"/>
  <c r="O1277" i="1"/>
  <c r="O1275" i="1"/>
  <c r="O1274" i="1"/>
  <c r="O1272" i="1"/>
  <c r="O1271" i="1"/>
  <c r="O1270" i="1"/>
  <c r="O1269" i="1"/>
  <c r="O1268" i="1"/>
  <c r="O1266" i="1"/>
  <c r="O1265" i="1"/>
  <c r="O1264" i="1"/>
  <c r="O1263" i="1"/>
  <c r="O1261" i="1"/>
  <c r="O1260" i="1"/>
  <c r="O1258" i="1"/>
  <c r="O1257" i="1"/>
  <c r="O1255" i="1"/>
  <c r="O1254" i="1"/>
  <c r="O1253" i="1"/>
  <c r="O1252" i="1"/>
  <c r="O1251" i="1"/>
  <c r="O1250" i="1"/>
  <c r="O1249" i="1"/>
  <c r="O1248" i="1"/>
  <c r="O1247" i="1"/>
  <c r="O1245" i="1"/>
  <c r="O1244" i="1"/>
  <c r="O1243" i="1"/>
  <c r="O1241" i="1"/>
  <c r="O1240" i="1"/>
  <c r="O1239" i="1"/>
  <c r="O1237" i="1"/>
  <c r="O1236" i="1"/>
  <c r="O1234" i="1"/>
  <c r="O1233" i="1"/>
  <c r="O1232" i="1"/>
  <c r="O1230" i="1"/>
  <c r="O1229" i="1"/>
  <c r="O1227" i="1"/>
  <c r="O1226" i="1"/>
  <c r="O1225" i="1"/>
  <c r="O1224" i="1"/>
  <c r="O1223" i="1"/>
  <c r="O1221" i="1"/>
  <c r="O1220" i="1"/>
  <c r="O1218" i="1"/>
  <c r="O1217" i="1"/>
  <c r="O1215" i="1"/>
  <c r="O1214" i="1"/>
  <c r="O1212" i="1"/>
  <c r="O1211" i="1"/>
  <c r="O1210" i="1"/>
  <c r="O1209" i="1"/>
  <c r="O1207" i="1"/>
  <c r="O1206" i="1"/>
  <c r="O1205" i="1"/>
  <c r="O1204" i="1"/>
  <c r="O1202" i="1"/>
  <c r="O1201" i="1"/>
  <c r="O1199" i="1"/>
  <c r="O1198" i="1"/>
  <c r="O1196" i="1"/>
  <c r="O1195" i="1"/>
  <c r="O1194" i="1"/>
  <c r="O1193" i="1"/>
  <c r="O1191" i="1"/>
  <c r="O1190" i="1"/>
  <c r="O1188" i="1"/>
  <c r="O1187" i="1"/>
  <c r="O1186" i="1"/>
  <c r="O1184" i="1"/>
  <c r="O1183" i="1"/>
  <c r="O1182" i="1"/>
  <c r="O1181" i="1"/>
  <c r="O1180" i="1"/>
  <c r="O1179" i="1"/>
  <c r="O1177" i="1"/>
  <c r="O1176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0" i="1"/>
  <c r="O1139" i="1"/>
  <c r="O1137" i="1"/>
  <c r="O1136" i="1"/>
  <c r="O1135" i="1"/>
  <c r="O1134" i="1"/>
  <c r="O1133" i="1"/>
  <c r="O1132" i="1"/>
  <c r="O1131" i="1"/>
  <c r="O1129" i="1"/>
  <c r="O1128" i="1"/>
  <c r="O1126" i="1"/>
  <c r="O1125" i="1"/>
  <c r="O1123" i="1"/>
  <c r="O1122" i="1"/>
  <c r="O1120" i="1"/>
  <c r="O1119" i="1"/>
  <c r="O1118" i="1"/>
  <c r="O1116" i="1"/>
  <c r="O1115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3" i="1"/>
  <c r="O1092" i="1"/>
  <c r="O1090" i="1"/>
  <c r="O1089" i="1"/>
  <c r="O1087" i="1"/>
  <c r="O1086" i="1"/>
  <c r="O1084" i="1"/>
  <c r="O1083" i="1"/>
  <c r="O1082" i="1"/>
  <c r="O1081" i="1"/>
  <c r="O1079" i="1"/>
  <c r="O1078" i="1"/>
  <c r="O1076" i="1"/>
  <c r="O1075" i="1"/>
  <c r="O1074" i="1"/>
  <c r="O1073" i="1"/>
  <c r="O1071" i="1"/>
  <c r="O1070" i="1"/>
  <c r="O1069" i="1"/>
  <c r="O1068" i="1"/>
  <c r="O1066" i="1"/>
  <c r="O1065" i="1"/>
  <c r="O1063" i="1"/>
  <c r="O1062" i="1"/>
  <c r="O1060" i="1"/>
  <c r="O1059" i="1"/>
  <c r="O1058" i="1"/>
  <c r="O1057" i="1"/>
  <c r="O1056" i="1"/>
  <c r="O1055" i="1"/>
  <c r="O1054" i="1"/>
  <c r="O1053" i="1"/>
  <c r="O1051" i="1"/>
  <c r="O1050" i="1"/>
  <c r="O1048" i="1"/>
  <c r="O1047" i="1"/>
  <c r="O1046" i="1"/>
  <c r="O1044" i="1"/>
  <c r="O1043" i="1"/>
  <c r="O1041" i="1"/>
  <c r="O1040" i="1"/>
  <c r="O1038" i="1"/>
  <c r="O1037" i="1"/>
  <c r="O1035" i="1"/>
  <c r="O1034" i="1"/>
  <c r="O1033" i="1"/>
  <c r="O1032" i="1"/>
  <c r="O1031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5" i="1"/>
  <c r="O1014" i="1"/>
  <c r="O1013" i="1"/>
  <c r="O1011" i="1"/>
  <c r="O1010" i="1"/>
  <c r="O1009" i="1"/>
  <c r="O1008" i="1"/>
  <c r="O1007" i="1"/>
  <c r="O1006" i="1"/>
  <c r="O1005" i="1"/>
  <c r="O1004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4" i="1"/>
  <c r="O903" i="1"/>
  <c r="O901" i="1"/>
  <c r="O900" i="1"/>
  <c r="O898" i="1"/>
  <c r="O897" i="1"/>
  <c r="O895" i="1"/>
  <c r="O894" i="1"/>
  <c r="O893" i="1"/>
  <c r="O892" i="1"/>
  <c r="O891" i="1"/>
  <c r="O890" i="1"/>
  <c r="O889" i="1"/>
  <c r="O887" i="1"/>
  <c r="O886" i="1"/>
  <c r="O885" i="1"/>
  <c r="O883" i="1"/>
  <c r="O882" i="1"/>
  <c r="O880" i="1"/>
  <c r="O879" i="1"/>
  <c r="O877" i="1"/>
  <c r="O876" i="1"/>
  <c r="O874" i="1"/>
  <c r="O873" i="1"/>
  <c r="O871" i="1"/>
  <c r="O870" i="1"/>
  <c r="O868" i="1"/>
  <c r="O867" i="1"/>
  <c r="O866" i="1"/>
  <c r="O864" i="1"/>
  <c r="O863" i="1"/>
  <c r="O862" i="1"/>
  <c r="O860" i="1"/>
  <c r="O859" i="1"/>
  <c r="O857" i="1"/>
  <c r="O856" i="1"/>
  <c r="O854" i="1"/>
  <c r="O853" i="1"/>
  <c r="O852" i="1"/>
  <c r="O850" i="1"/>
  <c r="O849" i="1"/>
  <c r="O848" i="1"/>
  <c r="O846" i="1"/>
  <c r="O845" i="1"/>
  <c r="O843" i="1"/>
  <c r="O842" i="1"/>
  <c r="O841" i="1"/>
  <c r="O839" i="1"/>
  <c r="O838" i="1"/>
  <c r="O836" i="1"/>
  <c r="O835" i="1"/>
  <c r="O833" i="1"/>
  <c r="O832" i="1"/>
  <c r="O831" i="1"/>
  <c r="O830" i="1"/>
  <c r="O829" i="1"/>
  <c r="O828" i="1"/>
  <c r="O827" i="1"/>
  <c r="O826" i="1"/>
  <c r="O824" i="1"/>
  <c r="O823" i="1"/>
  <c r="O822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0" i="1"/>
  <c r="O799" i="1"/>
  <c r="O797" i="1"/>
  <c r="O796" i="1"/>
  <c r="O794" i="1"/>
  <c r="O793" i="1"/>
  <c r="O791" i="1"/>
  <c r="O790" i="1"/>
  <c r="O789" i="1"/>
  <c r="O787" i="1"/>
  <c r="O786" i="1"/>
  <c r="O784" i="1"/>
  <c r="O783" i="1"/>
  <c r="O781" i="1"/>
  <c r="O780" i="1"/>
  <c r="O778" i="1"/>
  <c r="O777" i="1"/>
  <c r="O775" i="1"/>
  <c r="O774" i="1"/>
  <c r="O772" i="1"/>
  <c r="O771" i="1"/>
  <c r="O769" i="1"/>
  <c r="O768" i="1"/>
  <c r="O767" i="1"/>
  <c r="O766" i="1"/>
  <c r="O765" i="1"/>
  <c r="O763" i="1"/>
  <c r="O762" i="1"/>
  <c r="O760" i="1"/>
  <c r="O759" i="1"/>
  <c r="O758" i="1"/>
  <c r="O757" i="1"/>
  <c r="O756" i="1"/>
  <c r="O755" i="1"/>
  <c r="O754" i="1"/>
  <c r="O752" i="1"/>
  <c r="O751" i="1"/>
  <c r="O749" i="1"/>
  <c r="O748" i="1"/>
  <c r="O747" i="1"/>
  <c r="O745" i="1"/>
  <c r="O744" i="1"/>
  <c r="O743" i="1"/>
  <c r="O742" i="1"/>
  <c r="O740" i="1"/>
  <c r="O739" i="1"/>
  <c r="O738" i="1"/>
  <c r="O736" i="1"/>
  <c r="O735" i="1"/>
  <c r="O734" i="1"/>
  <c r="O732" i="1"/>
  <c r="O731" i="1"/>
  <c r="O729" i="1"/>
  <c r="O728" i="1"/>
  <c r="O727" i="1"/>
  <c r="O726" i="1"/>
  <c r="O725" i="1"/>
  <c r="O723" i="1"/>
  <c r="O722" i="1"/>
  <c r="O721" i="1"/>
  <c r="O720" i="1"/>
  <c r="O718" i="1"/>
  <c r="O717" i="1"/>
  <c r="O715" i="1"/>
  <c r="O714" i="1"/>
  <c r="O712" i="1"/>
  <c r="O711" i="1"/>
  <c r="O709" i="1"/>
  <c r="O708" i="1"/>
  <c r="O706" i="1"/>
  <c r="O705" i="1"/>
  <c r="O704" i="1"/>
  <c r="O703" i="1"/>
  <c r="O702" i="1"/>
  <c r="O700" i="1"/>
  <c r="O699" i="1"/>
  <c r="O697" i="1"/>
  <c r="O696" i="1"/>
  <c r="O695" i="1"/>
  <c r="O694" i="1"/>
  <c r="O693" i="1"/>
  <c r="O692" i="1"/>
  <c r="O690" i="1"/>
  <c r="O689" i="1"/>
  <c r="O687" i="1"/>
  <c r="O686" i="1"/>
  <c r="O684" i="1"/>
  <c r="O683" i="1"/>
  <c r="O681" i="1"/>
  <c r="O680" i="1"/>
  <c r="O678" i="1"/>
  <c r="O677" i="1"/>
  <c r="O675" i="1"/>
  <c r="O674" i="1"/>
  <c r="O673" i="1"/>
  <c r="O671" i="1"/>
  <c r="O670" i="1"/>
  <c r="O668" i="1"/>
  <c r="O667" i="1"/>
  <c r="O665" i="1"/>
  <c r="O664" i="1"/>
  <c r="O662" i="1"/>
  <c r="O661" i="1"/>
  <c r="O659" i="1"/>
  <c r="O658" i="1"/>
  <c r="O657" i="1"/>
  <c r="O655" i="1"/>
  <c r="O654" i="1"/>
  <c r="O652" i="1"/>
  <c r="O651" i="1"/>
  <c r="O649" i="1"/>
  <c r="O648" i="1"/>
  <c r="O646" i="1"/>
  <c r="O645" i="1"/>
  <c r="O643" i="1"/>
  <c r="O642" i="1"/>
  <c r="O640" i="1"/>
  <c r="O639" i="1"/>
  <c r="O638" i="1"/>
  <c r="O636" i="1"/>
  <c r="O635" i="1"/>
  <c r="O633" i="1"/>
  <c r="O632" i="1"/>
  <c r="O630" i="1"/>
  <c r="O629" i="1"/>
  <c r="O628" i="1"/>
  <c r="O626" i="1"/>
  <c r="O625" i="1"/>
  <c r="O624" i="1"/>
  <c r="O623" i="1"/>
  <c r="O622" i="1"/>
  <c r="O621" i="1"/>
  <c r="O620" i="1"/>
  <c r="O619" i="1"/>
  <c r="O618" i="1"/>
  <c r="O616" i="1"/>
  <c r="O615" i="1"/>
  <c r="O613" i="1"/>
  <c r="O612" i="1"/>
  <c r="O611" i="1"/>
  <c r="O609" i="1"/>
  <c r="O608" i="1"/>
  <c r="O606" i="1"/>
  <c r="O605" i="1"/>
  <c r="O603" i="1"/>
  <c r="O602" i="1"/>
  <c r="O600" i="1"/>
  <c r="O599" i="1"/>
  <c r="O598" i="1"/>
  <c r="O596" i="1"/>
  <c r="O595" i="1"/>
  <c r="O594" i="1"/>
  <c r="O593" i="1"/>
  <c r="O591" i="1"/>
  <c r="O590" i="1"/>
  <c r="O588" i="1"/>
  <c r="O587" i="1"/>
  <c r="O586" i="1"/>
  <c r="O585" i="1"/>
  <c r="O584" i="1"/>
  <c r="O583" i="1"/>
  <c r="O582" i="1"/>
  <c r="O580" i="1"/>
  <c r="O579" i="1"/>
  <c r="O578" i="1"/>
  <c r="O577" i="1"/>
  <c r="O576" i="1"/>
  <c r="O575" i="1"/>
  <c r="O574" i="1"/>
  <c r="O572" i="1"/>
  <c r="O571" i="1"/>
  <c r="O569" i="1"/>
  <c r="O568" i="1"/>
  <c r="O567" i="1"/>
  <c r="O566" i="1"/>
  <c r="O565" i="1"/>
  <c r="O564" i="1"/>
  <c r="O563" i="1"/>
  <c r="O561" i="1"/>
  <c r="O560" i="1"/>
  <c r="O558" i="1"/>
  <c r="O557" i="1"/>
  <c r="O556" i="1"/>
  <c r="O554" i="1"/>
  <c r="O553" i="1"/>
  <c r="O551" i="1"/>
  <c r="O550" i="1"/>
  <c r="O548" i="1"/>
  <c r="O547" i="1"/>
  <c r="O545" i="1"/>
  <c r="O544" i="1"/>
  <c r="O543" i="1"/>
  <c r="O541" i="1"/>
  <c r="O540" i="1"/>
  <c r="O539" i="1"/>
  <c r="O537" i="1"/>
  <c r="O536" i="1"/>
  <c r="O534" i="1"/>
  <c r="O533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3" i="1"/>
  <c r="O502" i="1"/>
  <c r="O500" i="1"/>
  <c r="O499" i="1"/>
  <c r="O498" i="1"/>
  <c r="O497" i="1"/>
  <c r="O495" i="1"/>
  <c r="O494" i="1"/>
  <c r="O493" i="1"/>
  <c r="O491" i="1"/>
  <c r="O490" i="1"/>
  <c r="O488" i="1"/>
  <c r="O487" i="1"/>
  <c r="O486" i="1"/>
  <c r="O484" i="1"/>
  <c r="O483" i="1"/>
  <c r="O482" i="1"/>
  <c r="O480" i="1"/>
  <c r="O479" i="1"/>
  <c r="O478" i="1"/>
  <c r="O476" i="1"/>
  <c r="O475" i="1"/>
  <c r="O474" i="1"/>
  <c r="O473" i="1"/>
  <c r="O471" i="1"/>
  <c r="O470" i="1"/>
  <c r="O468" i="1"/>
  <c r="O467" i="1"/>
  <c r="O465" i="1"/>
  <c r="O464" i="1"/>
  <c r="O462" i="1"/>
  <c r="O461" i="1"/>
  <c r="O459" i="1"/>
  <c r="O458" i="1"/>
  <c r="O456" i="1"/>
  <c r="O455" i="1"/>
  <c r="O453" i="1"/>
  <c r="O452" i="1"/>
  <c r="O451" i="1"/>
  <c r="O449" i="1"/>
  <c r="O448" i="1"/>
  <c r="O446" i="1"/>
  <c r="O445" i="1"/>
  <c r="O444" i="1"/>
  <c r="O443" i="1"/>
  <c r="O441" i="1"/>
  <c r="O440" i="1"/>
  <c r="O438" i="1"/>
  <c r="O437" i="1"/>
  <c r="O435" i="1"/>
  <c r="O434" i="1"/>
  <c r="O433" i="1"/>
  <c r="O431" i="1"/>
  <c r="O430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6" i="1"/>
  <c r="O405" i="1"/>
  <c r="O403" i="1"/>
  <c r="O402" i="1"/>
  <c r="O401" i="1"/>
  <c r="O399" i="1"/>
  <c r="O398" i="1"/>
  <c r="O396" i="1"/>
  <c r="O395" i="1"/>
  <c r="O393" i="1"/>
  <c r="O392" i="1"/>
  <c r="O390" i="1"/>
  <c r="O389" i="1"/>
  <c r="O388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2" i="1"/>
  <c r="O371" i="1"/>
  <c r="O370" i="1"/>
  <c r="O369" i="1"/>
  <c r="O368" i="1"/>
  <c r="O367" i="1"/>
  <c r="O365" i="1"/>
  <c r="O364" i="1"/>
  <c r="O362" i="1"/>
  <c r="O361" i="1"/>
  <c r="O360" i="1"/>
  <c r="O358" i="1"/>
  <c r="O357" i="1"/>
  <c r="O356" i="1"/>
  <c r="O354" i="1"/>
  <c r="O353" i="1"/>
  <c r="O351" i="1"/>
  <c r="O350" i="1"/>
  <c r="O349" i="1"/>
  <c r="O348" i="1"/>
  <c r="O346" i="1"/>
  <c r="O345" i="1"/>
  <c r="O344" i="1"/>
  <c r="O342" i="1"/>
  <c r="O341" i="1"/>
  <c r="O339" i="1"/>
  <c r="O338" i="1"/>
  <c r="O336" i="1"/>
  <c r="O335" i="1"/>
  <c r="O333" i="1"/>
  <c r="O332" i="1"/>
  <c r="O331" i="1"/>
  <c r="O330" i="1"/>
  <c r="O328" i="1"/>
  <c r="O327" i="1"/>
  <c r="O325" i="1"/>
  <c r="O324" i="1"/>
  <c r="O322" i="1"/>
  <c r="O321" i="1"/>
  <c r="O320" i="1"/>
  <c r="O318" i="1"/>
  <c r="O317" i="1"/>
  <c r="O316" i="1"/>
  <c r="O314" i="1"/>
  <c r="O313" i="1"/>
  <c r="O311" i="1"/>
  <c r="O310" i="1"/>
  <c r="O309" i="1"/>
  <c r="O308" i="1"/>
  <c r="O306" i="1"/>
  <c r="O305" i="1"/>
  <c r="O303" i="1"/>
  <c r="O302" i="1"/>
  <c r="O300" i="1"/>
  <c r="O299" i="1"/>
  <c r="O298" i="1"/>
  <c r="O297" i="1"/>
  <c r="O296" i="1"/>
  <c r="O295" i="1"/>
  <c r="O294" i="1"/>
  <c r="O293" i="1"/>
  <c r="O292" i="1"/>
  <c r="O290" i="1"/>
  <c r="O289" i="1"/>
  <c r="O287" i="1"/>
  <c r="O286" i="1"/>
  <c r="O284" i="1"/>
  <c r="O283" i="1"/>
  <c r="O282" i="1"/>
  <c r="O281" i="1"/>
  <c r="O280" i="1"/>
  <c r="O278" i="1"/>
  <c r="O277" i="1"/>
  <c r="O276" i="1"/>
  <c r="O274" i="1"/>
  <c r="O273" i="1"/>
  <c r="O271" i="1"/>
  <c r="O270" i="1"/>
  <c r="O269" i="1"/>
  <c r="O268" i="1"/>
  <c r="O266" i="1"/>
  <c r="O265" i="1"/>
  <c r="O264" i="1"/>
  <c r="O263" i="1"/>
  <c r="O262" i="1"/>
  <c r="O260" i="1"/>
  <c r="O259" i="1"/>
  <c r="O257" i="1"/>
  <c r="O256" i="1"/>
  <c r="O255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5" i="1"/>
  <c r="O234" i="1"/>
  <c r="O232" i="1"/>
  <c r="O231" i="1"/>
  <c r="O229" i="1"/>
  <c r="O228" i="1"/>
  <c r="O226" i="1"/>
  <c r="O225" i="1"/>
  <c r="O223" i="1"/>
  <c r="O222" i="1"/>
  <c r="O221" i="1"/>
  <c r="O220" i="1"/>
  <c r="O219" i="1"/>
  <c r="O218" i="1"/>
  <c r="O217" i="1"/>
  <c r="O215" i="1"/>
  <c r="O214" i="1"/>
  <c r="O212" i="1"/>
  <c r="O211" i="1"/>
  <c r="O209" i="1"/>
  <c r="O208" i="1"/>
  <c r="O207" i="1"/>
  <c r="O206" i="1"/>
  <c r="O205" i="1"/>
  <c r="O203" i="1"/>
  <c r="O202" i="1"/>
  <c r="O201" i="1"/>
  <c r="O200" i="1"/>
  <c r="O198" i="1"/>
  <c r="O197" i="1"/>
  <c r="O196" i="1"/>
  <c r="O194" i="1"/>
  <c r="O193" i="1"/>
  <c r="O191" i="1"/>
  <c r="O190" i="1"/>
  <c r="O188" i="1"/>
  <c r="O187" i="1"/>
  <c r="O185" i="1"/>
  <c r="O184" i="1"/>
  <c r="O183" i="1"/>
  <c r="O182" i="1"/>
  <c r="O180" i="1"/>
  <c r="O179" i="1"/>
  <c r="O177" i="1"/>
  <c r="O176" i="1"/>
  <c r="O175" i="1"/>
  <c r="O174" i="1"/>
  <c r="O172" i="1"/>
  <c r="O171" i="1"/>
  <c r="O170" i="1"/>
  <c r="O169" i="1"/>
  <c r="O167" i="1"/>
  <c r="O166" i="1"/>
  <c r="O164" i="1"/>
  <c r="O163" i="1"/>
  <c r="O162" i="1"/>
  <c r="O161" i="1"/>
  <c r="O160" i="1"/>
  <c r="O159" i="1"/>
  <c r="O157" i="1"/>
  <c r="O156" i="1"/>
  <c r="O155" i="1"/>
  <c r="O154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39" i="1"/>
  <c r="O138" i="1"/>
  <c r="O136" i="1"/>
  <c r="O135" i="1"/>
  <c r="O133" i="1"/>
  <c r="O132" i="1"/>
  <c r="O131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3" i="1"/>
  <c r="O112" i="1"/>
  <c r="O111" i="1"/>
  <c r="O109" i="1"/>
  <c r="O108" i="1"/>
  <c r="O106" i="1"/>
  <c r="O105" i="1"/>
  <c r="O103" i="1"/>
  <c r="O102" i="1"/>
  <c r="O100" i="1"/>
  <c r="O99" i="1"/>
  <c r="O98" i="1"/>
  <c r="O97" i="1"/>
  <c r="O96" i="1"/>
  <c r="O95" i="1"/>
  <c r="O94" i="1"/>
  <c r="O93" i="1"/>
  <c r="O92" i="1"/>
  <c r="O91" i="1"/>
  <c r="O90" i="1"/>
  <c r="O89" i="1"/>
  <c r="O87" i="1"/>
  <c r="O86" i="1"/>
  <c r="O84" i="1"/>
  <c r="O83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4" i="1"/>
  <c r="O63" i="1"/>
  <c r="O62" i="1"/>
  <c r="O60" i="1"/>
  <c r="O59" i="1"/>
  <c r="O58" i="1"/>
  <c r="O57" i="1"/>
  <c r="O56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0" i="1"/>
  <c r="O19" i="1"/>
  <c r="O17" i="1"/>
  <c r="O16" i="1"/>
  <c r="O14" i="1"/>
  <c r="O13" i="1"/>
  <c r="O12" i="1"/>
  <c r="O10" i="1"/>
  <c r="O9" i="1"/>
  <c r="O7" i="1"/>
  <c r="O6" i="1"/>
</calcChain>
</file>

<file path=xl/sharedStrings.xml><?xml version="1.0" encoding="utf-8"?>
<sst xmlns="http://schemas.openxmlformats.org/spreadsheetml/2006/main" count="26673" uniqueCount="4941">
  <si>
    <t>Created by ./collect_TTA_in_clusters.pl  (see file: Collection_TTA_codons_in_clusters.csv)</t>
  </si>
  <si>
    <t>For Bacteria and Phages</t>
  </si>
  <si>
    <t>gtype</t>
  </si>
  <si>
    <t>cofID</t>
  </si>
  <si>
    <t>TTA-gene:
FS_id / WOFS_id</t>
  </si>
  <si>
    <t>Frshift point (FS)</t>
  </si>
  <si>
    <t>TTA-codon point(;s)</t>
  </si>
  <si>
    <t>average distance FS-to-TTA</t>
  </si>
  <si>
    <t>STOP</t>
  </si>
  <si>
    <t>strand</t>
  </si>
  <si>
    <t>refseq</t>
  </si>
  <si>
    <t>organism</t>
  </si>
  <si>
    <t>link</t>
  </si>
  <si>
    <t>#_tree_plot</t>
  </si>
  <si>
    <t>Protein ACC ID:</t>
  </si>
  <si>
    <t>Product</t>
  </si>
  <si>
    <t>aligned</t>
  </si>
  <si>
    <t>absolute</t>
  </si>
  <si>
    <t>#</t>
  </si>
  <si>
    <t>codon</t>
  </si>
  <si>
    <t>point</t>
  </si>
  <si>
    <t>WOFS</t>
  </si>
  <si>
    <t>#----------- Cluster: 1001055 (amount of orthologs = 2)</t>
  </si>
  <si>
    <t>?&lt;end&gt;</t>
  </si>
  <si>
    <t>NZ_JOFU01000020.1</t>
  </si>
  <si>
    <t>Streptomyces griseofuscus</t>
  </si>
  <si>
    <t>46;67</t>
  </si>
  <si>
    <t>NZ_JUJA01000034.1</t>
  </si>
  <si>
    <t>Streptomyces kebangsaanensis</t>
  </si>
  <si>
    <t>#----------- Cluster: 1000851 (amount of orthologs = 2)</t>
  </si>
  <si>
    <t>NZ_KB913030.1</t>
  </si>
  <si>
    <t>Streptomyces purpureus KA281</t>
  </si>
  <si>
    <t>NZ_CP017248.1</t>
  </si>
  <si>
    <t>Streptomyces puniciscabiei</t>
  </si>
  <si>
    <t>#----------- Cluster: 1000612 (amount of orthologs = 3)</t>
  </si>
  <si>
    <t>NZ_JH725387.1</t>
  </si>
  <si>
    <t>Streptomyces auratus AGR0001</t>
  </si>
  <si>
    <t>NZ_CP011533.1</t>
  </si>
  <si>
    <t>Streptomyces noursei ATCC 11455</t>
  </si>
  <si>
    <t>NZ_CP017157.1</t>
  </si>
  <si>
    <t>Streptomyces lydicus</t>
  </si>
  <si>
    <t>#----------- Cluster: 1001501 (amount of orthologs = 2)</t>
  </si>
  <si>
    <t>1984;2089</t>
  </si>
  <si>
    <t>1432;1537</t>
  </si>
  <si>
    <t>NZ_FNIE01000002.1</t>
  </si>
  <si>
    <t>Streptomyces guanduensis</t>
  </si>
  <si>
    <t>NZ_FOLM01000015.1</t>
  </si>
  <si>
    <t>Streptomyces aidingensis</t>
  </si>
  <si>
    <t>#----------- Cluster: 1000596 (amount of orthologs = 2)</t>
  </si>
  <si>
    <t>13;94</t>
  </si>
  <si>
    <t>NZ_AEJB01000421.1</t>
  </si>
  <si>
    <t>Streptomyces turgidiscabies Car8</t>
  </si>
  <si>
    <t>#----------- Cluster: 1000167 (amount of orthologs = 33)</t>
  </si>
  <si>
    <t>NC_003155.5</t>
  </si>
  <si>
    <t>Streptomyces avermitilis MA-4680 = NBRC 14893</t>
  </si>
  <si>
    <t>NC_010572.1</t>
  </si>
  <si>
    <t>Streptomyces griseus subsp. griseus NBRC 13350</t>
  </si>
  <si>
    <t>NC_013929.1</t>
  </si>
  <si>
    <t>Streptomyces scabiei 87.22</t>
  </si>
  <si>
    <t>NC_016582.1</t>
  </si>
  <si>
    <t>Streptomyces bingchenggensis BCW-1</t>
  </si>
  <si>
    <t>NZ_DS999641.1</t>
  </si>
  <si>
    <t>Streptomyces viridosporus ATCC 14672</t>
  </si>
  <si>
    <t>NZ_AEYX01000046.1</t>
  </si>
  <si>
    <t>Streptomyces griseoaurantiacus M045</t>
  </si>
  <si>
    <t>NC_020504.1</t>
  </si>
  <si>
    <t>Streptomyces davaonensis JCM 4913</t>
  </si>
  <si>
    <t>NZ_BARG01000038.1</t>
  </si>
  <si>
    <t>Streptomyces hokutonensis</t>
  </si>
  <si>
    <t>NZ_KB904702.1</t>
  </si>
  <si>
    <t>Streptomyces vitaminophilus DSM 41686</t>
  </si>
  <si>
    <t>NZ_KB905816.1</t>
  </si>
  <si>
    <t>Streptomyces sulphureus DSM 40104</t>
  </si>
  <si>
    <t>NZ_JOFU01000031.1</t>
  </si>
  <si>
    <t>NZ_JOII01000007.1</t>
  </si>
  <si>
    <t>Streptomyces albidoflavus</t>
  </si>
  <si>
    <t>NZ_JNXD01000010.1</t>
  </si>
  <si>
    <t>Streptomyces flavovariabilis</t>
  </si>
  <si>
    <t>NZ_CP009313.1</t>
  </si>
  <si>
    <t>Streptomyces nodosus</t>
  </si>
  <si>
    <t>NZ_LN831790.1</t>
  </si>
  <si>
    <t>Streptomyces leeuwenhoekii</t>
  </si>
  <si>
    <t>NZ_DF968256.1</t>
  </si>
  <si>
    <t>Streptomyces azureus</t>
  </si>
  <si>
    <t>NZ_LIQX01000046.1</t>
  </si>
  <si>
    <t>Streptomyces ossamyceticus</t>
  </si>
  <si>
    <t>NZ_LIQS01000155.1</t>
  </si>
  <si>
    <t>Streptomyces griseoruber</t>
  </si>
  <si>
    <t>NZ_LIRG01000162.1</t>
  </si>
  <si>
    <t>Streptomyces prasinopilosus</t>
  </si>
  <si>
    <t>NZ_KQ948314.1</t>
  </si>
  <si>
    <t>Streptomyces canus</t>
  </si>
  <si>
    <t>208;700</t>
  </si>
  <si>
    <t>205;655</t>
  </si>
  <si>
    <t>NZ_JYIJ01000019.1</t>
  </si>
  <si>
    <t>Streptomyces thermoautotrophicus</t>
  </si>
  <si>
    <t>NZ_LOHS01000116.1</t>
  </si>
  <si>
    <t>Streptomyces jeddahensis</t>
  </si>
  <si>
    <t>NZ_CP016438.1</t>
  </si>
  <si>
    <t>Streptomyces lincolnensis</t>
  </si>
  <si>
    <t>NZ_JUJA01000162.1</t>
  </si>
  <si>
    <t>NZ_CP019458.1</t>
  </si>
  <si>
    <t>Streptomyces autolyticus</t>
  </si>
  <si>
    <t>NZ_MVFC01000016.1</t>
  </si>
  <si>
    <t>Streptomyces tsukubensis</t>
  </si>
  <si>
    <t>NZ_CP020042.1</t>
  </si>
  <si>
    <t>Streptomyces katrae</t>
  </si>
  <si>
    <t>NZ_MUMD01000377.1</t>
  </si>
  <si>
    <t>Streptomyces rochei</t>
  </si>
  <si>
    <t>NZ_MUME01000275.1</t>
  </si>
  <si>
    <t>Streptomyces thermovulgaris</t>
  </si>
  <si>
    <t>NZ_CP021744.1</t>
  </si>
  <si>
    <t>Streptomyces albireticuli</t>
  </si>
  <si>
    <t>NZ_FNIE01000005.1</t>
  </si>
  <si>
    <t>NZ_FODD01000003.1</t>
  </si>
  <si>
    <t>Streptomyces rubidus</t>
  </si>
  <si>
    <t>#----------- Cluster: 1000662 (amount of orthologs = 5)</t>
  </si>
  <si>
    <t>NZ_AEJB01000490.1</t>
  </si>
  <si>
    <t>NZ_LIPP01000368.1</t>
  </si>
  <si>
    <t>Streptomyces aurantiacus</t>
  </si>
  <si>
    <t>NZ_KQ948310.1</t>
  </si>
  <si>
    <t>NZ_CP016279.1</t>
  </si>
  <si>
    <t>Streptomyces griseochromogenes</t>
  </si>
  <si>
    <t>#----------- Cluster: 1001331 (amount of orthologs = 3)</t>
  </si>
  <si>
    <t>NZ_KQ948455.1</t>
  </si>
  <si>
    <t>Streptomyces olivochromogenes</t>
  </si>
  <si>
    <t>NZ_CP021748.1</t>
  </si>
  <si>
    <t>Streptomyces alboflavus</t>
  </si>
  <si>
    <t>NZ_FNHI01000040.1</t>
  </si>
  <si>
    <t>Streptomyces wuyuanensis</t>
  </si>
  <si>
    <t>#----------- Cluster: 1001439 (amount of orthologs = 16)</t>
  </si>
  <si>
    <t>487;1411;1672;3184</t>
  </si>
  <si>
    <t>37;856;1057;2365</t>
  </si>
  <si>
    <t>NZ_AJSZ01000222.1</t>
  </si>
  <si>
    <t>Streptomyces tsukubensis NRRL18488</t>
  </si>
  <si>
    <t>NZ_AORZ01000123.1</t>
  </si>
  <si>
    <t>Streptomyces mobaraensis NBRC 13819 = DSM 40847</t>
  </si>
  <si>
    <t>NZ_KB889718.1</t>
  </si>
  <si>
    <t>Streptomyces scabrisporus DSM 41855</t>
  </si>
  <si>
    <t>NZ_JNXG01000020.1</t>
  </si>
  <si>
    <t>Streptomyces atroolivaceus</t>
  </si>
  <si>
    <t>NZ_JOEI01000002.1</t>
  </si>
  <si>
    <t>Streptomyces scopuliridis RB72</t>
  </si>
  <si>
    <t>112;616</t>
  </si>
  <si>
    <t>112;433</t>
  </si>
  <si>
    <t>NZ_JOFH01000035.1</t>
  </si>
  <si>
    <t>Streptomyces olivaceus</t>
  </si>
  <si>
    <t>NZ_CP021080.1</t>
  </si>
  <si>
    <t>Streptomyces pluripotens</t>
  </si>
  <si>
    <t>535;679;1153</t>
  </si>
  <si>
    <t>82;226;616</t>
  </si>
  <si>
    <t>NZ_CP013129.1</t>
  </si>
  <si>
    <t>Streptomyces venezuelae</t>
  </si>
  <si>
    <t>376;415;1657;3019;3049</t>
  </si>
  <si>
    <t>121;148;1084;2257;2287</t>
  </si>
  <si>
    <t>NZ_LJGW01000725.1</t>
  </si>
  <si>
    <t>Streptomyces nanshensis</t>
  </si>
  <si>
    <t>NZ_CP015588.1</t>
  </si>
  <si>
    <t>Streptomyces silaceus</t>
  </si>
  <si>
    <t>574;1366;1900;2749</t>
  </si>
  <si>
    <t>211;859;1324;2020</t>
  </si>
  <si>
    <t>#----------- Cluster: 1001353 (amount of orthologs = 2)</t>
  </si>
  <si>
    <t>NZ_CP010519.1</t>
  </si>
  <si>
    <t>Streptomyces albus</t>
  </si>
  <si>
    <t>NZ_LOHS01000134.1</t>
  </si>
  <si>
    <t>#----------- Cluster: 1000632 (amount of orthologs = 2)</t>
  </si>
  <si>
    <t>#----------- Cluster: 1000282 (amount of orthologs = 12)</t>
  </si>
  <si>
    <t>NZ_BARG01000031.1</t>
  </si>
  <si>
    <t>NZ_JNWJ01000008.1</t>
  </si>
  <si>
    <t>Streptomyces yerevanensis</t>
  </si>
  <si>
    <t>NZ_JNXD01000021.1</t>
  </si>
  <si>
    <t>250;1036</t>
  </si>
  <si>
    <t>220;958</t>
  </si>
  <si>
    <t>NZ_DF968216.1</t>
  </si>
  <si>
    <t>NZ_LIQX01000329.1</t>
  </si>
  <si>
    <t>NZ_LIQS01000721.1</t>
  </si>
  <si>
    <t>NZ_LOHS01000088.1</t>
  </si>
  <si>
    <t>NZ_FOGO01000016.1</t>
  </si>
  <si>
    <t>Streptomyces qinglanensis</t>
  </si>
  <si>
    <t>NZ_FRBI01000004.1</t>
  </si>
  <si>
    <t>Streptomyces paucisporeus</t>
  </si>
  <si>
    <t>#----------- Cluster: 1001249 (amount of orthologs = 2)</t>
  </si>
  <si>
    <t>1309;1384</t>
  </si>
  <si>
    <t>1306;1381</t>
  </si>
  <si>
    <t>NZ_DF968306.1</t>
  </si>
  <si>
    <t>1294;1309</t>
  </si>
  <si>
    <t>NZ_MAXF01000056.1</t>
  </si>
  <si>
    <t>Streptomyces sparsogenes</t>
  </si>
  <si>
    <t>#----------- Cluster: 1000924 (amount of orthologs = 2)</t>
  </si>
  <si>
    <t>NZ_JNWJ01000015.1</t>
  </si>
  <si>
    <t>NZ_MVFC01000010.1</t>
  </si>
  <si>
    <t>#----------- Cluster: 1000852 (amount of orthologs = 2)</t>
  </si>
  <si>
    <t>#----------- Cluster: 1000855 (amount of orthologs = 3)</t>
  </si>
  <si>
    <t>NZ_JOEI01000011.1</t>
  </si>
  <si>
    <t>NZ_LJGW01000387.1</t>
  </si>
  <si>
    <t>TTAFS</t>
  </si>
  <si>
    <t>#----------- Cluster: 1000078 (amount of orthologs = 15)</t>
  </si>
  <si>
    <t>NZ_JOFL01000024.1</t>
  </si>
  <si>
    <t>Streptomyces roseoverticillatus</t>
  </si>
  <si>
    <t>NZ_LIQX01000429.1</t>
  </si>
  <si>
    <t>NZ_CP016559.1</t>
  </si>
  <si>
    <t>Streptomyces clavuligerus</t>
  </si>
  <si>
    <t>NZ_KB889726.1</t>
  </si>
  <si>
    <t>NZ_JNWJ01000122.1</t>
  </si>
  <si>
    <t>NZ_JOFH01000037.1</t>
  </si>
  <si>
    <t>NZ_CP010407.1</t>
  </si>
  <si>
    <t>Streptomyces vietnamensis</t>
  </si>
  <si>
    <t>79;121</t>
  </si>
  <si>
    <t>NZ_FZOF01000007.1</t>
  </si>
  <si>
    <t>Streptomyces glauciniger</t>
  </si>
  <si>
    <t>#----------- Cluster: 1000467 (amount of orthologs = 3)</t>
  </si>
  <si>
    <t>NZ_GG657754.1</t>
  </si>
  <si>
    <t>Streptomyces himastatinicus ATCC 53653</t>
  </si>
  <si>
    <t>NZ_FNST01000002.1</t>
  </si>
  <si>
    <t>Streptomyces melanosporofaciens</t>
  </si>
  <si>
    <t>#----------- Cluster: 1000600 (amount of orthologs = 2)</t>
  </si>
  <si>
    <t>#----------- Cluster: 1000215 (amount of orthologs = 2)</t>
  </si>
  <si>
    <t>NC_021985.1</t>
  </si>
  <si>
    <t>Streptomyces collinus Tu 365</t>
  </si>
  <si>
    <t>#----------- Cluster: 1001544 (amount of orthologs = 12)</t>
  </si>
  <si>
    <t>MH576964.1</t>
  </si>
  <si>
    <t>Streptomyces phage Starbow</t>
  </si>
  <si>
    <t>MK359332.1</t>
  </si>
  <si>
    <t>Streptomyces phage Genie2</t>
  </si>
  <si>
    <t>MK359351.1</t>
  </si>
  <si>
    <t>Streptomyces phage BoomerJR</t>
  </si>
  <si>
    <t>MK801722.1</t>
  </si>
  <si>
    <t>Streptomyces phage Birchlyn</t>
  </si>
  <si>
    <t>MN428060.1</t>
  </si>
  <si>
    <t>Streptomyces phage IchabodCrane</t>
  </si>
  <si>
    <t>MN484599.1</t>
  </si>
  <si>
    <t>Streptomyces phage Wipeout</t>
  </si>
  <si>
    <t>MN369757.1</t>
  </si>
  <si>
    <t>Streptomyces phage Bordeaux</t>
  </si>
  <si>
    <t>MN369750.1</t>
  </si>
  <si>
    <t>Streptomyces phage TomSawyer</t>
  </si>
  <si>
    <t>MW291014.1</t>
  </si>
  <si>
    <t>Streptomyces phage MindFlayer</t>
  </si>
  <si>
    <t>MW507134.1</t>
  </si>
  <si>
    <t>Streptomyces phage Battuta</t>
  </si>
  <si>
    <t>NC_048724.1</t>
  </si>
  <si>
    <t>Streptomyces phage Karimac</t>
  </si>
  <si>
    <t>NC_048730.1</t>
  </si>
  <si>
    <t>Streptomyces phage Yaboi</t>
  </si>
  <si>
    <t>#----------- Cluster: 1000181 (amount of orthologs = 4)</t>
  </si>
  <si>
    <t>NZ_JNYR01000010.1</t>
  </si>
  <si>
    <t>Streptomyces rimosus subsp. rimosus</t>
  </si>
  <si>
    <t>#----------- Cluster: 1000401 (amount of orthologs = 6)</t>
  </si>
  <si>
    <t>NZ_AHBF01000124.1</t>
  </si>
  <si>
    <t>Streptomyces acidiscabies 84-104</t>
  </si>
  <si>
    <t>NZ_CP009922.2</t>
  </si>
  <si>
    <t>Streptomyces xiamenensis</t>
  </si>
  <si>
    <t>115;160</t>
  </si>
  <si>
    <t>22;67</t>
  </si>
  <si>
    <t>NZ_CP018047.1</t>
  </si>
  <si>
    <t>Streptomyces niveus</t>
  </si>
  <si>
    <t>NZ_FOET01000004.1</t>
  </si>
  <si>
    <t>Streptomyces radiopugnans</t>
  </si>
  <si>
    <t>#----------- Cluster: 1000759 (amount of orthologs = 2)</t>
  </si>
  <si>
    <t>NZ_KB889618.1</t>
  </si>
  <si>
    <t>#----------- Cluster: 1000443 (amount of orthologs = 4)</t>
  </si>
  <si>
    <t>NZ_CP011340.1</t>
  </si>
  <si>
    <t>Streptomyces pristinaespiralis</t>
  </si>
  <si>
    <t>NZ_JUJA01000075.1</t>
  </si>
  <si>
    <t>#----------- Cluster: 1000549 (amount of orthologs = 4)</t>
  </si>
  <si>
    <t>NC_017586.1</t>
  </si>
  <si>
    <t>Streptomyces cattleya NRRL 8057 = DSM 46488</t>
  </si>
  <si>
    <t>142;304</t>
  </si>
  <si>
    <t>76;238</t>
  </si>
  <si>
    <t>NZ_JOBH01000002.1</t>
  </si>
  <si>
    <t>Streptomyces violens</t>
  </si>
  <si>
    <t>NZ_JOEY01000095.1</t>
  </si>
  <si>
    <t>Streptomyces fulvoviolaceus</t>
  </si>
  <si>
    <t>#----------- Cluster: 1000770 (amount of orthologs = 2)</t>
  </si>
  <si>
    <t>NZ_BARG01000054.1</t>
  </si>
  <si>
    <t>#----------- Cluster: 1000564 (amount of orthologs = 4)</t>
  </si>
  <si>
    <t>NZ_AHBF01000109.1</t>
  </si>
  <si>
    <t>NZ_JOID01000016.1</t>
  </si>
  <si>
    <t>Streptomyces albus subsp. albus</t>
  </si>
  <si>
    <t>#----------- Cluster: 1000644 (amount of orthologs = 2)</t>
  </si>
  <si>
    <t>NZ_AJSZ01000413.1</t>
  </si>
  <si>
    <t>NZ_JOFU01000030.1</t>
  </si>
  <si>
    <t>#----------- Cluster: 1000926 (amount of orthologs = 2)</t>
  </si>
  <si>
    <t>130;160</t>
  </si>
  <si>
    <t>43;73</t>
  </si>
  <si>
    <t>NZ_JNWJ01000002.1</t>
  </si>
  <si>
    <t>NZ_CP016560.1</t>
  </si>
  <si>
    <t>#----------- Cluster: 1001511 (amount of orthologs = 2)</t>
  </si>
  <si>
    <t>NZ_FODD01000034.1</t>
  </si>
  <si>
    <t>NZ_FRBI01000012.1</t>
  </si>
  <si>
    <t>#----------- Cluster: 1000779 (amount of orthologs = 3)</t>
  </si>
  <si>
    <t>NZ_BARG01000008.1</t>
  </si>
  <si>
    <t>NZ_KQ948453.1</t>
  </si>
  <si>
    <t>#----------- Cluster: 1001077 (amount of orthologs = 4)</t>
  </si>
  <si>
    <t>NZ_JODL01000004.1</t>
  </si>
  <si>
    <t>Streptomyces megasporus</t>
  </si>
  <si>
    <t>46;1009</t>
  </si>
  <si>
    <t>46;940</t>
  </si>
  <si>
    <t>NZ_LIQY01000446.1</t>
  </si>
  <si>
    <t>Streptomyces pathocidini</t>
  </si>
  <si>
    <t>NZ_KQ948466.1</t>
  </si>
  <si>
    <t>28;925</t>
  </si>
  <si>
    <t>28;850</t>
  </si>
  <si>
    <t>NZ_FOGO01000007.1</t>
  </si>
  <si>
    <t>#----------- Cluster: 1000899 (amount of orthologs = 5)</t>
  </si>
  <si>
    <t>NZ_KL571156.1</t>
  </si>
  <si>
    <t>Streptomyces monomycini</t>
  </si>
  <si>
    <t>196;349</t>
  </si>
  <si>
    <t>169;316</t>
  </si>
  <si>
    <t>#----------- Cluster: 1000056 (amount of orthologs = 2)</t>
  </si>
  <si>
    <t>NZ_JYIJ01000011.1</t>
  </si>
  <si>
    <t>#----------- Cluster: 1000298 (amount of orthologs = 2)</t>
  </si>
  <si>
    <t>NZ_KQ948456.1</t>
  </si>
  <si>
    <t>#----------- Cluster: 1000497 (amount of orthologs = 7)</t>
  </si>
  <si>
    <t>NC_003903.1</t>
  </si>
  <si>
    <t>Streptomyces coelicolor A3(2)</t>
  </si>
  <si>
    <t>NZ_AHBF01000151.1</t>
  </si>
  <si>
    <t>NZ_AHBF01000004.1</t>
  </si>
  <si>
    <t>NZ_JNWJ01000031.1</t>
  </si>
  <si>
    <t>#----------- Cluster: 1000724 (amount of orthologs = 2)</t>
  </si>
  <si>
    <t>#----------- Cluster: 1001483 (amount of orthologs = 2)</t>
  </si>
  <si>
    <t>175;1003</t>
  </si>
  <si>
    <t>NZ_JOFU01000078.1</t>
  </si>
  <si>
    <t>961;1057</t>
  </si>
  <si>
    <t>130;226</t>
  </si>
  <si>
    <t>NZ_MUBL01000070.1</t>
  </si>
  <si>
    <t>Streptomyces cacaoi subsp. cacaoi</t>
  </si>
  <si>
    <t>#----------- Cluster: 1001089 (amount of orthologs = 2)</t>
  </si>
  <si>
    <t>NZ_JOFL01000033.1</t>
  </si>
  <si>
    <t>NZ_JOFH01000022.1</t>
  </si>
  <si>
    <t>#----------- Cluster: 1001448 (amount of orthologs = 2)</t>
  </si>
  <si>
    <t>592;1495</t>
  </si>
  <si>
    <t>514;1417</t>
  </si>
  <si>
    <t>#----------- Cluster: 1000176 (amount of orthologs = 17)</t>
  </si>
  <si>
    <t>NZ_AGBF01000153.1</t>
  </si>
  <si>
    <t>Streptomyces zinciresistens K42</t>
  </si>
  <si>
    <t>NZ_BARG01000063.1</t>
  </si>
  <si>
    <t>NZ_JOEY01000001.1</t>
  </si>
  <si>
    <t>NZ_JOFU01000052.1</t>
  </si>
  <si>
    <t>NZ_JOFH01000006.1</t>
  </si>
  <si>
    <t>NZ_JNXD01000002.1</t>
  </si>
  <si>
    <t>NZ_DF968264.1</t>
  </si>
  <si>
    <t>NZ_LIQX01000188.1</t>
  </si>
  <si>
    <t>NZ_LIQS01000569.1</t>
  </si>
  <si>
    <t>NZ_MUMD01000041.1</t>
  </si>
  <si>
    <t>NZ_MUME01000268.1</t>
  </si>
  <si>
    <t>NZ_FNFF01000007.1</t>
  </si>
  <si>
    <t>Streptomyces indicus</t>
  </si>
  <si>
    <t>#----------- Cluster: 1000366 (amount of orthologs = 3)</t>
  </si>
  <si>
    <t>#----------- Cluster: 1001423 (amount of orthologs = 2)</t>
  </si>
  <si>
    <t>NZ_FRBI01000008.1</t>
  </si>
  <si>
    <t>#----------- Cluster: 1001161 (amount of orthologs = 5)</t>
  </si>
  <si>
    <t>NZ_AEJB01000361.1</t>
  </si>
  <si>
    <t>NZ_JQJU01000017.1</t>
  </si>
  <si>
    <t>Streptomyces atratus</t>
  </si>
  <si>
    <t>#----------- Cluster: 1000466 (amount of orthologs = 4)</t>
  </si>
  <si>
    <t>NZ_AGBF01000087.1</t>
  </si>
  <si>
    <t>NZ_LOHS01000136.1</t>
  </si>
  <si>
    <t>#----------- Cluster: 1000390 (amount of orthologs = 2)</t>
  </si>
  <si>
    <t>#----------- Cluster: 1001001 (amount of orthologs = 3)</t>
  </si>
  <si>
    <t>NZ_JODY01000046.1</t>
  </si>
  <si>
    <t>Streptomyces catenulae</t>
  </si>
  <si>
    <t>NZ_JOFU01000001.1</t>
  </si>
  <si>
    <t>61;100</t>
  </si>
  <si>
    <t>40;79</t>
  </si>
  <si>
    <t>#----------- Cluster: 1001256 (amount of orthologs = 5)</t>
  </si>
  <si>
    <t>100;835</t>
  </si>
  <si>
    <t>82;787</t>
  </si>
  <si>
    <t>61;808</t>
  </si>
  <si>
    <t>40;733</t>
  </si>
  <si>
    <t>NZ_KN050729.1</t>
  </si>
  <si>
    <t>NZ_KQ948323.1</t>
  </si>
  <si>
    <t>#----------- Cluster: 1001328 (amount of orthologs = 2)</t>
  </si>
  <si>
    <t>NZ_KQ948482.1</t>
  </si>
  <si>
    <t>NZ_FONG01000025.1</t>
  </si>
  <si>
    <t>Streptomyces alni</t>
  </si>
  <si>
    <t>#----------- Cluster: 1001238 (amount of orthologs = 2)</t>
  </si>
  <si>
    <t>NZ_LFXA01000009.1</t>
  </si>
  <si>
    <t>Streptomyces caatingaensis</t>
  </si>
  <si>
    <t>#----------- Cluster: 1000950 (amount of orthologs = 9)</t>
  </si>
  <si>
    <t>13;16;316;733</t>
  </si>
  <si>
    <t>13;16;316;676</t>
  </si>
  <si>
    <t>NZ_KL571107.1</t>
  </si>
  <si>
    <t>NZ_JOAK01000001.1</t>
  </si>
  <si>
    <t>Streptomyces virginiae</t>
  </si>
  <si>
    <t>NZ_DF968198.1</t>
  </si>
  <si>
    <t>NZ_LOHS01000101.1</t>
  </si>
  <si>
    <t>NZ_JUJA01000156.1</t>
  </si>
  <si>
    <t>#----------- Cluster: 1000764 (amount of orthologs = 2)</t>
  </si>
  <si>
    <t>106;349</t>
  </si>
  <si>
    <t>106;346</t>
  </si>
  <si>
    <t>NZ_KB889702.1</t>
  </si>
  <si>
    <t>#----------- Cluster: 1000544 (amount of orthologs = 2)</t>
  </si>
  <si>
    <t>940;3532</t>
  </si>
  <si>
    <t>880;3472</t>
  </si>
  <si>
    <t>#----------- Cluster: 1000101 (amount of orthologs = 4)</t>
  </si>
  <si>
    <t>NZ_LIQY01000485.1</t>
  </si>
  <si>
    <t>NZ_LIPP01000328.1</t>
  </si>
  <si>
    <t>568;853;1072</t>
  </si>
  <si>
    <t>301;583;802</t>
  </si>
  <si>
    <t>NZ_LFBV01000005.1</t>
  </si>
  <si>
    <t>Streptomyces uncialis</t>
  </si>
  <si>
    <t>148;601</t>
  </si>
  <si>
    <t>NZ_FODD01000024.1</t>
  </si>
  <si>
    <t>#----------- Cluster: 1001559 (amount of orthologs = 2)</t>
  </si>
  <si>
    <t>MN444876.1</t>
  </si>
  <si>
    <t>Streptomyces phage Daubenski</t>
  </si>
  <si>
    <t>#----------- Cluster: 1000483 (amount of orthologs = 3)</t>
  </si>
  <si>
    <t>1975;1984</t>
  </si>
  <si>
    <t>1912;1921</t>
  </si>
  <si>
    <t>#----------- Cluster: 1000140 (amount of orthologs = 3)</t>
  </si>
  <si>
    <t>NZ_AEYX01000003.1</t>
  </si>
  <si>
    <t>#----------- Cluster: 1001215 (amount of orthologs = 2)</t>
  </si>
  <si>
    <t>#----------- Cluster: 1001387 (amount of orthologs = 2)</t>
  </si>
  <si>
    <t>#----------- Cluster: 1001092 (amount of orthologs = 4)</t>
  </si>
  <si>
    <t>NZ_JOEY01000041.1</t>
  </si>
  <si>
    <t>NZ_JOFL01000018.1</t>
  </si>
  <si>
    <t>NZ_KQ948309.1</t>
  </si>
  <si>
    <t>#----------- Cluster: 1001450 (amount of orthologs = 2)</t>
  </si>
  <si>
    <t>#----------- Cluster: 1000548 (amount of orthologs = 2)</t>
  </si>
  <si>
    <t>NC_017585.1</t>
  </si>
  <si>
    <t>NZ_JOFU01000035.1</t>
  </si>
  <si>
    <t>#----------- Cluster: 1000090 (amount of orthologs = 2)</t>
  </si>
  <si>
    <t>NZ_JOFU01000005.1</t>
  </si>
  <si>
    <t>#----------- Cluster: 1001115 (amount of orthologs = 3)</t>
  </si>
  <si>
    <t>NZ_JOID01000005.1</t>
  </si>
  <si>
    <t>NZ_MAXF01000132.1</t>
  </si>
  <si>
    <t>#----------- Cluster: 1000126 (amount of orthologs = 4)</t>
  </si>
  <si>
    <t>NZ_MAXF01000227.1</t>
  </si>
  <si>
    <t>#----------- Cluster: 1001074 (amount of orthologs = 2)</t>
  </si>
  <si>
    <t>10;91;166;1801</t>
  </si>
  <si>
    <t>NZ_JNYR01000007.1</t>
  </si>
  <si>
    <t>NZ_JOBF01000020.1</t>
  </si>
  <si>
    <t>Streptomyces varsoviensis</t>
  </si>
  <si>
    <t>#----------- Cluster: 1000869 (amount of orthologs = 3)</t>
  </si>
  <si>
    <t>NZ_AUBE01000016.1</t>
  </si>
  <si>
    <t>Streptomyces flavidovirens DSM 40150</t>
  </si>
  <si>
    <t>NZ_JNYR01000021.1</t>
  </si>
  <si>
    <t>#----------- Cluster: 1000567 (amount of orthologs = 3)</t>
  </si>
  <si>
    <t>NZ_AHBF01000011.1</t>
  </si>
  <si>
    <t>NZ_BARG01000050.1</t>
  </si>
  <si>
    <t>NZ_LOHS01000115.1</t>
  </si>
  <si>
    <t>#----------- Cluster: 1000242 (amount of orthologs = 2)</t>
  </si>
  <si>
    <t>2059;2170;2665</t>
  </si>
  <si>
    <t>1108;1219;1714</t>
  </si>
  <si>
    <t>NZ_BARG01000089.1</t>
  </si>
  <si>
    <t>#----------- Cluster: 1001503 (amount of orthologs = 6)</t>
  </si>
  <si>
    <t>1066;1642</t>
  </si>
  <si>
    <t>598;1138</t>
  </si>
  <si>
    <t>NZ_JNWJ01000022.1</t>
  </si>
  <si>
    <t>NZ_LIQZ01000115.1</t>
  </si>
  <si>
    <t>Streptomyces phaeochromogenes</t>
  </si>
  <si>
    <t>781;946</t>
  </si>
  <si>
    <t>667;826</t>
  </si>
  <si>
    <t>958;997</t>
  </si>
  <si>
    <t>421;460</t>
  </si>
  <si>
    <t>NZ_FODD01000002.1</t>
  </si>
  <si>
    <t>#----------- Cluster: 1000023 (amount of orthologs = 13)</t>
  </si>
  <si>
    <t>NC_003888.3</t>
  </si>
  <si>
    <t>NZ_KB904636.1</t>
  </si>
  <si>
    <t>NZ_JOII01000008.1</t>
  </si>
  <si>
    <t>NZ_LIPP01000397.1</t>
  </si>
  <si>
    <t>514;634</t>
  </si>
  <si>
    <t>340;415</t>
  </si>
  <si>
    <t>NZ_MAXF01000234.1</t>
  </si>
  <si>
    <t>NZ_MAXF01000023.1</t>
  </si>
  <si>
    <t>NZ_LJGW01000421.1</t>
  </si>
  <si>
    <t>#----------- Cluster: 1000752 (amount of orthologs = 3)</t>
  </si>
  <si>
    <t>NZ_JOFH01000002.1</t>
  </si>
  <si>
    <t>#----------- Cluster: 1001159 (amount of orthologs = 2)</t>
  </si>
  <si>
    <t>NZ_JNXD01000006.1</t>
  </si>
  <si>
    <t>#----------- Cluster: 1000878 (amount of orthologs = 2)</t>
  </si>
  <si>
    <t>NZ_ASHX02000001.1</t>
  </si>
  <si>
    <t>Streptomyces thermolilacinus SPC6</t>
  </si>
  <si>
    <t>NZ_JNXG01000012.1</t>
  </si>
  <si>
    <t>#----------- Cluster: 1000520 (amount of orthologs = 2)</t>
  </si>
  <si>
    <t>NZ_AEYX01000027.1</t>
  </si>
  <si>
    <t>NZ_KB889670.1</t>
  </si>
  <si>
    <t>#----------- Cluster: 1000522 (amount of orthologs = 3)</t>
  </si>
  <si>
    <t>NZ_AEYX01000001.1</t>
  </si>
  <si>
    <t>58;697</t>
  </si>
  <si>
    <t>40;676</t>
  </si>
  <si>
    <t>NZ_LIQZ01000314.1</t>
  </si>
  <si>
    <t>#----------- Cluster: 1001192 (amount of orthologs = 2)</t>
  </si>
  <si>
    <t>#----------- Cluster: 1000396 (amount of orthologs = 21)</t>
  </si>
  <si>
    <t>NZ_AEYX01000002.1</t>
  </si>
  <si>
    <t>NZ_AJSZ01000496.1</t>
  </si>
  <si>
    <t>340;1453</t>
  </si>
  <si>
    <t>181;1270</t>
  </si>
  <si>
    <t>NZ_JOEI01000003.1</t>
  </si>
  <si>
    <t>NZ_JOFU01000051.1</t>
  </si>
  <si>
    <t>NZ_JQJU01000031.1</t>
  </si>
  <si>
    <t>NZ_LFXA01000018.1</t>
  </si>
  <si>
    <t>NZ_DF968260.1</t>
  </si>
  <si>
    <t>NZ_LIPP01000162.1</t>
  </si>
  <si>
    <t>NZ_LIQZ01000099.1</t>
  </si>
  <si>
    <t>NZ_KQ948454.1</t>
  </si>
  <si>
    <t>NZ_FODD01000020.1</t>
  </si>
  <si>
    <t>NZ_FOLM01000030.1</t>
  </si>
  <si>
    <t>#----------- Cluster: 1000161 (amount of orthologs = 2)</t>
  </si>
  <si>
    <t>NZ_LIQZ01000013.1</t>
  </si>
  <si>
    <t>#----------- Cluster: 1000700 (amount of orthologs = 3)</t>
  </si>
  <si>
    <t>NZ_AORZ01000001.1</t>
  </si>
  <si>
    <t>NZ_JOEI01000038.1</t>
  </si>
  <si>
    <t>NZ_JQJU01000001.1</t>
  </si>
  <si>
    <t>#----------- Cluster: 1000388 (amount of orthologs = 2)</t>
  </si>
  <si>
    <t>NZ_MAXF01000191.1</t>
  </si>
  <si>
    <t>#----------- Cluster: 1000305 (amount of orthologs = 2)</t>
  </si>
  <si>
    <t>NZ_CP009438.1</t>
  </si>
  <si>
    <t>Streptomyces glaucescens</t>
  </si>
  <si>
    <t>#----------- Cluster: 1001043 (amount of orthologs = 4)</t>
  </si>
  <si>
    <t>NZ_AHBF01000031.1</t>
  </si>
  <si>
    <t>NZ_JOEY01000012.1</t>
  </si>
  <si>
    <t>NZ_JOFL01000027.1</t>
  </si>
  <si>
    <t>NZ_LIQS01000078.1</t>
  </si>
  <si>
    <t>#----------- Cluster: 1000846 (amount of orthologs = 2)</t>
  </si>
  <si>
    <t>NZ_KL571112.1</t>
  </si>
  <si>
    <t>#----------- Cluster: 1000329 (amount of orthologs = 3)</t>
  </si>
  <si>
    <t>379;565</t>
  </si>
  <si>
    <t>19;205</t>
  </si>
  <si>
    <t>#----------- Cluster: 1001433 (amount of orthologs = 2)</t>
  </si>
  <si>
    <t>NZ_JUJA01000155.1</t>
  </si>
  <si>
    <t>NZ_MUME01000020.1</t>
  </si>
  <si>
    <t>#----------- Cluster: 1001081 (amount of orthologs = 2)</t>
  </si>
  <si>
    <t>NZ_JODL01000017.1</t>
  </si>
  <si>
    <t>NZ_LIRG01000207.1</t>
  </si>
  <si>
    <t>#----------- Cluster: 1000550 (amount of orthologs = 2)</t>
  </si>
  <si>
    <t>NZ_KB905813.1</t>
  </si>
  <si>
    <t>#----------- Cluster: 1000524 (amount of orthologs = 2)</t>
  </si>
  <si>
    <t>NZ_AEYX01000043.1</t>
  </si>
  <si>
    <t>#----------- Cluster: 1000666 (amount of orthologs = 2)</t>
  </si>
  <si>
    <t>NZ_AEJB01000670.1</t>
  </si>
  <si>
    <t>#----------- Cluster: 1000310 (amount of orthologs = 2)</t>
  </si>
  <si>
    <t>#----------- Cluster: 1000119 (amount of orthologs = 4)</t>
  </si>
  <si>
    <t>NZ_AGBF01000018.1</t>
  </si>
  <si>
    <t>NZ_FOLM01000004.1</t>
  </si>
  <si>
    <t>#----------- Cluster: 1000786 (amount of orthologs = 3)</t>
  </si>
  <si>
    <t>NZ_BARG01000110.1</t>
  </si>
  <si>
    <t>NZ_JNYR01000003.1</t>
  </si>
  <si>
    <t>265;2293</t>
  </si>
  <si>
    <t>265;2236</t>
  </si>
  <si>
    <t>NZ_MVFC01000025.1</t>
  </si>
  <si>
    <t>#----------- Cluster: 1000369 (amount of orthologs = 3)</t>
  </si>
  <si>
    <t>NZ_AORZ01000064.1</t>
  </si>
  <si>
    <t>NZ_JOBF01000016.1</t>
  </si>
  <si>
    <t>#----------- Cluster: 1000966 (amount of orthologs = 3)</t>
  </si>
  <si>
    <t>NZ_JNXG01000003.1</t>
  </si>
  <si>
    <t>NZ_LJGW01000052.1</t>
  </si>
  <si>
    <t>#----------- Cluster: 1001519 (amount of orthologs = 2)</t>
  </si>
  <si>
    <t>NZ_FONG01000021.1</t>
  </si>
  <si>
    <t>NZ_FRBI01000013.1</t>
  </si>
  <si>
    <t>#----------- Cluster: 1000973 (amount of orthologs = 3)</t>
  </si>
  <si>
    <t>NZ_JNYR01000017.1</t>
  </si>
  <si>
    <t>283;355;2281</t>
  </si>
  <si>
    <t>241;313;2227</t>
  </si>
  <si>
    <t>#----------- Cluster: 1000293 (amount of orthologs = 4)</t>
  </si>
  <si>
    <t>NZ_AEJB01000371.1</t>
  </si>
  <si>
    <t>NZ_JOEY01000006.1</t>
  </si>
  <si>
    <t>NZ_KQ948318.1</t>
  </si>
  <si>
    <t>#----------- Cluster: 1000969 (amount of orthologs = 2)</t>
  </si>
  <si>
    <t>NZ_JNYR01000013.1</t>
  </si>
  <si>
    <t>NZ_JODY01000003.1</t>
  </si>
  <si>
    <t>#----------- Cluster: 1000565 (amount of orthologs = 27)</t>
  </si>
  <si>
    <t>112;487</t>
  </si>
  <si>
    <t>22;355</t>
  </si>
  <si>
    <t>NZ_LIQZ01000214.1</t>
  </si>
  <si>
    <t>NZ_AHBF01000021.1</t>
  </si>
  <si>
    <t>787;1777</t>
  </si>
  <si>
    <t>526;1429</t>
  </si>
  <si>
    <t>NZ_AORZ01000134.1</t>
  </si>
  <si>
    <t>NZ_KB905814.1</t>
  </si>
  <si>
    <t>NZ_AUBE01000034.1</t>
  </si>
  <si>
    <t>NZ_JOBH01000010.1</t>
  </si>
  <si>
    <t>NZ_JOFL01000002.1</t>
  </si>
  <si>
    <t>NZ_DF968333.1</t>
  </si>
  <si>
    <t>NZ_LIQX01000120.1</t>
  </si>
  <si>
    <t>NZ_LIQX01000042.1</t>
  </si>
  <si>
    <t>NZ_LIQZ01000097.1</t>
  </si>
  <si>
    <t>NZ_LIRG01000031.1</t>
  </si>
  <si>
    <t>NZ_LOHS01000052.1</t>
  </si>
  <si>
    <t>196;1654</t>
  </si>
  <si>
    <t>121;1252</t>
  </si>
  <si>
    <t>NZ_LJGW01000377.1</t>
  </si>
  <si>
    <t>112;484</t>
  </si>
  <si>
    <t>22;352</t>
  </si>
  <si>
    <t>NZ_JUJA01000030.1</t>
  </si>
  <si>
    <t>NZ_MUME01000034.1</t>
  </si>
  <si>
    <t>NZ_FNFF01000004.1</t>
  </si>
  <si>
    <t>NZ_FNHI01000010.1</t>
  </si>
  <si>
    <t>#----------- Cluster: 1000946 (amount of orthologs = 2)</t>
  </si>
  <si>
    <t>NZ_JNWJ01000005.1</t>
  </si>
  <si>
    <t>436;499</t>
  </si>
  <si>
    <t>NZ_LIQS01000272.1</t>
  </si>
  <si>
    <t>#----------- Cluster: 1000916 (amount of orthologs = 2)</t>
  </si>
  <si>
    <t>NZ_JNWJ01000108.1</t>
  </si>
  <si>
    <t>NZ_LIRG01000370.1</t>
  </si>
  <si>
    <t>#----------- Cluster: 1001517 (amount of orthologs = 3)</t>
  </si>
  <si>
    <t>403;805</t>
  </si>
  <si>
    <t>181;583</t>
  </si>
  <si>
    <t>#----------- Cluster: 1000501 (amount of orthologs = 3)</t>
  </si>
  <si>
    <t>NZ_BARG01000075.1</t>
  </si>
  <si>
    <t>#----------- Cluster: 1001073 (amount of orthologs = 2)</t>
  </si>
  <si>
    <t>NZ_JOBF01000012.1</t>
  </si>
  <si>
    <t>#----------- Cluster: 1001175 (amount of orthologs = 2)</t>
  </si>
  <si>
    <t>NZ_DF968300.1</t>
  </si>
  <si>
    <t>#----------- Cluster: 1000386 (amount of orthologs = 2)</t>
  </si>
  <si>
    <t>NZ_JNWJ01000049.1</t>
  </si>
  <si>
    <t>#----------- Cluster: 1000178 (amount of orthologs = 3)</t>
  </si>
  <si>
    <t>NZ_BARG01000032.1</t>
  </si>
  <si>
    <t>NZ_LIPP01000043.1</t>
  </si>
  <si>
    <t>#----------- Cluster: 1000579 (amount of orthologs = 2)</t>
  </si>
  <si>
    <t>NZ_AHBF01000022.1</t>
  </si>
  <si>
    <t>NZ_JNXD01000007.1</t>
  </si>
  <si>
    <t>#----------- Cluster: 1000449 (amount of orthologs = 7)</t>
  </si>
  <si>
    <t>NZ_JOAK01000015.1</t>
  </si>
  <si>
    <t>NZ_LIQZ01000026.1</t>
  </si>
  <si>
    <t>NZ_KQ948305.1</t>
  </si>
  <si>
    <t>NZ_KQ948452.1</t>
  </si>
  <si>
    <t>#----------- Cluster: 1001347 (amount of orthologs = 2)</t>
  </si>
  <si>
    <t>37;244;433</t>
  </si>
  <si>
    <t>#----------- Cluster: 1000580 (amount of orthologs = 7)</t>
  </si>
  <si>
    <t>7;598</t>
  </si>
  <si>
    <t>4;553</t>
  </si>
  <si>
    <t>NZ_AHBF01000084.1</t>
  </si>
  <si>
    <t>NZ_JOEY01000005.1</t>
  </si>
  <si>
    <t>NZ_JOEY01000025.1</t>
  </si>
  <si>
    <t>NZ_LIQX01000075.1</t>
  </si>
  <si>
    <t>NZ_LIQZ01000372.1</t>
  </si>
  <si>
    <t>NZ_FODD01000004.1</t>
  </si>
  <si>
    <t>#----------- Cluster: 1000114 (amount of orthologs = 7)</t>
  </si>
  <si>
    <t>NZ_KQ948468.1</t>
  </si>
  <si>
    <t>NZ_BARG01000046.1</t>
  </si>
  <si>
    <t>#----------- Cluster: 1000075 (amount of orthologs = 2)</t>
  </si>
  <si>
    <t>NZ_JOBF01000028.1</t>
  </si>
  <si>
    <t>#----------- Cluster: 1000135 (amount of orthologs = 4)</t>
  </si>
  <si>
    <t>NZ_LFBV01000002.1</t>
  </si>
  <si>
    <t>NZ_JNYR01000008.1</t>
  </si>
  <si>
    <t>94;142</t>
  </si>
  <si>
    <t>28;76</t>
  </si>
  <si>
    <t>#----------- Cluster: 1000837 (amount of orthologs = 3)</t>
  </si>
  <si>
    <t>NZ_JODY01000015.1</t>
  </si>
  <si>
    <t>NZ_KQ948308.1</t>
  </si>
  <si>
    <t>#----------- Cluster: 1000714 (amount of orthologs = 2)</t>
  </si>
  <si>
    <t>NZ_AORZ01000044.1</t>
  </si>
  <si>
    <t>#----------- Cluster: 1000776 (amount of orthologs = 2)</t>
  </si>
  <si>
    <t>NZ_BARG01000016.1</t>
  </si>
  <si>
    <t>#----------- Cluster: 1001317 (amount of orthologs = 2)</t>
  </si>
  <si>
    <t>169;358</t>
  </si>
  <si>
    <t>166;352</t>
  </si>
  <si>
    <t>NZ_AGBF01000052.1</t>
  </si>
  <si>
    <t>NZ_LN929838.1</t>
  </si>
  <si>
    <t>Streptomyces specialis</t>
  </si>
  <si>
    <t>#----------- Cluster: 1000803 (amount of orthologs = 3)</t>
  </si>
  <si>
    <t>NZ_BARG01000158.1</t>
  </si>
  <si>
    <t>214;292;877</t>
  </si>
  <si>
    <t>#----------- Cluster: 1000515 (amount of orthologs = 2)</t>
  </si>
  <si>
    <t>199;3469</t>
  </si>
  <si>
    <t>196;3268</t>
  </si>
  <si>
    <t>NZ_AEYX01000042.1</t>
  </si>
  <si>
    <t>NZ_KB904684.1</t>
  </si>
  <si>
    <t>#----------- Cluster: 1000227 (amount of orthologs = 9)</t>
  </si>
  <si>
    <t>NZ_JNWJ01000069.1</t>
  </si>
  <si>
    <t>NZ_JNXD01000017.1</t>
  </si>
  <si>
    <t>NZ_LIQX01000249.1</t>
  </si>
  <si>
    <t>NZ_LIQZ01000256.1</t>
  </si>
  <si>
    <t>NZ_LIRG01000135.1</t>
  </si>
  <si>
    <t>#----------- Cluster: 1000737 (amount of orthologs = 3)</t>
  </si>
  <si>
    <t>NC_020545.1</t>
  </si>
  <si>
    <t>NZ_KL571062.1</t>
  </si>
  <si>
    <t>727;1753</t>
  </si>
  <si>
    <t>652;1675</t>
  </si>
  <si>
    <t>#----------- Cluster: 1000065 (amount of orthologs = 2)</t>
  </si>
  <si>
    <t>NZ_JNWJ01000039.1</t>
  </si>
  <si>
    <t>73;898;1324</t>
  </si>
  <si>
    <t>64;877;1198</t>
  </si>
  <si>
    <t>NZ_KQ948306.1</t>
  </si>
  <si>
    <t>#----------- Cluster: 1001046 (amount of orthologs = 2)</t>
  </si>
  <si>
    <t>400;511;1792;2062</t>
  </si>
  <si>
    <t>400;511;1765;2002</t>
  </si>
  <si>
    <t>NZ_JOEY01000024.1</t>
  </si>
  <si>
    <t>NZ_KQ948496.1</t>
  </si>
  <si>
    <t>#----------- Cluster: 1000879 (amount of orthologs = 3)</t>
  </si>
  <si>
    <t>NZ_FNHI01000029.1</t>
  </si>
  <si>
    <t>#----------- Cluster: 1000875 (amount of orthologs = 2)</t>
  </si>
  <si>
    <t>331;763;2236</t>
  </si>
  <si>
    <t>292;712;2176</t>
  </si>
  <si>
    <t>NZ_KE386846.1</t>
  </si>
  <si>
    <t>#----------- Cluster: 1001116 (amount of orthologs = 2)</t>
  </si>
  <si>
    <t>NZ_JOID01000009.1</t>
  </si>
  <si>
    <t>NZ_FONG01000008.1</t>
  </si>
  <si>
    <t>#----------- Cluster: 1000589 (amount of orthologs = 2)</t>
  </si>
  <si>
    <t>#----------- Cluster: 1000324 (amount of orthologs = 2)</t>
  </si>
  <si>
    <t>#----------- Cluster: 1000799 (amount of orthologs = 2)</t>
  </si>
  <si>
    <t>NZ_BARG01000090.1</t>
  </si>
  <si>
    <t>NZ_JOFU01000042.1</t>
  </si>
  <si>
    <t>#----------- Cluster: 1000877 (amount of orthologs = 3)</t>
  </si>
  <si>
    <t>1027;3412</t>
  </si>
  <si>
    <t>907;3163</t>
  </si>
  <si>
    <t>NZ_AUBE01000039.1</t>
  </si>
  <si>
    <t>#----------- Cluster: 1000041 (amount of orthologs = 2)</t>
  </si>
  <si>
    <t>NZ_AORZ01000003.1</t>
  </si>
  <si>
    <t>#----------- Cluster: 1001071 (amount of orthologs = 2)</t>
  </si>
  <si>
    <t>NZ_JOBF01000003.1</t>
  </si>
  <si>
    <t>NZ_MUBL01000403.1</t>
  </si>
  <si>
    <t>#----------- Cluster: 1001431 (amount of orthologs = 2)</t>
  </si>
  <si>
    <t>NZ_LFBV01000008.1</t>
  </si>
  <si>
    <t>NZ_FONG01000003.1</t>
  </si>
  <si>
    <t>#----------- Cluster: 1001463 (amount of orthologs = 2)</t>
  </si>
  <si>
    <t>#----------- Cluster: 1000468 (amount of orthologs = 3)</t>
  </si>
  <si>
    <t>118;163;1045</t>
  </si>
  <si>
    <t>118;160;1030</t>
  </si>
  <si>
    <t>#----------- Cluster: 1000847 (amount of orthologs = 2)</t>
  </si>
  <si>
    <t>#----------- Cluster: 1001492 (amount of orthologs = 2)</t>
  </si>
  <si>
    <t>#----------- Cluster: 1000194 (amount of orthologs = 2)</t>
  </si>
  <si>
    <t>NZ_FODD01000057.1</t>
  </si>
  <si>
    <t>#----------- Cluster: 1000680 (amount of orthologs = 2)</t>
  </si>
  <si>
    <t>NZ_AEJB01000093.1</t>
  </si>
  <si>
    <t>#----------- Cluster: 1001381 (amount of orthologs = 2)</t>
  </si>
  <si>
    <t>NZ_LIQX01000031.1</t>
  </si>
  <si>
    <t>#----------- Cluster: 1000994 (amount of orthologs = 6)</t>
  </si>
  <si>
    <t>NZ_AGBF01000064.1</t>
  </si>
  <si>
    <t>NZ_AORZ01000005.1</t>
  </si>
  <si>
    <t>658;5221</t>
  </si>
  <si>
    <t>538;4765</t>
  </si>
  <si>
    <t>NZ_JOBH01000032.1</t>
  </si>
  <si>
    <t>175;538;3604</t>
  </si>
  <si>
    <t>67;421;2923</t>
  </si>
  <si>
    <t>NZ_MAXF01000020.1</t>
  </si>
  <si>
    <t>#----------- Cluster: 1000451 (amount of orthologs = 2)</t>
  </si>
  <si>
    <t>NZ_JOFU01000006.1</t>
  </si>
  <si>
    <t>#----------- Cluster: 1001513 (amount of orthologs = 5)</t>
  </si>
  <si>
    <t>52;379</t>
  </si>
  <si>
    <t>49;376</t>
  </si>
  <si>
    <t>NZ_AHBF01000125.1</t>
  </si>
  <si>
    <t>NZ_MAXF01000157.1</t>
  </si>
  <si>
    <t>NZ_FOET01000019.1</t>
  </si>
  <si>
    <t>#----------- Cluster: 1000077 (amount of orthologs = 2)</t>
  </si>
  <si>
    <t>NZ_JOFL01000020.1</t>
  </si>
  <si>
    <t>76;85</t>
  </si>
  <si>
    <t>NZ_AORZ01000015.1</t>
  </si>
  <si>
    <t>#----------- Cluster: 1000363 (amount of orthologs = 2)</t>
  </si>
  <si>
    <t>NC_048072.1</t>
  </si>
  <si>
    <t>Streptomyces phage Darolandstone</t>
  </si>
  <si>
    <t>#----------- Cluster: 1000294 (amount of orthologs = 2)</t>
  </si>
  <si>
    <t>NZ_FNHI01000008.1</t>
  </si>
  <si>
    <t>#----------- Cluster: 1001052 (amount of orthologs = 2)</t>
  </si>
  <si>
    <t>NZ_JOFU01000021.1</t>
  </si>
  <si>
    <t>NZ_LIPP01000253.1</t>
  </si>
  <si>
    <t>#----------- Cluster: 1000691 (amount of orthologs = 4)</t>
  </si>
  <si>
    <t>NZ_AEJB01000525.1</t>
  </si>
  <si>
    <t>NZ_JNWJ01000001.1</t>
  </si>
  <si>
    <t>208;1129</t>
  </si>
  <si>
    <t>208;1099</t>
  </si>
  <si>
    <t>NZ_LIQZ01000303.1</t>
  </si>
  <si>
    <t>#----------- Cluster: 1001298 (amount of orthologs = 5)</t>
  </si>
  <si>
    <t>NZ_JODL01000001.1</t>
  </si>
  <si>
    <t>NZ_LIQR01000366.1</t>
  </si>
  <si>
    <t>Streptomyces griseoplanus</t>
  </si>
  <si>
    <t>NZ_LIQS01000107.1</t>
  </si>
  <si>
    <t>NZ_LIQZ01000162.1</t>
  </si>
  <si>
    <t>NZ_FOET01000013.1</t>
  </si>
  <si>
    <t>#----------- Cluster: 1001119 (amount of orthologs = 2)</t>
  </si>
  <si>
    <t>NZ_JOII01000014.1</t>
  </si>
  <si>
    <t>#----------- Cluster: 1001012 (amount of orthologs = 3)</t>
  </si>
  <si>
    <t>NZ_JOEI01000001.1</t>
  </si>
  <si>
    <t>NZ_FONG01000004.1</t>
  </si>
  <si>
    <t>#----------- Cluster: 1000235 (amount of orthologs = 3)</t>
  </si>
  <si>
    <t>NZ_JNXD01000004.1</t>
  </si>
  <si>
    <t>NZ_DF968291.1</t>
  </si>
  <si>
    <t>#----------- Cluster: 1000587 (amount of orthologs = 4)</t>
  </si>
  <si>
    <t>NZ_JH725391.1</t>
  </si>
  <si>
    <t>NZ_JOBF01000036.1</t>
  </si>
  <si>
    <t>NZ_LIQY01000003.1</t>
  </si>
  <si>
    <t>#----------- Cluster: 1000351 (amount of orthologs = 3)</t>
  </si>
  <si>
    <t>496;586</t>
  </si>
  <si>
    <t>NZ_AORZ01000150.1</t>
  </si>
  <si>
    <t>#----------- Cluster: 1000825 (amount of orthologs = 2)</t>
  </si>
  <si>
    <t>1825;1924</t>
  </si>
  <si>
    <t>1789;1888</t>
  </si>
  <si>
    <t>#----------- Cluster: 1000465 (amount of orthologs = 7)</t>
  </si>
  <si>
    <t>NZ_JOFH01000027.1</t>
  </si>
  <si>
    <t>16;379</t>
  </si>
  <si>
    <t>16;250</t>
  </si>
  <si>
    <t>NZ_JUJA01000157.1</t>
  </si>
  <si>
    <t>#----------- Cluster: 1000909 (amount of orthologs = 2)</t>
  </si>
  <si>
    <t>NZ_KL571056.1</t>
  </si>
  <si>
    <t>#----------- Cluster: 1001484 (amount of orthologs = 5)</t>
  </si>
  <si>
    <t>NZ_JNYR01000029.1</t>
  </si>
  <si>
    <t>NZ_MUMD01000603.1</t>
  </si>
  <si>
    <t>10567;18934</t>
  </si>
  <si>
    <t>637;7177</t>
  </si>
  <si>
    <t>18952;19636</t>
  </si>
  <si>
    <t>4171;4846</t>
  </si>
  <si>
    <t>#----------- Cluster: 1000959 (amount of orthologs = 2)</t>
  </si>
  <si>
    <t>NZ_JNXG01000017.1</t>
  </si>
  <si>
    <t>#----------- Cluster: 1000019 (amount of orthologs = 2)</t>
  </si>
  <si>
    <t>NZ_LIQY01000109.1</t>
  </si>
  <si>
    <t>#----------- Cluster: 1001405 (amount of orthologs = 2)</t>
  </si>
  <si>
    <t>NZ_MAXF01000174.1</t>
  </si>
  <si>
    <t>NZ_FZOF01000020.1</t>
  </si>
  <si>
    <t>#----------- Cluster: 1001560 (amount of orthologs = 2)</t>
  </si>
  <si>
    <t>MN369754.1</t>
  </si>
  <si>
    <t>Streptomyces phage Limpid</t>
  </si>
  <si>
    <t>NC_048719.1</t>
  </si>
  <si>
    <t>Streptomyces phage Annadreamy</t>
  </si>
  <si>
    <t>#----------- Cluster: 1000955 (amount of orthologs = 2)</t>
  </si>
  <si>
    <t>NZ_JNWJ01000019.1</t>
  </si>
  <si>
    <t>NZ_LIQZ01000250.1</t>
  </si>
  <si>
    <t>#----------- Cluster: 1001096 (amount of orthologs = 2)</t>
  </si>
  <si>
    <t>NZ_JOFL01000001.1</t>
  </si>
  <si>
    <t>#----------- Cluster: 1000584 (amount of orthologs = 3)</t>
  </si>
  <si>
    <t>#----------- Cluster: 1000523 (amount of orthologs = 2)</t>
  </si>
  <si>
    <t>NZ_AEYX01000017.1</t>
  </si>
  <si>
    <t>#----------- Cluster: 1001239 (amount of orthologs = 2)</t>
  </si>
  <si>
    <t>NZ_LFXA01000002.1</t>
  </si>
  <si>
    <t>NZ_MVFC01000007.1</t>
  </si>
  <si>
    <t>#----------- Cluster: 1001033 (amount of orthologs = 2)</t>
  </si>
  <si>
    <t>190;715</t>
  </si>
  <si>
    <t>184;709</t>
  </si>
  <si>
    <t>NZ_LIQS01000054.1</t>
  </si>
  <si>
    <t>#----------- Cluster: 1000810 (amount of orthologs = 19)</t>
  </si>
  <si>
    <t>NZ_KB904669.1</t>
  </si>
  <si>
    <t>NZ_LIQS01000053.1</t>
  </si>
  <si>
    <t>NZ_LIRG01000027.1</t>
  </si>
  <si>
    <t>NZ_JUJA01000161.1</t>
  </si>
  <si>
    <t>64;982</t>
  </si>
  <si>
    <t>49;958</t>
  </si>
  <si>
    <t>NZ_MUMD01000159.1</t>
  </si>
  <si>
    <t>NZ_MUME01000229.1</t>
  </si>
  <si>
    <t>NZ_FNFF01000012.1</t>
  </si>
  <si>
    <t>64;484</t>
  </si>
  <si>
    <t>49;460</t>
  </si>
  <si>
    <t>769;859</t>
  </si>
  <si>
    <t>745;835</t>
  </si>
  <si>
    <t>NZ_FODD01000005.1</t>
  </si>
  <si>
    <t>#----------- Cluster: 1000986 (amount of orthologs = 3)</t>
  </si>
  <si>
    <t>NZ_JOBH01000019.1</t>
  </si>
  <si>
    <t>NZ_LN929896.1</t>
  </si>
  <si>
    <t>NZ_LN929895.1</t>
  </si>
  <si>
    <t>#----------- Cluster: 1001424 (amount of orthologs = 8)</t>
  </si>
  <si>
    <t>NZ_AGBF01000036.1</t>
  </si>
  <si>
    <t>NZ_BARG01000010.1</t>
  </si>
  <si>
    <t>NZ_JOFH01000012.1</t>
  </si>
  <si>
    <t>NZ_JNXD01000023.1</t>
  </si>
  <si>
    <t>#----------- Cluster: 1001095 (amount of orthologs = 2)</t>
  </si>
  <si>
    <t>NZ_JOFL01000008.1</t>
  </si>
  <si>
    <t>NZ_LIPP01000064.1</t>
  </si>
  <si>
    <t>#----------- Cluster: 1001251 (amount of orthologs = 2)</t>
  </si>
  <si>
    <t>73;235</t>
  </si>
  <si>
    <t>NZ_DF968294.1</t>
  </si>
  <si>
    <t>#----------- Cluster: 1000426 (amount of orthologs = 3)</t>
  </si>
  <si>
    <t>NZ_KL571064.1</t>
  </si>
  <si>
    <t>#----------- Cluster: 1000574 (amount of orthologs = 2)</t>
  </si>
  <si>
    <t>NZ_AHBF01000080.1</t>
  </si>
  <si>
    <t>#----------- Cluster: 1001051 (amount of orthologs = 3)</t>
  </si>
  <si>
    <t>NZ_JOFU01000013.1</t>
  </si>
  <si>
    <t>1156;2158;2947</t>
  </si>
  <si>
    <t>1024;2026;2812</t>
  </si>
  <si>
    <t>NZ_MVFC01000006.1</t>
  </si>
  <si>
    <t>#----------- Cluster: 1000923 (amount of orthologs = 3)</t>
  </si>
  <si>
    <t>NZ_JNWJ01000133.1</t>
  </si>
  <si>
    <t>520;1435;1603</t>
  </si>
  <si>
    <t>#----------- Cluster: 1000276 (amount of orthologs = 2)</t>
  </si>
  <si>
    <t>NZ_LIQX01000306.1</t>
  </si>
  <si>
    <t>#----------- Cluster: 1000440 (amount of orthologs = 2)</t>
  </si>
  <si>
    <t>NZ_JOEY01000002.1</t>
  </si>
  <si>
    <t>#----------- Cluster: 1000704 (amount of orthologs = 3)</t>
  </si>
  <si>
    <t>NZ_JNYR01000032.1</t>
  </si>
  <si>
    <t>NZ_MAXF01000025.1</t>
  </si>
  <si>
    <t>#----------- Cluster: 1001466 (amount of orthologs = 3)</t>
  </si>
  <si>
    <t>220;511</t>
  </si>
  <si>
    <t>214;493</t>
  </si>
  <si>
    <t>#----------- Cluster: 1001084 (amount of orthologs = 2)</t>
  </si>
  <si>
    <t>NZ_LN929894.1</t>
  </si>
  <si>
    <t>#----------- Cluster: 1000982 (amount of orthologs = 2)</t>
  </si>
  <si>
    <t>NZ_JNYR01000014.1</t>
  </si>
  <si>
    <t>NZ_JODY01000018.1</t>
  </si>
  <si>
    <t>#----------- Cluster: 1000830 (amount of orthologs = 2)</t>
  </si>
  <si>
    <t>#----------- Cluster: 1000070 (amount of orthologs = 2)</t>
  </si>
  <si>
    <t>NZ_JOBH01000006.1</t>
  </si>
  <si>
    <t>205;241</t>
  </si>
  <si>
    <t>190;226</t>
  </si>
  <si>
    <t>NZ_KB904661.1</t>
  </si>
  <si>
    <t>#----------- Cluster: 1000418 (amount of orthologs = 2)</t>
  </si>
  <si>
    <t>#----------- Cluster: 1000150 (amount of orthologs = 3)</t>
  </si>
  <si>
    <t>NZ_MAXF01000024.1</t>
  </si>
  <si>
    <t>#----------- Cluster: 1000635 (amount of orthologs = 7)</t>
  </si>
  <si>
    <t>NZ_AJSZ01000545.1</t>
  </si>
  <si>
    <t>NZ_AJSZ01000362.1</t>
  </si>
  <si>
    <t>55;298</t>
  </si>
  <si>
    <t>43;286</t>
  </si>
  <si>
    <t>NZ_JYIJ01000014.1</t>
  </si>
  <si>
    <t>NZ_JUJA01000167.1</t>
  </si>
  <si>
    <t>#----------- Cluster: 1001011 (amount of orthologs = 2)</t>
  </si>
  <si>
    <t>NZ_JOEI01000019.1</t>
  </si>
  <si>
    <t>#----------- Cluster: 1001335 (amount of orthologs = 2)</t>
  </si>
  <si>
    <t>NZ_BARG01000025.1</t>
  </si>
  <si>
    <t>#----------- Cluster: 1001207 (amount of orthologs = 2)</t>
  </si>
  <si>
    <t>#----------- Cluster: 1001491 (amount of orthologs = 97)</t>
  </si>
  <si>
    <t>NZ_JOEI01000046.1</t>
  </si>
  <si>
    <t>NZ_LFBV01000007.1</t>
  </si>
  <si>
    <t>NZ_FONG01000006.1</t>
  </si>
  <si>
    <t>1945;3538</t>
  </si>
  <si>
    <t>574;1336</t>
  </si>
  <si>
    <t>NZ_FRBI01000021.1</t>
  </si>
  <si>
    <t>3313;3484</t>
  </si>
  <si>
    <t>193;286</t>
  </si>
  <si>
    <t>700;877</t>
  </si>
  <si>
    <t>58;163</t>
  </si>
  <si>
    <t>1567;1573</t>
  </si>
  <si>
    <t>529;535</t>
  </si>
  <si>
    <t>1630;3313</t>
  </si>
  <si>
    <t>613;1351</t>
  </si>
  <si>
    <t>NZ_AHBF01000019.1</t>
  </si>
  <si>
    <t>NZ_AHBF01000039.1</t>
  </si>
  <si>
    <t>4729;6298</t>
  </si>
  <si>
    <t>1588;2317</t>
  </si>
  <si>
    <t>NZ_AHBF01000033.1</t>
  </si>
  <si>
    <t>2116;2125;2140;2656</t>
  </si>
  <si>
    <t>1030;1039;1054;1132</t>
  </si>
  <si>
    <t>NZ_AHBF01000010.1</t>
  </si>
  <si>
    <t>NZ_AEJB01000173.1</t>
  </si>
  <si>
    <t>4783;5158</t>
  </si>
  <si>
    <t>1231;1429</t>
  </si>
  <si>
    <t>NZ_AEJB01000182.1</t>
  </si>
  <si>
    <t>NZ_AEJB01000523.1</t>
  </si>
  <si>
    <t>3328;3526</t>
  </si>
  <si>
    <t>430;565</t>
  </si>
  <si>
    <t>NZ_AEJB01000196.1</t>
  </si>
  <si>
    <t>364;988</t>
  </si>
  <si>
    <t>37;430</t>
  </si>
  <si>
    <t>NZ_AORZ01000012.1</t>
  </si>
  <si>
    <t>1102;1285;1603;1957</t>
  </si>
  <si>
    <t>415;526;742;922</t>
  </si>
  <si>
    <t>NZ_KB889697.1</t>
  </si>
  <si>
    <t>4147;5014</t>
  </si>
  <si>
    <t>1795;2266</t>
  </si>
  <si>
    <t>NZ_BARG01000052.1</t>
  </si>
  <si>
    <t>1795;3211;4078;6742</t>
  </si>
  <si>
    <t>652;1303;1741;3136</t>
  </si>
  <si>
    <t>NZ_KL571081.1</t>
  </si>
  <si>
    <t>NZ_JNXG01000009.1</t>
  </si>
  <si>
    <t>NZ_JOBH01000012.1</t>
  </si>
  <si>
    <t>NZ_JODY01000014.1</t>
  </si>
  <si>
    <t>NZ_JODY01000024.1</t>
  </si>
  <si>
    <t>NZ_JOEI01000016.1</t>
  </si>
  <si>
    <t>3358;5812</t>
  </si>
  <si>
    <t>979;2278</t>
  </si>
  <si>
    <t>NZ_JOEY01000007.1</t>
  </si>
  <si>
    <t>NZ_JOEY01000066.1</t>
  </si>
  <si>
    <t>NZ_JOFU01000049.1</t>
  </si>
  <si>
    <t>2656;4693;5665</t>
  </si>
  <si>
    <t>856;2026;2530</t>
  </si>
  <si>
    <t>NZ_JOAK01000012.1</t>
  </si>
  <si>
    <t>NZ_JOFH01000015.1</t>
  </si>
  <si>
    <t>553;3586</t>
  </si>
  <si>
    <t>106;1714</t>
  </si>
  <si>
    <t>NZ_LFXA01000017.1</t>
  </si>
  <si>
    <t>2029;2107;2116</t>
  </si>
  <si>
    <t>1012;1033;1042</t>
  </si>
  <si>
    <t>NZ_LIQX01000509.1</t>
  </si>
  <si>
    <t>NZ_LIQS01000307.1</t>
  </si>
  <si>
    <t>NZ_LN929893.1</t>
  </si>
  <si>
    <t>NZ_KQ948471.1</t>
  </si>
  <si>
    <t>901;2107;3676</t>
  </si>
  <si>
    <t>25;766;1576</t>
  </si>
  <si>
    <t>2674;6418</t>
  </si>
  <si>
    <t>1099;3187</t>
  </si>
  <si>
    <t>NZ_LOHS01000031.1</t>
  </si>
  <si>
    <t>889;2977</t>
  </si>
  <si>
    <t>61;1150</t>
  </si>
  <si>
    <t>2827;5500</t>
  </si>
  <si>
    <t>985;2425</t>
  </si>
  <si>
    <t>NZ_MAXF01000199.1</t>
  </si>
  <si>
    <t>NZ_MAXF01000185.1</t>
  </si>
  <si>
    <t>2866;3310;3313;4921;5581;6274;6424</t>
  </si>
  <si>
    <t>88;400;403;1249;1558;1942;2062</t>
  </si>
  <si>
    <t>NZ_MAXF01000070.1</t>
  </si>
  <si>
    <t>1411;1936</t>
  </si>
  <si>
    <t>430;742</t>
  </si>
  <si>
    <t>901;2674</t>
  </si>
  <si>
    <t>25;895</t>
  </si>
  <si>
    <t>2932;3478</t>
  </si>
  <si>
    <t>1081;1423</t>
  </si>
  <si>
    <t>NZ_LJGU01000137.1</t>
  </si>
  <si>
    <t>Streptomyces oceani</t>
  </si>
  <si>
    <t>NZ_LJGU01000115.1</t>
  </si>
  <si>
    <t>NZ_LJGW01000044.1</t>
  </si>
  <si>
    <t>NZ_LFBV01000010.1</t>
  </si>
  <si>
    <t>NZ_LFBV01000003.1</t>
  </si>
  <si>
    <t>937;2656</t>
  </si>
  <si>
    <t>76;868</t>
  </si>
  <si>
    <t>NZ_MUMD01000020.1</t>
  </si>
  <si>
    <t>NZ_MUME01000444.1</t>
  </si>
  <si>
    <t>5476;6715</t>
  </si>
  <si>
    <t>2506;3181</t>
  </si>
  <si>
    <t>889;3313</t>
  </si>
  <si>
    <t>16;1330</t>
  </si>
  <si>
    <t>NZ_FOET01000011.1</t>
  </si>
  <si>
    <t>NZ_FONG01000002.1</t>
  </si>
  <si>
    <t>1039;5644;5962</t>
  </si>
  <si>
    <t>145;2569;2731</t>
  </si>
  <si>
    <t>2452;4939</t>
  </si>
  <si>
    <t>718;2158</t>
  </si>
  <si>
    <t>NZ_FRBI01000005.1</t>
  </si>
  <si>
    <t>889;907;1114;3010</t>
  </si>
  <si>
    <t>13;31;217;1174</t>
  </si>
  <si>
    <t>NZ_FRBI01000003.1</t>
  </si>
  <si>
    <t>#----------- Cluster: 1000279 (amount of orthologs = 8)</t>
  </si>
  <si>
    <t>262;625</t>
  </si>
  <si>
    <t>256;616</t>
  </si>
  <si>
    <t>NZ_LIQZ01000298.1</t>
  </si>
  <si>
    <t>NZ_KQ948474.1</t>
  </si>
  <si>
    <t>NZ_KQ948483.1</t>
  </si>
  <si>
    <t>NZ_KQ948484.1</t>
  </si>
  <si>
    <t>#----------- Cluster: 1000695 (amount of orthologs = 3)</t>
  </si>
  <si>
    <t>NZ_LIQX01000019.1</t>
  </si>
  <si>
    <t>#----------- Cluster: 1000199 (amount of orthologs = 13)</t>
  </si>
  <si>
    <t>NZ_AHBF01000001.1</t>
  </si>
  <si>
    <t>NZ_JNXG01000002.1</t>
  </si>
  <si>
    <t>NZ_JOEY01000034.1</t>
  </si>
  <si>
    <t>NZ_JOII01000015.1</t>
  </si>
  <si>
    <t>NZ_LIQX01000232.1</t>
  </si>
  <si>
    <t>NZ_KQ948311.1</t>
  </si>
  <si>
    <t>NZ_KQ948457.1</t>
  </si>
  <si>
    <t>NZ_LFBV01000009.1</t>
  </si>
  <si>
    <t>#----------- Cluster: 1000088 (amount of orthologs = 5)</t>
  </si>
  <si>
    <t>NZ_JNXG01000025.1</t>
  </si>
  <si>
    <t>NZ_DF968188.1</t>
  </si>
  <si>
    <t>#----------- Cluster: 1000979 (amount of orthologs = 2)</t>
  </si>
  <si>
    <t>NZ_JNYR01000018.1</t>
  </si>
  <si>
    <t>NZ_JOBH01000001.1</t>
  </si>
  <si>
    <t>#----------- Cluster: 1000831 (amount of orthologs = 2)</t>
  </si>
  <si>
    <t>NZ_JOFU01000010.1</t>
  </si>
  <si>
    <t>#----------- Cluster: 1001373 (amount of orthologs = 2)</t>
  </si>
  <si>
    <t>#----------- Cluster: 1000076 (amount of orthologs = 3)</t>
  </si>
  <si>
    <t>NZ_DS999642.1</t>
  </si>
  <si>
    <t>#----------- Cluster: 1001109 (amount of orthologs = 2)</t>
  </si>
  <si>
    <t>NZ_JOID01000028.1</t>
  </si>
  <si>
    <t>NZ_FOET01000020.1</t>
  </si>
  <si>
    <t>#----------- Cluster: 1000093 (amount of orthologs = 8)</t>
  </si>
  <si>
    <t>NZ_DF968469.1</t>
  </si>
  <si>
    <t>NZ_AJSZ01000951.1</t>
  </si>
  <si>
    <t>NZ_JOBH01000003.1</t>
  </si>
  <si>
    <t>NZ_JOEI01000010.1</t>
  </si>
  <si>
    <t>NZ_LIQS01000563.1</t>
  </si>
  <si>
    <t>214;2257</t>
  </si>
  <si>
    <t>205;1756</t>
  </si>
  <si>
    <t>#----------- Cluster: 1000247 (amount of orthologs = 2)</t>
  </si>
  <si>
    <t>#----------- Cluster: 1000341 (amount of orthologs = 2)</t>
  </si>
  <si>
    <t>NZ_JYIJ01000018.1</t>
  </si>
  <si>
    <t>#----------- Cluster: 1001135 (amount of orthologs = 4)</t>
  </si>
  <si>
    <t>52;238</t>
  </si>
  <si>
    <t>4;190</t>
  </si>
  <si>
    <t>NZ_JOFH01000013.1</t>
  </si>
  <si>
    <t>NZ_FOLM01000025.1</t>
  </si>
  <si>
    <t>#----------- Cluster: 1000059 (amount of orthologs = 4)</t>
  </si>
  <si>
    <t>NZ_AJSZ01000908.1</t>
  </si>
  <si>
    <t>9055;12052</t>
  </si>
  <si>
    <t>1204;3733</t>
  </si>
  <si>
    <t>NZ_LN929764.1</t>
  </si>
  <si>
    <t>#----------- Cluster: 1000521 (amount of orthologs = 2)</t>
  </si>
  <si>
    <t>NZ_AEYX01000004.1</t>
  </si>
  <si>
    <t>#----------- Cluster: 1000142 (amount of orthologs = 4)</t>
  </si>
  <si>
    <t>NZ_AGBF01000008.1</t>
  </si>
  <si>
    <t>517;766</t>
  </si>
  <si>
    <t>271;514</t>
  </si>
  <si>
    <t>NZ_AUBE01000001.1</t>
  </si>
  <si>
    <t>NZ_JNYR01000042.1</t>
  </si>
  <si>
    <t>#----------- Cluster: 1000541 (amount of orthologs = 2)</t>
  </si>
  <si>
    <t>#----------- Cluster: 1001067 (amount of orthologs = 2)</t>
  </si>
  <si>
    <t>NZ_AORZ01000081.1</t>
  </si>
  <si>
    <t>3061;3199;3574;3649</t>
  </si>
  <si>
    <t>2443;2581;2881;2953</t>
  </si>
  <si>
    <t>NZ_JOBF01000018.1</t>
  </si>
  <si>
    <t>#----------- Cluster: 1000559 (amount of orthologs = 2)</t>
  </si>
  <si>
    <t>NZ_KB904670.1</t>
  </si>
  <si>
    <t>#----------- Cluster: 1000095 (amount of orthologs = 19)</t>
  </si>
  <si>
    <t>NZ_LIQZ01000007.1</t>
  </si>
  <si>
    <t>NZ_AEYX01000038.1</t>
  </si>
  <si>
    <t>NZ_AHBF01000043.1</t>
  </si>
  <si>
    <t>NZ_JOEY01000029.1</t>
  </si>
  <si>
    <t>NZ_JOBF01000004.1</t>
  </si>
  <si>
    <t>NZ_JOFH01000014.1</t>
  </si>
  <si>
    <t>NZ_LIPP01000128.1</t>
  </si>
  <si>
    <t>NZ_LIQX01000346.1</t>
  </si>
  <si>
    <t>NZ_KQ948307.1</t>
  </si>
  <si>
    <t>NZ_KQ948465.1</t>
  </si>
  <si>
    <t>#----------- Cluster: 1001015 (amount of orthologs = 2)</t>
  </si>
  <si>
    <t>NZ_JOEI01000007.1</t>
  </si>
  <si>
    <t>#----------- Cluster: 1001310 (amount of orthologs = 3)</t>
  </si>
  <si>
    <t>NZ_AJSZ01000523.1</t>
  </si>
  <si>
    <t>NZ_AUBE01000007.1</t>
  </si>
  <si>
    <t>#----------- Cluster: 1000180 (amount of orthologs = 2)</t>
  </si>
  <si>
    <t>NZ_JOID01000017.1</t>
  </si>
  <si>
    <t>#----------- Cluster: 1001447 (amount of orthologs = 2)</t>
  </si>
  <si>
    <t>NZ_FOGO01000014.1</t>
  </si>
  <si>
    <t>#----------- Cluster: 1001417 (amount of orthologs = 2)</t>
  </si>
  <si>
    <t>NZ_LN831789.1</t>
  </si>
  <si>
    <t>#----------- Cluster: 1000039 (amount of orthologs = 7)</t>
  </si>
  <si>
    <t>NZ_AEJB01000323.1</t>
  </si>
  <si>
    <t>NZ_MUMD01000136.1</t>
  </si>
  <si>
    <t>NZ_LIQZ01000086.1</t>
  </si>
  <si>
    <t>#----------- Cluster: 1000382 (amount of orthologs = 2)</t>
  </si>
  <si>
    <t>#----------- Cluster: 1000439 (amount of orthologs = 33)</t>
  </si>
  <si>
    <t>367;685</t>
  </si>
  <si>
    <t>217;472</t>
  </si>
  <si>
    <t>199;220</t>
  </si>
  <si>
    <t>NZ_AHBF01000066.1</t>
  </si>
  <si>
    <t>NZ_KB904634.1</t>
  </si>
  <si>
    <t>NZ_JNXG01000005.1</t>
  </si>
  <si>
    <t>NZ_JNYR01000019.1</t>
  </si>
  <si>
    <t>NZ_JNXD01000064.1</t>
  </si>
  <si>
    <t>NZ_JQJU01000015.1</t>
  </si>
  <si>
    <t>145;166</t>
  </si>
  <si>
    <t>NZ_LIRG01000269.1</t>
  </si>
  <si>
    <t>220;1054</t>
  </si>
  <si>
    <t>82;790</t>
  </si>
  <si>
    <t>NZ_MAXF01000087.1</t>
  </si>
  <si>
    <t>NZ_LFBV01000004.1</t>
  </si>
  <si>
    <t>NZ_JUJA01000113.1</t>
  </si>
  <si>
    <t>NZ_FOLM01000008.1</t>
  </si>
  <si>
    <t>NZ_FRBI01000025.1</t>
  </si>
  <si>
    <t>NZ_FRBI01000016.1</t>
  </si>
  <si>
    <t>#----------- Cluster: 1000772 (amount of orthologs = 2)</t>
  </si>
  <si>
    <t>NZ_BARG01000124.1</t>
  </si>
  <si>
    <t>589;1012</t>
  </si>
  <si>
    <t>583;1006</t>
  </si>
  <si>
    <t>#----------- Cluster: 1001030 (amount of orthologs = 6)</t>
  </si>
  <si>
    <t>NZ_LIQS01000259.1</t>
  </si>
  <si>
    <t>NZ_JUJA01000040.1</t>
  </si>
  <si>
    <t>#----------- Cluster: 1001402 (amount of orthologs = 3)</t>
  </si>
  <si>
    <t>NZ_MAXF01000133.1</t>
  </si>
  <si>
    <t>#----------- Cluster: 1000322 (amount of orthologs = 2)</t>
  </si>
  <si>
    <t>#----------- Cluster: 1000086 (amount of orthologs = 4)</t>
  </si>
  <si>
    <t>304;679</t>
  </si>
  <si>
    <t>283;658</t>
  </si>
  <si>
    <t>#----------- Cluster: 1000236 (amount of orthologs = 2)</t>
  </si>
  <si>
    <t>NZ_JNXG01000001.1</t>
  </si>
  <si>
    <t>#----------- Cluster: 1000240 (amount of orthologs = 2)</t>
  </si>
  <si>
    <t>#----------- Cluster: 1000137 (amount of orthologs = 4)</t>
  </si>
  <si>
    <t>NZ_JUJA01000068.1</t>
  </si>
  <si>
    <t>268;547</t>
  </si>
  <si>
    <t>145;412</t>
  </si>
  <si>
    <t>#----------- Cluster: 1000082 (amount of orthologs = 4)</t>
  </si>
  <si>
    <t>NZ_JOFH01000106.1</t>
  </si>
  <si>
    <t>NZ_LIQS01000545.1</t>
  </si>
  <si>
    <t>NZ_KQ948497.1</t>
  </si>
  <si>
    <t>#----------- Cluster: 1000332 (amount of orthologs = 2)</t>
  </si>
  <si>
    <t>385;661</t>
  </si>
  <si>
    <t>NZ_LIQY01000363.1</t>
  </si>
  <si>
    <t>#----------- Cluster: 1001265 (amount of orthologs = 2)</t>
  </si>
  <si>
    <t>NZ_LIPP01000014.1</t>
  </si>
  <si>
    <t>NZ_JUJA01000119.1</t>
  </si>
  <si>
    <t>#----------- Cluster: 1000957 (amount of orthologs = 2)</t>
  </si>
  <si>
    <t>NZ_LIQZ01000076.1</t>
  </si>
  <si>
    <t>#----------- Cluster: 1000383 (amount of orthologs = 5)</t>
  </si>
  <si>
    <t>NZ_JOEI01000009.1</t>
  </si>
  <si>
    <t>NZ_JOID01000012.1</t>
  </si>
  <si>
    <t>#----------- Cluster: 1000876 (amount of orthologs = 2)</t>
  </si>
  <si>
    <t>NZ_AUBE01000005.1</t>
  </si>
  <si>
    <t>#----------- Cluster: 1001314 (amount of orthologs = 3)</t>
  </si>
  <si>
    <t>#----------- Cluster: 1000928 (amount of orthologs = 2)</t>
  </si>
  <si>
    <t>NZ_JNWJ01000086.1</t>
  </si>
  <si>
    <t>NZ_JOID01000023.1</t>
  </si>
  <si>
    <t>#----------- Cluster: 1000572 (amount of orthologs = 3)</t>
  </si>
  <si>
    <t>NZ_AHBF01000072.1</t>
  </si>
  <si>
    <t>NZ_JUJA01000011.1</t>
  </si>
  <si>
    <t>NZ_MVFC01000079.1</t>
  </si>
  <si>
    <t>#----------- Cluster: 1000996 (amount of orthologs = 3)</t>
  </si>
  <si>
    <t>241;400;1291;1348</t>
  </si>
  <si>
    <t>181;340;1189;1243</t>
  </si>
  <si>
    <t>NZ_JODY01000055.1</t>
  </si>
  <si>
    <t>#----------- Cluster: 1001337 (amount of orthologs = 9)</t>
  </si>
  <si>
    <t>2971;5650;8515</t>
  </si>
  <si>
    <t>463;2707;3283</t>
  </si>
  <si>
    <t>NZ_JOEI01000037.1</t>
  </si>
  <si>
    <t>#----------- Cluster: 1001016 (amount of orthologs = 2)</t>
  </si>
  <si>
    <t>322;493</t>
  </si>
  <si>
    <t>NZ_JOEI01000014.1</t>
  </si>
  <si>
    <t>#----------- Cluster: 1000445 (amount of orthologs = 2)</t>
  </si>
  <si>
    <t>NZ_JOFL01000007.1</t>
  </si>
  <si>
    <t>#----------- Cluster: 1001216 (amount of orthologs = 4)</t>
  </si>
  <si>
    <t>NZ_MVFC01000042.1</t>
  </si>
  <si>
    <t>#----------- Cluster: 1001514 (amount of orthologs = 5)</t>
  </si>
  <si>
    <t>NZ_MAXF01000077.1</t>
  </si>
  <si>
    <t>NZ_FOLM01000021.1</t>
  </si>
  <si>
    <t>#----------- Cluster: 1001176 (amount of orthologs = 2)</t>
  </si>
  <si>
    <t>NZ_MUME01000025.1</t>
  </si>
  <si>
    <t>#----------- Cluster: 1000814 (amount of orthologs = 3)</t>
  </si>
  <si>
    <t>NZ_KB904651.1</t>
  </si>
  <si>
    <t>NZ_JOFL01000019.1</t>
  </si>
  <si>
    <t>#----------- Cluster: 1000804 (amount of orthologs = 3)</t>
  </si>
  <si>
    <t>508;775</t>
  </si>
  <si>
    <t>499;766</t>
  </si>
  <si>
    <t>223;508</t>
  </si>
  <si>
    <t>220;505</t>
  </si>
  <si>
    <t>#----------- Cluster: 1000629 (amount of orthologs = 2)</t>
  </si>
  <si>
    <t>NZ_JNXD01000018.1</t>
  </si>
  <si>
    <t>#----------- Cluster: 1001130 (amount of orthologs = 2)</t>
  </si>
  <si>
    <t>NZ_LIQS01000394.1</t>
  </si>
  <si>
    <t>#----------- Cluster: 1001396 (amount of orthologs = 4)</t>
  </si>
  <si>
    <t>NZ_AORZ01000007.1</t>
  </si>
  <si>
    <t>NZ_LIPP01000437.1</t>
  </si>
  <si>
    <t>NZ_MAXF01000093.1</t>
  </si>
  <si>
    <t>79;457;538;1192</t>
  </si>
  <si>
    <t>67;418;499;1153</t>
  </si>
  <si>
    <t>#----------- Cluster: 1001390 (amount of orthologs = 2)</t>
  </si>
  <si>
    <t>#----------- Cluster: 1001231 (amount of orthologs = 2)</t>
  </si>
  <si>
    <t>#----------- Cluster: 1000534 (amount of orthologs = 2)</t>
  </si>
  <si>
    <t>NZ_AGBF01000028.1</t>
  </si>
  <si>
    <t>NZ_MUME01000379.1</t>
  </si>
  <si>
    <t>#----------- Cluster: 1001364 (amount of orthologs = 2)</t>
  </si>
  <si>
    <t>#----------- Cluster: 1000645 (amount of orthologs = 2)</t>
  </si>
  <si>
    <t>NZ_AJSZ01000705.1</t>
  </si>
  <si>
    <t>NZ_FRBI01000014.1</t>
  </si>
  <si>
    <t>#----------- Cluster: 1000708 (amount of orthologs = 2)</t>
  </si>
  <si>
    <t>NZ_AORZ01000046.1</t>
  </si>
  <si>
    <t>#----------- Cluster: 1000938 (amount of orthologs = 2)</t>
  </si>
  <si>
    <t>NZ_JNWJ01000077.1</t>
  </si>
  <si>
    <t>#----------- Cluster: 1001412 (amount of orthologs = 15)</t>
  </si>
  <si>
    <t>NZ_AJSZ01000533.1</t>
  </si>
  <si>
    <t>148;757</t>
  </si>
  <si>
    <t>139;736</t>
  </si>
  <si>
    <t>NZ_JH725389.1</t>
  </si>
  <si>
    <t>NZ_AEJB01000231.1</t>
  </si>
  <si>
    <t>NZ_KB904685.1</t>
  </si>
  <si>
    <t>79;760</t>
  </si>
  <si>
    <t>70;736</t>
  </si>
  <si>
    <t>79;388</t>
  </si>
  <si>
    <t>70;379</t>
  </si>
  <si>
    <t>NZ_JOFU01000007.1</t>
  </si>
  <si>
    <t>NZ_JOID01000004.1</t>
  </si>
  <si>
    <t>NZ_LIQY01000347.1</t>
  </si>
  <si>
    <t>175;835</t>
  </si>
  <si>
    <t>163;808</t>
  </si>
  <si>
    <t>82;115</t>
  </si>
  <si>
    <t>67;100</t>
  </si>
  <si>
    <t>NZ_MUME01000224.1</t>
  </si>
  <si>
    <t>#----------- Cluster: 1001343 (amount of orthologs = 3)</t>
  </si>
  <si>
    <t>166;463</t>
  </si>
  <si>
    <t>160;457</t>
  </si>
  <si>
    <t>#----------- Cluster: 1000732 (amount of orthologs = 3)</t>
  </si>
  <si>
    <t>NZ_JOEY01000022.1</t>
  </si>
  <si>
    <t>#----------- Cluster: 1000970 (amount of orthologs = 2)</t>
  </si>
  <si>
    <t>NZ_JNYR01000027.1</t>
  </si>
  <si>
    <t>#----------- Cluster: 1000987 (amount of orthologs = 2)</t>
  </si>
  <si>
    <t>NZ_JOBH01000009.1</t>
  </si>
  <si>
    <t>103;748</t>
  </si>
  <si>
    <t>103;721</t>
  </si>
  <si>
    <t>NZ_LOHS01000076.1</t>
  </si>
  <si>
    <t>#----------- Cluster: 1000003 (amount of orthologs = 2)</t>
  </si>
  <si>
    <t>NZ_JODY01000037.1</t>
  </si>
  <si>
    <t>#----------- Cluster: 1001254 (amount of orthologs = 2)</t>
  </si>
  <si>
    <t>#----------- Cluster: 1001278 (amount of orthologs = 2)</t>
  </si>
  <si>
    <t>NZ_LIQX01000154.1</t>
  </si>
  <si>
    <t>#----------- Cluster: 1001072 (amount of orthologs = 2)</t>
  </si>
  <si>
    <t>NZ_JOBF01000002.1</t>
  </si>
  <si>
    <t>#----------- Cluster: 1001141 (amount of orthologs = 2)</t>
  </si>
  <si>
    <t>NZ_JNXD01000003.1</t>
  </si>
  <si>
    <t>NZ_DF968186.1</t>
  </si>
  <si>
    <t>#----------- Cluster: 1001242 (amount of orthologs = 2)</t>
  </si>
  <si>
    <t>NZ_LFXA01000004.1</t>
  </si>
  <si>
    <t>NZ_MAXF01000095.1</t>
  </si>
  <si>
    <t>#----------- Cluster: 1001112 (amount of orthologs = 2)</t>
  </si>
  <si>
    <t>NZ_JOID01000008.1</t>
  </si>
  <si>
    <t>#----------- Cluster: 1001062 (amount of orthologs = 2)</t>
  </si>
  <si>
    <t>NZ_JOFU01000076.1</t>
  </si>
  <si>
    <t>301;991;2578</t>
  </si>
  <si>
    <t>244;901;2464</t>
  </si>
  <si>
    <t>NZ_LIPP01000039.1</t>
  </si>
  <si>
    <t>#----------- Cluster: 1001139 (amount of orthologs = 3)</t>
  </si>
  <si>
    <t>NZ_JOFH01000032.1</t>
  </si>
  <si>
    <t>NZ_FNFF01000019.1</t>
  </si>
  <si>
    <t>NZ_FNHI01000011.1</t>
  </si>
  <si>
    <t>#----------- Cluster: 1000857 (amount of orthologs = 4)</t>
  </si>
  <si>
    <t>NZ_AUBE01000022.1</t>
  </si>
  <si>
    <t>NZ_FNFF01000001.1</t>
  </si>
  <si>
    <t>#----------- Cluster: 1001194 (amount of orthologs = 2)</t>
  </si>
  <si>
    <t>#----------- Cluster: 1000409 (amount of orthologs = 12)</t>
  </si>
  <si>
    <t>526;538</t>
  </si>
  <si>
    <t>508;520</t>
  </si>
  <si>
    <t>NZ_BARG01000033.1</t>
  </si>
  <si>
    <t>550;1051</t>
  </si>
  <si>
    <t>550;1039</t>
  </si>
  <si>
    <t>NZ_JOEY01000023.1</t>
  </si>
  <si>
    <t>526;541</t>
  </si>
  <si>
    <t>508;523</t>
  </si>
  <si>
    <t>NZ_FNFF01000009.1</t>
  </si>
  <si>
    <t>115;538</t>
  </si>
  <si>
    <t>97;520</t>
  </si>
  <si>
    <t>NZ_FODD01000021.1</t>
  </si>
  <si>
    <t>115;715;1051</t>
  </si>
  <si>
    <t>97;682;1012</t>
  </si>
  <si>
    <t>NZ_FRBI01000039.1</t>
  </si>
  <si>
    <t>#----------- Cluster: 1000530 (amount of orthologs = 3)</t>
  </si>
  <si>
    <t>NZ_AGBF01000056.1</t>
  </si>
  <si>
    <t>NZ_AEJB01000650.1</t>
  </si>
  <si>
    <t>#----------- Cluster: 1000964 (amount of orthologs = 2)</t>
  </si>
  <si>
    <t>#----------- Cluster: 1000423 (amount of orthologs = 9)</t>
  </si>
  <si>
    <t>64;73</t>
  </si>
  <si>
    <t>NZ_LIQS01000013.1</t>
  </si>
  <si>
    <t>NZ_LIQZ01000567.1</t>
  </si>
  <si>
    <t>61;70</t>
  </si>
  <si>
    <t>NZ_MVFC01000004.1</t>
  </si>
  <si>
    <t>#----------- Cluster: 1001250 (amount of orthologs = 2)</t>
  </si>
  <si>
    <t>NZ_DF968242.1</t>
  </si>
  <si>
    <t>NZ_LIQS01000522.1</t>
  </si>
  <si>
    <t>#----------- Cluster: 1000171 (amount of orthologs = 2)</t>
  </si>
  <si>
    <t>NZ_AHBF01000079.1</t>
  </si>
  <si>
    <t>#----------- Cluster: 1000303 (amount of orthologs = 11)</t>
  </si>
  <si>
    <t>13;268</t>
  </si>
  <si>
    <t>13;265</t>
  </si>
  <si>
    <t>NZ_KB889730.1</t>
  </si>
  <si>
    <t>NZ_AUBE01000026.1</t>
  </si>
  <si>
    <t>319;886</t>
  </si>
  <si>
    <t>316;874</t>
  </si>
  <si>
    <t>NZ_JNXD01000011.1</t>
  </si>
  <si>
    <t>NZ_MUME01000060.1</t>
  </si>
  <si>
    <t>#----------- Cluster: 1000734 (amount of orthologs = 3)</t>
  </si>
  <si>
    <t>NZ_JOEY01000003.1</t>
  </si>
  <si>
    <t>#----------- Cluster: 1001086 (amount of orthologs = 2)</t>
  </si>
  <si>
    <t>#----------- Cluster: 1000624 (amount of orthologs = 2)</t>
  </si>
  <si>
    <t>841;1840</t>
  </si>
  <si>
    <t>841;1834</t>
  </si>
  <si>
    <t>NZ_JQJU01000014.1</t>
  </si>
  <si>
    <t>#----------- Cluster: 1000146 (amount of orthologs = 6)</t>
  </si>
  <si>
    <t>472;14488</t>
  </si>
  <si>
    <t>70;4888</t>
  </si>
  <si>
    <t>490;1075</t>
  </si>
  <si>
    <t>487;1072</t>
  </si>
  <si>
    <t>7126;8770</t>
  </si>
  <si>
    <t>352;967</t>
  </si>
  <si>
    <t>NZ_MAXF01000003.1</t>
  </si>
  <si>
    <t>#----------- Cluster: 1001101 (amount of orthologs = 3)</t>
  </si>
  <si>
    <t>NZ_JOID01000002.1</t>
  </si>
  <si>
    <t>NZ_LJGW01000107.1</t>
  </si>
  <si>
    <t>#----------- Cluster: 1000525 (amount of orthologs = 2)</t>
  </si>
  <si>
    <t>NZ_JOEY01000013.1</t>
  </si>
  <si>
    <t>#----------- Cluster: 1001407 (amount of orthologs = 2)</t>
  </si>
  <si>
    <t>16;592</t>
  </si>
  <si>
    <t>16;583</t>
  </si>
  <si>
    <t>NZ_MAXF01000223.1</t>
  </si>
  <si>
    <t>#----------- Cluster: 1000570 (amount of orthologs = 7)</t>
  </si>
  <si>
    <t>NZ_AHBF01000055.1</t>
  </si>
  <si>
    <t>NZ_BARG01000055.1</t>
  </si>
  <si>
    <t>#----------- Cluster: 1001028 (amount of orthologs = 2)</t>
  </si>
  <si>
    <t>85;103</t>
  </si>
  <si>
    <t>NZ_JOEY01000086.1</t>
  </si>
  <si>
    <t>85;103;889</t>
  </si>
  <si>
    <t>85;103;337</t>
  </si>
  <si>
    <t>#----------- Cluster: 1000669 (amount of orthologs = 2)</t>
  </si>
  <si>
    <t>NZ_AEJB01000508.1</t>
  </si>
  <si>
    <t>#----------- Cluster: 1000028 (amount of orthologs = 2)</t>
  </si>
  <si>
    <t>NZ_AHBF01000006.1</t>
  </si>
  <si>
    <t>568;592</t>
  </si>
  <si>
    <t>562;586</t>
  </si>
  <si>
    <t>#----------- Cluster: 1000705 (amount of orthologs = 2)</t>
  </si>
  <si>
    <t>NZ_AORZ01000057.1</t>
  </si>
  <si>
    <t>NZ_KL571077.1</t>
  </si>
  <si>
    <t>#----------- Cluster: 1001526 (amount of orthologs = 3)</t>
  </si>
  <si>
    <t>22;322</t>
  </si>
  <si>
    <t>16;313</t>
  </si>
  <si>
    <t>NZ_JOFU01000025.1</t>
  </si>
  <si>
    <t>208;766</t>
  </si>
  <si>
    <t>199;709</t>
  </si>
  <si>
    <t>NZ_FRBI01000047.1</t>
  </si>
  <si>
    <t>NZ_FZOF01000004.1</t>
  </si>
  <si>
    <t>#----------- Cluster: 1000397 (amount of orthologs = 6)</t>
  </si>
  <si>
    <t>271;289</t>
  </si>
  <si>
    <t>265;283</t>
  </si>
  <si>
    <t>NZ_AEJB01000478.1</t>
  </si>
  <si>
    <t>#----------- Cluster: 1000597 (amount of orthologs = 2)</t>
  </si>
  <si>
    <t>289;676</t>
  </si>
  <si>
    <t>283;661</t>
  </si>
  <si>
    <t>NZ_FRBI01000010.1</t>
  </si>
  <si>
    <t>#----------- Cluster: 1000400 (amount of orthologs = 2)</t>
  </si>
  <si>
    <t>#----------- Cluster: 1000658 (amount of orthologs = 3)</t>
  </si>
  <si>
    <t>NZ_AJSZ01000353.1</t>
  </si>
  <si>
    <t>121;583</t>
  </si>
  <si>
    <t>121;580</t>
  </si>
  <si>
    <t>#----------- Cluster: 1000514 (amount of orthologs = 3)</t>
  </si>
  <si>
    <t>NZ_AEYX01000039.1</t>
  </si>
  <si>
    <t>NZ_JOID01000001.1</t>
  </si>
  <si>
    <t>NZ_FZOF01000014.1</t>
  </si>
  <si>
    <t>#----------- Cluster: 1000703 (amount of orthologs = 5)</t>
  </si>
  <si>
    <t>NZ_AORZ01000115.1</t>
  </si>
  <si>
    <t>NZ_KB904691.1</t>
  </si>
  <si>
    <t>124;580</t>
  </si>
  <si>
    <t>112;559</t>
  </si>
  <si>
    <t>NZ_JOAK01000005.1</t>
  </si>
  <si>
    <t>#----------- Cluster: 1000376 (amount of orthologs = 3)</t>
  </si>
  <si>
    <t>NZ_JNYL01000208.1</t>
  </si>
  <si>
    <t>NZ_JOBH01000005.1</t>
  </si>
  <si>
    <t>#----------- Cluster: 1000268 (amount of orthologs = 17)</t>
  </si>
  <si>
    <t>394;427</t>
  </si>
  <si>
    <t>331;364</t>
  </si>
  <si>
    <t>256;832</t>
  </si>
  <si>
    <t>220;784</t>
  </si>
  <si>
    <t>NZ_KB889642.1</t>
  </si>
  <si>
    <t>NZ_JNWJ01000093.1</t>
  </si>
  <si>
    <t>64;118</t>
  </si>
  <si>
    <t>16;70</t>
  </si>
  <si>
    <t>NZ_JOEY01000108.1</t>
  </si>
  <si>
    <t>73;394</t>
  </si>
  <si>
    <t>43;361</t>
  </si>
  <si>
    <t>NZ_LIQR01000152.1</t>
  </si>
  <si>
    <t>NZ_JYIJ01000009.1</t>
  </si>
  <si>
    <t>NZ_JYIJ01000002.1</t>
  </si>
  <si>
    <t>NZ_JYIJ01000012.1</t>
  </si>
  <si>
    <t>NZ_FNHI01000034.1</t>
  </si>
  <si>
    <t>NZ_FRBI01000046.1</t>
  </si>
  <si>
    <t>NZ_FRBI01000041.1</t>
  </si>
  <si>
    <t>#----------- Cluster: 1001182 (amount of orthologs = 2)</t>
  </si>
  <si>
    <t>NZ_LIQY01000156.1</t>
  </si>
  <si>
    <t>#----------- Cluster: 1001000 (amount of orthologs = 3)</t>
  </si>
  <si>
    <t>NZ_JODY01000032.1</t>
  </si>
  <si>
    <t>NZ_MVFC01000018.1</t>
  </si>
  <si>
    <t>#----------- Cluster: 1000029 (amount of orthologs = 3)</t>
  </si>
  <si>
    <t>NZ_JOBF01000006.1</t>
  </si>
  <si>
    <t>#----------- Cluster: 1000256 (amount of orthologs = 3)</t>
  </si>
  <si>
    <t>#----------- Cluster: 1001273 (amount of orthologs = 4)</t>
  </si>
  <si>
    <t>NZ_LIQX01000337.1</t>
  </si>
  <si>
    <t>NZ_LIQZ01000270.1</t>
  </si>
  <si>
    <t>NZ_KQ948327.1</t>
  </si>
  <si>
    <t>#----------- Cluster: 1001280 (amount of orthologs = 7)</t>
  </si>
  <si>
    <t>88;430</t>
  </si>
  <si>
    <t>88;412</t>
  </si>
  <si>
    <t>NZ_LIQX01000339.1</t>
  </si>
  <si>
    <t>52;529</t>
  </si>
  <si>
    <t>49;505</t>
  </si>
  <si>
    <t>#----------- Cluster: 1000962 (amount of orthologs = 2)</t>
  </si>
  <si>
    <t>NZ_LIQS01000127.1</t>
  </si>
  <si>
    <t>#----------- Cluster: 1001007 (amount of orthologs = 4)</t>
  </si>
  <si>
    <t>NZ_JOEI01000015.1</t>
  </si>
  <si>
    <t>NZ_JQJU01000005.1</t>
  </si>
  <si>
    <t>NZ_JYIJ01000015.1</t>
  </si>
  <si>
    <t>#----------- Cluster: 1001561 (amount of orthologs = 2)</t>
  </si>
  <si>
    <t>NC_028952.1</t>
  </si>
  <si>
    <t>Streptomyces phage SF3</t>
  </si>
  <si>
    <t>NC_028807.1</t>
  </si>
  <si>
    <t>Streptomyces phage SF1</t>
  </si>
  <si>
    <t>#----------- Cluster: 1001358 (amount of orthologs = 3)</t>
  </si>
  <si>
    <t>NZ_JOFU01000072.1</t>
  </si>
  <si>
    <t>52;76</t>
  </si>
  <si>
    <t>#----------- Cluster: 1001474 (amount of orthologs = 2)</t>
  </si>
  <si>
    <t>826;2620</t>
  </si>
  <si>
    <t>313;2107</t>
  </si>
  <si>
    <t>2740;2848</t>
  </si>
  <si>
    <t>2740;2845</t>
  </si>
  <si>
    <t>NZ_MVFC01000038.1</t>
  </si>
  <si>
    <t>#----------- Cluster: 1000934 (amount of orthologs = 2)</t>
  </si>
  <si>
    <t>NZ_JNWJ01000084.1</t>
  </si>
  <si>
    <t>NZ_JODY01000005.1</t>
  </si>
  <si>
    <t>#----------- Cluster: 1001162 (amount of orthologs = 2)</t>
  </si>
  <si>
    <t>NZ_JQJU01000022.1</t>
  </si>
  <si>
    <t>#----------- Cluster: 1000586 (amount of orthologs = 10)</t>
  </si>
  <si>
    <t>NZ_JH725388.1</t>
  </si>
  <si>
    <t>NZ_JOEY01000019.1</t>
  </si>
  <si>
    <t>NZ_JNXD01000005.1</t>
  </si>
  <si>
    <t>NZ_MUBL01000236.1</t>
  </si>
  <si>
    <t>#----------- Cluster: 1000478 (amount of orthologs = 4)</t>
  </si>
  <si>
    <t>148;442</t>
  </si>
  <si>
    <t>148;439</t>
  </si>
  <si>
    <t>#----------- Cluster: 1001080 (amount of orthologs = 2)</t>
  </si>
  <si>
    <t>#----------- Cluster: 1000805 (amount of orthologs = 2)</t>
  </si>
  <si>
    <t>NZ_KB904715.1</t>
  </si>
  <si>
    <t>#----------- Cluster: 1000769 (amount of orthologs = 2)</t>
  </si>
  <si>
    <t>NZ_BARG01000047.1</t>
  </si>
  <si>
    <t>NZ_LIQZ01000269.1</t>
  </si>
  <si>
    <t>#----------- Cluster: 1000604 (amount of orthologs = 2)</t>
  </si>
  <si>
    <t>NZ_BARG01000094.1</t>
  </si>
  <si>
    <t>#----------- Cluster: 1000016 (amount of orthologs = 2)</t>
  </si>
  <si>
    <t>NZ_MAXF01000210.1</t>
  </si>
  <si>
    <t>#----------- Cluster: 1000481 (amount of orthologs = 2)</t>
  </si>
  <si>
    <t>124;397</t>
  </si>
  <si>
    <t>112;385</t>
  </si>
  <si>
    <t>#----------- Cluster: 1001507 (amount of orthologs = 2)</t>
  </si>
  <si>
    <t>1354;2026;2461</t>
  </si>
  <si>
    <t>1312;1963;2398</t>
  </si>
  <si>
    <t>NZ_LIPP01000311.1</t>
  </si>
  <si>
    <t>#----------- Cluster: 1000956 (amount of orthologs = 4)</t>
  </si>
  <si>
    <t>NZ_JOBH01000017.1</t>
  </si>
  <si>
    <t>NZ_LFBV01000001.1</t>
  </si>
  <si>
    <t>#----------- Cluster: 1000263 (amount of orthologs = 6)</t>
  </si>
  <si>
    <t>NZ_AHBF01000094.1</t>
  </si>
  <si>
    <t>NZ_LIQX01000089.1</t>
  </si>
  <si>
    <t>NZ_MVFC01000013.1</t>
  </si>
  <si>
    <t>NZ_MUMD01000215.1</t>
  </si>
  <si>
    <t>#----------- Cluster: 1000091 (amount of orthologs = 2)</t>
  </si>
  <si>
    <t>#----------- Cluster: 1000563 (amount of orthologs = 5)</t>
  </si>
  <si>
    <t>NZ_AHBF01000017.1</t>
  </si>
  <si>
    <t>NZ_JODY01000045.1</t>
  </si>
  <si>
    <t>NZ_JOID01000021.1</t>
  </si>
  <si>
    <t>NZ_KQ948464.1</t>
  </si>
  <si>
    <t>NZ_JUJA01000158.1</t>
  </si>
  <si>
    <t>#----------- Cluster: 1001160 (amount of orthologs = 2)</t>
  </si>
  <si>
    <t>NZ_DF968243.1</t>
  </si>
  <si>
    <t>#----------- Cluster: 1000683 (amount of orthologs = 3)</t>
  </si>
  <si>
    <t>NZ_AEJB01000020.1</t>
  </si>
  <si>
    <t>NZ_DF968210.1</t>
  </si>
  <si>
    <t>NZ_KQ948472.1</t>
  </si>
  <si>
    <t>#----------- Cluster: 1001351 (amount of orthologs = 2)</t>
  </si>
  <si>
    <t>NZ_JYIJ01000017.1</t>
  </si>
  <si>
    <t>NZ_FZOF01000006.1</t>
  </si>
  <si>
    <t>#----------- Cluster: 1001124 (amount of orthologs = 2)</t>
  </si>
  <si>
    <t>NZ_JOII01000003.1</t>
  </si>
  <si>
    <t>NZ_LIQR01000271.1</t>
  </si>
  <si>
    <t>#----------- Cluster: 1001432 (amount of orthologs = 11)</t>
  </si>
  <si>
    <t>NZ_AEJB01000133.1</t>
  </si>
  <si>
    <t>NZ_KB889729.1</t>
  </si>
  <si>
    <t>NZ_JNWJ01000087.1</t>
  </si>
  <si>
    <t>NZ_JOBF01000015.1</t>
  </si>
  <si>
    <t>NZ_LIQX01000044.1</t>
  </si>
  <si>
    <t>#----------- Cluster: 1000881 (amount of orthologs = 2)</t>
  </si>
  <si>
    <t>NZ_LJGU01000105.1</t>
  </si>
  <si>
    <t>#----------- Cluster: 1000370 (amount of orthologs = 3)</t>
  </si>
  <si>
    <t>NZ_KB904680.1</t>
  </si>
  <si>
    <t>#----------- Cluster: 1000244 (amount of orthologs = 2)</t>
  </si>
  <si>
    <t>NZ_JNXG01000018.1</t>
  </si>
  <si>
    <t>#----------- Cluster: 1000672 (amount of orthologs = 8)</t>
  </si>
  <si>
    <t>NZ_AEJB01000658.1</t>
  </si>
  <si>
    <t>NZ_JNWJ01000009.1</t>
  </si>
  <si>
    <t>NZ_JOBF01000013.1</t>
  </si>
  <si>
    <t>NZ_LIQS01000626.1</t>
  </si>
  <si>
    <t>NZ_LOHS01000062.1</t>
  </si>
  <si>
    <t>#----------- Cluster: 1000285 (amount of orthologs = 20)</t>
  </si>
  <si>
    <t>679;949</t>
  </si>
  <si>
    <t>334;604</t>
  </si>
  <si>
    <t>NZ_AHBF01000047.1</t>
  </si>
  <si>
    <t>NZ_AEJB01000327.1</t>
  </si>
  <si>
    <t>NZ_KB889651.1</t>
  </si>
  <si>
    <t>NZ_KL571105.1</t>
  </si>
  <si>
    <t>NZ_JNYR01000001.1</t>
  </si>
  <si>
    <t>NZ_JODL01000010.1</t>
  </si>
  <si>
    <t>NZ_JOAK01000041.1</t>
  </si>
  <si>
    <t>511;571;793</t>
  </si>
  <si>
    <t>253;289;502</t>
  </si>
  <si>
    <t>NZ_MUMD01000024.1</t>
  </si>
  <si>
    <t>NZ_FNHI01000003.1</t>
  </si>
  <si>
    <t>571;679</t>
  </si>
  <si>
    <t>196;295</t>
  </si>
  <si>
    <t>NZ_FOET01000001.1</t>
  </si>
  <si>
    <t>NZ_FOGO01000006.1</t>
  </si>
  <si>
    <t>#----------- Cluster: 1000517 (amount of orthologs = 2)</t>
  </si>
  <si>
    <t>NZ_AEYX01000031.1</t>
  </si>
  <si>
    <t>NZ_LOHS01000075.1</t>
  </si>
  <si>
    <t>#----------- Cluster: 1000640 (amount of orthologs = 2)</t>
  </si>
  <si>
    <t>NZ_AJSZ01000450.1</t>
  </si>
  <si>
    <t>#----------- Cluster: 1000951 (amount of orthologs = 2)</t>
  </si>
  <si>
    <t>NZ_JNWJ01000090.1</t>
  </si>
  <si>
    <t>301;310</t>
  </si>
  <si>
    <t>#----------- Cluster: 1000353 (amount of orthologs = 4)</t>
  </si>
  <si>
    <t>NZ_MAXF01000144.1</t>
  </si>
  <si>
    <t>#----------- Cluster: 1000290 (amount of orthologs = 4)</t>
  </si>
  <si>
    <t>#----------- Cluster: 1000484 (amount of orthologs = 3)</t>
  </si>
  <si>
    <t>NZ_JNYL01000524.1</t>
  </si>
  <si>
    <t>#----------- Cluster: 1000280 (amount of orthologs = 10)</t>
  </si>
  <si>
    <t>607;619</t>
  </si>
  <si>
    <t>148;580</t>
  </si>
  <si>
    <t>43;475</t>
  </si>
  <si>
    <t>NZ_JNXD01000001.1</t>
  </si>
  <si>
    <t>NZ_LIRG01000284.1</t>
  </si>
  <si>
    <t>NZ_KQ948451.1</t>
  </si>
  <si>
    <t>#----------- Cluster: 1000025 (amount of orthologs = 9)</t>
  </si>
  <si>
    <t>NZ_AEYX01000037.1</t>
  </si>
  <si>
    <t>NZ_AEYX01000035.1</t>
  </si>
  <si>
    <t>NZ_KB889561.1</t>
  </si>
  <si>
    <t>NZ_AUBE01000008.1</t>
  </si>
  <si>
    <t>3595;3694</t>
  </si>
  <si>
    <t>457;550</t>
  </si>
  <si>
    <t>NZ_JOFU01000073.1</t>
  </si>
  <si>
    <t>#----------- Cluster: 1001470 (amount of orthologs = 2)</t>
  </si>
  <si>
    <t>#----------- Cluster: 1001481 (amount of orthologs = 4)</t>
  </si>
  <si>
    <t>193;346</t>
  </si>
  <si>
    <t>136;286</t>
  </si>
  <si>
    <t>#----------- Cluster: 1000047 (amount of orthologs = 3)</t>
  </si>
  <si>
    <t>NZ_KB889680.1</t>
  </si>
  <si>
    <t>#----------- Cluster: 1001349 (amount of orthologs = 2)</t>
  </si>
  <si>
    <t>NZ_JYIJ01000008.1</t>
  </si>
  <si>
    <t>#----------- Cluster: 1001346 (amount of orthologs = 2)</t>
  </si>
  <si>
    <t>NZ_JYIJ01000010.1</t>
  </si>
  <si>
    <t>NZ_LJGW01000279.1</t>
  </si>
  <si>
    <t>#----------- Cluster: 1001294 (amount of orthologs = 2)</t>
  </si>
  <si>
    <t>NZ_LIQS01000001.1</t>
  </si>
  <si>
    <t>#----------- Cluster: 1000273 (amount of orthologs = 2)</t>
  </si>
  <si>
    <t>#----------- Cluster: 1000546 (amount of orthologs = 8)</t>
  </si>
  <si>
    <t>NZ_JOEI01000013.1</t>
  </si>
  <si>
    <t>NZ_LIQS01000081.1</t>
  </si>
  <si>
    <t>NZ_JUJA01000033.1</t>
  </si>
  <si>
    <t>#----------- Cluster: 1000614 (amount of orthologs = 3)</t>
  </si>
  <si>
    <t>118;145</t>
  </si>
  <si>
    <t>NZ_KB904658.1</t>
  </si>
  <si>
    <t>NZ_AUBE01000012.1</t>
  </si>
  <si>
    <t>#----------- Cluster: 1001477 (amount of orthologs = 2)</t>
  </si>
  <si>
    <t>NZ_FONG01000018.1</t>
  </si>
  <si>
    <t>#----------- Cluster: 1000822 (amount of orthologs = 2)</t>
  </si>
  <si>
    <t>#----------- Cluster: 1001268 (amount of orthologs = 2)</t>
  </si>
  <si>
    <t>NZ_LIPP01000054.1</t>
  </si>
  <si>
    <t>NZ_KQ948463.1</t>
  </si>
  <si>
    <t>#----------- Cluster: 1000605 (amount of orthologs = 2)</t>
  </si>
  <si>
    <t>#----------- Cluster: 1000735 (amount of orthologs = 3)</t>
  </si>
  <si>
    <t>NZ_DF968435.1</t>
  </si>
  <si>
    <t>#----------- Cluster: 1001350 (amount of orthologs = 2)</t>
  </si>
  <si>
    <t>#----------- Cluster: 1001137 (amount of orthologs = 3)</t>
  </si>
  <si>
    <t>NZ_JOFH01000023.1</t>
  </si>
  <si>
    <t>#----------- Cluster: 1000818 (amount of orthologs = 2)</t>
  </si>
  <si>
    <t>NZ_KB904666.1</t>
  </si>
  <si>
    <t>658;907</t>
  </si>
  <si>
    <t>331;577</t>
  </si>
  <si>
    <t>NZ_LIPP01000005.1</t>
  </si>
  <si>
    <t>#----------- Cluster: 1001389 (amount of orthologs = 2)</t>
  </si>
  <si>
    <t>NZ_MUME01000092.1</t>
  </si>
  <si>
    <t>#----------- Cluster: 1001037 (amount of orthologs = 2)</t>
  </si>
  <si>
    <t>NZ_JOEY01000052.1</t>
  </si>
  <si>
    <t>#----------- Cluster: 1001148 (amount of orthologs = 2)</t>
  </si>
  <si>
    <t>NZ_JNXD01000033.1</t>
  </si>
  <si>
    <t>NZ_DF968271.1</t>
  </si>
  <si>
    <t>#----------- Cluster: 1000913 (amount of orthologs = 3)</t>
  </si>
  <si>
    <t>325;394;586;646</t>
  </si>
  <si>
    <t>196;265;457;517</t>
  </si>
  <si>
    <t>295;394;436;646</t>
  </si>
  <si>
    <t>NZ_LIQS01000067.1</t>
  </si>
  <si>
    <t>325;646</t>
  </si>
  <si>
    <t>322;643</t>
  </si>
  <si>
    <t>NZ_LN929763.1</t>
  </si>
  <si>
    <t>#----------- Cluster: 1000030 (amount of orthologs = 3)</t>
  </si>
  <si>
    <t>NZ_AHBF01000147.1</t>
  </si>
  <si>
    <t>NZ_KB905823.1</t>
  </si>
  <si>
    <t>NZ_JODY01000002.1</t>
  </si>
  <si>
    <t>#----------- Cluster: 1000299 (amount of orthologs = 3)</t>
  </si>
  <si>
    <t>274;409</t>
  </si>
  <si>
    <t>#----------- Cluster: 1000378 (amount of orthologs = 2)</t>
  </si>
  <si>
    <t>#----------- Cluster: 1001284 (amount of orthologs = 2)</t>
  </si>
  <si>
    <t>NZ_LIQY01000559.1</t>
  </si>
  <si>
    <t>#----------- Cluster: 1000231 (amount of orthologs = 2)</t>
  </si>
  <si>
    <t>NZ_FODD01000012.1</t>
  </si>
  <si>
    <t>#----------- Cluster: 1000109 (amount of orthologs = 5)</t>
  </si>
  <si>
    <t>NZ_FNHI01000002.1</t>
  </si>
  <si>
    <t>#----------- Cluster: 1000902 (amount of orthologs = 2)</t>
  </si>
  <si>
    <t>NZ_KL571057.1</t>
  </si>
  <si>
    <t>NZ_JNYR01000038.1</t>
  </si>
  <si>
    <t>#----------- Cluster: 1000868 (amount of orthologs = 4)</t>
  </si>
  <si>
    <t>NZ_AUBE01000002.1</t>
  </si>
  <si>
    <t>NZ_MAXF01000031.1</t>
  </si>
  <si>
    <t>NZ_MUME01000093.1</t>
  </si>
  <si>
    <t>#----------- Cluster: 1000432 (amount of orthologs = 2)</t>
  </si>
  <si>
    <t>NZ_LIQS01000777.1</t>
  </si>
  <si>
    <t>#----------- Cluster: 1001473 (amount of orthologs = 2)</t>
  </si>
  <si>
    <t>#----------- Cluster: 1000315 (amount of orthologs = 2)</t>
  </si>
  <si>
    <t>NZ_MAXF01000084.1</t>
  </si>
  <si>
    <t>#----------- Cluster: 1000556 (amount of orthologs = 7)</t>
  </si>
  <si>
    <t>208;307</t>
  </si>
  <si>
    <t>NZ_JOFU01000091.1</t>
  </si>
  <si>
    <t>NZ_JOID01000015.1</t>
  </si>
  <si>
    <t>NZ_LIPP01000298.1</t>
  </si>
  <si>
    <t>NZ_MUME01000088.1</t>
  </si>
  <si>
    <t>#----------- Cluster: 1000606 (amount of orthologs = 2)</t>
  </si>
  <si>
    <t>#----------- Cluster: 1000642 (amount of orthologs = 2)</t>
  </si>
  <si>
    <t>NZ_AJSZ01000446.1</t>
  </si>
  <si>
    <t>#----------- Cluster: 1000496 (amount of orthologs = 11)</t>
  </si>
  <si>
    <t>NZ_AEJB01000442.1</t>
  </si>
  <si>
    <t>NZ_LIQX01000422.1</t>
  </si>
  <si>
    <t>NZ_LIQZ01000416.1</t>
  </si>
  <si>
    <t>NZ_LIRG01000192.1</t>
  </si>
  <si>
    <t>NZ_KQ948304.1</t>
  </si>
  <si>
    <t>#----------- Cluster: 1000898 (amount of orthologs = 2)</t>
  </si>
  <si>
    <t>NZ_JNWJ01000040.1</t>
  </si>
  <si>
    <t>#----------- Cluster: 1000870 (amount of orthologs = 2)</t>
  </si>
  <si>
    <t>NZ_AUBE01000003.1</t>
  </si>
  <si>
    <t>#----------- Cluster: 1000160 (amount of orthologs = 5)</t>
  </si>
  <si>
    <t>1534;2167</t>
  </si>
  <si>
    <t>1336;1894</t>
  </si>
  <si>
    <t>NZ_KL571054.1</t>
  </si>
  <si>
    <t>NZ_MVFC01000045.1</t>
  </si>
  <si>
    <t>#----------- Cluster: 1000510 (amount of orthologs = 2)</t>
  </si>
  <si>
    <t>#----------- Cluster: 1000856 (amount of orthologs = 3)</t>
  </si>
  <si>
    <t>NZ_AUBE01000025.1</t>
  </si>
  <si>
    <t>#----------- Cluster: 1000184 (amount of orthologs = 3)</t>
  </si>
  <si>
    <t>NZ_AHBF01000045.1</t>
  </si>
  <si>
    <t>#----------- Cluster: 1000103 (amount of orthologs = 2)</t>
  </si>
  <si>
    <t>415;601</t>
  </si>
  <si>
    <t>400;583</t>
  </si>
  <si>
    <t>NZ_LIQS01000070.1</t>
  </si>
  <si>
    <t>#----------- Cluster: 1000254 (amount of orthologs = 9)</t>
  </si>
  <si>
    <t>NZ_BARG01000097.1</t>
  </si>
  <si>
    <t>NZ_JNWJ01000004.1</t>
  </si>
  <si>
    <t>#----------- Cluster: 1001219 (amount of orthologs = 2)</t>
  </si>
  <si>
    <t>#----------- Cluster: 1001142 (amount of orthologs = 3)</t>
  </si>
  <si>
    <t>#----------- Cluster: 1000864 (amount of orthologs = 3)</t>
  </si>
  <si>
    <t>NZ_AUBE01000011.1</t>
  </si>
  <si>
    <t>#----------- Cluster: 1000472 (amount of orthologs = 4)</t>
  </si>
  <si>
    <t>NZ_MUBL01000089.1</t>
  </si>
  <si>
    <t>#----------- Cluster: 1000967 (amount of orthologs = 2)</t>
  </si>
  <si>
    <t>#----------- Cluster: 1000458 (amount of orthologs = 3)</t>
  </si>
  <si>
    <t>NZ_LJGU01000121.1</t>
  </si>
  <si>
    <t>NZ_FOGO01000003.1</t>
  </si>
  <si>
    <t>#----------- Cluster: 1001550 (amount of orthologs = 3)</t>
  </si>
  <si>
    <t>#----------- Cluster: 1000229 (amount of orthologs = 6)</t>
  </si>
  <si>
    <t>NZ_AGBF01000177.1</t>
  </si>
  <si>
    <t>886;1144</t>
  </si>
  <si>
    <t>823;1048</t>
  </si>
  <si>
    <t>NZ_JOEY01000015.1</t>
  </si>
  <si>
    <t>#----------- Cluster: 1000630 (amount of orthologs = 4)</t>
  </si>
  <si>
    <t>NZ_JOBH01000013.1</t>
  </si>
  <si>
    <t>#----------- Cluster: 1001562 (amount of orthologs = 3)</t>
  </si>
  <si>
    <t>NC_054674.1</t>
  </si>
  <si>
    <t>Streptomyces phage Joe</t>
  </si>
  <si>
    <t>NC_054675.1</t>
  </si>
  <si>
    <t>Streptomyces phage Saftant</t>
  </si>
  <si>
    <t>NC_054673.1</t>
  </si>
  <si>
    <t>Streptomyces phage Endor2</t>
  </si>
  <si>
    <t>#----------- Cluster: 1001206 (amount of orthologs = 14)</t>
  </si>
  <si>
    <t>NZ_AEYX01000030.1</t>
  </si>
  <si>
    <t>1156;1375;1600;2281</t>
  </si>
  <si>
    <t>589;787;1006;1672</t>
  </si>
  <si>
    <t>NZ_KB889714.1</t>
  </si>
  <si>
    <t>NZ_JODL01000013.1</t>
  </si>
  <si>
    <t>NZ_JOFH01000008.1</t>
  </si>
  <si>
    <t>NZ_LIQZ01000187.1</t>
  </si>
  <si>
    <t>NZ_FZOF01000008.1</t>
  </si>
  <si>
    <t>#----------- Cluster: 1001076 (amount of orthologs = 2)</t>
  </si>
  <si>
    <t>NZ_JODL01000002.1</t>
  </si>
  <si>
    <t>NZ_FOET01000012.1</t>
  </si>
  <si>
    <t>#----------- Cluster: 1000968 (amount of orthologs = 2)</t>
  </si>
  <si>
    <t>NZ_MLCF01000002.1</t>
  </si>
  <si>
    <t>Streptomyces gilvigriseus</t>
  </si>
  <si>
    <t>#----------- Cluster: 1000867 (amount of orthologs = 2)</t>
  </si>
  <si>
    <t>NZ_AUBE01000004.1</t>
  </si>
  <si>
    <t>#----------- Cluster: 1001461 (amount of orthologs = 2)</t>
  </si>
  <si>
    <t>#----------- Cluster: 1000286 (amount of orthologs = 2)</t>
  </si>
  <si>
    <t>31;100</t>
  </si>
  <si>
    <t>#----------- Cluster: 1001443 (amount of orthologs = 2)</t>
  </si>
  <si>
    <t>#----------- Cluster: 1000319 (amount of orthologs = 2)</t>
  </si>
  <si>
    <t>#----------- Cluster: 1000537 (amount of orthologs = 2)</t>
  </si>
  <si>
    <t>#----------- Cluster: 1000952 (amount of orthologs = 2)</t>
  </si>
  <si>
    <t>NZ_JNWJ01000007.1</t>
  </si>
  <si>
    <t>#----------- Cluster: 1000169 (amount of orthologs = 2)</t>
  </si>
  <si>
    <t>#----------- Cluster: 1001166 (amount of orthologs = 2)</t>
  </si>
  <si>
    <t>#----------- Cluster: 1000489 (amount of orthologs = 2)</t>
  </si>
  <si>
    <t>340;526</t>
  </si>
  <si>
    <t>334;517</t>
  </si>
  <si>
    <t>#----------- Cluster: 1000375 (amount of orthologs = 5)</t>
  </si>
  <si>
    <t>#----------- Cluster: 1000239 (amount of orthologs = 2)</t>
  </si>
  <si>
    <t>NZ_JOEY01000014.1</t>
  </si>
  <si>
    <t>#----------- Cluster: 1000931 (amount of orthologs = 3)</t>
  </si>
  <si>
    <t>NZ_JNWJ01000129.1</t>
  </si>
  <si>
    <t>NZ_JOEY01000062.1</t>
  </si>
  <si>
    <t>NZ_LOHS01000066.1</t>
  </si>
  <si>
    <t>#----------- Cluster: 1000903 (amount of orthologs = 3)</t>
  </si>
  <si>
    <t>#----------- Cluster: 1000087 (amount of orthologs = 2)</t>
  </si>
  <si>
    <t>217;787</t>
  </si>
  <si>
    <t>190;760</t>
  </si>
  <si>
    <t>178;217;385;646</t>
  </si>
  <si>
    <t>178;217;379;640</t>
  </si>
  <si>
    <t>#----------- Cluster: 1000099 (amount of orthologs = 4)</t>
  </si>
  <si>
    <t>NZ_LIQX01000117.1</t>
  </si>
  <si>
    <t>NZ_DF968241.1</t>
  </si>
  <si>
    <t>#----------- Cluster: 1001370 (amount of orthologs = 2)</t>
  </si>
  <si>
    <t>#----------- Cluster: 1000130 (amount of orthologs = 9)</t>
  </si>
  <si>
    <t>436;1072;1216</t>
  </si>
  <si>
    <t>409;1021;1126</t>
  </si>
  <si>
    <t>NZ_JOAK01000017.1</t>
  </si>
  <si>
    <t>NZ_LIPP01000203.1</t>
  </si>
  <si>
    <t>352;1870</t>
  </si>
  <si>
    <t>190;1279</t>
  </si>
  <si>
    <t>NZ_MUBL01000675.1</t>
  </si>
  <si>
    <t>NZ_FOLM01000026.1</t>
  </si>
  <si>
    <t>#----------- Cluster: 1000592 (amount of orthologs = 2)</t>
  </si>
  <si>
    <t>#----------- Cluster: 1000343 (amount of orthologs = 2)</t>
  </si>
  <si>
    <t>#----------- Cluster: 1000365 (amount of orthologs = 2)</t>
  </si>
  <si>
    <t>#----------- Cluster: 1000798 (amount of orthologs = 2)</t>
  </si>
  <si>
    <t>NZ_BARG01000061.1</t>
  </si>
  <si>
    <t>NZ_FODD01000011.1</t>
  </si>
  <si>
    <t>#----------- Cluster: 1000312 (amount of orthologs = 2)</t>
  </si>
  <si>
    <t>NZ_LIQZ01000016.1</t>
  </si>
  <si>
    <t>#----------- Cluster: 1000603 (amount of orthologs = 2)</t>
  </si>
  <si>
    <t>#----------- Cluster: 1001409 (amount of orthologs = 2)</t>
  </si>
  <si>
    <t>NZ_MAXF01000209.1</t>
  </si>
  <si>
    <t>NZ_MAXF01000243.1</t>
  </si>
  <si>
    <t>#----------- Cluster: 1000248 (amount of orthologs = 3)</t>
  </si>
  <si>
    <t>NZ_FOLM01000002.1</t>
  </si>
  <si>
    <t>#----------- Cluster: 1000965 (amount of orthologs = 2)</t>
  </si>
  <si>
    <t>#----------- Cluster: 1001375 (amount of orthologs = 7)</t>
  </si>
  <si>
    <t>58;184</t>
  </si>
  <si>
    <t>52;178</t>
  </si>
  <si>
    <t>40;67</t>
  </si>
  <si>
    <t>13;40</t>
  </si>
  <si>
    <t>58;196;226</t>
  </si>
  <si>
    <t>31;169;199</t>
  </si>
  <si>
    <t>40;217</t>
  </si>
  <si>
    <t>13;190</t>
  </si>
  <si>
    <t>#----------- Cluster: 1001281 (amount of orthologs = 2)</t>
  </si>
  <si>
    <t>58;664</t>
  </si>
  <si>
    <t>NZ_LIQY01000089.1</t>
  </si>
  <si>
    <t>#----------- Cluster: 1000475 (amount of orthologs = 3)</t>
  </si>
  <si>
    <t>NZ_AHBF01000018.1</t>
  </si>
  <si>
    <t>#----------- Cluster: 1001287 (amount of orthologs = 3)</t>
  </si>
  <si>
    <t>NZ_LIQY01000380.1</t>
  </si>
  <si>
    <t>#----------- Cluster: 1000262 (amount of orthologs = 2)</t>
  </si>
  <si>
    <t>NZ_JQJU01000004.1</t>
  </si>
  <si>
    <t>#----------- Cluster: 1001108 (amount of orthologs = 2)</t>
  </si>
  <si>
    <t>16;223</t>
  </si>
  <si>
    <t>16;205</t>
  </si>
  <si>
    <t>NZ_LJGU01000093.1</t>
  </si>
  <si>
    <t>#----------- Cluster: 1000132 (amount of orthologs = 4)</t>
  </si>
  <si>
    <t>NZ_LJGU01000120.1</t>
  </si>
  <si>
    <t>NZ_JOEY01000033.1</t>
  </si>
  <si>
    <t>#----------- Cluster: 1001042 (amount of orthologs = 3)</t>
  </si>
  <si>
    <t>NZ_KQ948320.1</t>
  </si>
  <si>
    <t>#----------- Cluster: 1000217 (amount of orthologs = 2)</t>
  </si>
  <si>
    <t>#----------- Cluster: 1000627 (amount of orthologs = 2)</t>
  </si>
  <si>
    <t>NZ_FZOF01000057.1</t>
  </si>
  <si>
    <t>#----------- Cluster: 1001394 (amount of orthologs = 43)</t>
  </si>
  <si>
    <t>121;406</t>
  </si>
  <si>
    <t>85;322</t>
  </si>
  <si>
    <t>NZ_AJSZ01000521.1</t>
  </si>
  <si>
    <t>NZ_AEJB01000070.1</t>
  </si>
  <si>
    <t>NZ_AORZ01000189.1</t>
  </si>
  <si>
    <t>262;385</t>
  </si>
  <si>
    <t>NZ_JNYR01000006.1</t>
  </si>
  <si>
    <t>NZ_JOBF01000034.1</t>
  </si>
  <si>
    <t>NZ_JQJU01000044.1</t>
  </si>
  <si>
    <t>NZ_LIPP01000076.1</t>
  </si>
  <si>
    <t>22;193</t>
  </si>
  <si>
    <t>22;187</t>
  </si>
  <si>
    <t>NZ_LIQX01000428.1</t>
  </si>
  <si>
    <t>NZ_LIQR01000122.1</t>
  </si>
  <si>
    <t>NZ_MAXF01000021.1</t>
  </si>
  <si>
    <t>NZ_LJGU01000158.1</t>
  </si>
  <si>
    <t>NZ_LJGW01000701.1</t>
  </si>
  <si>
    <t>NZ_LJGW01000383.1</t>
  </si>
  <si>
    <t>160;250</t>
  </si>
  <si>
    <t>115;199</t>
  </si>
  <si>
    <t>NZ_MUBL01000388.1</t>
  </si>
  <si>
    <t>NZ_MUMD01000035.1</t>
  </si>
  <si>
    <t>NZ_FNFF01000023.1</t>
  </si>
  <si>
    <t>NZ_FOGO01000009.1</t>
  </si>
  <si>
    <t>109;1249</t>
  </si>
  <si>
    <t>61;700</t>
  </si>
  <si>
    <t>NZ_FRBI01000006.1</t>
  </si>
  <si>
    <t>#----------- Cluster: 1001462 (amount of orthologs = 2)</t>
  </si>
  <si>
    <t>#----------- Cluster: 1001164 (amount of orthologs = 2)</t>
  </si>
  <si>
    <t>NZ_JQJU01000007.1</t>
  </si>
  <si>
    <t>373;481</t>
  </si>
  <si>
    <t>361;469</t>
  </si>
  <si>
    <t>#----------- Cluster: 1001482 (amount of orthologs = 3)</t>
  </si>
  <si>
    <t>67;310</t>
  </si>
  <si>
    <t>NZ_LJGW01000428.1</t>
  </si>
  <si>
    <t>#----------- Cluster: 1000954 (amount of orthologs = 2)</t>
  </si>
  <si>
    <t>NZ_JOID01000010.1</t>
  </si>
  <si>
    <t>#----------- Cluster: 1000863 (amount of orthologs = 5)</t>
  </si>
  <si>
    <t>NZ_AUBE01000020.1</t>
  </si>
  <si>
    <t>NZ_LIQZ01000373.1</t>
  </si>
  <si>
    <t>NZ_LJGU01000113.1</t>
  </si>
  <si>
    <t>NZ_MVFC01000024.1</t>
  </si>
  <si>
    <t>#----------- Cluster: 1000309 (amount of orthologs = 7)</t>
  </si>
  <si>
    <t>NZ_JOEI01000005.1</t>
  </si>
  <si>
    <t>NZ_LN929757.1</t>
  </si>
  <si>
    <t>NZ_MAXF01000038.1</t>
  </si>
  <si>
    <t>#----------- Cluster: 1001122 (amount of orthologs = 3)</t>
  </si>
  <si>
    <t>NZ_JOII01000006.1</t>
  </si>
  <si>
    <t>NZ_LIQS01000197.1</t>
  </si>
  <si>
    <t>#----------- Cluster: 1000067 (amount of orthologs = 7)</t>
  </si>
  <si>
    <t>NZ_JNWJ01000165.1</t>
  </si>
  <si>
    <t>NZ_BARG01000137.1</t>
  </si>
  <si>
    <t>NZ_BARG01000018.1</t>
  </si>
  <si>
    <t>NZ_JNWJ01000150.1</t>
  </si>
  <si>
    <t>NZ_JNWJ01000206.1</t>
  </si>
  <si>
    <t>NZ_JUJA01000023.1</t>
  </si>
  <si>
    <t>#----------- Cluster: 1000113 (amount of orthologs = 3)</t>
  </si>
  <si>
    <t>178;634;1582;3991</t>
  </si>
  <si>
    <t>49;499;1342;3667</t>
  </si>
  <si>
    <t>#----------- Cluster: 1000991 (amount of orthologs = 4)</t>
  </si>
  <si>
    <t>NZ_JOBH01000027.1</t>
  </si>
  <si>
    <t>NZ_JOID01000050.1</t>
  </si>
  <si>
    <t>#----------- Cluster: 1001307 (amount of orthologs = 2)</t>
  </si>
  <si>
    <t>NZ_LIRG01000625.1</t>
  </si>
  <si>
    <t>NZ_JUJA01000077.1</t>
  </si>
  <si>
    <t>#----------- Cluster: 1000221 (amount of orthologs = 2)</t>
  </si>
  <si>
    <t>211;466;532</t>
  </si>
  <si>
    <t>163;418;484</t>
  </si>
  <si>
    <t>211;466</t>
  </si>
  <si>
    <t>#----------- Cluster: 1000384 (amount of orthologs = 2)</t>
  </si>
  <si>
    <t>82;91</t>
  </si>
  <si>
    <t>#----------- Cluster: 1000806 (amount of orthologs = 5)</t>
  </si>
  <si>
    <t>NZ_JNYR01000004.1</t>
  </si>
  <si>
    <t>NZ_JOBH01000008.1</t>
  </si>
  <si>
    <t>7;583</t>
  </si>
  <si>
    <t>7;577</t>
  </si>
  <si>
    <t>#----------- Cluster: 1000060 (amount of orthologs = 3)</t>
  </si>
  <si>
    <t>#----------- Cluster: 1000793 (amount of orthologs = 2)</t>
  </si>
  <si>
    <t>NZ_BARG01000017.1</t>
  </si>
  <si>
    <t>#----------- Cluster: 1000935 (amount of orthologs = 2)</t>
  </si>
  <si>
    <t>NZ_JNWJ01000041.1</t>
  </si>
  <si>
    <t>#----------- Cluster: 1000320 (amount of orthologs = 5)</t>
  </si>
  <si>
    <t>NZ_JNYL01000309.1</t>
  </si>
  <si>
    <t>NZ_JOFL01000040.1</t>
  </si>
  <si>
    <t>#----------- Cluster: 1001528 (amount of orthologs = 6)</t>
  </si>
  <si>
    <t>NZ_JNWJ01000045.1</t>
  </si>
  <si>
    <t>NZ_JOID01000033.1</t>
  </si>
  <si>
    <t>NZ_JQJU01000028.1</t>
  </si>
  <si>
    <t>NZ_FZOF01000065.1</t>
  </si>
  <si>
    <t>NZ_FZOF01000029.1</t>
  </si>
  <si>
    <t>#----------- Cluster: 1000721 (amount of orthologs = 9)</t>
  </si>
  <si>
    <t>NZ_BARG01000007.1</t>
  </si>
  <si>
    <t>NZ_JOFH01000060.1</t>
  </si>
  <si>
    <t>NZ_DF968304.1</t>
  </si>
  <si>
    <t>NZ_LIQS01000784.1</t>
  </si>
  <si>
    <t>NZ_MUMD01000051.1</t>
  </si>
  <si>
    <t>#----------- Cluster: 1000860 (amount of orthologs = 26)</t>
  </si>
  <si>
    <t>NZ_AEJB01000223.1</t>
  </si>
  <si>
    <t>NZ_KB904665.1</t>
  </si>
  <si>
    <t>NZ_KL571061.1</t>
  </si>
  <si>
    <t>NZ_JNYR01000036.1</t>
  </si>
  <si>
    <t>NZ_JOEI01000025.1</t>
  </si>
  <si>
    <t>NZ_JODL01000015.1</t>
  </si>
  <si>
    <t>NZ_JOII01000053.1</t>
  </si>
  <si>
    <t>NZ_LIQX01000396.1</t>
  </si>
  <si>
    <t>NZ_LIRG01000384.1</t>
  </si>
  <si>
    <t>NZ_LJGU01000153.1</t>
  </si>
  <si>
    <t>NZ_LFBV01000012.1</t>
  </si>
  <si>
    <t>#----------- Cluster: 1001248 (amount of orthologs = 2)</t>
  </si>
  <si>
    <t>NZ_DF968239.1</t>
  </si>
  <si>
    <t>37;586</t>
  </si>
  <si>
    <t>#----------- Cluster: 1001425 (amount of orthologs = 3)</t>
  </si>
  <si>
    <t>NZ_LJGW01000715.1</t>
  </si>
  <si>
    <t>NZ_FOET01000002.1</t>
  </si>
  <si>
    <t>#----------- Cluster: 1001460 (amount of orthologs = 20)</t>
  </si>
  <si>
    <t>220;280</t>
  </si>
  <si>
    <t>97;157</t>
  </si>
  <si>
    <t>NZ_AJSZ01000301.1</t>
  </si>
  <si>
    <t>151;730</t>
  </si>
  <si>
    <t>31;586</t>
  </si>
  <si>
    <t>NZ_KB904667.1</t>
  </si>
  <si>
    <t>NZ_JOEY01000081.1</t>
  </si>
  <si>
    <t>NZ_JOFU01000017.1</t>
  </si>
  <si>
    <t>175;220</t>
  </si>
  <si>
    <t>55;97</t>
  </si>
  <si>
    <t>NZ_LIPP01000159.1</t>
  </si>
  <si>
    <t>310;640</t>
  </si>
  <si>
    <t>184;496</t>
  </si>
  <si>
    <t>562;577</t>
  </si>
  <si>
    <t>427;442</t>
  </si>
  <si>
    <t>NZ_FODD01000075.1</t>
  </si>
  <si>
    <t>#----------- Cluster: 1000839 (amount of orthologs = 3)</t>
  </si>
  <si>
    <t>1003;1669</t>
  </si>
  <si>
    <t>994;1648</t>
  </si>
  <si>
    <t>#----------- Cluster: 1000288 (amount of orthologs = 6)</t>
  </si>
  <si>
    <t>NZ_JNWJ01000032.1</t>
  </si>
  <si>
    <t>NZ_JODL01000012.1</t>
  </si>
  <si>
    <t>31;151</t>
  </si>
  <si>
    <t>NZ_LIRG01000043.1</t>
  </si>
  <si>
    <t>NZ_FOET01000016.1</t>
  </si>
  <si>
    <t>#----------- Cluster: 1000719 (amount of orthologs = 4)</t>
  </si>
  <si>
    <t>#----------- Cluster: 1000778 (amount of orthologs = 2)</t>
  </si>
  <si>
    <t>NZ_BARG01000006.1</t>
  </si>
  <si>
    <t>NZ_JOEY01000017.1</t>
  </si>
  <si>
    <t>#----------- Cluster: 1000948 (amount of orthologs = 2)</t>
  </si>
  <si>
    <t>#----------- Cluster: 1001441 (amount of orthologs = 2)</t>
  </si>
  <si>
    <t>#----------- Cluster: 1000278 (amount of orthologs = 3)</t>
  </si>
  <si>
    <t>NZ_DF968257.1</t>
  </si>
  <si>
    <t>#----------- Cluster: 1001114 (amount of orthologs = 2)</t>
  </si>
  <si>
    <t>NZ_JOID01000038.1</t>
  </si>
  <si>
    <t>#----------- Cluster: 1000284 (amount of orthologs = 2)</t>
  </si>
  <si>
    <t>NZ_LIQX01000712.1</t>
  </si>
  <si>
    <t>#----------- Cluster: 1000756 (amount of orthologs = 2)</t>
  </si>
  <si>
    <t>NZ_AORZ01000153.1</t>
  </si>
  <si>
    <t>NZ_KB889629.1</t>
  </si>
  <si>
    <t>#----------- Cluster: 1001018 (amount of orthologs = 2)</t>
  </si>
  <si>
    <t>NZ_LIQX01000245.1</t>
  </si>
  <si>
    <t>#----------- Cluster: 1001459 (amount of orthologs = 2)</t>
  </si>
  <si>
    <t>#----------- Cluster: 1000702 (amount of orthologs = 2)</t>
  </si>
  <si>
    <t>NZ_AORZ01000062.1</t>
  </si>
  <si>
    <t>NZ_JNWJ01000115.1</t>
  </si>
  <si>
    <t>#----------- Cluster: 1000223 (amount of orthologs = 2)</t>
  </si>
  <si>
    <t>220;427</t>
  </si>
  <si>
    <t>292;505</t>
  </si>
  <si>
    <t>#----------- Cluster: 1001267 (amount of orthologs = 5)</t>
  </si>
  <si>
    <t>NZ_JOFL01000022.1</t>
  </si>
  <si>
    <t>NZ_LIPP01000214.1</t>
  </si>
  <si>
    <t>748;847;1036</t>
  </si>
  <si>
    <t>616;715;895</t>
  </si>
  <si>
    <t>NZ_LIQZ01000518.1</t>
  </si>
  <si>
    <t>#----------- Cluster: 1001451 (amount of orthologs = 8)</t>
  </si>
  <si>
    <t>NZ_JNYR01000005.1</t>
  </si>
  <si>
    <t>1618;5434</t>
  </si>
  <si>
    <t>115;3124</t>
  </si>
  <si>
    <t>NZ_JNYR01000039.1</t>
  </si>
  <si>
    <t>1618;3214</t>
  </si>
  <si>
    <t>157;1543</t>
  </si>
  <si>
    <t>#----------- Cluster: 1001151 (amount of orthologs = 4)</t>
  </si>
  <si>
    <t>97;583</t>
  </si>
  <si>
    <t>97;550</t>
  </si>
  <si>
    <t>610;805</t>
  </si>
  <si>
    <t>487;667</t>
  </si>
  <si>
    <t>769;790</t>
  </si>
  <si>
    <t>592;613</t>
  </si>
  <si>
    <t>#----------- Cluster: 1001061 (amount of orthologs = 10)</t>
  </si>
  <si>
    <t>NZ_JOFU01000002.1</t>
  </si>
  <si>
    <t>NZ_DF968401.1</t>
  </si>
  <si>
    <t>NZ_LIRG01000357.1</t>
  </si>
  <si>
    <t>#----------- Cluster: 1000165 (amount of orthologs = 3)</t>
  </si>
  <si>
    <t>NZ_LOHS01000027.1</t>
  </si>
  <si>
    <t>#----------- Cluster: 1001415 (amount of orthologs = 3)</t>
  </si>
  <si>
    <t>61;508;718;1261;1933;2230</t>
  </si>
  <si>
    <t>61;508;718;1255;1924;2221</t>
  </si>
  <si>
    <t>#----------- Cluster: 1001527 (amount of orthologs = 5)</t>
  </si>
  <si>
    <t>718;1369</t>
  </si>
  <si>
    <t>646;1246</t>
  </si>
  <si>
    <t>NZ_FZOF01000041.1</t>
  </si>
  <si>
    <t>#----------- Cluster: 1001299 (amount of orthologs = 2)</t>
  </si>
  <si>
    <t>31;49</t>
  </si>
  <si>
    <t>#----------- Cluster: 1000336 (amount of orthologs = 6)</t>
  </si>
  <si>
    <t>NZ_KL571104.1</t>
  </si>
  <si>
    <t>205;214</t>
  </si>
  <si>
    <t>154;163</t>
  </si>
  <si>
    <t>NZ_MUMD01000042.1</t>
  </si>
  <si>
    <t>#----------- Cluster: 1000115 (amount of orthologs = 2)</t>
  </si>
  <si>
    <t>NZ_LIQX01000554.1</t>
  </si>
  <si>
    <t>#----------- Cluster: 1001295 (amount of orthologs = 2)</t>
  </si>
  <si>
    <t>NZ_LIQS01000006.1</t>
  </si>
  <si>
    <t>37;517</t>
  </si>
  <si>
    <t>34;493</t>
  </si>
  <si>
    <t>NZ_FNST01000001.1</t>
  </si>
  <si>
    <t>#----------- Cluster: 1000205 (amount of orthologs = 14)</t>
  </si>
  <si>
    <t>NZ_AHBF01000087.1</t>
  </si>
  <si>
    <t>NZ_AEJB01000409.1</t>
  </si>
  <si>
    <t>NZ_AORZ01000022.1</t>
  </si>
  <si>
    <t>223;1123</t>
  </si>
  <si>
    <t>199;1045</t>
  </si>
  <si>
    <t>NZ_JOFU01000015.1</t>
  </si>
  <si>
    <t>NZ_LIQZ01000011.1</t>
  </si>
  <si>
    <t>NZ_LIRG01000116.1</t>
  </si>
  <si>
    <t>NZ_FODD01000029.1</t>
  </si>
  <si>
    <t>NZ_FONG01000019.1</t>
  </si>
  <si>
    <t>#----------- Cluster: 1000404 (amount of orthologs = 5)</t>
  </si>
  <si>
    <t>NZ_LIQS01000628.1</t>
  </si>
  <si>
    <t>NZ_MUME01000157.1</t>
  </si>
  <si>
    <t>#----------- Cluster: 1000771 (amount of orthologs = 2)</t>
  </si>
  <si>
    <t>#----------- Cluster: 1001522 (amount of orthologs = 129)</t>
  </si>
  <si>
    <t>NZ_JNYR01000028.1</t>
  </si>
  <si>
    <t>1342;2830</t>
  </si>
  <si>
    <t>595;1300</t>
  </si>
  <si>
    <t>1270;2260</t>
  </si>
  <si>
    <t>562;964</t>
  </si>
  <si>
    <t>NZ_MAXF01000009.1</t>
  </si>
  <si>
    <t>433;6034</t>
  </si>
  <si>
    <t>400;3193</t>
  </si>
  <si>
    <t>NZ_FODD01000022.1</t>
  </si>
  <si>
    <t>1219;2404</t>
  </si>
  <si>
    <t>700;1180</t>
  </si>
  <si>
    <t>517;1330</t>
  </si>
  <si>
    <t>28;583</t>
  </si>
  <si>
    <t>2176;2989;4960</t>
  </si>
  <si>
    <t>115;700;1384</t>
  </si>
  <si>
    <t>718;730;2839;6556</t>
  </si>
  <si>
    <t>13;25;712;2281</t>
  </si>
  <si>
    <t>2791;3367</t>
  </si>
  <si>
    <t>172;571</t>
  </si>
  <si>
    <t>658;1561</t>
  </si>
  <si>
    <t>148;724</t>
  </si>
  <si>
    <t>2902;3016;5212;5461;5824;5839;6586</t>
  </si>
  <si>
    <t>400;490;1249;1447;1720;1735;2062</t>
  </si>
  <si>
    <t>NZ_AGBF01000035.1</t>
  </si>
  <si>
    <t>2770;6838</t>
  </si>
  <si>
    <t>1231;2977</t>
  </si>
  <si>
    <t>646;1957</t>
  </si>
  <si>
    <t>187;847</t>
  </si>
  <si>
    <t>2593;2662;3130;5476;5605;5710</t>
  </si>
  <si>
    <t>1225;1255;1636;2521;2596;2677</t>
  </si>
  <si>
    <t>478;3115</t>
  </si>
  <si>
    <t>7;1489</t>
  </si>
  <si>
    <t>559;739</t>
  </si>
  <si>
    <t>76;229</t>
  </si>
  <si>
    <t>NZ_AHBF01000118.1</t>
  </si>
  <si>
    <t>NZ_AHBF01000095.1</t>
  </si>
  <si>
    <t>1231;1243</t>
  </si>
  <si>
    <t>529;892;1204</t>
  </si>
  <si>
    <t>25;247;469</t>
  </si>
  <si>
    <t>NZ_AJSZ01000352.1</t>
  </si>
  <si>
    <t>NZ_AEJB01000328.1</t>
  </si>
  <si>
    <t>NZ_AORZ01000215.1</t>
  </si>
  <si>
    <t>718;1408</t>
  </si>
  <si>
    <t>184;676</t>
  </si>
  <si>
    <t>2578;4609</t>
  </si>
  <si>
    <t>361;1222</t>
  </si>
  <si>
    <t>NZ_KB889720.1</t>
  </si>
  <si>
    <t>3010;3076;3088;3334;5140</t>
  </si>
  <si>
    <t>718;775;787;871;1513</t>
  </si>
  <si>
    <t>NZ_BARG01000062.1</t>
  </si>
  <si>
    <t>1210;1807;1837</t>
  </si>
  <si>
    <t>469;775;805</t>
  </si>
  <si>
    <t>883;1102</t>
  </si>
  <si>
    <t>241;385</t>
  </si>
  <si>
    <t>NZ_AUBE01000038.1</t>
  </si>
  <si>
    <t>NZ_KL571065.1</t>
  </si>
  <si>
    <t>NZ_KL571121.1</t>
  </si>
  <si>
    <t>1051;1282</t>
  </si>
  <si>
    <t>397;562</t>
  </si>
  <si>
    <t>NZ_JNXG01000021.1</t>
  </si>
  <si>
    <t>2593;2617;5533</t>
  </si>
  <si>
    <t>532;538;1852</t>
  </si>
  <si>
    <t>NZ_JODY01000028.1</t>
  </si>
  <si>
    <t>NZ_JODY01000007.1</t>
  </si>
  <si>
    <t>1051;1225</t>
  </si>
  <si>
    <t>409;523</t>
  </si>
  <si>
    <t>1102;4444</t>
  </si>
  <si>
    <t>406;1933</t>
  </si>
  <si>
    <t>3010;3946</t>
  </si>
  <si>
    <t>1417;1732</t>
  </si>
  <si>
    <t>NZ_JOEI01000027.1</t>
  </si>
  <si>
    <t>19;586</t>
  </si>
  <si>
    <t>NZ_JOEY01000009.1</t>
  </si>
  <si>
    <t>NZ_JOEY01000075.1</t>
  </si>
  <si>
    <t>NZ_JOFU01000004.1</t>
  </si>
  <si>
    <t>NZ_JOBF01000039.1</t>
  </si>
  <si>
    <t>NZ_JOID01000020.1</t>
  </si>
  <si>
    <t>NZ_JOAK01000003.1</t>
  </si>
  <si>
    <t>NZ_JQJU01000063.1</t>
  </si>
  <si>
    <t>520;529;658;2770;3367</t>
  </si>
  <si>
    <t>16;25;142;1240;1630</t>
  </si>
  <si>
    <t>NZ_LFXA01000001.1</t>
  </si>
  <si>
    <t>1282;2665</t>
  </si>
  <si>
    <t>556;1102</t>
  </si>
  <si>
    <t>NZ_LIPP01000269.1</t>
  </si>
  <si>
    <t>NZ_LIQX01000878.1</t>
  </si>
  <si>
    <t>NZ_LIQS01000298.1</t>
  </si>
  <si>
    <t>NZ_LIQZ01000104.1</t>
  </si>
  <si>
    <t>2665;3403</t>
  </si>
  <si>
    <t>574;1066</t>
  </si>
  <si>
    <t>NZ_LIQZ01000079.1</t>
  </si>
  <si>
    <t>NZ_LIQZ01000087.1</t>
  </si>
  <si>
    <t>2260;5392</t>
  </si>
  <si>
    <t>NZ_LIRG01000125.1</t>
  </si>
  <si>
    <t>760;763;2257</t>
  </si>
  <si>
    <t>43;46;334</t>
  </si>
  <si>
    <t>3130;5029</t>
  </si>
  <si>
    <t>889;1465</t>
  </si>
  <si>
    <t>NZ_LOHS01000156.1</t>
  </si>
  <si>
    <t>3415;4984</t>
  </si>
  <si>
    <t>1276;1732</t>
  </si>
  <si>
    <t>1411;3904;4414;5716</t>
  </si>
  <si>
    <t>748;1882;2014;2737</t>
  </si>
  <si>
    <t>NZ_MAXF01000186.1</t>
  </si>
  <si>
    <t>NZ_MAXF01000063.1</t>
  </si>
  <si>
    <t>2209;2551;3367</t>
  </si>
  <si>
    <t>133;367;928</t>
  </si>
  <si>
    <t>NZ_LJGW01000207.1</t>
  </si>
  <si>
    <t>NZ_LJGW01000404.1</t>
  </si>
  <si>
    <t>4144;6562</t>
  </si>
  <si>
    <t>1255;2584</t>
  </si>
  <si>
    <t>NZ_MUBL01000343.1</t>
  </si>
  <si>
    <t>718;2176</t>
  </si>
  <si>
    <t>103;802</t>
  </si>
  <si>
    <t>NZ_FNIE01000004.1</t>
  </si>
  <si>
    <t>NZ_FODD01000030.1</t>
  </si>
  <si>
    <t>970;982;3301</t>
  </si>
  <si>
    <t>76;88;1084</t>
  </si>
  <si>
    <t>1282;1318</t>
  </si>
  <si>
    <t>541;568</t>
  </si>
  <si>
    <t>NZ_FOET01000003.1</t>
  </si>
  <si>
    <t>NZ_FRBI01000019.1</t>
  </si>
  <si>
    <t>#----------- Cluster: 1001099 (amount of orthologs = 3)</t>
  </si>
  <si>
    <t>NZ_JOID01000014.1</t>
  </si>
  <si>
    <t>#----------- Cluster: 1001311 (amount of orthologs = 12)</t>
  </si>
  <si>
    <t>NZ_KB889596.1</t>
  </si>
  <si>
    <t>NZ_KB889727.1</t>
  </si>
  <si>
    <t>NZ_KL571070.1</t>
  </si>
  <si>
    <t>#----------- Cluster: 1001326 (amount of orthologs = 2)</t>
  </si>
  <si>
    <t>NZ_MUMD01000102.1</t>
  </si>
  <si>
    <t>#----------- Cluster: 1000068 (amount of orthologs = 4)</t>
  </si>
  <si>
    <t>NZ_JNXG01000041.1</t>
  </si>
  <si>
    <t>NZ_AEJB01000130.1</t>
  </si>
  <si>
    <t>NZ_JOII01000002.1</t>
  </si>
  <si>
    <t>358;382</t>
  </si>
  <si>
    <t>NZ_LIRG01000005.1</t>
  </si>
  <si>
    <t>#----------- Cluster: 1000997 (amount of orthologs = 2)</t>
  </si>
  <si>
    <t>NZ_JODY01000021.1</t>
  </si>
  <si>
    <t>NZ_LIRG01000239.1</t>
  </si>
  <si>
    <t>#----------- Cluster: 1000108 (amount of orthologs = 8)</t>
  </si>
  <si>
    <t>NZ_LIRG01000217.1</t>
  </si>
  <si>
    <t>NZ_AEYX01000041.1</t>
  </si>
  <si>
    <t>751;889</t>
  </si>
  <si>
    <t>745;883</t>
  </si>
  <si>
    <t>NZ_DF968231.1</t>
  </si>
  <si>
    <t>NZ_MUME01000202.1</t>
  </si>
  <si>
    <t>#----------- Cluster: 1000835 (amount of orthologs = 5)</t>
  </si>
  <si>
    <t>NZ_JNWJ01000048.1</t>
  </si>
  <si>
    <t>NZ_JOAK01000019.1</t>
  </si>
  <si>
    <t>#----------- Cluster: 1000257 (amount of orthologs = 11)</t>
  </si>
  <si>
    <t>NZ_JOEI01000018.1</t>
  </si>
  <si>
    <t>NZ_JQJU01000049.1</t>
  </si>
  <si>
    <t>NZ_DF968229.1</t>
  </si>
  <si>
    <t>#----------- Cluster: 1001413 (amount of orthologs = 15)</t>
  </si>
  <si>
    <t>NZ_AGBF01000084.1</t>
  </si>
  <si>
    <t>NZ_JNXD01000008.1</t>
  </si>
  <si>
    <t>NZ_LIPP01000024.1</t>
  </si>
  <si>
    <t>NZ_LIQS01000484.1</t>
  </si>
  <si>
    <t>NZ_LIRG01000122.1</t>
  </si>
  <si>
    <t>NZ_JUJA01000097.1</t>
  </si>
  <si>
    <t>NZ_MUMD01000044.1</t>
  </si>
  <si>
    <t>#----------- Cluster: 1000593 (amount of orthologs = 2)</t>
  </si>
  <si>
    <t>#----------- Cluster: 1000999 (amount of orthologs = 4)</t>
  </si>
  <si>
    <t>NZ_JODY01000009.1</t>
  </si>
  <si>
    <t>NZ_LJGW01000253.1</t>
  </si>
  <si>
    <t>#----------- Cluster: 1000066 (amount of orthologs = 4)</t>
  </si>
  <si>
    <t>NZ_JNWJ01000078.1</t>
  </si>
  <si>
    <t>NZ_AEJB01000155.1</t>
  </si>
  <si>
    <t>NZ_JNWJ01000010.1</t>
  </si>
  <si>
    <t>145;670</t>
  </si>
  <si>
    <t>133;634</t>
  </si>
  <si>
    <t>#----------- Cluster: 1000944 (amount of orthologs = 3)</t>
  </si>
  <si>
    <t>NZ_LIQZ01000018.1</t>
  </si>
  <si>
    <t>#----------- Cluster: 1001509 (amount of orthologs = 9)</t>
  </si>
  <si>
    <t>NZ_LJGU01000141.1</t>
  </si>
  <si>
    <t>NZ_FODD01000007.1</t>
  </si>
  <si>
    <t>#----------- Cluster: 1001478 (amount of orthologs = 2)</t>
  </si>
  <si>
    <t>604;1003;1552;1774</t>
  </si>
  <si>
    <t>547;904;1408;1630</t>
  </si>
  <si>
    <t>655;1573</t>
  </si>
  <si>
    <t>571;1477</t>
  </si>
  <si>
    <t>#----------- Cluster: 1000081 (amount of orthologs = 5)</t>
  </si>
  <si>
    <t>NZ_JOFH01000005.1</t>
  </si>
  <si>
    <t>NZ_JUJA01000099.1</t>
  </si>
  <si>
    <t>#----------- Cluster: 1000074 (amount of orthologs = 44)</t>
  </si>
  <si>
    <t>WP_030875428.1</t>
  </si>
  <si>
    <t>helix-turn-helix domain-containing protein</t>
  </si>
  <si>
    <t>WP_242432195.1</t>
  </si>
  <si>
    <t>GlxA family transcriptional regulator</t>
  </si>
  <si>
    <t>WP_020940236.1</t>
  </si>
  <si>
    <t>NP_627022.1</t>
  </si>
  <si>
    <t>AraC family transcription regulator. Contains possible helix-turn-helix motif</t>
  </si>
  <si>
    <t>WP_040895451.1</t>
  </si>
  <si>
    <t>784;1960</t>
  </si>
  <si>
    <t>733;1483</t>
  </si>
  <si>
    <t>WP_014142619.1</t>
  </si>
  <si>
    <t>NZ_AHBF01000003.1</t>
  </si>
  <si>
    <t>WP_010350211.1</t>
  </si>
  <si>
    <t>NZ_AEJB01000224.1</t>
  </si>
  <si>
    <t>WP_006376629.1</t>
  </si>
  <si>
    <t>NZ_BARG01000005.1</t>
  </si>
  <si>
    <t>WP_019065781.1</t>
  </si>
  <si>
    <t>NZ_KB905821.1</t>
  </si>
  <si>
    <t>WP_019548416.1</t>
  </si>
  <si>
    <t>WP_028797560.1</t>
  </si>
  <si>
    <t>WP_028811569.1</t>
  </si>
  <si>
    <t>NZ_JNWJ01000023.1</t>
  </si>
  <si>
    <t>WP_033322808.1</t>
  </si>
  <si>
    <t>WP_030250053.1</t>
  </si>
  <si>
    <t>NZ_JODY01000012.1</t>
  </si>
  <si>
    <t>WP_030283212.1</t>
  </si>
  <si>
    <t>NZ_JOEI01000031.1</t>
  </si>
  <si>
    <t>WP_030355001.1</t>
  </si>
  <si>
    <t>WP_030601158.1</t>
  </si>
  <si>
    <t>NZ_JOII01000020.1</t>
  </si>
  <si>
    <t>WP_003948195.1</t>
  </si>
  <si>
    <t>NZ_JQJU01000020.1</t>
  </si>
  <si>
    <t>WP_037694272.1</t>
  </si>
  <si>
    <t>WP_043501092.1</t>
  </si>
  <si>
    <t>WP_043440418.1</t>
  </si>
  <si>
    <t>WP_041129365.1</t>
  </si>
  <si>
    <t>WP_030737153.1</t>
  </si>
  <si>
    <t>NZ_LIPP01000407.1</t>
  </si>
  <si>
    <t>WP_055519502.1</t>
  </si>
  <si>
    <t>NZ_LIQX01000017.1</t>
  </si>
  <si>
    <t>WP_055511895.1</t>
  </si>
  <si>
    <t>NZ_LIQY01000129.1</t>
  </si>
  <si>
    <t>WP_055471537.1</t>
  </si>
  <si>
    <t>WP_055643328.1</t>
  </si>
  <si>
    <t>NZ_LN929897.1</t>
  </si>
  <si>
    <t>WP_059013259.1</t>
  </si>
  <si>
    <t>WP_062049626.1</t>
  </si>
  <si>
    <t>NZ_KQ948473.1</t>
  </si>
  <si>
    <t>WP_067380925.1</t>
  </si>
  <si>
    <t>WP_067314830.1</t>
  </si>
  <si>
    <t>NZ_LOHS01000094.1</t>
  </si>
  <si>
    <t>WP_067280919.1</t>
  </si>
  <si>
    <t>WP_067433216.1</t>
  </si>
  <si>
    <t>WP_065959615.1</t>
  </si>
  <si>
    <t>NZ_LJGU01000127.1</t>
  </si>
  <si>
    <t>WP_079166608.1</t>
  </si>
  <si>
    <t>WP_073793839.1</t>
  </si>
  <si>
    <t>NZ_JUJA01000170.1</t>
  </si>
  <si>
    <t>WP_073952885.1</t>
  </si>
  <si>
    <t>WP_069863989.1</t>
  </si>
  <si>
    <t>NZ_MUMD01000067.1</t>
  </si>
  <si>
    <t>WP_019325550.1</t>
  </si>
  <si>
    <t>NZ_MUME01000249.1</t>
  </si>
  <si>
    <t>WP_086793721.1</t>
  </si>
  <si>
    <t>NZ_FNHI01000007.1</t>
  </si>
  <si>
    <t>WP_093654170.1</t>
  </si>
  <si>
    <t>WP_093462003.1</t>
  </si>
  <si>
    <t>NZ_FOGO01000008.1</t>
  </si>
  <si>
    <t>WP_075001470.1</t>
  </si>
  <si>
    <t>NZ_FONG01000031.1</t>
  </si>
  <si>
    <t>WP_245796619.1</t>
  </si>
  <si>
    <t>#----------- Cluster: 1001342 (amount of orthologs = 2)</t>
  </si>
  <si>
    <t>#----------- Cluster: 1000921 (amount of orthologs = 2)</t>
  </si>
  <si>
    <t>NZ_JNWJ01000013.1</t>
  </si>
  <si>
    <t>#----------- Cluster: 1001134 (amount of orthologs = 2)</t>
  </si>
  <si>
    <t>NZ_JOFH01000003.1</t>
  </si>
  <si>
    <t>#----------- Cluster: 1000725 (amount of orthologs = 10)</t>
  </si>
  <si>
    <t>NZ_MUMD01000348.1</t>
  </si>
  <si>
    <t>NZ_FNFF01000002.1</t>
  </si>
  <si>
    <t>#----------- Cluster: 1000292 (amount of orthologs = 3)</t>
  </si>
  <si>
    <t>481;2461</t>
  </si>
  <si>
    <t>412;1942</t>
  </si>
  <si>
    <t>NZ_AJSZ01000024.1</t>
  </si>
  <si>
    <t>NZ_AEJB01000189.1</t>
  </si>
  <si>
    <t>#----------- Cluster: 1000819 (amount of orthologs = 2)</t>
  </si>
  <si>
    <t>#----------- Cluster: 1000446 (amount of orthologs = 3)</t>
  </si>
  <si>
    <t>KY092482.1</t>
  </si>
  <si>
    <t>Streptomyces phage Mojorita</t>
  </si>
  <si>
    <t>NC_047794.1</t>
  </si>
  <si>
    <t>Streptomyces phage Picard</t>
  </si>
  <si>
    <t>#----------- Cluster: 1000808 (amount of orthologs = 10)</t>
  </si>
  <si>
    <t>NZ_KB904704.1</t>
  </si>
  <si>
    <t>NZ_MAXF01000100.1</t>
  </si>
  <si>
    <t>NZ_MAXF01000110.1</t>
  </si>
  <si>
    <t>NZ_MAXF01000120.1</t>
  </si>
  <si>
    <t>NZ_MAXF01000121.1</t>
  </si>
  <si>
    <t>NZ_CP020043.1</t>
  </si>
  <si>
    <t>#----------- Cluster: 1001050 (amount of orthologs = 3)</t>
  </si>
  <si>
    <t>NZ_JOFU01000023.1</t>
  </si>
  <si>
    <t>3199;3841</t>
  </si>
  <si>
    <t>742;1381</t>
  </si>
  <si>
    <t>#----------- Cluster: 1000791 (amount of orthologs = 3)</t>
  </si>
  <si>
    <t>NZ_BARG01000082.1</t>
  </si>
  <si>
    <t>NZ_JNWJ01000021.1</t>
  </si>
  <si>
    <t>NZ_KQ948458.1</t>
  </si>
  <si>
    <t>#----------- Cluster: 1000802 (amount of orthologs = 2)</t>
  </si>
  <si>
    <t>NZ_BARG01000070.1</t>
  </si>
  <si>
    <t>#----------- Cluster: 1000742 (amount of orthologs = 3)</t>
  </si>
  <si>
    <t>346;424</t>
  </si>
  <si>
    <t>244;322</t>
  </si>
  <si>
    <t>#----------- Cluster: 1000653 (amount of orthologs = 2)</t>
  </si>
  <si>
    <t>NZ_AJSZ01000445.1</t>
  </si>
  <si>
    <t>520;643</t>
  </si>
  <si>
    <t>#----------- Cluster: 1001428 (amount of orthologs = 2)</t>
  </si>
  <si>
    <t>178;1231</t>
  </si>
  <si>
    <t>NZ_MLCF01000118.1</t>
  </si>
  <si>
    <t>127;178</t>
  </si>
  <si>
    <t>97;148</t>
  </si>
  <si>
    <t>NZ_FONG01000007.1</t>
  </si>
  <si>
    <t>#----------- Cluster: 1001048 (amount of orthologs = 3)</t>
  </si>
  <si>
    <t>NZ_JOFH01000038.1</t>
  </si>
  <si>
    <t>NZ_LIQX01000720.1</t>
  </si>
  <si>
    <t>#----------- Cluster: 1001145 (amount of orthologs = 2)</t>
  </si>
  <si>
    <t>#----------- Cluster: 1001053 (amount of orthologs = 2)</t>
  </si>
  <si>
    <t>#----------- Cluster: 1001262 (amount of orthologs = 2)</t>
  </si>
  <si>
    <t>NZ_LIPP01000118.1</t>
  </si>
  <si>
    <t>NZ_MUME01000345.1</t>
  </si>
  <si>
    <t>#----------- Cluster: 1000287 (amount of orthologs = 2)</t>
  </si>
  <si>
    <t>#----------- Cluster: 1000998 (amount of orthologs = 4)</t>
  </si>
  <si>
    <t>160;316</t>
  </si>
  <si>
    <t>NZ_JNYR01000037.1</t>
  </si>
  <si>
    <t>NZ_JODY01000026.1</t>
  </si>
  <si>
    <t>NZ_KQ948480.1</t>
  </si>
  <si>
    <t>NZ_FNIE01000017.1</t>
  </si>
  <si>
    <t>#----------- Cluster: 1001264 (amount of orthologs = 2)</t>
  </si>
  <si>
    <t>NZ_LIPP01000096.1</t>
  </si>
  <si>
    <t>#----------- Cluster: 1000141 (amount of orthologs = 6)</t>
  </si>
  <si>
    <t>NZ_JOEY01000037.1</t>
  </si>
  <si>
    <t>NZ_JNXD01000016.1</t>
  </si>
  <si>
    <t>NZ_DF968232.1</t>
  </si>
  <si>
    <t>NZ_KQ948313.1</t>
  </si>
  <si>
    <t>#----------- Cluster: 1000333 (amount of orthologs = 2)</t>
  </si>
  <si>
    <t>#----------- Cluster: 1001041 (amount of orthologs = 2)</t>
  </si>
  <si>
    <t>#----------- Cluster: 1000739 (amount of orthologs = 3)</t>
  </si>
  <si>
    <t>#----------- Cluster: 1001385 (amount of orthologs = 2)</t>
  </si>
  <si>
    <t>#----------- Cluster: 1000185 (amount of orthologs = 2)</t>
  </si>
  <si>
    <t>#----------- Cluster: 1000652 (amount of orthologs = 2)</t>
  </si>
  <si>
    <t>NZ_AJSZ01000555.1</t>
  </si>
  <si>
    <t>#----------- Cluster: 1000623 (amount of orthologs = 6)</t>
  </si>
  <si>
    <t>211;2926</t>
  </si>
  <si>
    <t>205;2770</t>
  </si>
  <si>
    <t>NZ_KL571170.1</t>
  </si>
  <si>
    <t>NZ_JNYR01000046.1</t>
  </si>
  <si>
    <t>NZ_LJGW01000350.1</t>
  </si>
  <si>
    <t>#----------- Cluster: 1001416 (amount of orthologs = 2)</t>
  </si>
  <si>
    <t>19;40</t>
  </si>
  <si>
    <t>#----------- Cluster: 1000598 (amount of orthologs = 3)</t>
  </si>
  <si>
    <t>#----------- Cluster: 1001515 (amount of orthologs = 3)</t>
  </si>
  <si>
    <t>NZ_FZOF01000023.1</t>
  </si>
  <si>
    <t>#----------- Cluster: 1000195 (amount of orthologs = 5)</t>
  </si>
  <si>
    <t>NZ_JNYR01000083.1</t>
  </si>
  <si>
    <t>211;817</t>
  </si>
  <si>
    <t>211;811</t>
  </si>
  <si>
    <t>#----------- Cluster: 1001320 (amount of orthologs = 11)</t>
  </si>
  <si>
    <t>43;901</t>
  </si>
  <si>
    <t>43;850</t>
  </si>
  <si>
    <t>37;802</t>
  </si>
  <si>
    <t>37;772</t>
  </si>
  <si>
    <t>7;814</t>
  </si>
  <si>
    <t>NZ_MAXF01000230.1</t>
  </si>
  <si>
    <t>NZ_MUMD01000536.1</t>
  </si>
  <si>
    <t>#----------- Cluster: 1001035 (amount of orthologs = 2)</t>
  </si>
  <si>
    <t>NZ_JOEY01000046.1</t>
  </si>
  <si>
    <t>#----------- Cluster: 1000615 (amount of orthologs = 2)</t>
  </si>
  <si>
    <t>NZ_FNHI01000031.1</t>
  </si>
  <si>
    <t>#----------- Cluster: 1000781 (amount of orthologs = 7)</t>
  </si>
  <si>
    <t>277;346</t>
  </si>
  <si>
    <t>NZ_BARG01000044.1</t>
  </si>
  <si>
    <t>NZ_KQ948501.1</t>
  </si>
  <si>
    <t>#----------- Cluster: 1001019 (amount of orthologs = 2)</t>
  </si>
  <si>
    <t>NZ_JOEI01000012.1</t>
  </si>
  <si>
    <t>#----------- Cluster: 1000821 (amount of orthologs = 3)</t>
  </si>
  <si>
    <t>175;271</t>
  </si>
  <si>
    <t>121;217</t>
  </si>
  <si>
    <t>NZ_JNXG01000028.1</t>
  </si>
  <si>
    <t>#----------- Cluster: 1000939 (amount of orthologs = 2)</t>
  </si>
  <si>
    <t>NZ_JNWJ01000037.1</t>
  </si>
  <si>
    <t>NZ_LIQZ01000637.1</t>
  </si>
  <si>
    <t>#----------- Cluster: 1001472 (amount of orthologs = 2)</t>
  </si>
  <si>
    <t>#----------- Cluster: 1000971 (amount of orthologs = 2)</t>
  </si>
  <si>
    <t>778;1096</t>
  </si>
  <si>
    <t>NZ_KL571063.1</t>
  </si>
  <si>
    <t>NZ_JNYR01000002.1</t>
  </si>
  <si>
    <t>#----------- Cluster: 1001485 (amount of orthologs = 4)</t>
  </si>
  <si>
    <t>NZ_JOEY01000026.1</t>
  </si>
  <si>
    <t>NZ_LOHS01000044.1</t>
  </si>
  <si>
    <t>NZ_MUMD01000186.1</t>
  </si>
  <si>
    <t>#----------- Cluster: 1000015 (amount of orthologs = 12)</t>
  </si>
  <si>
    <t>NZ_AHBF01000230.1</t>
  </si>
  <si>
    <t>NZ_AHBF01000172.1</t>
  </si>
  <si>
    <t>187;229</t>
  </si>
  <si>
    <t>NZ_KQ948319.1</t>
  </si>
  <si>
    <t>229;295</t>
  </si>
  <si>
    <t>121;187</t>
  </si>
  <si>
    <t>NZ_FODD01000072.1</t>
  </si>
  <si>
    <t>#----------- Cluster: 1001118 (amount of orthologs = 2)</t>
  </si>
  <si>
    <t>37;466</t>
  </si>
  <si>
    <t>37;424</t>
  </si>
  <si>
    <t>NZ_AUBE01000021.1</t>
  </si>
  <si>
    <t>#----------- Cluster: 1001224 (amount of orthologs = 2)</t>
  </si>
  <si>
    <t>NZ_FRBI01000001.1</t>
  </si>
  <si>
    <t>#----------- Cluster: 1000120 (amount of orthologs = 4)</t>
  </si>
  <si>
    <t>NZ_JOFU01000003.1</t>
  </si>
  <si>
    <t>NZ_LIQX01000076.1</t>
  </si>
  <si>
    <t>#----------- Cluster: 1001191 (amount of orthologs = 2)</t>
  </si>
  <si>
    <t>NZ_JOII01000013.1</t>
  </si>
  <si>
    <t>325;412</t>
  </si>
  <si>
    <t>#----------- Cluster: 1000754 (amount of orthologs = 3)</t>
  </si>
  <si>
    <t>NZ_KB889698.1</t>
  </si>
  <si>
    <t>952;1438</t>
  </si>
  <si>
    <t>928;1378</t>
  </si>
  <si>
    <t>NZ_LJGU01000096.1</t>
  </si>
  <si>
    <t>31;1066</t>
  </si>
  <si>
    <t>31;916</t>
  </si>
  <si>
    <t>#----------- Cluster: 1000417 (amount of orthologs = 2)</t>
  </si>
  <si>
    <t>NZ_LIRG01000066.1</t>
  </si>
  <si>
    <t>#----------- Cluster: 1000731 (amount of orthologs = 2)</t>
  </si>
  <si>
    <t>#----------- Cluster: 1001234 (amount of orthologs = 3)</t>
  </si>
  <si>
    <t>NZ_MVFC01000015.1</t>
  </si>
  <si>
    <t>#----------- Cluster: 1001063 (amount of orthologs = 2)</t>
  </si>
  <si>
    <t>1612;1696</t>
  </si>
  <si>
    <t>1573;1657</t>
  </si>
  <si>
    <t>#----------- Cluster: 1000413 (amount of orthologs = 5)</t>
  </si>
  <si>
    <t>NZ_LIQX01000536.1</t>
  </si>
  <si>
    <t>#----------- Cluster: 1001193 (amount of orthologs = 2)</t>
  </si>
  <si>
    <t>#----------- Cluster: 1000350 (amount of orthologs = 2)</t>
  </si>
  <si>
    <t>#----------- Cluster: 1001336 (amount of orthologs = 2)</t>
  </si>
  <si>
    <t>NZ_KQ948488.1</t>
  </si>
  <si>
    <t>#----------- Cluster: 1000387 (amount of orthologs = 11)</t>
  </si>
  <si>
    <t>NZ_AEYX01000045.1</t>
  </si>
  <si>
    <t>NZ_AEJB01000271.1</t>
  </si>
  <si>
    <t>NZ_DF968220.1</t>
  </si>
  <si>
    <t>NZ_MUME01000326.1</t>
  </si>
  <si>
    <t>#----------- Cluster: 1001345 (amount of orthologs = 2)</t>
  </si>
  <si>
    <t>#----------- Cluster: 1000174 (amount of orthologs = 5)</t>
  </si>
  <si>
    <t>NZ_KQ948336.1</t>
  </si>
  <si>
    <t>#----------- Cluster: 1000794 (amount of orthologs = 2)</t>
  </si>
  <si>
    <t>NZ_JOID01000011.1</t>
  </si>
  <si>
    <t>#----------- Cluster: 1000545 (amount of orthologs = 2)</t>
  </si>
  <si>
    <t>NZ_LJGW01000141.1</t>
  </si>
  <si>
    <t>#----------- Cluster: 1001506 (amount of orthologs = 3)</t>
  </si>
  <si>
    <t>NZ_JNWJ01000003.1</t>
  </si>
  <si>
    <t>#----------- Cluster: 1001495 (amount of orthologs = 2)</t>
  </si>
  <si>
    <t>349;559</t>
  </si>
  <si>
    <t>NZ_FNFF01000015.1</t>
  </si>
  <si>
    <t>#----------- Cluster: 1001426 (amount of orthologs = 4)</t>
  </si>
  <si>
    <t>112;2365</t>
  </si>
  <si>
    <t>109;1840</t>
  </si>
  <si>
    <t>511;2320</t>
  </si>
  <si>
    <t>355;1906</t>
  </si>
  <si>
    <t>NZ_LJGW01000019.1</t>
  </si>
  <si>
    <t>#----------- Cluster: 1000444 (amount of orthologs = 2)</t>
  </si>
  <si>
    <t>#----------- Cluster: 1001187 (amount of orthologs = 2)</t>
  </si>
  <si>
    <t>#----------- Cluster: 1000392 (amount of orthologs = 2)</t>
  </si>
  <si>
    <t>#----------- Cluster: 1001363 (amount of orthologs = 2)</t>
  </si>
  <si>
    <t>70;877</t>
  </si>
  <si>
    <t>70;862</t>
  </si>
  <si>
    <t>NZ_JUJA01000141.1</t>
  </si>
  <si>
    <t>#----------- Cluster: 1000583 (amount of orthologs = 2)</t>
  </si>
  <si>
    <t>#----------- Cluster: 1001088 (amount of orthologs = 3)</t>
  </si>
  <si>
    <t>NZ_JOFL01000009.1</t>
  </si>
  <si>
    <t>#----------- Cluster: 1000862 (amount of orthologs = 2)</t>
  </si>
  <si>
    <t>#----------- Cluster: 1000349 (amount of orthologs = 5)</t>
  </si>
  <si>
    <t>NZ_LIQY01000711.1</t>
  </si>
  <si>
    <t>NZ_MAXF01000041.1</t>
  </si>
  <si>
    <t>#----------- Cluster: 1000894 (amount of orthologs = 2)</t>
  </si>
  <si>
    <t>NZ_KL571079.1</t>
  </si>
  <si>
    <t>NZ_JNYR01000049.1</t>
  </si>
  <si>
    <t>#----------- Cluster: 1001471 (amount of orthologs = 2)</t>
  </si>
  <si>
    <t>NZ_AHBF01000052.1</t>
  </si>
  <si>
    <t>#----------- Cluster: 1001180 (amount of orthologs = 2)</t>
  </si>
  <si>
    <t>NZ_DF968240.1</t>
  </si>
  <si>
    <t>#----------- Cluster: 1000191 (amount of orthologs = 2)</t>
  </si>
  <si>
    <t>127;1255;1480</t>
  </si>
  <si>
    <t>52;1102;1327</t>
  </si>
  <si>
    <t>NZ_LOHS01000200.1</t>
  </si>
  <si>
    <t>#----------- Cluster: 1000985 (amount of orthologs = 2)</t>
  </si>
  <si>
    <t>NZ_LIPP01000065.1</t>
  </si>
  <si>
    <t>#----------- Cluster: 1000048 (amount of orthologs = 3)</t>
  </si>
  <si>
    <t>NZ_BARG01000015.1</t>
  </si>
  <si>
    <t>NZ_JUJA01000088.1</t>
  </si>
  <si>
    <t>#----------- Cluster: 1000992 (amount of orthologs = 4)</t>
  </si>
  <si>
    <t>NZ_LIQY01000081.1</t>
  </si>
  <si>
    <t>NZ_FODD01000028.1</t>
  </si>
  <si>
    <t>#----------- Cluster: 1001556 (amount of orthologs = 2)</t>
  </si>
  <si>
    <t>55;70</t>
  </si>
  <si>
    <t>#----------- Cluster: 1000210 (amount of orthologs = 6)</t>
  </si>
  <si>
    <t>NZ_JOFU01000036.1</t>
  </si>
  <si>
    <t>NZ_MUME01000276.1</t>
  </si>
  <si>
    <t>#----------- Cluster: 1001220 (amount of orthologs = 10)</t>
  </si>
  <si>
    <t>391;2593</t>
  </si>
  <si>
    <t>280;2323</t>
  </si>
  <si>
    <t>NZ_AJSZ01000219.1</t>
  </si>
  <si>
    <t>NZ_KL571088.1</t>
  </si>
  <si>
    <t>157;484</t>
  </si>
  <si>
    <t>133;451</t>
  </si>
  <si>
    <t>NZ_JNYL01000459.1</t>
  </si>
  <si>
    <t>NZ_MVFC01000020.1</t>
  </si>
  <si>
    <t>NZ_MVFC01000005.1</t>
  </si>
  <si>
    <t>NZ_FZOF01000021.1</t>
  </si>
  <si>
    <t>#----------- Cluster: 1000297 (amount of orthologs = 2)</t>
  </si>
  <si>
    <t>#----------- Cluster: 1000918 (amount of orthologs = 5)</t>
  </si>
  <si>
    <t>10;127</t>
  </si>
  <si>
    <t>10;121</t>
  </si>
  <si>
    <t>#----------- Cluster: 1000302 (amount of orthologs = 2)</t>
  </si>
  <si>
    <t>#----------- Cluster: 1000854 (amount of orthologs = 13)</t>
  </si>
  <si>
    <t>NZ_KL571085.1</t>
  </si>
  <si>
    <t>NZ_JOII01000022.1</t>
  </si>
  <si>
    <t>184;922</t>
  </si>
  <si>
    <t>124;613</t>
  </si>
  <si>
    <t>NZ_LOHS01000184.1</t>
  </si>
  <si>
    <t>286;340</t>
  </si>
  <si>
    <t>208;262</t>
  </si>
  <si>
    <t>#----------- Cluster: 1000358 (amount of orthologs = 2)</t>
  </si>
  <si>
    <t>#----------- Cluster: 1000896 (amount of orthologs = 2)</t>
  </si>
  <si>
    <t>NZ_KL571089.1</t>
  </si>
  <si>
    <t>#----------- Cluster: 1001454 (amount of orthologs = 2)</t>
  </si>
  <si>
    <t>#----------- Cluster: 1000911 (amount of orthologs = 3)</t>
  </si>
  <si>
    <t>NZ_MAXF01000091.1</t>
  </si>
  <si>
    <t>#----------- Cluster: 1001325 (amount of orthologs = 2)</t>
  </si>
  <si>
    <t>10;373</t>
  </si>
  <si>
    <t>NZ_KQ948324.1</t>
  </si>
  <si>
    <t>#----------- Cluster: 1001270 (amount of orthologs = 2)</t>
  </si>
  <si>
    <t>NZ_LIPP01000263.1</t>
  </si>
  <si>
    <t>#----------- Cluster: 1000190 (amount of orthologs = 2)</t>
  </si>
  <si>
    <t>NZ_JOBF01000011.1</t>
  </si>
  <si>
    <t>#----------- Cluster: 1001523 (amount of orthologs = 6)</t>
  </si>
  <si>
    <t>NZ_LIQX01000674.1</t>
  </si>
  <si>
    <t>1135;1960;2077</t>
  </si>
  <si>
    <t>769;1516;1621</t>
  </si>
  <si>
    <t>#----------- Cluster: 1000900 (amount of orthologs = 5)</t>
  </si>
  <si>
    <t>NZ_KL571083.1</t>
  </si>
  <si>
    <t>76;235</t>
  </si>
  <si>
    <t>61;220</t>
  </si>
  <si>
    <t>NZ_JODL01000014.1</t>
  </si>
  <si>
    <t>NZ_LIQS01000200.1</t>
  </si>
  <si>
    <t>#----------- Cluster: 1000270 (amount of orthologs = 2)</t>
  </si>
  <si>
    <t>NZ_AEYX01000025.1</t>
  </si>
  <si>
    <t>#----------- Cluster: 1001542 (amount of orthologs = 4)</t>
  </si>
  <si>
    <t>MH155877.1</t>
  </si>
  <si>
    <t>Streptomyces phage Rainydai</t>
  </si>
  <si>
    <t>MH155880.1</t>
  </si>
  <si>
    <t>Streptomyces phage SendItCS</t>
  </si>
  <si>
    <t>MT310854.1</t>
  </si>
  <si>
    <t>Streptomyces phage CricKo</t>
  </si>
  <si>
    <t>MT657340.1</t>
  </si>
  <si>
    <t>Streptomyces phage Thiqqums</t>
  </si>
  <si>
    <t>#----------- Cluster: 1001288 (amount of orthologs = 2)</t>
  </si>
  <si>
    <t>325;454</t>
  </si>
  <si>
    <t>322;451</t>
  </si>
  <si>
    <t>NZ_LIQY01000541.1</t>
  </si>
  <si>
    <t>NZ_MAXF01000127.1</t>
  </si>
  <si>
    <t>#----------- Cluster: 1000937 (amount of orthologs = 2)</t>
  </si>
  <si>
    <t>112;214</t>
  </si>
  <si>
    <t>112;193</t>
  </si>
  <si>
    <t>#----------- Cluster: 1000438 (amount of orthologs = 2)</t>
  </si>
  <si>
    <t>NZ_KB904655.1</t>
  </si>
  <si>
    <t>#----------- Cluster: 1001378 (amount of orthologs = 2)</t>
  </si>
  <si>
    <t>79;142</t>
  </si>
  <si>
    <t>52;115</t>
  </si>
  <si>
    <t>#----------- Cluster: 1001211 (amount of orthologs = 3)</t>
  </si>
  <si>
    <t>142;184;280</t>
  </si>
  <si>
    <t>103;145;241</t>
  </si>
  <si>
    <t>#----------- Cluster: 1000797 (amount of orthologs = 2)</t>
  </si>
  <si>
    <t>NZ_CP010408.1</t>
  </si>
  <si>
    <t>#----------- Cluster: 1000925 (amount of orthologs = 2)</t>
  </si>
  <si>
    <t>#----------- Cluster: 1001500 (amount of orthologs = 36)</t>
  </si>
  <si>
    <t>NZ_MUME01000181.1</t>
  </si>
  <si>
    <t>8956;13792</t>
  </si>
  <si>
    <t>1816;5092</t>
  </si>
  <si>
    <t>19813;21052;21949</t>
  </si>
  <si>
    <t>685;1567;2137</t>
  </si>
  <si>
    <t>18094;20788</t>
  </si>
  <si>
    <t>1363;3067</t>
  </si>
  <si>
    <t>NZ_AJSZ01000947.1</t>
  </si>
  <si>
    <t>NZ_KB889741.1</t>
  </si>
  <si>
    <t>NZ_KB889668.1</t>
  </si>
  <si>
    <t>NZ_KB889703.1</t>
  </si>
  <si>
    <t>20797;21058</t>
  </si>
  <si>
    <t>370;562</t>
  </si>
  <si>
    <t>NZ_LIQS01000466.1</t>
  </si>
  <si>
    <t>NZ_LIQS01000024.1</t>
  </si>
  <si>
    <t>NZ_LIQS01000290.1</t>
  </si>
  <si>
    <t>NZ_MAXF01000131.1</t>
  </si>
  <si>
    <t>NZ_LJGW01000311.1</t>
  </si>
  <si>
    <t>832;1204;9823</t>
  </si>
  <si>
    <t>685;967;2638</t>
  </si>
  <si>
    <t>NZ_FNHI01000019.1</t>
  </si>
  <si>
    <t>#----------- Cluster: 1001199 (amount of orthologs = 2)</t>
  </si>
  <si>
    <t>NZ_LOHS01000037.1</t>
  </si>
  <si>
    <t>#----------- Cluster: 1001427 (amount of orthologs = 2)</t>
  </si>
  <si>
    <t>94;646</t>
  </si>
  <si>
    <t>91;643</t>
  </si>
  <si>
    <t>#----------- Cluster: 1000505 (amount of orthologs = 5)</t>
  </si>
  <si>
    <t>NZ_AGBF01000116.1</t>
  </si>
  <si>
    <t>NZ_LIRG01000315.1</t>
  </si>
  <si>
    <t>#----------- Cluster: 1000032 (amount of orthologs = 8)</t>
  </si>
  <si>
    <t>NZ_JNYR01000045.1</t>
  </si>
  <si>
    <t>NZ_JODL01000016.1</t>
  </si>
  <si>
    <t>#----------- Cluster: 1001233 (amount of orthologs = 2)</t>
  </si>
  <si>
    <t>#----------- Cluster: 1001036 (amount of orthologs = 2)</t>
  </si>
  <si>
    <t>NZ_LIQS01000055.1</t>
  </si>
  <si>
    <t>#----------- Cluster: 1001444 (amount of orthologs = 2)</t>
  </si>
  <si>
    <t>#----------- Cluster: 1000664 (amount of orthologs = 7)</t>
  </si>
  <si>
    <t>NZ_AEJB01000036.1</t>
  </si>
  <si>
    <t>NZ_JOEY01000004.1</t>
  </si>
  <si>
    <t>NZ_KQ948460.1</t>
  </si>
  <si>
    <t>#----------- Cluster: 1000668 (amount of orthologs = 4)</t>
  </si>
  <si>
    <t>NZ_AEJB01000529.1</t>
  </si>
  <si>
    <t>NZ_JODY01000010.1</t>
  </si>
  <si>
    <t>496;1096</t>
  </si>
  <si>
    <t>484;1057</t>
  </si>
  <si>
    <t>#----------- Cluster: 1001324 (amount of orthologs = 2)</t>
  </si>
  <si>
    <t>NZ_KQ948312.1</t>
  </si>
  <si>
    <t>#----------- Cluster: 1000253 (amount of orthologs = 4)</t>
  </si>
  <si>
    <t>NZ_JNWJ01000025.1</t>
  </si>
  <si>
    <t>#----------- Cluster: 1000555 (amount of orthologs = 2)</t>
  </si>
  <si>
    <t>223;604</t>
  </si>
  <si>
    <t>NZ_JOBF01000001.1</t>
  </si>
  <si>
    <t>#----------- Cluster: 1000049 (amount of orthologs = 3)</t>
  </si>
  <si>
    <t>NZ_FONG01000001.1</t>
  </si>
  <si>
    <t>#----------- Cluster: 1000628 (amount of orthologs = 5)</t>
  </si>
  <si>
    <t>64;406</t>
  </si>
  <si>
    <t>64;376</t>
  </si>
  <si>
    <t>NZ_JOFH01000010.1</t>
  </si>
  <si>
    <t>NZ_DF968533.1</t>
  </si>
  <si>
    <t>NZ_MAXF01000154.1</t>
  </si>
  <si>
    <t>#----------- Cluster: 1001536 (amount of orthologs = 2)</t>
  </si>
  <si>
    <t>#----------- Cluster: 1001380 (amount of orthologs = 2)</t>
  </si>
  <si>
    <t>#----------- Cluster: 1000057 (amount of orthologs = 10)</t>
  </si>
  <si>
    <t>NZ_JNYL01000060.1</t>
  </si>
  <si>
    <t>NZ_JNYR01000034.1</t>
  </si>
  <si>
    <t>589;673</t>
  </si>
  <si>
    <t>421;505</t>
  </si>
  <si>
    <t>NZ_LIPP01000312.1</t>
  </si>
  <si>
    <t>259;274</t>
  </si>
  <si>
    <t>253;268</t>
  </si>
  <si>
    <t>#----------- Cluster: 1000573 (amount of orthologs = 2)</t>
  </si>
  <si>
    <t>103;115;1075</t>
  </si>
  <si>
    <t>103;115;1060</t>
  </si>
  <si>
    <t>#----------- Cluster: 1000204 (amount of orthologs = 6)</t>
  </si>
  <si>
    <t>NZ_AEJB01000535.1</t>
  </si>
  <si>
    <t>NZ_BARG01000002.1</t>
  </si>
  <si>
    <t>NZ_LIQZ01000045.1</t>
  </si>
  <si>
    <t>#----------- Cluster: 1001198 (amount of orthologs = 3)</t>
  </si>
  <si>
    <t>NZ_LJGW01000042.1</t>
  </si>
  <si>
    <t>NZ_FNFF01000043.1</t>
  </si>
  <si>
    <t>#----------- Cluster: 1000502 (amount of orthologs = 2)</t>
  </si>
  <si>
    <t>#----------- Cluster: 1001445 (amount of orthologs = 3)</t>
  </si>
  <si>
    <t>#----------- Cluster: 1000004 (amount of orthologs = 2)</t>
  </si>
  <si>
    <t>#----------- Cluster: 1000265 (amount of orthologs = 7)</t>
  </si>
  <si>
    <t>NZ_JOAK01000018.1</t>
  </si>
  <si>
    <t>NZ_LIQX01000150.1</t>
  </si>
  <si>
    <t>NZ_LIQS01000218.1</t>
  </si>
  <si>
    <t>#----------- Cluster: 1001468 (amount of orthologs = 2)</t>
  </si>
  <si>
    <t>#----------- Cluster: 1000441 (amount of orthologs = 5)</t>
  </si>
  <si>
    <t>76;1498</t>
  </si>
  <si>
    <t>76;1381</t>
  </si>
  <si>
    <t>1423;1516</t>
  </si>
  <si>
    <t>1273;1366</t>
  </si>
  <si>
    <t>664;1501</t>
  </si>
  <si>
    <t>166;940</t>
  </si>
  <si>
    <t>#----------- Cluster: 1000079 (amount of orthologs = 38)</t>
  </si>
  <si>
    <t>NZ_JOFL01000038.1</t>
  </si>
  <si>
    <t>WP_030369760.1</t>
  </si>
  <si>
    <t>WP_065757158.1</t>
  </si>
  <si>
    <t>WP_010986665.1</t>
  </si>
  <si>
    <t>WP_003968987.1</t>
  </si>
  <si>
    <t>WP_013003376.1</t>
  </si>
  <si>
    <t>WP_014179481.1</t>
  </si>
  <si>
    <t>WP_004987717.1</t>
  </si>
  <si>
    <t>WP_009717716.1</t>
  </si>
  <si>
    <t>NZ_AGBF01000019.1</t>
  </si>
  <si>
    <t>WP_007493705.1</t>
  </si>
  <si>
    <t>WP_078568737.1</t>
  </si>
  <si>
    <t>NZ_AJSZ01000646.1</t>
  </si>
  <si>
    <t>WP_006349169.1</t>
  </si>
  <si>
    <t>WP_015660194.1</t>
  </si>
  <si>
    <t>NZ_KB904659.1</t>
  </si>
  <si>
    <t>WP_078500237.1</t>
  </si>
  <si>
    <t>NZ_KL571058.1</t>
  </si>
  <si>
    <t>WP_030018888.1</t>
  </si>
  <si>
    <t>WP_033299130.1</t>
  </si>
  <si>
    <t>WP_031509541.1</t>
  </si>
  <si>
    <t>WP_030542348.1</t>
  </si>
  <si>
    <t>NZ_JOFH01000020.1</t>
  </si>
  <si>
    <t>WP_031039859.1</t>
  </si>
  <si>
    <t>WP_031130480.1</t>
  </si>
  <si>
    <t>WP_047122002.1</t>
  </si>
  <si>
    <t>WP_049719376.1</t>
  </si>
  <si>
    <t>NZ_DF968322.1</t>
  </si>
  <si>
    <t>WP_059420163.1</t>
  </si>
  <si>
    <t>WP_053557268.1</t>
  </si>
  <si>
    <t>NZ_LIQZ01000539.1</t>
  </si>
  <si>
    <t>WP_055618481.1</t>
  </si>
  <si>
    <t>WP_067351257.1</t>
  </si>
  <si>
    <t>WP_069567615.1</t>
  </si>
  <si>
    <t>WP_069780685.1</t>
  </si>
  <si>
    <t>NZ_MLCF01000115.1</t>
  </si>
  <si>
    <t>WP_079170458.1</t>
  </si>
  <si>
    <t>WP_076686225.1</t>
  </si>
  <si>
    <t>NZ_MVFC01000047.1</t>
  </si>
  <si>
    <t>WP_077973998.1</t>
  </si>
  <si>
    <t>WP_078077221.1</t>
  </si>
  <si>
    <t>WP_087928019.1</t>
  </si>
  <si>
    <t>WP_093615307.1</t>
  </si>
  <si>
    <t>NZ_FNIE01000007.1</t>
  </si>
  <si>
    <t>WP_093785339.1</t>
  </si>
  <si>
    <t>WP_069465330.1</t>
  </si>
  <si>
    <t>WP_093654241.1</t>
  </si>
  <si>
    <t>NZ_FRBI01000002.1</t>
  </si>
  <si>
    <t>WP_073493757.1</t>
  </si>
  <si>
    <t>NZ_FZOF01000012.1</t>
  </si>
  <si>
    <t>WP_245939004.1</t>
  </si>
  <si>
    <t>#----------- Cluster: 1000122 (amount of orthologs = 2)</t>
  </si>
  <si>
    <t>103;118</t>
  </si>
  <si>
    <t>73;88</t>
  </si>
  <si>
    <t>NZ_LIPP01000040.1</t>
  </si>
  <si>
    <t>#----------- Cluster: 1001163 (amount of orthologs = 2)</t>
  </si>
  <si>
    <t>#----------- Cluster: 1000859 (amount of orthologs = 2)</t>
  </si>
  <si>
    <t>#----------- Cluster: 1001414 (amount of orthologs = 2)</t>
  </si>
  <si>
    <t>70;838</t>
  </si>
  <si>
    <t>NZ_JH725390.1</t>
  </si>
  <si>
    <t>#----------- Cluster: 1000425 (amount of orthologs = 2)</t>
  </si>
  <si>
    <t>NZ_FOET01000017.1</t>
  </si>
  <si>
    <t>#----------- Cluster: 1000820 (amount of orthologs = 3)</t>
  </si>
  <si>
    <t>NZ_KB904653.1</t>
  </si>
  <si>
    <t>#----------- Cluster: 1001153 (amount of orthologs = 2)</t>
  </si>
  <si>
    <t>205;247</t>
  </si>
  <si>
    <t>NZ_JNXD01000019.1</t>
  </si>
  <si>
    <t>#----------- Cluster: 1001369 (amount of orthologs = 3)</t>
  </si>
  <si>
    <t>NZ_FNIE01000019.1</t>
  </si>
  <si>
    <t>#----------- Cluster: 1000495 (amount of orthologs = 9)</t>
  </si>
  <si>
    <t>154;466</t>
  </si>
  <si>
    <t>49;361</t>
  </si>
  <si>
    <t>NZ_BARG01000053.1</t>
  </si>
  <si>
    <t>NZ_JQJU01000018.1</t>
  </si>
  <si>
    <t>NZ_LIQZ01000031.1</t>
  </si>
  <si>
    <t>NZ_LIQZ01000089.1</t>
  </si>
  <si>
    <t>NZ_FODD01000058.1</t>
  </si>
  <si>
    <t>#----------- Cluster: 1001558 (amount of orthologs = 3)</t>
  </si>
  <si>
    <t>#----------- Cluster: 1000840 (amount of orthologs = 2)</t>
  </si>
  <si>
    <t>#----------- Cluster: 1000499 (amount of orthologs = 3)</t>
  </si>
  <si>
    <t>NZ_LIPP01000038.1</t>
  </si>
  <si>
    <t>NZ_KQ948321.1</t>
  </si>
  <si>
    <t>#----------- Cluster: 1000177 (amount of orthologs = 4)</t>
  </si>
  <si>
    <t>NZ_KB904690.1</t>
  </si>
  <si>
    <t>#----------- Cluster: 1000647 (amount of orthologs = 2)</t>
  </si>
  <si>
    <t>NZ_AJSZ01000079.1</t>
  </si>
  <si>
    <t>#----------- Cluster: 1000183 (amount of orthologs = 11)</t>
  </si>
  <si>
    <t>NZ_AGBF01000276.1</t>
  </si>
  <si>
    <t>NZ_AHBF01000044.1</t>
  </si>
  <si>
    <t>NZ_JOEY01000031.1</t>
  </si>
  <si>
    <t>NZ_LIQX01000873.1</t>
  </si>
  <si>
    <t>NZ_LIQS01000190.1</t>
  </si>
  <si>
    <t>NZ_MUMD01000073.1</t>
  </si>
  <si>
    <t>#----------- Cluster: 1000865 (amount of orthologs = 2)</t>
  </si>
  <si>
    <t>#----------- Cluster: 1001538 (amount of orthologs = 4)</t>
  </si>
  <si>
    <t>MF358541.1</t>
  </si>
  <si>
    <t>Streptomyces phage Warpy</t>
  </si>
  <si>
    <t>NC_029098.1</t>
  </si>
  <si>
    <t>Streptomyces phage Jay2Jay</t>
  </si>
  <si>
    <t>#----------- Cluster: 1001535 (amount of orthologs = 2)</t>
  </si>
  <si>
    <t>#----------- Cluster: 1001244 (amount of orthologs = 3)</t>
  </si>
  <si>
    <t>NZ_JNXD01000020.1</t>
  </si>
  <si>
    <t>#----------- Cluster: 1000590 (amount of orthologs = 2)</t>
  </si>
  <si>
    <t>#----------- Cluster: 1000777 (amount of orthologs = 4)</t>
  </si>
  <si>
    <t>NZ_JUJA01000146.1</t>
  </si>
  <si>
    <t>#----------- Cluster: 1000464 (amount of orthologs = 2)</t>
  </si>
  <si>
    <t>NZ_LJGU01000114.1</t>
  </si>
  <si>
    <t>#----------- Cluster: 1000193 (amount of orthologs = 2)</t>
  </si>
  <si>
    <t>NZ_LIQZ01000072.1</t>
  </si>
  <si>
    <t>#----------- Cluster: 1001289 (amount of orthologs = 4)</t>
  </si>
  <si>
    <t>NZ_DF968309.1</t>
  </si>
  <si>
    <t>NZ_LIQX01000051.1</t>
  </si>
  <si>
    <t>NZ_LIQY01000143.1</t>
  </si>
  <si>
    <t>#----------- Cluster: 1001539 (amount of orthologs = 2)</t>
  </si>
  <si>
    <t>MF358542.1</t>
  </si>
  <si>
    <t>Streptomyces phage Sushi23</t>
  </si>
  <si>
    <t>NC_042011.1</t>
  </si>
  <si>
    <t>Streptomyces phage Peebs</t>
  </si>
  <si>
    <t>#----------- Cluster: 1000096 (amount of orthologs = 4)</t>
  </si>
  <si>
    <t>NZ_AHBF01000060.1</t>
  </si>
  <si>
    <t>NZ_MUMD01000028.1</t>
  </si>
  <si>
    <t>#----------- Cluster: 1000884 (amount of orthologs = 2)</t>
  </si>
  <si>
    <t>#----------- Cluster: 1001543 (amount of orthologs = 6)</t>
  </si>
  <si>
    <t>MT310865.1</t>
  </si>
  <si>
    <t>Streptomyces phage Bmoc</t>
  </si>
  <si>
    <t>#----------- Cluster: 1000371 (amount of orthologs = 3)</t>
  </si>
  <si>
    <t>NZ_AJSZ01000425.1</t>
  </si>
  <si>
    <t>NZ_AORZ01000106.1</t>
  </si>
  <si>
    <t>#----------- Cluster: 1001241 (amount of orthologs = 2)</t>
  </si>
  <si>
    <t>181;520</t>
  </si>
  <si>
    <t>163;490</t>
  </si>
  <si>
    <t>#----------- Cluster: 1001029 (amount of orthologs = 3)</t>
  </si>
  <si>
    <t>NZ_DF968249.1</t>
  </si>
  <si>
    <t>#----------- Cluster: 1001133 (amount of orthologs = 3)</t>
  </si>
  <si>
    <t>NZ_JOAK01000049.1</t>
  </si>
  <si>
    <t>#----------- Cluster: 1001489 (amount of orthologs = 2)</t>
  </si>
  <si>
    <t>43;961</t>
  </si>
  <si>
    <t>43;958</t>
  </si>
  <si>
    <t>NZ_CP023977.1</t>
  </si>
  <si>
    <t>#----------- Cluster: 1000434 (amount of orthologs = 2)</t>
  </si>
  <si>
    <t>NZ_FOGO01000004.1</t>
  </si>
  <si>
    <t>#----------- Cluster: 1000026 (amount of orthologs = 7)</t>
  </si>
  <si>
    <t>NZ_DF968269.1</t>
  </si>
  <si>
    <t>NZ_LIQZ01000278.1</t>
  </si>
  <si>
    <t>#----------- Cluster: 1000402 (amount of orthologs = 5)</t>
  </si>
  <si>
    <t>NZ_BARG01000151.1</t>
  </si>
  <si>
    <t>NZ_JNWJ01000120.1</t>
  </si>
  <si>
    <t>70;79</t>
  </si>
  <si>
    <t>43;52</t>
  </si>
  <si>
    <t>#----------- Cluster: 1000561 (amount of orthologs = 2)</t>
  </si>
  <si>
    <t>#----------- Cluster: 1001554 (amount of orthologs = 3)</t>
  </si>
  <si>
    <t>#----------- Cluster: 1000071 (amount of orthologs = 2)</t>
  </si>
  <si>
    <t>#----------- Cluster: 1000209 (amount of orthologs = 2)</t>
  </si>
  <si>
    <t>#----------- Cluster: 1001293 (amount of orthologs = 3)</t>
  </si>
  <si>
    <t>184;253</t>
  </si>
  <si>
    <t>19;88</t>
  </si>
  <si>
    <t>NZ_AORZ01000014.1</t>
  </si>
  <si>
    <t>NZ_LIQS01000172.1</t>
  </si>
  <si>
    <t>NZ_MUME01000078.1</t>
  </si>
  <si>
    <t>#----------- Cluster: 1001465 (amount of orthologs = 2)</t>
  </si>
  <si>
    <t>#----------- Cluster: 1000506 (amount of orthologs = 2)</t>
  </si>
  <si>
    <t>NZ_FODD01000009.1</t>
  </si>
  <si>
    <t>#----------- Cluster: 1000990 (amount of orthologs = 2)</t>
  </si>
  <si>
    <t>214;724</t>
  </si>
  <si>
    <t>64;574</t>
  </si>
  <si>
    <t>#----------- Cluster: 1000812 (amount of orthologs = 2)</t>
  </si>
  <si>
    <t>#----------- Cluster: 1000116 (amount of orthologs = 2)</t>
  </si>
  <si>
    <t>#----------- Cluster: 1000470 (amount of orthologs = 2)</t>
  </si>
  <si>
    <t>37;52</t>
  </si>
  <si>
    <t>31;46</t>
  </si>
  <si>
    <t>NZ_AGBF01000310.1</t>
  </si>
  <si>
    <t>#----------- Cluster: 1000352 (amount of orthologs = 9)</t>
  </si>
  <si>
    <t>NZ_AJSZ01000063.1</t>
  </si>
  <si>
    <t>NZ_FOET01000022.1</t>
  </si>
  <si>
    <t>#----------- Cluster: 1001022 (amount of orthologs = 4)</t>
  </si>
  <si>
    <t>NZ_JOEI01000029.1</t>
  </si>
  <si>
    <t>#----------- Cluster: 1000339 (amount of orthologs = 2)</t>
  </si>
  <si>
    <t>70;286</t>
  </si>
  <si>
    <t>NZ_KQ948477.1</t>
  </si>
  <si>
    <t>#----------- Cluster: 1000665 (amount of orthologs = 2)</t>
  </si>
  <si>
    <t>NZ_AEJB01000104.1</t>
  </si>
  <si>
    <t>#----------- Cluster: 1000461 (amount of orthologs = 3)</t>
  </si>
  <si>
    <t>NZ_AGBF01000012.1</t>
  </si>
  <si>
    <t>#----------- Cluster: 1000758 (amount of orthologs = 2)</t>
  </si>
  <si>
    <t>NZ_KB889683.1</t>
  </si>
  <si>
    <t>#----------- Cluster: 1001464 (amount of orthologs = 2)</t>
  </si>
  <si>
    <t>#----------- Cluster: 1001429 (amount of orthologs = 3)</t>
  </si>
  <si>
    <t>NZ_MLCF01000027.1</t>
  </si>
  <si>
    <t>#----------- Cluster: 1000027 (amount of orthologs = 3)</t>
  </si>
  <si>
    <t>#----------- Cluster: 1001276 (amount of orthologs = 13)</t>
  </si>
  <si>
    <t>NZ_MLCF01000094.1</t>
  </si>
  <si>
    <t>NZ_JOEY01000080.1</t>
  </si>
  <si>
    <t>NZ_LIPP01000004.1</t>
  </si>
  <si>
    <t>NZ_LIQX01000341.1</t>
  </si>
  <si>
    <t>NZ_LOHS01000021.1</t>
  </si>
  <si>
    <t>NZ_LJGU01000095.1</t>
  </si>
  <si>
    <t>#----------- Cluster: 1000064 (amount of orthologs = 5)</t>
  </si>
  <si>
    <t>NZ_LIQZ01000006.1</t>
  </si>
  <si>
    <t>#----------- Cluster: 1000713 (amount of orthologs = 8)</t>
  </si>
  <si>
    <t>346;595</t>
  </si>
  <si>
    <t>301;538</t>
  </si>
  <si>
    <t>NZ_AEYX01000005.1</t>
  </si>
  <si>
    <t>NZ_JNWJ01000027.1</t>
  </si>
  <si>
    <t>NZ_JOBH01000020.1</t>
  </si>
  <si>
    <t>NZ_DF968312.1</t>
  </si>
  <si>
    <t>#----------- Cluster: 1000377 (amount of orthologs = 3)</t>
  </si>
  <si>
    <t>NZ_FNHI01000016.1</t>
  </si>
  <si>
    <t>#----------- Cluster: 1001365 (amount of orthologs = 2)</t>
  </si>
  <si>
    <t>NZ_MUMD01000216.1</t>
  </si>
  <si>
    <t>#----------- Cluster: 1001107 (amount of orthologs = 3)</t>
  </si>
  <si>
    <t>NZ_JOID01000006.1</t>
  </si>
  <si>
    <t>NZ_DF968372.1</t>
  </si>
  <si>
    <t>#----------- Cluster: 1000479 (amount of orthologs = 4)</t>
  </si>
  <si>
    <t>313;346;691</t>
  </si>
  <si>
    <t>292;325;670</t>
  </si>
  <si>
    <t>NZ_LIRG01000261.1</t>
  </si>
  <si>
    <t>#----------- Cluster: 1000757 (amount of orthologs = 3)</t>
  </si>
  <si>
    <t>NZ_KB889672.1</t>
  </si>
  <si>
    <t>#----------- Cluster: 1000380 (amount of orthologs = 2)</t>
  </si>
  <si>
    <t>NZ_MAXF01000178.1</t>
  </si>
  <si>
    <t>#----------- Cluster: 1000767 (amount of orthologs = 2)</t>
  </si>
  <si>
    <t>NZ_FNIE01000006.1</t>
  </si>
  <si>
    <t>#----------- Cluster: 1000492 (amount of orthologs = 5)</t>
  </si>
  <si>
    <t>NZ_AGBF01000004.1</t>
  </si>
  <si>
    <t>NZ_LJGW01000520.1</t>
  </si>
  <si>
    <t>NZ_FNIE01000003.1</t>
  </si>
  <si>
    <t>#----------- Cluster: 1001419 (amount of orthologs = 2)</t>
  </si>
  <si>
    <t>#----------- Cluster: 1000149 (amount of orthologs = 8)</t>
  </si>
  <si>
    <t>223;1030</t>
  </si>
  <si>
    <t>223;1027</t>
  </si>
  <si>
    <t>205;295</t>
  </si>
  <si>
    <t>#----------- Cluster: 1000107 (amount of orthologs = 2)</t>
  </si>
  <si>
    <t>NZ_LIRG01000070.1</t>
  </si>
  <si>
    <t>NZ_AEYX01000026.1</t>
  </si>
  <si>
    <t>#----------- Cluster: 1000547 (amount of orthologs = 11)</t>
  </si>
  <si>
    <t>NZ_JOBF01000009.1</t>
  </si>
  <si>
    <t>NZ_JOFL01000017.1</t>
  </si>
  <si>
    <t>NZ_LFXA01000011.1</t>
  </si>
  <si>
    <t>NZ_LIQX01000097.1</t>
  </si>
  <si>
    <t>#----------- Cluster: 1000729 (amount of orthologs = 2)</t>
  </si>
  <si>
    <t>#----------- Cluster: 1000477 (amount of orthologs = 2)</t>
  </si>
  <si>
    <t>31;376</t>
  </si>
  <si>
    <t>190;376</t>
  </si>
  <si>
    <t>#----------- Cluster: 1000097 (amount of orthologs = 3)</t>
  </si>
  <si>
    <t>NZ_LIQX01000367.1</t>
  </si>
  <si>
    <t>#----------- Cluster: 1001121 (amount of orthologs = 2)</t>
  </si>
  <si>
    <t>#----------- Cluster: 1000707 (amount of orthologs = 3)</t>
  </si>
  <si>
    <t>NZ_JOFL01000011.1</t>
  </si>
  <si>
    <t>#----------- Cluster: 1001436 (amount of orthologs = 4)</t>
  </si>
  <si>
    <t>#----------- Cluster: 1000012 (amount of orthologs = 6)</t>
  </si>
  <si>
    <t>217;553</t>
  </si>
  <si>
    <t>217;544</t>
  </si>
  <si>
    <t>NZ_AHBF01000041.1</t>
  </si>
  <si>
    <t>#----------- Cluster: 1000040 (amount of orthologs = 3)</t>
  </si>
  <si>
    <t>NZ_AEJB01000415.1</t>
  </si>
  <si>
    <t>NZ_JNWJ01000074.1</t>
  </si>
  <si>
    <t>#----------- Cluster: 1001045 (amount of orthologs = 2)</t>
  </si>
  <si>
    <t>NZ_JOEY01000011.1</t>
  </si>
  <si>
    <t>#----------- Cluster: 1001510 (amount of orthologs = 2)</t>
  </si>
  <si>
    <t>NZ_FODD01000036.1</t>
  </si>
  <si>
    <t>#----------- Cluster: 1000832 (amount of orthologs = 3)</t>
  </si>
  <si>
    <t>NZ_FNIE01000009.1</t>
  </si>
  <si>
    <t>#----------- Cluster: 1000694 (amount of orthologs = 4)</t>
  </si>
  <si>
    <t>NZ_AEJB01000367.1</t>
  </si>
  <si>
    <t>NZ_LIQX01000048.1</t>
  </si>
  <si>
    <t>#----------- Cluster: 1001469 (amount of orthologs = 2)</t>
  </si>
  <si>
    <t>#----------- Cluster: 1000433 (amount of orthologs = 4)</t>
  </si>
  <si>
    <t>NZ_JOBF01000022.1</t>
  </si>
  <si>
    <t>NZ_LIQX01000086.1</t>
  </si>
  <si>
    <t>#----------- Cluster: 1000710 (amount of orthologs = 2)</t>
  </si>
  <si>
    <t>NZ_AORZ01000050.1</t>
  </si>
  <si>
    <t>#----------- Cluster: 1000202 (amount of orthologs = 16)</t>
  </si>
  <si>
    <t>NZ_AEJB01000342.1</t>
  </si>
  <si>
    <t>1288;1375</t>
  </si>
  <si>
    <t>922;1009</t>
  </si>
  <si>
    <t>NZ_KB904660.1</t>
  </si>
  <si>
    <t>NZ_JOFU01000022.1</t>
  </si>
  <si>
    <t>NZ_JNXD01000012.1</t>
  </si>
  <si>
    <t>NZ_DF968392.1</t>
  </si>
  <si>
    <t>NZ_LIRG01000080.1</t>
  </si>
  <si>
    <t>#----------- Cluster: 1001209 (amount of orthologs = 2)</t>
  </si>
  <si>
    <t>#----------- Cluster: 1000552 (amount of orthologs = 2)</t>
  </si>
  <si>
    <t>NZ_FONG01000014.1</t>
  </si>
  <si>
    <t>#----------- Cluster: 1001049 (amount of orthologs = 2)</t>
  </si>
  <si>
    <t>4237;4699</t>
  </si>
  <si>
    <t>31;493</t>
  </si>
  <si>
    <t>NZ_JH725398.1</t>
  </si>
  <si>
    <t>NZ_JOFU01000032.1</t>
  </si>
  <si>
    <t>#----------- Cluster: 1001384 (amount of orthologs = 2)</t>
  </si>
  <si>
    <t>#----------- Cluster: 1000201 (amount of orthologs = 3)</t>
  </si>
  <si>
    <t>#----------- Cluster: 1000335 (amount of orthologs = 3)</t>
  </si>
  <si>
    <t>#----------- Cluster: 1000813 (amount of orthologs = 2)</t>
  </si>
  <si>
    <t>NZ_KB904677.1</t>
  </si>
  <si>
    <t>NZ_MUME01000005.1</t>
  </si>
  <si>
    <t>#----------- Cluster: 1001446 (amount of orthologs = 2)</t>
  </si>
  <si>
    <t>#----------- Cluster: 1000429 (amount of orthologs = 2)</t>
  </si>
  <si>
    <t>#----------- Cluster: 1000046 (amount of orthologs = 10)</t>
  </si>
  <si>
    <t>NZ_KB889647.1</t>
  </si>
  <si>
    <t>319;718</t>
  </si>
  <si>
    <t>145;541</t>
  </si>
  <si>
    <t>34;319</t>
  </si>
  <si>
    <t>34;316</t>
  </si>
  <si>
    <t>31;307</t>
  </si>
  <si>
    <t>#----------- Cluster: 1000848 (amount of orthologs = 5)</t>
  </si>
  <si>
    <t>NZ_BARG01000084.1</t>
  </si>
  <si>
    <t>NZ_JNWJ01000046.1</t>
  </si>
  <si>
    <t>#----------- Cluster: 1000255 (amount of orthologs = 5)</t>
  </si>
  <si>
    <t>#----------- Cluster: 1000676 (amount of orthologs = 24)</t>
  </si>
  <si>
    <t>NZ_AJSZ01000415.1</t>
  </si>
  <si>
    <t>NZ_AEJB01000456.1</t>
  </si>
  <si>
    <t>NZ_KL571139.1</t>
  </si>
  <si>
    <t>NZ_LIPP01000316.1</t>
  </si>
  <si>
    <t>NZ_LIQZ01000111.1</t>
  </si>
  <si>
    <t>496;721</t>
  </si>
  <si>
    <t>433;646</t>
  </si>
  <si>
    <t>NZ_LOHS01000114.1</t>
  </si>
  <si>
    <t>337;667</t>
  </si>
  <si>
    <t>196;496</t>
  </si>
  <si>
    <t>NZ_FRBI01000024.1</t>
  </si>
  <si>
    <t>#----------- Cluster: 1000372 (amount of orthologs = 3)</t>
  </si>
  <si>
    <t>NZ_AORZ01000029.1</t>
  </si>
  <si>
    <t>#----------- Cluster: 1000610 (amount of orthologs = 3)</t>
  </si>
  <si>
    <t>355;400</t>
  </si>
  <si>
    <t>316;361</t>
  </si>
  <si>
    <t>13;496;517</t>
  </si>
  <si>
    <t>13;448;469</t>
  </si>
  <si>
    <t>#----------- Cluster: 1000471 (amount of orthologs = 3)</t>
  </si>
  <si>
    <t>#----------- Cluster: 1001291 (amount of orthologs = 2)</t>
  </si>
  <si>
    <t>NZ_LIQR01000176.1</t>
  </si>
  <si>
    <t>#----------- Cluster: 1001083 (amount of orthologs = 2)</t>
  </si>
  <si>
    <t>NZ_JODL01000029.1</t>
  </si>
  <si>
    <t>#----------- Cluster: 1001411 (amount of orthologs = 3)</t>
  </si>
  <si>
    <t>#----------- Cluster: 1000406 (amount of orthologs = 2)</t>
  </si>
  <si>
    <t>NZ_DF968341.1</t>
  </si>
  <si>
    <t>#----------- Cluster: 1000304 (amount of orthologs = 7)</t>
  </si>
  <si>
    <t>NZ_AHBF01000115.1</t>
  </si>
  <si>
    <t>NZ_DF968187.1</t>
  </si>
  <si>
    <t>NZ_LIQS01000430.1</t>
  </si>
  <si>
    <t>NZ_LIRG01000326.1</t>
  </si>
  <si>
    <t>NZ_MUME01000321.1</t>
  </si>
  <si>
    <t>NZ_FZOF01000005.1</t>
  </si>
  <si>
    <t>#----------- Cluster: 1000511 (amount of orthologs = 2)</t>
  </si>
  <si>
    <t>#----------- Cluster: 1001172 (amount of orthologs = 2)</t>
  </si>
  <si>
    <t>#----------- Cluster: 1001283 (amount of orthologs = 5)</t>
  </si>
  <si>
    <t>NZ_LIQY01000051.1</t>
  </si>
  <si>
    <t>NZ_FNFF01000014.1</t>
  </si>
  <si>
    <t>#----------- Cluster: 1000766 (amount of orthologs = 2)</t>
  </si>
  <si>
    <t>NZ_JOBF01000033.1</t>
  </si>
  <si>
    <t>#----------- Cluster: 1000507 (amount of orthologs = 2)</t>
  </si>
  <si>
    <t>172;232</t>
  </si>
  <si>
    <t>NZ_MUMD01000507.1</t>
  </si>
  <si>
    <t>#----------- Cluster: 1000271 (amount of orthologs = 5)</t>
  </si>
  <si>
    <t>NZ_JOFH01000009.1</t>
  </si>
  <si>
    <t>NZ_LIQS01000321.1</t>
  </si>
  <si>
    <t>#----------- Cluster: 1000338 (amount of orthologs = 17)</t>
  </si>
  <si>
    <t>NZ_AEJB01000557.1</t>
  </si>
  <si>
    <t>NZ_JOEI01000033.1</t>
  </si>
  <si>
    <t>NZ_LIQZ01000146.1</t>
  </si>
  <si>
    <t>NZ_MVFC01000002.1</t>
  </si>
  <si>
    <t>#----------- Cluster: 1000462 (amount of orthologs = 2)</t>
  </si>
  <si>
    <t>#----------- Cluster: 1000699 (amount of orthologs = 2)</t>
  </si>
  <si>
    <t>NZ_AORZ01000025.1</t>
  </si>
  <si>
    <t>#----------- Cluster: 1000661 (amount of orthologs = 3)</t>
  </si>
  <si>
    <t>NZ_AEJB01000206.1</t>
  </si>
  <si>
    <t>NZ_FNFF01000006.1</t>
  </si>
  <si>
    <t>#----------- Cluster: 1001532 (amount of orthologs = 50)</t>
  </si>
  <si>
    <t>KT186229.1</t>
  </si>
  <si>
    <t>Streptomyces phage Verse</t>
  </si>
  <si>
    <t>KX507345.1</t>
  </si>
  <si>
    <t>Streptomyces phage Brataylor</t>
  </si>
  <si>
    <t>KX507344.1</t>
  </si>
  <si>
    <t>Streptomyces phage Godpower</t>
  </si>
  <si>
    <t>MF541403.1</t>
  </si>
  <si>
    <t>Streptomyces phage BeardedLady</t>
  </si>
  <si>
    <t>MF541404.1</t>
  </si>
  <si>
    <t>Streptomyces phage BryanRecycles</t>
  </si>
  <si>
    <t>MF541405.1</t>
  </si>
  <si>
    <t>Streptomyces phage Celeste</t>
  </si>
  <si>
    <t>MF541406.1</t>
  </si>
  <si>
    <t>Streptomyces phage Dattran</t>
  </si>
  <si>
    <t>MF541407.1</t>
  </si>
  <si>
    <t>Streptomyces phage Esperer</t>
  </si>
  <si>
    <t>MF541408.1</t>
  </si>
  <si>
    <t>Streptomyces phage Jash</t>
  </si>
  <si>
    <t>MF541409.1</t>
  </si>
  <si>
    <t>Streptomyces phage Oliynyk</t>
  </si>
  <si>
    <t>MF541410.1</t>
  </si>
  <si>
    <t>Streptomyces phage Ozzie</t>
  </si>
  <si>
    <t>MG757163.1</t>
  </si>
  <si>
    <t>Streptomyces phage OzzyJ</t>
  </si>
  <si>
    <t>MH171093.1</t>
  </si>
  <si>
    <t>Streptomyces phage Rana</t>
  </si>
  <si>
    <t>MH171094.1</t>
  </si>
  <si>
    <t>Streptomyces phage Nabi</t>
  </si>
  <si>
    <t>MH171095.1</t>
  </si>
  <si>
    <t>Streptomyces phage Maneekul</t>
  </si>
  <si>
    <t>MH171096.1</t>
  </si>
  <si>
    <t>Streptomyces phage Eddasa</t>
  </si>
  <si>
    <t>MH171098.1</t>
  </si>
  <si>
    <t>Streptomyces phage Toma</t>
  </si>
  <si>
    <t>MK433271.1</t>
  </si>
  <si>
    <t>Streptomyces phage Indigo</t>
  </si>
  <si>
    <t>MK433276.1</t>
  </si>
  <si>
    <t>Streptomyces phage Asten</t>
  </si>
  <si>
    <t>MK433278.1</t>
  </si>
  <si>
    <t>Streptomyces phage Nerdos</t>
  </si>
  <si>
    <t>MK433270.1</t>
  </si>
  <si>
    <t>Streptomyces phage Bovely</t>
  </si>
  <si>
    <t>MN096373.1</t>
  </si>
  <si>
    <t>Streptomyces phage TuanPN</t>
  </si>
  <si>
    <t>MN096375.1</t>
  </si>
  <si>
    <t>Streptomyces phage Leviticus</t>
  </si>
  <si>
    <t>MN096381.1</t>
  </si>
  <si>
    <t>Streptomyces phage Rusticus</t>
  </si>
  <si>
    <t>MN284899.1</t>
  </si>
  <si>
    <t>Streptomyces phage Whatever</t>
  </si>
  <si>
    <t>MN586009.1</t>
  </si>
  <si>
    <t>Streptomyces phage Phettuccine</t>
  </si>
  <si>
    <t>MW365953.1</t>
  </si>
  <si>
    <t>Streptomyces phage Dwayne</t>
  </si>
  <si>
    <t>MW365951.1</t>
  </si>
  <si>
    <t>Streptomyces phage Hippo</t>
  </si>
  <si>
    <t>NC_021298.1</t>
  </si>
  <si>
    <t>Streptomyces phage Lika</t>
  </si>
  <si>
    <t>NC_021304.1</t>
  </si>
  <si>
    <t>Streptomyces phage Sujidade</t>
  </si>
  <si>
    <t>NC_021339.1</t>
  </si>
  <si>
    <t>Streptomyces phage Zemlya</t>
  </si>
  <si>
    <t>NC_028976.1</t>
  </si>
  <si>
    <t>Streptomyces phage Izzy</t>
  </si>
  <si>
    <t>NC_028904.1</t>
  </si>
  <si>
    <t>Streptomyces phage Amela</t>
  </si>
  <si>
    <t>NC_028892.1</t>
  </si>
  <si>
    <t>Streptomyces phage Caliburn</t>
  </si>
  <si>
    <t>NC_028827.1</t>
  </si>
  <si>
    <t>Streptomyces phage Lannister</t>
  </si>
  <si>
    <t>NC_031078.1</t>
  </si>
  <si>
    <t>Streptomyces phage Nanodon</t>
  </si>
  <si>
    <t>NC_041856.1</t>
  </si>
  <si>
    <t>Streptomyces phage phiCAM</t>
  </si>
  <si>
    <t>NC_041860.1</t>
  </si>
  <si>
    <t>Streptomyces phage Danzina</t>
  </si>
  <si>
    <t>NC_054681.1</t>
  </si>
  <si>
    <t>Streptomyces phage Lorelei</t>
  </si>
  <si>
    <t>NC_042051.1</t>
  </si>
  <si>
    <t>Streptomyces phage Aaronocolus</t>
  </si>
  <si>
    <t>NC_042052.1</t>
  </si>
  <si>
    <t>Streptomyces phage Hydra</t>
  </si>
  <si>
    <t>NC_054677.1</t>
  </si>
  <si>
    <t>Streptomyces phage Alsaber</t>
  </si>
  <si>
    <t>NC_054680.1</t>
  </si>
  <si>
    <t>Streptomyces phage Goby</t>
  </si>
  <si>
    <t>NC_054678.1</t>
  </si>
  <si>
    <t>Streptomyces phage Yasdnil</t>
  </si>
  <si>
    <t>NC_054672.1</t>
  </si>
  <si>
    <t>Streptomyces phage Endor1</t>
  </si>
  <si>
    <t>NC_054676.1</t>
  </si>
  <si>
    <t>Streptomyces phage Sitrop</t>
  </si>
  <si>
    <t>NC_054679.1</t>
  </si>
  <si>
    <t>Streptomyces phage Werner</t>
  </si>
  <si>
    <t>#----------- Cluster: 1000842 (amount of orthologs = 2)</t>
  </si>
  <si>
    <t>166;277</t>
  </si>
  <si>
    <t>#----------- Cluster: 1000192 (amount of orthologs = 2)</t>
  </si>
  <si>
    <t>#----------- Cluster: 1001354 (amount of orthologs = 2)</t>
  </si>
  <si>
    <t>#----------- Cluster: 1001025 (amount of orthologs = 8)</t>
  </si>
  <si>
    <t>694;1267</t>
  </si>
  <si>
    <t>652;1213</t>
  </si>
  <si>
    <t>NZ_AEJB01000661.1</t>
  </si>
  <si>
    <t>697;976</t>
  </si>
  <si>
    <t>571;805</t>
  </si>
  <si>
    <t>NZ_AEYX01000032.1</t>
  </si>
  <si>
    <t>394;571</t>
  </si>
  <si>
    <t>370;541</t>
  </si>
  <si>
    <t>#----------- Cluster: 1001333 (amount of orthologs = 2)</t>
  </si>
  <si>
    <t>NZ_AEYX01000022.1</t>
  </si>
  <si>
    <t>NZ_KQ948475.1</t>
  </si>
  <si>
    <t>#----------- Cluster: 1000949 (amount of orthologs = 2)</t>
  </si>
  <si>
    <t>NZ_JNWJ01000056.1</t>
  </si>
  <si>
    <t>#----------- Cluster: 1001305 (amount of orthologs = 2)</t>
  </si>
  <si>
    <t>NZ_LIRG01000229.1</t>
  </si>
  <si>
    <t>#----------- Cluster: 1001512 (amount of orthologs = 2)</t>
  </si>
  <si>
    <t>#----------- Cluster: 1001120 (amount of orthologs = 4)</t>
  </si>
  <si>
    <t>NZ_LIPP01000347.1</t>
  </si>
  <si>
    <t>#----------- Cluster: 1000618 (amount of orthologs = 3)</t>
  </si>
  <si>
    <t>370;655</t>
  </si>
  <si>
    <t>217;496</t>
  </si>
  <si>
    <t>#----------- Cluster: 1001169 (amount of orthologs = 2)</t>
  </si>
  <si>
    <t>310;988</t>
  </si>
  <si>
    <t>310;895</t>
  </si>
  <si>
    <t>#----------- Cluster: 1000536 (amount of orthologs = 5)</t>
  </si>
  <si>
    <t>130;424</t>
  </si>
  <si>
    <t>121;415</t>
  </si>
  <si>
    <t>NZ_MUME01000220.1</t>
  </si>
  <si>
    <t>#----------- Cluster: 1001195 (amount of orthologs = 2)</t>
  </si>
  <si>
    <t>#----------- Cluster: 1000084 (amount of orthologs = 5)</t>
  </si>
  <si>
    <t>NZ_JNWJ01000042.1</t>
  </si>
  <si>
    <t>NZ_JNXG01000015.1</t>
  </si>
  <si>
    <t>#----------- Cluster: 1000827 (amount of orthologs = 4)</t>
  </si>
  <si>
    <t>NZ_KB905820.1</t>
  </si>
  <si>
    <t>NZ_KQ948325.1</t>
  </si>
  <si>
    <t>#----------- Cluster: 1001458 (amount of orthologs = 11)</t>
  </si>
  <si>
    <t>NZ_AGBF01000366.1</t>
  </si>
  <si>
    <t>214;403</t>
  </si>
  <si>
    <t>133;301</t>
  </si>
  <si>
    <t>NZ_LIPP01000079.1</t>
  </si>
  <si>
    <t>NZ_LIQZ01000200.1</t>
  </si>
  <si>
    <t>157;361</t>
  </si>
  <si>
    <t>43;247</t>
  </si>
  <si>
    <t>NZ_MAXF01000118.1</t>
  </si>
  <si>
    <t>#----------- Cluster: 1000399 (amount of orthologs = 10)</t>
  </si>
  <si>
    <t>NZ_AEYX01000021.1</t>
  </si>
  <si>
    <t>280;607</t>
  </si>
  <si>
    <t>241;565</t>
  </si>
  <si>
    <t>NZ_JOID01000080.1</t>
  </si>
  <si>
    <t>NZ_JUJA01000169.1</t>
  </si>
  <si>
    <t>#----------- Cluster: 1000391 (amount of orthologs = 2)</t>
  </si>
  <si>
    <t>#----------- Cluster: 1001126 (amount of orthologs = 2)</t>
  </si>
  <si>
    <t>#----------- Cluster: 1000667 (amount of orthologs = 2)</t>
  </si>
  <si>
    <t>#----------- Cluster: 1000780 (amount of orthologs = 3)</t>
  </si>
  <si>
    <t>NZ_BARG01000107.1</t>
  </si>
  <si>
    <t>#----------- Cluster: 1001315 (amount of orthologs = 2)</t>
  </si>
  <si>
    <t>#----------- Cluster: 1000485 (amount of orthologs = 2)</t>
  </si>
  <si>
    <t>#----------- Cluster: 1000187 (amount of orthologs = 22)</t>
  </si>
  <si>
    <t>NZ_AGBF01000068.1</t>
  </si>
  <si>
    <t>871;973</t>
  </si>
  <si>
    <t>724;826</t>
  </si>
  <si>
    <t>NZ_JQJU01000016.1</t>
  </si>
  <si>
    <t>NZ_JQJU01000034.1</t>
  </si>
  <si>
    <t>NZ_LIQS01000357.1</t>
  </si>
  <si>
    <t>NZ_FNHI01000001.1</t>
  </si>
  <si>
    <t>NZ_FODD01000065.1</t>
  </si>
  <si>
    <t>#----------- Cluster: 1000571 (amount of orthologs = 2)</t>
  </si>
  <si>
    <t>NZ_AHBF01000149.1</t>
  </si>
  <si>
    <t>#----------- Cluster: 1001480 (amount of orthologs = 2)</t>
  </si>
  <si>
    <t>172;493</t>
  </si>
  <si>
    <t>172;484</t>
  </si>
  <si>
    <t>#----------- Cluster: 1000690 (amount of orthologs = 2)</t>
  </si>
  <si>
    <t>649;670</t>
  </si>
  <si>
    <t>628;649</t>
  </si>
  <si>
    <t>#----------- Cluster: 1000829 (amount of orthologs = 3)</t>
  </si>
  <si>
    <t>#----------- Cluster: 1000783 (amount of orthologs = 2)</t>
  </si>
  <si>
    <t>#----------- Cluster: 1001275 (amount of orthologs = 3)</t>
  </si>
  <si>
    <t>NZ_LIQX01000201.1</t>
  </si>
  <si>
    <t>NZ_FONG01000013.1</t>
  </si>
  <si>
    <t>#----------- Cluster: 1000626 (amount of orthologs = 2)</t>
  </si>
  <si>
    <t>#----------- Cluster: 1001082 (amount of orthologs = 3)</t>
  </si>
  <si>
    <t>244;2014</t>
  </si>
  <si>
    <t>244;1930</t>
  </si>
  <si>
    <t>NZ_KB904673.1</t>
  </si>
  <si>
    <t>NZ_JODL01000053.1</t>
  </si>
  <si>
    <t>NZ_MUBL01000402.1</t>
  </si>
  <si>
    <t>#----------- Cluster: 1000654 (amount of orthologs = 2)</t>
  </si>
  <si>
    <t>#----------- Cluster: 1000033 (amount of orthologs = 2)</t>
  </si>
  <si>
    <t>#----------- Cluster: 1000727 (amount of orthologs = 3)</t>
  </si>
  <si>
    <t>NZ_FONG01000017.1</t>
  </si>
  <si>
    <t>#----------- Cluster: 1000866 (amount of orthologs = 3)</t>
  </si>
  <si>
    <t>NZ_LJGW01000342.1</t>
  </si>
  <si>
    <t>#----------- Cluster: 1001252 (amount of orthologs = 2)</t>
  </si>
  <si>
    <t>#----------- Cluster: 1000529 (amount of orthologs = 2)</t>
  </si>
  <si>
    <t>NZ_AGBF01000063.1</t>
  </si>
  <si>
    <t>#----------- Cluster: 1000576 (amount of orthologs = 2)</t>
  </si>
  <si>
    <t>#----------- Cluster: 1000914 (amount of orthologs = 2)</t>
  </si>
  <si>
    <t>NZ_KL571155.1</t>
  </si>
  <si>
    <t>#----------- Cluster: 1001494 (amount of orthologs = 2)</t>
  </si>
  <si>
    <t>NZ_FONG01000012.1</t>
  </si>
  <si>
    <t>#----------- Cluster: 1000516 (amount of orthologs = 2)</t>
  </si>
  <si>
    <t>#----------- Cluster: 1000428 (amount of orthologs = 2)</t>
  </si>
  <si>
    <t>61;190</t>
  </si>
  <si>
    <t>#----------- Cluster: 1000978 (amount of orthologs = 2)</t>
  </si>
  <si>
    <t>109;211</t>
  </si>
  <si>
    <t>NZ_JOFH01000017.1</t>
  </si>
  <si>
    <t>#----------- Cluster: 1000245 (amount of orthologs = 11)</t>
  </si>
  <si>
    <t>NZ_KB889691.1</t>
  </si>
  <si>
    <t>NZ_KL571106.1</t>
  </si>
  <si>
    <t>NZ_LIQX01000680.1</t>
  </si>
  <si>
    <t>NZ_LIQS01000040.1</t>
  </si>
  <si>
    <t>NZ_MAXF01000146.1</t>
  </si>
  <si>
    <t>NZ_FONG01000023.1</t>
  </si>
  <si>
    <t>NZ_FRBI01000009.1</t>
  </si>
  <si>
    <t>#----------- Cluster: 1000577 (amount of orthologs = 8)</t>
  </si>
  <si>
    <t>NZ_FZOF01000049.1</t>
  </si>
  <si>
    <t>NZ_BARG01000134.1</t>
  </si>
  <si>
    <t>76;382;1264</t>
  </si>
  <si>
    <t>76;334;1015</t>
  </si>
  <si>
    <t>469;874</t>
  </si>
  <si>
    <t>340;712</t>
  </si>
  <si>
    <t>NZ_LIQR01000114.1</t>
  </si>
  <si>
    <t>#----------- Cluster: 1000408 (amount of orthologs = 14)</t>
  </si>
  <si>
    <t>NZ_JNWJ01000026.1</t>
  </si>
  <si>
    <t>NZ_JODL01000006.1</t>
  </si>
  <si>
    <t>NZ_LIQS01000206.1</t>
  </si>
  <si>
    <t>NZ_MAXF01000126.1</t>
  </si>
  <si>
    <t>NZ_MUME01000082.1</t>
  </si>
  <si>
    <t>NZ_FOET01000015.1</t>
  </si>
  <si>
    <t>#----------- Cluster: 1000717 (amount of orthologs = 2)</t>
  </si>
  <si>
    <t>NZ_AORZ01000056.1</t>
  </si>
  <si>
    <t>NZ_LFXA01000007.1</t>
  </si>
  <si>
    <t>#----------- Cluster: 1000655 (amount of orthologs = 3)</t>
  </si>
  <si>
    <t>NZ_AJSZ01000500.1</t>
  </si>
  <si>
    <t>NZ_FODD01000095.1</t>
  </si>
  <si>
    <t>#----------- Cluster: 1001181 (amount of orthologs = 8)</t>
  </si>
  <si>
    <t>NZ_MAXF01000156.1</t>
  </si>
  <si>
    <t>NZ_MAXF01000159.1</t>
  </si>
  <si>
    <t>NZ_MAXF01000039.1</t>
  </si>
  <si>
    <t>#----------- Cluster: 1000636 (amount of orthologs = 2)</t>
  </si>
  <si>
    <t>#----------- Cluster: 1000595 (amount of orthologs = 4)</t>
  </si>
  <si>
    <t>NZ_KB904713.1</t>
  </si>
  <si>
    <t>#----------- Cluster: 1000888 (amount of orthologs = 2)</t>
  </si>
  <si>
    <t>#----------- Cluster: 1000410 (amount of orthologs = 2)</t>
  </si>
  <si>
    <t>#----------- Cluster: 1000230 (amount of orthologs = 5)</t>
  </si>
  <si>
    <t>NZ_JNWJ01000024.1</t>
  </si>
  <si>
    <t>NZ_KQ948459.1</t>
  </si>
  <si>
    <t>#----------- Cluster: 1000148 (amount of orthologs = 2)</t>
  </si>
  <si>
    <t>#----------- Cluster: 1001360 (amount of orthologs = 6)</t>
  </si>
  <si>
    <t>NZ_JNWJ01000107.1</t>
  </si>
  <si>
    <t>NZ_JOII01000011.1</t>
  </si>
  <si>
    <t>NZ_KQ948461.1</t>
  </si>
  <si>
    <t>#----------- Cluster: 1001253 (amount of orthologs = 2)</t>
  </si>
  <si>
    <t>#----------- Cluster: 1001078 (amount of orthologs = 2)</t>
  </si>
  <si>
    <t>#----------- Cluster: 1000129 (amount of orthologs = 2)</t>
  </si>
  <si>
    <t>#----------- Cluster: 1001261 (amount of orthologs = 7)</t>
  </si>
  <si>
    <t>310;841;1486</t>
  </si>
  <si>
    <t>199;673;1276</t>
  </si>
  <si>
    <t>#----------- Cluster: 1000430 (amount of orthologs = 2)</t>
  </si>
  <si>
    <t>#----------- Cluster: 1001525 (amount of orthologs = 3)</t>
  </si>
  <si>
    <t>NZ_JNXD01000028.1</t>
  </si>
  <si>
    <t>NZ_DF968235.1</t>
  </si>
  <si>
    <t>#----------- Cluster: 1001013 (amount of orthologs = 2)</t>
  </si>
  <si>
    <t>NZ_JOEI01000017.1</t>
  </si>
  <si>
    <t>#----------- Cluster: 1000768 (amount of orthologs = 2)</t>
  </si>
  <si>
    <t>NZ_JOBF01000008.1</t>
  </si>
  <si>
    <t>#----------- Cluster: 1000368 (amount of orthologs = 6)</t>
  </si>
  <si>
    <t>NZ_LJGW01000312.1</t>
  </si>
  <si>
    <t>NZ_FONG01000022.1</t>
  </si>
  <si>
    <t>#----------- Cluster: 1000306 (amount of orthologs = 13)</t>
  </si>
  <si>
    <t>NZ_AEYX01000034.1</t>
  </si>
  <si>
    <t>115;232</t>
  </si>
  <si>
    <t>NZ_LIQX01000289.1</t>
  </si>
  <si>
    <t>NZ_LIQS01000117.1</t>
  </si>
  <si>
    <t>NZ_LIQZ01000690.1</t>
  </si>
  <si>
    <t>NZ_MUMD01000222.1</t>
  </si>
  <si>
    <t>#----------- Cluster: 1000009 (amount of orthologs = 3)</t>
  </si>
  <si>
    <t>NZ_LIQZ01000224.1</t>
  </si>
  <si>
    <t>NZ_JOBH01000018.1</t>
  </si>
  <si>
    <t>#----------- Cluster: 1001103 (amount of orthologs = 2)</t>
  </si>
  <si>
    <t>NZ_JOID01000018.1</t>
  </si>
  <si>
    <t>NZ_JOAK01000010.1</t>
  </si>
  <si>
    <t>#----------- Cluster: 1000697 (amount of orthologs = 3)</t>
  </si>
  <si>
    <t>NZ_AORZ01000042.1</t>
  </si>
  <si>
    <t>NZ_KB904735.1</t>
  </si>
  <si>
    <t>#----------- Cluster: 1001367 (amount of orthologs = 2)</t>
  </si>
  <si>
    <t>NZ_MLCF01000054.1</t>
  </si>
  <si>
    <t>#----------- Cluster: 1001203 (amount of orthologs = 2)</t>
  </si>
  <si>
    <t>244;253;352</t>
  </si>
  <si>
    <t>172;181;280</t>
  </si>
  <si>
    <t>#----------- Cluster: 1000953 (amount of orthologs = 2)</t>
  </si>
  <si>
    <t>NZ_JNWJ01000006.1</t>
  </si>
  <si>
    <t>#----------- Cluster: 1000817 (amount of orthologs = 2)</t>
  </si>
  <si>
    <t>NZ_FOLM01000019.1</t>
  </si>
  <si>
    <t>#----------- Cluster: 1000500 (amount of orthologs = 2)</t>
  </si>
  <si>
    <t>46;1285</t>
  </si>
  <si>
    <t>NZ_AUBE01000045.1</t>
  </si>
  <si>
    <t>#----------- Cluster: 1000744 (amount of orthologs = 2)</t>
  </si>
  <si>
    <t>#----------- Cluster: 1001555 (amount of orthologs = 2)</t>
  </si>
  <si>
    <t>MK620896.1</t>
  </si>
  <si>
    <t>Streptomyces phage Circinus</t>
  </si>
  <si>
    <t>#----------- Cluster: 1000526 (amount of orthologs = 2)</t>
  </si>
  <si>
    <t>NZ_AGBF01000009.1</t>
  </si>
  <si>
    <t>#----------- Cluster: 1000198 (amount of orthologs = 12)</t>
  </si>
  <si>
    <t>NZ_JOEY01000016.1</t>
  </si>
  <si>
    <t>NZ_JOII01000001.1</t>
  </si>
  <si>
    <t>NZ_FODD01000019.1</t>
  </si>
  <si>
    <t>#----------- Cluster: 1001308 (amount of orthologs = 2)</t>
  </si>
  <si>
    <t>NZ_LIRG01000705.1</t>
  </si>
  <si>
    <t>NZ_MAXF01000094.1</t>
  </si>
  <si>
    <t>#----------- Cluster: 1000692 (amount of orthologs = 3)</t>
  </si>
  <si>
    <t>NZ_AEJB01000629.1</t>
  </si>
  <si>
    <t>#----------- Cluster: 1000504 (amount of orthologs = 10)</t>
  </si>
  <si>
    <t>NZ_AEJB01000577.1</t>
  </si>
  <si>
    <t>#----------- Cluster: 1000613 (amount of orthologs = 2)</t>
  </si>
  <si>
    <t>NZ_JNYR01000011.1</t>
  </si>
  <si>
    <t>#----------- Cluster: 1000300 (amount of orthologs = 12)</t>
  </si>
  <si>
    <t>NZ_AORZ01000196.1</t>
  </si>
  <si>
    <t>NZ_KB905815.1</t>
  </si>
  <si>
    <t>NZ_KL571082.1</t>
  </si>
  <si>
    <t>NZ_MAXF01000016.1</t>
  </si>
  <si>
    <t>NZ_LJGU01000132.1</t>
  </si>
  <si>
    <t>NZ_FODD01000008.1</t>
  </si>
  <si>
    <t>NZ_FOGO01000018.1</t>
  </si>
  <si>
    <t>#----------- Cluster: 1000678 (amount of orthologs = 5)</t>
  </si>
  <si>
    <t>205;208</t>
  </si>
  <si>
    <t>190;193</t>
  </si>
  <si>
    <t>NZ_AJSZ01000062.1</t>
  </si>
  <si>
    <t>514;517</t>
  </si>
  <si>
    <t>490;493</t>
  </si>
  <si>
    <t>NZ_AEJB01000045.1</t>
  </si>
  <si>
    <t>364;379</t>
  </si>
  <si>
    <t>340;355</t>
  </si>
  <si>
    <t>#----------- Cluster: 1000988 (amount of orthologs = 3)</t>
  </si>
  <si>
    <t>#----------- Cluster: 1000760 (amount of orthologs = 3)</t>
  </si>
  <si>
    <t>NZ_MUMD01000170.1</t>
  </si>
  <si>
    <t>#----------- Cluster: 1001379 (amount of orthologs = 2)</t>
  </si>
  <si>
    <t>154;421;946</t>
  </si>
  <si>
    <t>#----------- Cluster: 1000687 (amount of orthologs = 4)</t>
  </si>
  <si>
    <t>NZ_AEJB01000441.1</t>
  </si>
  <si>
    <t>#----------- Cluster: 1001155 (amount of orthologs = 2)</t>
  </si>
  <si>
    <t>NZ_DF968363.1</t>
  </si>
  <si>
    <t>#----------- Cluster: 1000796 (amount of orthologs = 2)</t>
  </si>
  <si>
    <t>1663;1804</t>
  </si>
  <si>
    <t>#----------- Cluster: 1000437 (amount of orthologs = 9)</t>
  </si>
  <si>
    <t>223;1042</t>
  </si>
  <si>
    <t>223;1006;1042</t>
  </si>
  <si>
    <t>223;997;1027</t>
  </si>
  <si>
    <t>82;886</t>
  </si>
  <si>
    <t>NZ_KB889600.1</t>
  </si>
  <si>
    <t>NZ_MAXF01000225.1</t>
  </si>
  <si>
    <t>#----------- Cluster: 1001553 (amount of orthologs = 5)</t>
  </si>
  <si>
    <t>52;91</t>
  </si>
  <si>
    <t>#----------- Cluster: 1000616 (amount of orthologs = 2)</t>
  </si>
  <si>
    <t>#----------- Cluster: 1001548 (amount of orthologs = 10)</t>
  </si>
  <si>
    <t>MH590589.1</t>
  </si>
  <si>
    <t>Streptomyces phage SparkleGoddess</t>
  </si>
  <si>
    <t>MT114162.1</t>
  </si>
  <si>
    <t>Streptomyces phage Moab</t>
  </si>
  <si>
    <t>MT952852.1</t>
  </si>
  <si>
    <t>Streptomyces phage Beuffert</t>
  </si>
  <si>
    <t>MW365952.1</t>
  </si>
  <si>
    <t>Streptomyces phage Belfort</t>
  </si>
  <si>
    <t>MW435853.1</t>
  </si>
  <si>
    <t>Streptomyces phage MeganTheeKilla</t>
  </si>
  <si>
    <t>NC_048720.1</t>
  </si>
  <si>
    <t>Streptomyces phage Blueeyedbeauty</t>
  </si>
  <si>
    <t>NC_048728.1</t>
  </si>
  <si>
    <t>Streptomyces phage Comrade</t>
  </si>
  <si>
    <t>NC_048742.1</t>
  </si>
  <si>
    <t>Streptomyces phage Gilson</t>
  </si>
  <si>
    <t>#----------- Cluster: 1000811 (amount of orthologs = 6)</t>
  </si>
  <si>
    <t>NZ_AORZ01000122.1</t>
  </si>
  <si>
    <t>NZ_LIQY01000064.1</t>
  </si>
  <si>
    <t>NZ_LIRG01000338.1</t>
  </si>
  <si>
    <t>#----------- Cluster: 1000599 (amount of orthologs = 3)</t>
  </si>
  <si>
    <t>NZ_JOAK01000014.1</t>
  </si>
  <si>
    <t>NZ_MUME01000398.1</t>
  </si>
  <si>
    <t>#----------- Cluster: 1001498 (amount of orthologs = 2)</t>
  </si>
  <si>
    <t>NZ_FNFF01000026.1</t>
  </si>
  <si>
    <t>#----------- Cluster: 1000344 (amount of orthologs = 26)</t>
  </si>
  <si>
    <t>1084;2302</t>
  </si>
  <si>
    <t>433;1387</t>
  </si>
  <si>
    <t>NC_022001.1</t>
  </si>
  <si>
    <t>655;3529</t>
  </si>
  <si>
    <t>43;1993</t>
  </si>
  <si>
    <t>NZ_AHBF01000013.1</t>
  </si>
  <si>
    <t>685;4222</t>
  </si>
  <si>
    <t>76;2356</t>
  </si>
  <si>
    <t>NZ_AJSZ01000838.1</t>
  </si>
  <si>
    <t>685;1720;3166</t>
  </si>
  <si>
    <t>73;952;1729</t>
  </si>
  <si>
    <t>1867;2236</t>
  </si>
  <si>
    <t>853;1147</t>
  </si>
  <si>
    <t>676;1930</t>
  </si>
  <si>
    <t>64;985</t>
  </si>
  <si>
    <t>NZ_CP009439.1</t>
  </si>
  <si>
    <t>2236;6277</t>
  </si>
  <si>
    <t>1162;3316</t>
  </si>
  <si>
    <t>NZ_LIQZ01000536.1</t>
  </si>
  <si>
    <t>244;1180</t>
  </si>
  <si>
    <t>244;1084</t>
  </si>
  <si>
    <t>NZ_MAXF01000008.1</t>
  </si>
  <si>
    <t>NZ_MVFC01000031.1</t>
  </si>
  <si>
    <t>#----------- Cluster: 1000246 (amount of orthologs = 27)</t>
  </si>
  <si>
    <t>217;247</t>
  </si>
  <si>
    <t>94;124</t>
  </si>
  <si>
    <t>166;169</t>
  </si>
  <si>
    <t>76;79</t>
  </si>
  <si>
    <t>NZ_AORZ01000011.1</t>
  </si>
  <si>
    <t>NZ_BARG01000043.1</t>
  </si>
  <si>
    <t>NZ_KB904696.1</t>
  </si>
  <si>
    <t>NZ_KB904724.1</t>
  </si>
  <si>
    <t>166;247</t>
  </si>
  <si>
    <t>76;157</t>
  </si>
  <si>
    <t>NZ_JODY01000020.1</t>
  </si>
  <si>
    <t>NZ_JODL01000022.1</t>
  </si>
  <si>
    <t>NZ_LIPP01000129.1</t>
  </si>
  <si>
    <t>NZ_LJGW01000375.1</t>
  </si>
  <si>
    <t>166;715</t>
  </si>
  <si>
    <t>58;574</t>
  </si>
  <si>
    <t>NZ_CP023976.1</t>
  </si>
  <si>
    <t>NZ_FNIE01000001.1</t>
  </si>
  <si>
    <t>#----------- Cluster: 1000807 (amount of orthologs = 2)</t>
  </si>
  <si>
    <t>NZ_FNHI01000015.1</t>
  </si>
  <si>
    <t>#----------- Cluster: 1001435 (amount of orthologs = 2)</t>
  </si>
  <si>
    <t>NZ_JUJA01000144.1</t>
  </si>
  <si>
    <t>#----------- Cluster: 1000720 (amount of orthologs = 2)</t>
  </si>
  <si>
    <t>NZ_FODD01000043.1</t>
  </si>
  <si>
    <t>#----------- Cluster: 1000761 (amount of orthologs = 2)</t>
  </si>
  <si>
    <t>NZ_KB889693.1</t>
  </si>
  <si>
    <t>#----------- Cluster: 1000942 (amount of orthologs = 2)</t>
  </si>
  <si>
    <t>NZ_JNWJ01000110.1</t>
  </si>
  <si>
    <t>#----------- Cluster: 1001534 (amount of orthologs = 13)</t>
  </si>
  <si>
    <t>KX670789.1</t>
  </si>
  <si>
    <t>Streptomyces phage OlympicHelado</t>
  </si>
  <si>
    <t>MF467949.1</t>
  </si>
  <si>
    <t>Streptomyces phage Spectropatronm</t>
  </si>
  <si>
    <t>MK433259.1</t>
  </si>
  <si>
    <t>Streptomyces phage IceWarrior</t>
  </si>
  <si>
    <t>MK433260.1</t>
  </si>
  <si>
    <t>Streptomyces phage Namo</t>
  </si>
  <si>
    <t>MK967386.1</t>
  </si>
  <si>
    <t>Streptomyces phage Esketit</t>
  </si>
  <si>
    <t>MN204494.1</t>
  </si>
  <si>
    <t>Streptomyces phage Jaylociraptor</t>
  </si>
  <si>
    <t>MN204495.1</t>
  </si>
  <si>
    <t>Streptomyces phage CherryBlossom</t>
  </si>
  <si>
    <t>MN204497.1</t>
  </si>
  <si>
    <t>Streptomyces phage Meibysrarus</t>
  </si>
  <si>
    <t>MN204500.1</t>
  </si>
  <si>
    <t>Streptomyces phage Hoshi</t>
  </si>
  <si>
    <t>MN586056.1</t>
  </si>
  <si>
    <t>Streptomyces phage FidgetOrca</t>
  </si>
  <si>
    <t>MT684589.1</t>
  </si>
  <si>
    <t>Streptomyces phage Maya</t>
  </si>
  <si>
    <t>MW055905.1</t>
  </si>
  <si>
    <t>Streptomyces phage Indigenous</t>
  </si>
  <si>
    <t>NC_041889.1</t>
  </si>
  <si>
    <t>Streptomyces phage Rima</t>
  </si>
  <si>
    <t>#----------- Cluster: 1001401 (amount of orthologs = 2)</t>
  </si>
  <si>
    <t>NZ_MAXF01000028.1</t>
  </si>
  <si>
    <t>#----------- Cluster: 1001434 (amount of orthologs = 2)</t>
  </si>
  <si>
    <t>NZ_JUJA01000006.1</t>
  </si>
  <si>
    <t>#----------- Cluster: 1000930 (amount of orthologs = 4)</t>
  </si>
  <si>
    <t>1750;2437</t>
  </si>
  <si>
    <t>1414;2101</t>
  </si>
  <si>
    <t>NZ_KQ948315.1</t>
  </si>
  <si>
    <t>#----------- Cluster: 1000656 (amount of orthologs = 2)</t>
  </si>
  <si>
    <t>NZ_AJSZ01000889.1</t>
  </si>
  <si>
    <t>#----------- Cluster: 1001178 (amount of orthologs = 2)</t>
  </si>
  <si>
    <t>#----------- Cluster: 1001372 (amount of orthologs = 32)</t>
  </si>
  <si>
    <t>NZ_LIPP01000157.1</t>
  </si>
  <si>
    <t>1930;20476</t>
  </si>
  <si>
    <t>982;5995</t>
  </si>
  <si>
    <t>775;961</t>
  </si>
  <si>
    <t>274;394</t>
  </si>
  <si>
    <t>NZ_AHBF01000051.1</t>
  </si>
  <si>
    <t>NZ_AORZ01000023.1</t>
  </si>
  <si>
    <t>541;1639</t>
  </si>
  <si>
    <t>178;877</t>
  </si>
  <si>
    <t>NZ_JNYR01000030.1</t>
  </si>
  <si>
    <t>NZ_JNYR01000040.1</t>
  </si>
  <si>
    <t>NZ_JOFU01000012.1</t>
  </si>
  <si>
    <t>NZ_JOFL01000003.1</t>
  </si>
  <si>
    <t>10315;24454</t>
  </si>
  <si>
    <t>2899;7354</t>
  </si>
  <si>
    <t>NZ_LIQZ01000037.1</t>
  </si>
  <si>
    <t>280;604</t>
  </si>
  <si>
    <t>211;418</t>
  </si>
  <si>
    <t>NZ_MAXF01000177.1</t>
  </si>
  <si>
    <t>385;619;709</t>
  </si>
  <si>
    <t>124;247;337</t>
  </si>
  <si>
    <t>NZ_FONG01000010.1</t>
  </si>
  <si>
    <t>#----------- Cluster: 1001257 (amount of orthologs = 2)</t>
  </si>
  <si>
    <t>NZ_DF968436.1</t>
  </si>
  <si>
    <t>#----------- Cluster: 1001205 (amount of orthologs = 4)</t>
  </si>
  <si>
    <t>226;247;343</t>
  </si>
  <si>
    <t>208;229;283</t>
  </si>
  <si>
    <t>NZ_AJSZ01000432.1</t>
  </si>
  <si>
    <t>226;1195</t>
  </si>
  <si>
    <t>211;1105</t>
  </si>
  <si>
    <t>NZ_FODD01000018.1</t>
  </si>
  <si>
    <t>#----------- Cluster: 1000224 (amount of orthologs = 28)</t>
  </si>
  <si>
    <t>NZ_JNYR01000033.1</t>
  </si>
  <si>
    <t>NZ_JOEY01000043.1</t>
  </si>
  <si>
    <t>NZ_JOBF01000032.1</t>
  </si>
  <si>
    <t>NZ_JOII01000004.1</t>
  </si>
  <si>
    <t>NZ_JOFH01000001.1</t>
  </si>
  <si>
    <t>NZ_KQ948317.1</t>
  </si>
  <si>
    <t>NZ_LJGW01000689.1</t>
  </si>
  <si>
    <t>NZ_FNFF01000005.1</t>
  </si>
  <si>
    <t>#----------- Cluster: 1000789 (amount of orthologs = 2)</t>
  </si>
  <si>
    <t>NZ_BARG01000093.1</t>
  </si>
  <si>
    <t>#----------- Cluster: 1000993 (amount of orthologs = 3)</t>
  </si>
  <si>
    <t>#----------- Cluster: 1001009 (amount of orthologs = 2)</t>
  </si>
  <si>
    <t>#----------- Cluster: 1001136 (amount of orthologs = 2)</t>
  </si>
  <si>
    <t>NZ_JOFH01000063.1</t>
  </si>
  <si>
    <t>#----------- Cluster: 1000681 (amount of orthologs = 2)</t>
  </si>
  <si>
    <t>NZ_AEJB01000276.1</t>
  </si>
  <si>
    <t>NZ_LN929769.1</t>
  </si>
  <si>
    <t>#----------- Cluster: 1000633 (amount of orthologs = 3)</t>
  </si>
  <si>
    <t>#----------- Cluster: 1001302 (amount of orthologs = 16)</t>
  </si>
  <si>
    <t>NZ_BARG01000049.1</t>
  </si>
  <si>
    <t>NZ_JOFU01000027.1</t>
  </si>
  <si>
    <t>12022;14671</t>
  </si>
  <si>
    <t>1471;3586</t>
  </si>
  <si>
    <t>NZ_AGBF01000140.1</t>
  </si>
  <si>
    <t>NZ_AEJB01000073.1</t>
  </si>
  <si>
    <t>11992;14068</t>
  </si>
  <si>
    <t>1345;3037</t>
  </si>
  <si>
    <t>NZ_LIQZ01000424.1</t>
  </si>
  <si>
    <t>14299;17797</t>
  </si>
  <si>
    <t>2293;5140</t>
  </si>
  <si>
    <t>NZ_MAXF01000221.1</t>
  </si>
  <si>
    <t>4873;12229</t>
  </si>
  <si>
    <t>511;3682</t>
  </si>
  <si>
    <t>1543;6364</t>
  </si>
  <si>
    <t>1513;6217</t>
  </si>
  <si>
    <t>NZ_MUBL01000190.1</t>
  </si>
  <si>
    <t>1543;13228</t>
  </si>
  <si>
    <t>1390;9910</t>
  </si>
  <si>
    <t>#----------- Cluster: 1000581 (amount of orthologs = 9)</t>
  </si>
  <si>
    <t>292;364</t>
  </si>
  <si>
    <t>283;355</t>
  </si>
  <si>
    <t>NZ_LIQS01000082.1</t>
  </si>
  <si>
    <t>220;634;796</t>
  </si>
  <si>
    <t>163;553;697</t>
  </si>
  <si>
    <t>259;292</t>
  </si>
  <si>
    <t>250;283</t>
  </si>
  <si>
    <t>#----------- Cluster: 1001227 (amount of orthologs = 2)</t>
  </si>
  <si>
    <t>16;40</t>
  </si>
  <si>
    <t>#----------- Cluster: 1000036 (amount of orthologs = 2)</t>
  </si>
  <si>
    <t>NZ_AJSZ01000442.1</t>
  </si>
  <si>
    <t>#----------- Cluster: 1000963 (amount of orthologs = 3)</t>
  </si>
  <si>
    <t>NZ_JQJU01000026.1</t>
  </si>
  <si>
    <t>#----------- Cluster: 1000143 (amount of orthologs = 2)</t>
  </si>
  <si>
    <t>NZ_MUME01000126.1</t>
  </si>
  <si>
    <t>#----------- Cluster: 1000560 (amount of orthologs = 4)</t>
  </si>
  <si>
    <t>601;862</t>
  </si>
  <si>
    <t>598;859</t>
  </si>
  <si>
    <t>NZ_LIPP01000033.1</t>
  </si>
  <si>
    <t>#----------- Cluster: 1000105 (amount of orthologs = 7)</t>
  </si>
  <si>
    <t>NZ_LIQZ01000071.1</t>
  </si>
  <si>
    <t>NZ_JOAK01000002.1</t>
  </si>
  <si>
    <t>NZ_LIQZ01000067.1</t>
  </si>
  <si>
    <t>#----------- Cluster: 1000619 (amount of orthologs = 6)</t>
  </si>
  <si>
    <t>NZ_JOBH01000023.1</t>
  </si>
  <si>
    <t>#----------- Cluster: 1001002 (amount of orthologs = 2)</t>
  </si>
  <si>
    <t>NZ_JODY01000011.1</t>
  </si>
  <si>
    <t>#----------- Cluster: 1000415 (amount of orthologs = 8)</t>
  </si>
  <si>
    <t>NZ_BARG01000069.1</t>
  </si>
  <si>
    <t>NZ_DF968247.1</t>
  </si>
  <si>
    <t>NZ_LIPP01000163.1</t>
  </si>
  <si>
    <t>#----------- Cluster: 1001246 (amount of orthologs = 2)</t>
  </si>
  <si>
    <t>NZ_DF968206.1</t>
  </si>
  <si>
    <t>NZ_LOHS01000023.1</t>
  </si>
  <si>
    <t>#----------- Cluster: 1000203 (amount of orthologs = 3)</t>
  </si>
  <si>
    <t>#----------- Cluster: 1001529 (amount of orthologs = 2)</t>
  </si>
  <si>
    <t>NZ_MUMD01000130.1</t>
  </si>
  <si>
    <t>#----------- Cluster: 1000901 (amount of orthologs = 3)</t>
  </si>
  <si>
    <t>#----------- Cluster: 1000790 (amount of orthologs = 3)</t>
  </si>
  <si>
    <t>217;949</t>
  </si>
  <si>
    <t>52;712</t>
  </si>
  <si>
    <t>NZ_BARG01000030.1</t>
  </si>
  <si>
    <t>1060;1744</t>
  </si>
  <si>
    <t>850;1519</t>
  </si>
  <si>
    <t>#----------- Cluster: 1001040 (amount of orthologs = 2)</t>
  </si>
  <si>
    <t>NZ_LIQS01000274.1</t>
  </si>
  <si>
    <t>#----------- Cluster: 1001277 (amount of orthologs = 4)</t>
  </si>
  <si>
    <t>NZ_LIQX01000024.1</t>
  </si>
  <si>
    <t>NZ_MUME01000428.1</t>
  </si>
  <si>
    <t>#----------- Cluster: 1001306 (amount of orthologs = 2)</t>
  </si>
  <si>
    <t>NZ_LIRG01001043.1</t>
  </si>
  <si>
    <t>#----------- Cluster: 1000260 (amount of orthologs = 2)</t>
  </si>
  <si>
    <t>NZ_JOBF01000017.1</t>
  </si>
  <si>
    <t>#----------- Cluster: 1001545 (amount of orthologs = 4)</t>
  </si>
  <si>
    <t>550;1531</t>
  </si>
  <si>
    <t>#----------- Cluster: 1000893 (amount of orthologs = 2)</t>
  </si>
  <si>
    <t>NZ_KL571118.1</t>
  </si>
  <si>
    <t>NZ_JNYR01000035.1</t>
  </si>
  <si>
    <t>#----------- Cluster: 1000945 (amount of orthologs = 3)</t>
  </si>
  <si>
    <t>NZ_BARG01000085.1</t>
  </si>
  <si>
    <t>340;667</t>
  </si>
  <si>
    <t>NZ_LIQZ01000136.1</t>
  </si>
  <si>
    <t>#----------- Cluster: 1001017 (amount of orthologs = 3)</t>
  </si>
  <si>
    <t>766;1876</t>
  </si>
  <si>
    <t>751;1816</t>
  </si>
  <si>
    <t>#----------- Cluster: 1001393 (amount of orthologs = 2)</t>
  </si>
  <si>
    <t>NZ_MAXF01000182.1</t>
  </si>
  <si>
    <t>259;682</t>
  </si>
  <si>
    <t>259;625</t>
  </si>
  <si>
    <t>#----------- Cluster: 1001158 (amount of orthologs = 2)</t>
  </si>
  <si>
    <t>#----------- Cluster: 1001188 (amount of orthologs = 2)</t>
  </si>
  <si>
    <t>NZ_LIRG01000545.1</t>
  </si>
  <si>
    <t>#----------- Cluster: 1001156 (amount of orthologs = 2)</t>
  </si>
  <si>
    <t>NZ_JNXD01000027.1</t>
  </si>
  <si>
    <t>#----------- Cluster: 1000885 (amount of orthologs = 2)</t>
  </si>
  <si>
    <t>NZ_FNHI01000018.1</t>
  </si>
  <si>
    <t>#----------- Cluster: 1000601 (amount of orthologs = 2)</t>
  </si>
  <si>
    <t>#----------- Cluster: 1000421 (amount of orthologs = 2)</t>
  </si>
  <si>
    <t>NZ_AGBF01000288.1</t>
  </si>
  <si>
    <t>#----------- Cluster: 1001479 (amount of orthologs = 2)</t>
  </si>
  <si>
    <t>#----------- Cluster: 1000001 (amount of orthologs = 2)</t>
  </si>
  <si>
    <t>133;400</t>
  </si>
  <si>
    <t>79;346</t>
  </si>
  <si>
    <t>#----------- Cluster: 1000112 (amount of orthologs = 2)</t>
  </si>
  <si>
    <t>49;103</t>
  </si>
  <si>
    <t>#----------- Cluster: 1001226 (amount of orthologs = 3)</t>
  </si>
  <si>
    <t>#----------- Cluster: 1001236 (amount of orthologs = 2)</t>
  </si>
  <si>
    <t>#----------- Cluster: 1001087 (amount of orthologs = 2)</t>
  </si>
  <si>
    <t>NZ_AEJB01000559.1</t>
  </si>
  <si>
    <t>NZ_JOFL01000029.1</t>
  </si>
  <si>
    <t>#----------- Cluster: 1000682 (amount of orthologs = 2)</t>
  </si>
  <si>
    <t>NZ_AEJB01000380.1</t>
  </si>
  <si>
    <t>#----------- Cluster: 1001457 (amount of orthologs = 2)</t>
  </si>
  <si>
    <t>#----------- Cluster: 1001403 (amount of orthologs = 3)</t>
  </si>
  <si>
    <t>NZ_MAXF01000208.1</t>
  </si>
  <si>
    <t>#----------- Cluster: 1000933 (amount of orthologs = 2)</t>
  </si>
  <si>
    <t>#----------- Cluster: 1000374 (amount of orthologs = 3)</t>
  </si>
  <si>
    <t>160;331</t>
  </si>
  <si>
    <t>106;277</t>
  </si>
  <si>
    <t>#----------- Cluster: 1001269 (amount of orthologs = 2)</t>
  </si>
  <si>
    <t>NZ_LIPP01000077.1</t>
  </si>
  <si>
    <t>NZ_MUMD01000014.1</t>
  </si>
  <si>
    <t>#----------- Cluster: 1001005 (amount of orthologs = 2)</t>
  </si>
  <si>
    <t>#----------- Cluster: 1000175 (amount of orthologs = 19)</t>
  </si>
  <si>
    <t>NZ_BARG01000123.1</t>
  </si>
  <si>
    <t>NZ_JOBF01000026.1</t>
  </si>
  <si>
    <t>NZ_JOAK01000054.1</t>
  </si>
  <si>
    <t>NZ_JOFH01000016.1</t>
  </si>
  <si>
    <t>NZ_LIQZ01000428.1</t>
  </si>
  <si>
    <t>NZ_MVFC01000040.1</t>
  </si>
  <si>
    <t>196;208</t>
  </si>
  <si>
    <t>121;133</t>
  </si>
  <si>
    <t>NZ_FNFF01000020.1</t>
  </si>
  <si>
    <t>#----------- Cluster: 1000431 (amount of orthologs = 6)</t>
  </si>
  <si>
    <t>NZ_JOFH01000004.1</t>
  </si>
  <si>
    <t>NZ_LIQS01000902.1</t>
  </si>
  <si>
    <t>#----------- Cluster: 1000736 (amount of orthologs = 3)</t>
  </si>
  <si>
    <t>223;427</t>
  </si>
  <si>
    <t>79;427;1270</t>
  </si>
  <si>
    <t>79;427;1252</t>
  </si>
  <si>
    <t>#----------- Cluster: 1000241 (amount of orthologs = 2)</t>
  </si>
  <si>
    <t>#----------- Cluster: 1000673 (amount of orthologs = 2)</t>
  </si>
  <si>
    <t>NZ_AEJB01000100.1</t>
  </si>
  <si>
    <t>NZ_LOHS01000058.1</t>
  </si>
  <si>
    <t>#----------- Cluster: 1001044 (amount of orthologs = 2)</t>
  </si>
  <si>
    <t>#----------- Cluster: 1000607 (amount of orthologs = 2)</t>
  </si>
  <si>
    <t>#----------- Cluster: 1000540 (amount of orthologs = 2)</t>
  </si>
  <si>
    <t>#----------- Cluster: 1000158 (amount of orthologs = 26)</t>
  </si>
  <si>
    <t>145;334</t>
  </si>
  <si>
    <t>136;325</t>
  </si>
  <si>
    <t>145;169</t>
  </si>
  <si>
    <t>133;157</t>
  </si>
  <si>
    <t>145;352</t>
  </si>
  <si>
    <t>139;346</t>
  </si>
  <si>
    <t>NZ_AGBF01000124.1</t>
  </si>
  <si>
    <t>NZ_JNXG01000004.1</t>
  </si>
  <si>
    <t>NZ_JOFH01000019.1</t>
  </si>
  <si>
    <t>NZ_LIQR01000054.1</t>
  </si>
  <si>
    <t>NZ_LIQS01000111.1</t>
  </si>
  <si>
    <t>NZ_JUJA01000133.1</t>
  </si>
  <si>
    <t>NZ_MUMD01000009.1</t>
  </si>
  <si>
    <t>NZ_MUME01000169.1</t>
  </si>
  <si>
    <t>#----------- Cluster: 1001003 (amount of orthologs = 2)</t>
  </si>
  <si>
    <t>#----------- Cluster: 1001316 (amount of orthologs = 2)</t>
  </si>
  <si>
    <t>#----------- Cluster: 1001327 (amount of orthologs = 2)</t>
  </si>
  <si>
    <t>#----------- Cluster: 1001418 (amount of orthologs = 9)</t>
  </si>
  <si>
    <t>226;1105</t>
  </si>
  <si>
    <t>190;1051</t>
  </si>
  <si>
    <t>193;427;865</t>
  </si>
  <si>
    <t>184;394;829</t>
  </si>
  <si>
    <t>NZ_AEJB01000681.1</t>
  </si>
  <si>
    <t>NZ_JOEY01000030.1</t>
  </si>
  <si>
    <t>NZ_JOFU01000008.1</t>
  </si>
  <si>
    <t>NZ_FRBI01000011.1</t>
  </si>
  <si>
    <t>#----------- Cluster: 1000213 (amount of orthologs = 3)</t>
  </si>
  <si>
    <t>#----------- Cluster: 1001488 (amount of orthologs = 4)</t>
  </si>
  <si>
    <t>67;136;220</t>
  </si>
  <si>
    <t>19;82;166</t>
  </si>
  <si>
    <t>NZ_MUME01000065.1</t>
  </si>
  <si>
    <t>#----------- Cluster: 1001027 (amount of orthologs = 2)</t>
  </si>
  <si>
    <t>NZ_LIPP01000149.1</t>
  </si>
  <si>
    <t>#----------- Cluster: 1000538 (amount of orthologs = 2)</t>
  </si>
  <si>
    <t>#----------- Cluster: 1000773 (amount of orthologs = 2)</t>
  </si>
  <si>
    <t>#----------- Cluster: 1000327 (amount of orthologs = 2)</t>
  </si>
  <si>
    <t>#----------- Cluster: 1001245 (amount of orthologs = 2)</t>
  </si>
  <si>
    <t>NZ_DF968385.1</t>
  </si>
  <si>
    <t>NZ_MUMD01000483.1</t>
  </si>
  <si>
    <t>#----------- Cluster: 1000905 (amount of orthologs = 2)</t>
  </si>
  <si>
    <t>NZ_MUBL01000101.1</t>
  </si>
  <si>
    <t>#----------- Cluster: 1000882 (amount of orthologs = 6)</t>
  </si>
  <si>
    <t>49;610</t>
  </si>
  <si>
    <t>NZ_JOAK01000040.1</t>
  </si>
  <si>
    <t>265;1714</t>
  </si>
  <si>
    <t>178;1492</t>
  </si>
  <si>
    <t>NZ_LIQZ01000279.1</t>
  </si>
  <si>
    <t>#----------- Cluster: 1001301 (amount of orthologs = 2)</t>
  </si>
  <si>
    <t>NZ_LIQZ01000003.1</t>
  </si>
  <si>
    <t>NZ_MAXF01000158.1</t>
  </si>
  <si>
    <t>#----------- Cluster: 1000637 (amount of orthologs = 4)</t>
  </si>
  <si>
    <t>NZ_AJSZ01000211.1</t>
  </si>
  <si>
    <t>#----------- Cluster: 1001357 (amount of orthologs = 2)</t>
  </si>
  <si>
    <t>NZ_LOHS01000030.1</t>
  </si>
  <si>
    <t>NZ_JUJA01000100.1</t>
  </si>
  <si>
    <t>#----------- Cluster: 1001147 (amount of orthologs = 2)</t>
  </si>
  <si>
    <t>#----------- Cluster: 1001064 (amount of orthologs = 4)</t>
  </si>
  <si>
    <t>16;31;283</t>
  </si>
  <si>
    <t>16;31;277</t>
  </si>
  <si>
    <t>NZ_JOBF01000021.1</t>
  </si>
  <si>
    <t>#----------- Cluster: 1000127 (amount of orthologs = 4)</t>
  </si>
  <si>
    <t>NZ_JUJA01000140.1</t>
  </si>
  <si>
    <t>#----------- Cluster: 1000488 (amount of orthologs = 3)</t>
  </si>
  <si>
    <t>#----------- Cluster: 1000741 (amount of orthologs = 4)</t>
  </si>
  <si>
    <t>NZ_MAXF01000160.1</t>
  </si>
  <si>
    <t>#----------- Cluster: 1000569 (amount of orthologs = 3)</t>
  </si>
  <si>
    <t>#----------- Cluster: 1001300 (amount of orthologs = 2)</t>
  </si>
  <si>
    <t>NZ_LIQZ01000014.1</t>
  </si>
  <si>
    <t>487;1057</t>
  </si>
  <si>
    <t>460;1030</t>
  </si>
  <si>
    <t>#----------- Cluster: 1000373 (amount of orthologs = 2)</t>
  </si>
  <si>
    <t>#----------- Cluster: 1001190 (amount of orthologs = 4)</t>
  </si>
  <si>
    <t>79;100</t>
  </si>
  <si>
    <t>76;97</t>
  </si>
  <si>
    <t>NZ_MUME01000186.1</t>
  </si>
  <si>
    <t>#----------- Cluster: 1001518 (amount of orthologs = 2)</t>
  </si>
  <si>
    <t>NZ_LIRG01000617.1</t>
  </si>
  <si>
    <t>#----------- Cluster: 1000823 (amount of orthologs = 2)</t>
  </si>
  <si>
    <t>NZ_KB905817.1</t>
  </si>
  <si>
    <t>#----------- Cluster: 1000414 (amount of orthologs = 4)</t>
  </si>
  <si>
    <t>#----------- Cluster: 1000568 (amount of orthologs = 7)</t>
  </si>
  <si>
    <t>NZ_AEJB01000515.1</t>
  </si>
  <si>
    <t>NZ_KB905818.1</t>
  </si>
  <si>
    <t>NZ_AUBE01000014.1</t>
  </si>
  <si>
    <t>NZ_JOEI01000004.1</t>
  </si>
  <si>
    <t>358;1207</t>
  </si>
  <si>
    <t>217;1036</t>
  </si>
  <si>
    <t>#----------- Cluster: 1000646 (amount of orthologs = 8)</t>
  </si>
  <si>
    <t>736;1507</t>
  </si>
  <si>
    <t>712;1402</t>
  </si>
  <si>
    <t>NZ_AJSZ01000027.1</t>
  </si>
  <si>
    <t>#----------- Cluster: 1000995 (amount of orthologs = 2)</t>
  </si>
  <si>
    <t>NZ_JODY01000027.1</t>
  </si>
  <si>
    <t>#----------- Cluster: 1000657 (amount of orthologs = 2)</t>
  </si>
  <si>
    <t>#----------- Cluster: 1000050 (amount of orthologs = 2)</t>
  </si>
  <si>
    <t>NZ_BARG01000036.1</t>
  </si>
  <si>
    <t>#----------- Cluster: 1001334 (amount of orthologs = 2)</t>
  </si>
  <si>
    <t>NZ_KQ948478.1</t>
  </si>
  <si>
    <t>NZ_FODD01000027.1</t>
  </si>
  <si>
    <t>#----------- Cluster: 1000562 (amount of orthologs = 2)</t>
  </si>
  <si>
    <t>NZ_AHBF01000026.1</t>
  </si>
  <si>
    <t>#----------- Cluster: 1000660 (amount of orthologs = 2)</t>
  </si>
  <si>
    <t>NZ_AJSZ01000560.1</t>
  </si>
  <si>
    <t>#----------- Cluster: 1000052 (amount of orthologs = 3)</t>
  </si>
  <si>
    <t>NZ_MAXF01000136.1</t>
  </si>
  <si>
    <t>#----------- Cluster: 1001026 (amount of orthologs = 4)</t>
  </si>
  <si>
    <t>NZ_JOEY01000049.1</t>
  </si>
  <si>
    <t>#----------- Cluster: 1001104 (amount of orthologs = 3)</t>
  </si>
  <si>
    <t>#----------- Cluster: 1000182 (amount of orthologs = 4)</t>
  </si>
  <si>
    <t>#----------- Cluster: 1000196 (amount of orthologs = 9)</t>
  </si>
  <si>
    <t>NZ_AGBF01000034.1</t>
  </si>
  <si>
    <t>NZ_JQJU01000030.1</t>
  </si>
  <si>
    <t>NZ_LIPP01000220.1</t>
  </si>
  <si>
    <t>#----------- Cluster: 1001271 (amount of orthologs = 2)</t>
  </si>
  <si>
    <t>NZ_LIPP01000218.1</t>
  </si>
  <si>
    <t>#----------- Cluster: 1001404 (amount of orthologs = 3)</t>
  </si>
  <si>
    <t>646;1993</t>
  </si>
  <si>
    <t>640;1963</t>
  </si>
  <si>
    <t>#----------- Cluster: 1001006 (amount of orthologs = 5)</t>
  </si>
  <si>
    <t>43;49</t>
  </si>
  <si>
    <t>NZ_LOHS01000190.1</t>
  </si>
  <si>
    <t>#----------- Cluster: 1000828 (amount of orthologs = 2)</t>
  </si>
  <si>
    <t>NZ_JOAK01000016.1</t>
  </si>
  <si>
    <t>#----------- Cluster: 1000152 (amount of orthologs = 2)</t>
  </si>
  <si>
    <t>#----------- Cluster: 1001152 (amount of orthologs = 3)</t>
  </si>
  <si>
    <t>#----------- Cluster: 1000617 (amount of orthologs = 5)</t>
  </si>
  <si>
    <t>NZ_JOAK01000025.1</t>
  </si>
  <si>
    <t>#----------- Cluster: 1001221 (amount of orthologs = 6)</t>
  </si>
  <si>
    <t>NZ_JNXG01000014.1</t>
  </si>
  <si>
    <t>#----------- Cluster: 1000407 (amount of orthologs = 5)</t>
  </si>
  <si>
    <t>349;709</t>
  </si>
  <si>
    <t>NZ_AHBF01000042.1</t>
  </si>
  <si>
    <t>304;709</t>
  </si>
  <si>
    <t>NZ_JQJU01000011.1</t>
  </si>
  <si>
    <t>NZ_LIQX01000214.1</t>
  </si>
  <si>
    <t>#----------- Cluster: 1000420 (amount of orthologs = 2)</t>
  </si>
  <si>
    <t>NZ_LIRG01000151.1</t>
  </si>
  <si>
    <t>#----------- Cluster: 1001344 (amount of orthologs = 2)</t>
  </si>
  <si>
    <t>#----------- Cluster: 1000983 (amount of orthologs = 2)</t>
  </si>
  <si>
    <t>#----------- Cluster: 1001056 (amount of orthologs = 2)</t>
  </si>
  <si>
    <t>NZ_JOFU01000061.1</t>
  </si>
  <si>
    <t>NZ_JOFU01000066.1</t>
  </si>
  <si>
    <t>#----------- Cluster: 1001286 (amount of orthologs = 4)</t>
  </si>
  <si>
    <t>NZ_AEJB01000278.1</t>
  </si>
  <si>
    <t>NZ_LIQY01000679.1</t>
  </si>
  <si>
    <t>NZ_LOHS01000096.1</t>
  </si>
  <si>
    <t>#----------- Cluster: 1000816 (amount of orthologs = 5)</t>
  </si>
  <si>
    <t>184;232</t>
  </si>
  <si>
    <t>NZ_KB904663.1</t>
  </si>
  <si>
    <t>NZ_LIQZ01000418.1</t>
  </si>
  <si>
    <t>#----------- Cluster: 1001397 (amount of orthologs = 3)</t>
  </si>
  <si>
    <t>NZ_MAXF01000013.1</t>
  </si>
  <si>
    <t>#----------- Cluster: 1000450 (amount of orthologs = 3)</t>
  </si>
  <si>
    <t>31;1306</t>
  </si>
  <si>
    <t>31;1258</t>
  </si>
  <si>
    <t>#----------- Cluster: 1000234 (amount of orthologs = 5)</t>
  </si>
  <si>
    <t>NZ_JUJA01000137.1</t>
  </si>
  <si>
    <t>#----------- Cluster: 1001010 (amount of orthologs = 2)</t>
  </si>
  <si>
    <t>#----------- Cluster: 1001260 (amount of orthologs = 4)</t>
  </si>
  <si>
    <t>112;364</t>
  </si>
  <si>
    <t>88;337</t>
  </si>
  <si>
    <t>#----------- Cluster: 1000815 (amount of orthologs = 2)</t>
  </si>
  <si>
    <t>#----------- Cluster: 1000528 (amount of orthologs = 2)</t>
  </si>
  <si>
    <t>NZ_AGBF01000301.1</t>
  </si>
  <si>
    <t>NZ_MVFC01000058.1</t>
  </si>
  <si>
    <t>#----------- Cluster: 1001258 (amount of orthologs = 2)</t>
  </si>
  <si>
    <t>157;283;328</t>
  </si>
  <si>
    <t>127;238;283</t>
  </si>
  <si>
    <t>NZ_LIQZ01000495.1</t>
  </si>
  <si>
    <t>#----------- Cluster: 1001090 (amount of orthologs = 2)</t>
  </si>
  <si>
    <t>NZ_JOFL01000006.1</t>
  </si>
  <si>
    <t>NZ_MVFC01000001.1</t>
  </si>
  <si>
    <t>#----------- Cluster: 1001355 (amount of orthologs = 2)</t>
  </si>
  <si>
    <t>NZ_LOHS01000089.1</t>
  </si>
  <si>
    <t>#----------- Cluster: 1000874 (amount of orthologs = 2)</t>
  </si>
  <si>
    <t>#----------- Cluster: 1000345 (amount of orthologs = 2)</t>
  </si>
  <si>
    <t>NZ_AJSZ01000078.1</t>
  </si>
  <si>
    <t>#----------- Cluster: 1001149 (amount of orthologs = 5)</t>
  </si>
  <si>
    <t>NZ_JNXD01000009.1</t>
  </si>
  <si>
    <t>NZ_DF968368.1</t>
  </si>
  <si>
    <t>#----------- Cluster: 1000226 (amount of orthologs = 4)</t>
  </si>
  <si>
    <t>151;295</t>
  </si>
  <si>
    <t>73;208</t>
  </si>
  <si>
    <t>NZ_JOEY01000060.1</t>
  </si>
  <si>
    <t>NZ_KQ948335.1</t>
  </si>
  <si>
    <t>#----------- Cluster: 1000219 (amount of orthologs = 10)</t>
  </si>
  <si>
    <t>NZ_AGBF01000188.1</t>
  </si>
  <si>
    <t>NZ_AEJB01000200.1</t>
  </si>
  <si>
    <t>NZ_DF968357.1</t>
  </si>
  <si>
    <t>NZ_KQ948470.1</t>
  </si>
  <si>
    <t>#----------- Cluster: 1000145 (amount of orthologs = 3)</t>
  </si>
  <si>
    <t>#----------- Cluster: 1001323 (amount of orthologs = 4)</t>
  </si>
  <si>
    <t>346;1156</t>
  </si>
  <si>
    <t>142;859</t>
  </si>
  <si>
    <t>1117;1156</t>
  </si>
  <si>
    <t>1024;1063</t>
  </si>
  <si>
    <t>#----------- Cluster: 1000168 (amount of orthologs = 4)</t>
  </si>
  <si>
    <t>NZ_MVFC01000076.1</t>
  </si>
  <si>
    <t>#----------- Cluster: 1001200 (amount of orthologs = 2)</t>
  </si>
  <si>
    <t>259;304</t>
  </si>
  <si>
    <t>NZ_LIPP01000169.1</t>
  </si>
  <si>
    <t>#----------- Cluster: 1001449 (amount of orthologs = 2)</t>
  </si>
  <si>
    <t>#----------- Cluster: 1001338 (amount of orthologs = 3)</t>
  </si>
  <si>
    <t>#----------- Cluster: 1001285 (amount of orthologs = 2)</t>
  </si>
  <si>
    <t>#----------- Cluster: 1000412 (amount of orthologs = 2)</t>
  </si>
  <si>
    <t>#----------- Cluster: 1001505 (amount of orthologs = 2)</t>
  </si>
  <si>
    <t>#----------- Cluster: 1000394 (amount of orthologs = 2)</t>
  </si>
  <si>
    <t>205;259;826</t>
  </si>
  <si>
    <t>124;178;742</t>
  </si>
  <si>
    <t>#----------- Cluster: 1001255 (amount of orthologs = 2)</t>
  </si>
  <si>
    <t>#----------- Cluster: 1001452 (amount of orthologs = 3)</t>
  </si>
  <si>
    <t>#----------- Cluster: 1001496 (amount of orthologs = 2)</t>
  </si>
  <si>
    <t>#----------- Cluster: 1001455 (amount of orthologs = 16)</t>
  </si>
  <si>
    <t>19;118</t>
  </si>
  <si>
    <t>19;64</t>
  </si>
  <si>
    <t>NZ_JNXG01000007.1</t>
  </si>
  <si>
    <t>NZ_LIQZ01000028.1</t>
  </si>
  <si>
    <t>NZ_LOHS01000084.1</t>
  </si>
  <si>
    <t>NZ_LOHS01000079.1</t>
  </si>
  <si>
    <t>103;655</t>
  </si>
  <si>
    <t>70;601</t>
  </si>
  <si>
    <t>#----------- Cluster: 1001348 (amount of orthologs = 2)</t>
  </si>
  <si>
    <t>#----------- Cluster: 1000609 (amount of orthologs = 3)</t>
  </si>
  <si>
    <t>#----------- Cluster: 1000919 (amount of orthologs = 2)</t>
  </si>
  <si>
    <t>#----------- Cluster: 1001218 (amount of orthologs = 2)</t>
  </si>
  <si>
    <t>#----------- Cluster: 1001438 (amount of orthologs = 2)</t>
  </si>
  <si>
    <t>1318;1879</t>
  </si>
  <si>
    <t>1135;1684</t>
  </si>
  <si>
    <t>#----------- Cluster: 1000824 (amount of orthologs = 2)</t>
  </si>
  <si>
    <t>256;274</t>
  </si>
  <si>
    <t>NZ_MUMD01000165.1</t>
  </si>
  <si>
    <t>#----------- Cluster: 1001091 (amount of orthologs = 2)</t>
  </si>
  <si>
    <t>NZ_JOFL01000015.1</t>
  </si>
  <si>
    <t>#----------- Cluster: 1001259 (amount of orthologs = 2)</t>
  </si>
  <si>
    <t>#----------- Cluster: 1000833 (amount of orthologs = 3)</t>
  </si>
  <si>
    <t>#----------- Cluster: 1001502 (amount of orthologs = 7)</t>
  </si>
  <si>
    <t>91;226</t>
  </si>
  <si>
    <t>NZ_JOID01000019.1</t>
  </si>
  <si>
    <t>193;868</t>
  </si>
  <si>
    <t>184;829</t>
  </si>
  <si>
    <t>NZ_MUME01000039.1</t>
  </si>
  <si>
    <t>NZ_FNIE01000008.1</t>
  </si>
  <si>
    <t>193;469;967</t>
  </si>
  <si>
    <t>184;433;925</t>
  </si>
  <si>
    <t>#----------- Cluster: 1001263 (amount of orthologs = 6)</t>
  </si>
  <si>
    <t>463;898</t>
  </si>
  <si>
    <t>451;820</t>
  </si>
  <si>
    <t>55;655</t>
  </si>
  <si>
    <t>37;526</t>
  </si>
  <si>
    <t>55;655;1453</t>
  </si>
  <si>
    <t>37;526;1255</t>
  </si>
  <si>
    <t>#----------- Cluster: 1000164 (amount of orthologs = 3)</t>
  </si>
  <si>
    <t>NZ_LIQZ01000375.1</t>
  </si>
  <si>
    <t>#----------- Cluster: 1001368 (amount of orthologs = 2)</t>
  </si>
  <si>
    <t>#----------- Cluster: 1001339 (amount of orthologs = 12)</t>
  </si>
  <si>
    <t>NZ_AEYX01000018.1</t>
  </si>
  <si>
    <t>271;436</t>
  </si>
  <si>
    <t>NZ_AEJB01000141.1</t>
  </si>
  <si>
    <t>NZ_BARG01000103.1</t>
  </si>
  <si>
    <t>NZ_JOEI01000026.1</t>
  </si>
  <si>
    <t>NZ_MUMD01000034.1</t>
  </si>
  <si>
    <t>40;724</t>
  </si>
  <si>
    <t>28;652</t>
  </si>
  <si>
    <t>#----------- Cluster: 1000405 (amount of orthologs = 2)</t>
  </si>
  <si>
    <t>NZ_MAXF01000096.1</t>
  </si>
  <si>
    <t>#----------- Cluster: 1001131 (amount of orthologs = 3)</t>
  </si>
  <si>
    <t>NZ_JOAK01000034.1</t>
  </si>
  <si>
    <t>#----------- Cluster: 1001179 (amount of orthologs = 3)</t>
  </si>
  <si>
    <t>#----------- Cluster: 1001186 (amount of orthologs = 2)</t>
  </si>
  <si>
    <t>1258;1645</t>
  </si>
  <si>
    <t>1207;1594</t>
  </si>
  <si>
    <t>#----------- Cluster: 1000110 (amount of orthologs = 2)</t>
  </si>
  <si>
    <t>#----------- Cluster: 1000000 (amount of orthologs = 2)</t>
  </si>
  <si>
    <t>145;592</t>
  </si>
  <si>
    <t>#----------- Cluster: 1000932 (amount of orthologs = 4)</t>
  </si>
  <si>
    <t>NZ_AGBF01000131.1</t>
  </si>
  <si>
    <t>NZ_DF968236.1</t>
  </si>
  <si>
    <t>#----------- Cluster: 1000321 (amount of orthologs = 2)</t>
  </si>
  <si>
    <t>NZ_LIQY01000722.1</t>
  </si>
  <si>
    <t>#----------- Cluster: 1000728 (amount of orthologs = 2)</t>
  </si>
  <si>
    <t>NZ_FOLM01000001.1</t>
  </si>
  <si>
    <t>#----------- Cluster: 1001547 (amount of orthologs = 5)</t>
  </si>
  <si>
    <t>#----------- Cluster: 1001113 (amount of orthologs = 2)</t>
  </si>
  <si>
    <t>NZ_JOID01000044.1</t>
  </si>
  <si>
    <t>NZ_MAXF01000153.1</t>
  </si>
  <si>
    <t>#----------- Cluster: 1000207 (amount of orthologs = 2)</t>
  </si>
  <si>
    <t>#----------- Cluster: 1001422 (amount of orthologs = 2)</t>
  </si>
  <si>
    <t>181;349</t>
  </si>
  <si>
    <t>#----------- Cluster: 1001303 (amount of orthologs = 2)</t>
  </si>
  <si>
    <t>NZ_LIQZ01000339.1</t>
  </si>
  <si>
    <t>#----------- Cluster: 1000834 (amount of orthologs = 3)</t>
  </si>
  <si>
    <t>#----------- Cluster: 1000915 (amount of orthologs = 2)</t>
  </si>
  <si>
    <t>#----------- Cluster: 1001388 (amount of orthologs = 2)</t>
  </si>
  <si>
    <t>#----------- Cluster: 1001138 (amount of orthologs = 3)</t>
  </si>
  <si>
    <t>661;670</t>
  </si>
  <si>
    <t>646;655</t>
  </si>
  <si>
    <t>NZ_JOFH01000080.1</t>
  </si>
  <si>
    <t>#----------- Cluster: 1001167 (amount of orthologs = 3)</t>
  </si>
  <si>
    <t>#----------- Cluster: 1000670 (amount of orthologs = 4)</t>
  </si>
  <si>
    <t>#----------- Cluster: 1000296 (amount of orthologs = 4)</t>
  </si>
  <si>
    <t>61;451</t>
  </si>
  <si>
    <t>115;451</t>
  </si>
  <si>
    <t>55;391</t>
  </si>
  <si>
    <t>#----------- Cluster: 1000216 (amount of orthologs = 3)</t>
  </si>
  <si>
    <t>#----------- Cluster: 1000712 (amount of orthologs = 5)</t>
  </si>
  <si>
    <t>NZ_AORZ01000070.1</t>
  </si>
  <si>
    <t>NZ_BARG01000109.1</t>
  </si>
  <si>
    <t>NZ_FZOF01000001.1</t>
  </si>
  <si>
    <t>#----------- Cluster: 1001537 (amount of orthologs = 3)</t>
  </si>
  <si>
    <t>KY676784.1</t>
  </si>
  <si>
    <t>Streptomyces phage ToastyFinz</t>
  </si>
  <si>
    <t>NC_018848.1</t>
  </si>
  <si>
    <t>Streptomyces phage SV1</t>
  </si>
  <si>
    <t>NC_047795.1</t>
  </si>
  <si>
    <t>Streptomyces phage Raleigh</t>
  </si>
  <si>
    <t>#----------- Cluster: 1001129 (amount of orthologs = 3)</t>
  </si>
  <si>
    <t>NZ_JOAK01000009.1</t>
  </si>
  <si>
    <t>#----------- Cluster: 1000826 (amount of orthologs = 2)</t>
  </si>
  <si>
    <t>#----------- Cluster: 1001021 (amount of orthologs = 2)</t>
  </si>
  <si>
    <t>#----------- Cluster: 1001123 (amount of orthologs = 3)</t>
  </si>
  <si>
    <t>NZ_FRBI01000042.1</t>
  </si>
  <si>
    <t>#----------- Cluster: 1000745 (amount of orthologs = 4)</t>
  </si>
  <si>
    <t>292;496</t>
  </si>
  <si>
    <t>184;382</t>
  </si>
  <si>
    <t>NZ_JODY01000025.1</t>
  </si>
  <si>
    <t>292;3322</t>
  </si>
  <si>
    <t>280;2731</t>
  </si>
  <si>
    <t>#----------- Cluster: 1000980 (amount of orthologs = 2)</t>
  </si>
  <si>
    <t>#----------- Cluster: 1001070 (amount of orthologs = 5)</t>
  </si>
  <si>
    <t>#----------- Cluster: 1000582 (amount of orthologs = 2)</t>
  </si>
  <si>
    <t>#----------- Cluster: 1001508 (amount of orthologs = 20)</t>
  </si>
  <si>
    <t>64;373;532</t>
  </si>
  <si>
    <t>10;310;469</t>
  </si>
  <si>
    <t>NZ_AGBF01000164.1</t>
  </si>
  <si>
    <t>NZ_AEJB01000030.1</t>
  </si>
  <si>
    <t>NZ_LIPP01000276.1</t>
  </si>
  <si>
    <t>NZ_LIQZ01000122.1</t>
  </si>
  <si>
    <t>NZ_FNIE01000014.1</t>
  </si>
  <si>
    <t>250;499</t>
  </si>
  <si>
    <t>220;451</t>
  </si>
  <si>
    <t>NZ_FODD01000032.1</t>
  </si>
  <si>
    <t>NZ_FONG01000016.1</t>
  </si>
  <si>
    <t>#----------- Cluster: 1001361 (amount of orthologs = 7)</t>
  </si>
  <si>
    <t>907;2065;2449</t>
  </si>
  <si>
    <t>418;1393;1774</t>
  </si>
  <si>
    <t>2032;2059</t>
  </si>
  <si>
    <t>1237;1264</t>
  </si>
  <si>
    <t>NZ_BARG01000013.1</t>
  </si>
  <si>
    <t>NZ_LIQX01000272.1</t>
  </si>
  <si>
    <t>NZ_LIQR01000196.1</t>
  </si>
  <si>
    <t>#----------- Cluster: 1000208 (amount of orthologs = 8)</t>
  </si>
  <si>
    <t>NZ_AGBF01000005.1</t>
  </si>
  <si>
    <t>NZ_JNXD01000014.1</t>
  </si>
  <si>
    <t>NZ_LOHS01000119.1</t>
  </si>
  <si>
    <t>NZ_FNFF01000003.1</t>
  </si>
  <si>
    <t>#----------- Cluster: 1001128 (amount of orthologs = 3)</t>
  </si>
  <si>
    <t>NZ_LIQS01000009.1</t>
  </si>
  <si>
    <t>#----------- Cluster: 1000858 (amount of orthologs = 4)</t>
  </si>
  <si>
    <t>340;1081</t>
  </si>
  <si>
    <t>340;1072</t>
  </si>
  <si>
    <t>NZ_KQ948485.1</t>
  </si>
  <si>
    <t>NZ_JUJA01000102.1</t>
  </si>
  <si>
    <t>#----------- Cluster: 1000917 (amount of orthologs = 2)</t>
  </si>
  <si>
    <t>NZ_LIQZ01000153.1</t>
  </si>
  <si>
    <t>#----------- Cluster: 1001296 (amount of orthologs = 4)</t>
  </si>
  <si>
    <t>619;1111</t>
  </si>
  <si>
    <t>517;973</t>
  </si>
  <si>
    <t>145;349;1075</t>
  </si>
  <si>
    <t>145;349;1060</t>
  </si>
  <si>
    <t>#----------- Cluster: 1001102 (amount of orthologs = 3)</t>
  </si>
  <si>
    <t>#----------- Cluster: 1000843 (amount of orthologs = 2)</t>
  </si>
  <si>
    <t>55;718</t>
  </si>
  <si>
    <t>#----------- Cluster: 1001551 (amount of orthologs = 3)</t>
  </si>
  <si>
    <t>#----------- Cluster: 1000558 (amount of orthologs = 2)</t>
  </si>
  <si>
    <t>#----------- Cluster: 1000621 (amount of orthologs = 2)</t>
  </si>
  <si>
    <t>187;250</t>
  </si>
  <si>
    <t>#----------- Cluster: 1000035 (amount of orthologs = 3)</t>
  </si>
  <si>
    <t>NZ_AJSZ01000121.1</t>
  </si>
  <si>
    <t>NZ_FRBI01000049.1</t>
  </si>
  <si>
    <t>#----------- Cluster: 1001476 (amount of orthologs = 10)</t>
  </si>
  <si>
    <t>NZ_KB889677.1</t>
  </si>
  <si>
    <t>NZ_LIQX01000028.1</t>
  </si>
  <si>
    <t>NZ_KQ948467.1</t>
  </si>
  <si>
    <t>#----------- Cluster: 1001399 (amount of orthologs = 2)</t>
  </si>
  <si>
    <t>NZ_MAXF01000032.1</t>
  </si>
  <si>
    <t>NZ_LJGU01000152.1</t>
  </si>
  <si>
    <t>#----------- Cluster: 1000890 (amount of orthologs = 2)</t>
  </si>
  <si>
    <t>199;676</t>
  </si>
  <si>
    <t>NZ_KL571093.1</t>
  </si>
  <si>
    <t>#----------- Cluster: 1000267 (amount of orthologs = 2)</t>
  </si>
  <si>
    <t>NZ_LIQX01000224.1</t>
  </si>
  <si>
    <t>#----------- Cluster: 1000608 (amount of orthologs = 3)</t>
  </si>
  <si>
    <t>130;256</t>
  </si>
  <si>
    <t>#----------- Cluster: 1001520 (amount of orthologs = 2)</t>
  </si>
  <si>
    <t>736;1312</t>
  </si>
  <si>
    <t>439;1015</t>
  </si>
  <si>
    <t>NZ_FONG01000027.1</t>
  </si>
  <si>
    <t>#----------- Cluster: 1000872 (amount of orthologs = 3)</t>
  </si>
  <si>
    <t>#----------- Cluster: 1001210 (amount of orthologs = 2)</t>
  </si>
  <si>
    <t>NZ_JUJA01000136.1</t>
  </si>
  <si>
    <t>#----------- Cluster: 1000910 (amount of orthologs = 2)</t>
  </si>
  <si>
    <t>NZ_JNYL01000289.1</t>
  </si>
  <si>
    <t>#----------- Cluster: 1000648 (amount of orthologs = 2)</t>
  </si>
  <si>
    <t>133;667</t>
  </si>
  <si>
    <t>NZ_AJSZ01000559.1</t>
  </si>
  <si>
    <t>#----------- Cluster: 1000622 (amount of orthologs = 9)</t>
  </si>
  <si>
    <t>NZ_JOFL01000010.1</t>
  </si>
  <si>
    <t>NZ_MVFC01000026.1</t>
  </si>
  <si>
    <t>241;307</t>
  </si>
  <si>
    <t>202;262</t>
  </si>
  <si>
    <t>#----------- Cluster: 1001374 (amount of orthologs = 2)</t>
  </si>
  <si>
    <t>#----------- Cluster: 1000961 (amount of orthologs = 3)</t>
  </si>
  <si>
    <t>NZ_MUBL01000247.1</t>
  </si>
  <si>
    <t>#----------- Cluster: 1001516 (amount of orthologs = 2)</t>
  </si>
  <si>
    <t>NZ_FONG01000005.1</t>
  </si>
  <si>
    <t>#----------- Cluster: 1000008 (amount of orthologs = 7)</t>
  </si>
  <si>
    <t>NZ_JNWJ01000073.1</t>
  </si>
  <si>
    <t>NZ_LIQS01000035.1</t>
  </si>
  <si>
    <t>NZ_KQ948492.1</t>
  </si>
  <si>
    <t>#----------- Cluster: 1001376 (amount of orthologs = 2)</t>
  </si>
  <si>
    <t>55;457</t>
  </si>
  <si>
    <t>#----------- Cluster: 1000895 (amount of orthologs = 3)</t>
  </si>
  <si>
    <t>70;253</t>
  </si>
  <si>
    <t>64;229</t>
  </si>
  <si>
    <t>#----------- Cluster: 1001228 (amount of orthologs = 2)</t>
  </si>
  <si>
    <t>NZ_LN929756.1</t>
  </si>
  <si>
    <t>#----------- Cluster: 1000755 (amount of orthologs = 2)</t>
  </si>
  <si>
    <t>NZ_KB889719.1</t>
  </si>
  <si>
    <t>#----------- Cluster: 1000034 (amount of orthologs = 2)</t>
  </si>
  <si>
    <t>NZ_AJSZ01000031.1</t>
  </si>
  <si>
    <t>#----------- Cluster: 1001201 (amount of orthologs = 3)</t>
  </si>
  <si>
    <t>#----------- Cluster: 1000482 (amount of orthologs = 2)</t>
  </si>
  <si>
    <t>157;235</t>
  </si>
  <si>
    <t>157;223</t>
  </si>
  <si>
    <t>#----------- Cluster: 1000359 (amount of orthologs = 49)</t>
  </si>
  <si>
    <t>NZ_AJSZ01000012.1</t>
  </si>
  <si>
    <t>NZ_AORZ01000067.1</t>
  </si>
  <si>
    <t>NZ_BARG01000024.1</t>
  </si>
  <si>
    <t>646;1198</t>
  </si>
  <si>
    <t>439;808</t>
  </si>
  <si>
    <t>NZ_KL571130.1</t>
  </si>
  <si>
    <t>178;1633</t>
  </si>
  <si>
    <t>115;1222</t>
  </si>
  <si>
    <t>NZ_DF968268.1</t>
  </si>
  <si>
    <t>898;1375;1585</t>
  </si>
  <si>
    <t>667;985;1162</t>
  </si>
  <si>
    <t>112;334</t>
  </si>
  <si>
    <t>19;220</t>
  </si>
  <si>
    <t>NZ_MAXF01000201.1</t>
  </si>
  <si>
    <t>NZ_LJGW01000717.1</t>
  </si>
  <si>
    <t>NZ_MUME01000201.1</t>
  </si>
  <si>
    <t>NZ_FODD01000049.1</t>
  </si>
  <si>
    <t>NZ_FOLM01000022.1</t>
  </si>
  <si>
    <t>#----------- Cluster: 1000131 (amount of orthologs = 7)</t>
  </si>
  <si>
    <t>NZ_LIQZ01000472.1</t>
  </si>
  <si>
    <t>310;715</t>
  </si>
  <si>
    <t>256;601</t>
  </si>
  <si>
    <t>NZ_LJGW01000211.1</t>
  </si>
  <si>
    <t>#----------- Cluster: 1000454 (amount of orthologs = 2)</t>
  </si>
  <si>
    <t>#----------- Cluster: 1000259 (amount of orthologs = 2)</t>
  </si>
  <si>
    <t>#----------- Cluster: 1000989 (amount of orthologs = 2)</t>
  </si>
  <si>
    <t>NZ_JOBH01000016.1</t>
  </si>
  <si>
    <t>NZ_LOHS01000015.1</t>
  </si>
  <si>
    <t>#----------- Cluster: 1000073 (amount of orthologs = 2)</t>
  </si>
  <si>
    <t>NZ_JOEY01000056.1</t>
  </si>
  <si>
    <t>NZ_LIQS01000243.1</t>
  </si>
  <si>
    <t>#----------- Cluster: 1000043 (amount of orthologs = 6)</t>
  </si>
  <si>
    <t>NZ_DF968195.1</t>
  </si>
  <si>
    <t>16;139</t>
  </si>
  <si>
    <t>#----------- Cluster: 1001490 (amount of orthologs = 4)</t>
  </si>
  <si>
    <t>#----------- Cluster: 1000447 (amount of orthologs = 2)</t>
  </si>
  <si>
    <t>#----------- Cluster: 1000775 (amount of orthologs = 3)</t>
  </si>
  <si>
    <t>NZ_BARG01000021.1</t>
  </si>
  <si>
    <t>NZ_JOEY01000040.1</t>
  </si>
  <si>
    <t>#----------- Cluster: 1000908 (amount of orthologs = 2)</t>
  </si>
  <si>
    <t>NZ_KL571071.1</t>
  </si>
  <si>
    <t>NZ_JNYR01000025.1</t>
  </si>
  <si>
    <t>#----------- Cluster: 1001093 (amount of orthologs = 3)</t>
  </si>
  <si>
    <t>49;244;1129</t>
  </si>
  <si>
    <t>NZ_FRBI01000053.1</t>
  </si>
  <si>
    <t>#----------- Cluster: 1001247 (amount of orthologs = 2)</t>
  </si>
  <si>
    <t>NZ_DF968367.1</t>
  </si>
  <si>
    <t>NZ_LIQX01000377.1</t>
  </si>
  <si>
    <t>#----------- Cluster: 1001100 (amount of orthologs = 2)</t>
  </si>
  <si>
    <t>#----------- Cluster: 1001125 (amount of orthologs = 2)</t>
  </si>
  <si>
    <t>NZ_JOFH01000007.1</t>
  </si>
  <si>
    <t>#----------- Cluster: 1001183 (amount of orthologs = 2)</t>
  </si>
  <si>
    <t>#----------- Cluster: 1001214 (amount of orthologs = 2)</t>
  </si>
  <si>
    <t>#----------- Cluster: 1001047 (amount of orthologs = 2)</t>
  </si>
  <si>
    <t>NZ_JOEY01000064.1</t>
  </si>
  <si>
    <t>#----------- Cluster: 1000340 (amount of orthologs = 3)</t>
  </si>
  <si>
    <t>#----------- Cluster: 1001359 (amount of orthologs = 2)</t>
  </si>
  <si>
    <t>82;292</t>
  </si>
  <si>
    <t>#----------- Cluster: 1001140 (amount of orthologs = 2)</t>
  </si>
  <si>
    <t>NZ_DF968337.1</t>
  </si>
  <si>
    <t>#----------- Cluster: 1000611 (amount of orthologs = 2)</t>
  </si>
  <si>
    <t>460;1198</t>
  </si>
  <si>
    <t>457;1195</t>
  </si>
  <si>
    <t>#----------- Cluster: 1000389 (amount of orthologs = 2)</t>
  </si>
  <si>
    <t>274;1093</t>
  </si>
  <si>
    <t>274;1030</t>
  </si>
  <si>
    <t>691;1093</t>
  </si>
  <si>
    <t>133;535</t>
  </si>
  <si>
    <t>#----------- Cluster: 1000121 (amount of orthologs = 2)</t>
  </si>
  <si>
    <t>#----------- Cluster: 1000021 (amount of orthologs = 3)</t>
  </si>
  <si>
    <t>#----------- Cluster: 1001530 (amount of orthologs = 5)</t>
  </si>
  <si>
    <t>43;682</t>
  </si>
  <si>
    <t>43;637</t>
  </si>
  <si>
    <t>NZ_JOBF01000046.1</t>
  </si>
  <si>
    <t>22;43</t>
  </si>
  <si>
    <t>22;40</t>
  </si>
  <si>
    <t>NZ_MUBL01000359.1</t>
  </si>
  <si>
    <t>#----------- Cluster: 1000422 (amount of orthologs = 7)</t>
  </si>
  <si>
    <t>NZ_FODD01000026.1</t>
  </si>
  <si>
    <t>#----------- Cluster: 1000871 (amount of orthologs = 4)</t>
  </si>
  <si>
    <t>NZ_LIQZ01000059.1</t>
  </si>
  <si>
    <t>#----------- Cluster: 1001487 (amount of orthologs = 2)</t>
  </si>
  <si>
    <t>#----------- Cluster: 1000795 (amount of orthologs = 3)</t>
  </si>
  <si>
    <t>1420;1684</t>
  </si>
  <si>
    <t>1183;1420</t>
  </si>
  <si>
    <t>NZ_JNYL01000100.1</t>
  </si>
  <si>
    <t>1297;1795</t>
  </si>
  <si>
    <t>1147;1621</t>
  </si>
  <si>
    <t>#----------- Cluster: 1000452 (amount of orthologs = 6)</t>
  </si>
  <si>
    <t>190;826</t>
  </si>
  <si>
    <t>190;817</t>
  </si>
  <si>
    <t>NZ_AJSZ01000050.1</t>
  </si>
  <si>
    <t>16;826</t>
  </si>
  <si>
    <t>#----------- Cluster: 1001552 (amount of orthologs = 3)</t>
  </si>
  <si>
    <t>#----------- Cluster: 1001243 (amount of orthologs = 10)</t>
  </si>
  <si>
    <t>NZ_LIQX01000721.1</t>
  </si>
  <si>
    <t>NZ_LOHS01000086.1</t>
  </si>
  <si>
    <t>#----------- Cluster: 1000342 (amount of orthologs = 2)</t>
  </si>
  <si>
    <t>NZ_JNXD01000015.1</t>
  </si>
  <si>
    <t>#----------- Cluster: 1001398 (amount of orthologs = 2)</t>
  </si>
  <si>
    <t>NZ_MAXF01000155.1</t>
  </si>
  <si>
    <t>NZ_MAXF01000251.1</t>
  </si>
  <si>
    <t>#----------- Cluster: 1000473 (amount of orthologs = 2)</t>
  </si>
  <si>
    <t>7;1027</t>
  </si>
  <si>
    <t>#----------- Cluster: 1000331 (amount of orthologs = 3)</t>
  </si>
  <si>
    <t>7;460</t>
  </si>
  <si>
    <t>7;427</t>
  </si>
  <si>
    <t>#----------- Cluster: 1000486 (amount of orthologs = 2)</t>
  </si>
  <si>
    <t>#----------- Cluster: 1001437 (amount of orthologs = 2)</t>
  </si>
  <si>
    <t>NZ_JUJA01000153.1</t>
  </si>
  <si>
    <t>#----------- Cluster: 1000920 (amount of orthologs = 2)</t>
  </si>
  <si>
    <t>NZ_JNWJ01000017.1</t>
  </si>
  <si>
    <t>#----------- Cluster: 1001208 (amount of orthologs = 2)</t>
  </si>
  <si>
    <t>#----------- Cluster: 1000904 (amount of orthologs = 2)</t>
  </si>
  <si>
    <t>#----------- Cluster: 1000427 (amount of orthologs = 7)</t>
  </si>
  <si>
    <t>316;472;478;649</t>
  </si>
  <si>
    <t>196;325;331;496</t>
  </si>
  <si>
    <t>724;1978</t>
  </si>
  <si>
    <t>565;1729</t>
  </si>
  <si>
    <t>NZ_LIQX01000719.1</t>
  </si>
  <si>
    <t>NZ_LIRG01000164.1</t>
  </si>
  <si>
    <t>#----------- Cluster: 1001212 (amount of orthologs = 2)</t>
  </si>
  <si>
    <t>73;433;493;709</t>
  </si>
  <si>
    <t>73;427;487;703</t>
  </si>
  <si>
    <t>#----------- Cluster: 1001563 (amount of orthologs = 2)</t>
  </si>
  <si>
    <t>NC_042105.1</t>
  </si>
  <si>
    <t>Streptomyces phage BillNye</t>
  </si>
  <si>
    <t>#----------- Cluster: 1000730 (amount of orthologs = 2)</t>
  </si>
  <si>
    <t>NZ_LIQR01000671.1</t>
  </si>
  <si>
    <t>#----------- Cluster: 1000424 (amount of orthologs = 12)</t>
  </si>
  <si>
    <t>NZ_AGBF01000014.1</t>
  </si>
  <si>
    <t>NZ_AHBF01000002.1</t>
  </si>
  <si>
    <t>NZ_JOFH01000033.1</t>
  </si>
  <si>
    <t>NZ_JNXD01000043.1</t>
  </si>
  <si>
    <t>NZ_LIPP01000095.1</t>
  </si>
  <si>
    <t>NZ_LIRG01000718.1</t>
  </si>
  <si>
    <t>#----------- Cluster: 1000891 (amount of orthologs = 2)</t>
  </si>
  <si>
    <t>#----------- Cluster: 1001170 (amount of orthologs = 2)</t>
  </si>
  <si>
    <t>NZ_JQJU01000012.1</t>
  </si>
  <si>
    <t>#----------- Cluster: 1001094 (amount of orthologs = 2)</t>
  </si>
  <si>
    <t>322;928</t>
  </si>
  <si>
    <t>307;904</t>
  </si>
  <si>
    <t>NZ_JOFL01000025.1</t>
  </si>
  <si>
    <t>#----------- Cluster: 1000698 (amount of orthologs = 7)</t>
  </si>
  <si>
    <t>NZ_AORZ01000033.1</t>
  </si>
  <si>
    <t>NZ_JODY01000001.1</t>
  </si>
  <si>
    <t>#----------- Cluster: 1000002 (amount of orthologs = 6)</t>
  </si>
  <si>
    <t>NZ_KL571147.1</t>
  </si>
  <si>
    <t>#----------- Cluster: 1000118 (amount of orthologs = 3)</t>
  </si>
  <si>
    <t>#----------- Cluster: 1000936 (amount of orthologs = 2)</t>
  </si>
  <si>
    <t>NZ_LJGW01000419.1</t>
  </si>
  <si>
    <t>#----------- Cluster: 1000188 (amount of orthologs = 12)</t>
  </si>
  <si>
    <t>NZ_AHBF01000093.1</t>
  </si>
  <si>
    <t>NZ_BARG01000012.1</t>
  </si>
  <si>
    <t>NZ_JOFH01000024.1</t>
  </si>
  <si>
    <t>NZ_LIQS01000433.1</t>
  </si>
  <si>
    <t>NZ_MUMD01000012.1</t>
  </si>
  <si>
    <t>#----------- Cluster: 1000519 (amount of orthologs = 3)</t>
  </si>
  <si>
    <t>463;631</t>
  </si>
  <si>
    <t>NZ_LJGW01000135.1</t>
  </si>
  <si>
    <t>#----------- Cluster: 1000792 (amount of orthologs = 2)</t>
  </si>
  <si>
    <t>NZ_BARG01000118.1</t>
  </si>
  <si>
    <t>NZ_LIQX01000531.1</t>
  </si>
  <si>
    <t>#----------- Cluster: 1001085 (amount of orthologs = 3)</t>
  </si>
  <si>
    <t>#----------- Cluster: 1000316 (amount of orthologs = 8)</t>
  </si>
  <si>
    <t>NZ_AORZ01000085.1</t>
  </si>
  <si>
    <t>#----------- Cluster: 1000765 (amount of orthologs = 2)</t>
  </si>
  <si>
    <t>NZ_AHBF01000056.1</t>
  </si>
  <si>
    <t>NZ_KB889593.1</t>
  </si>
  <si>
    <t>#----------- Cluster: 1000085 (amount of orthologs = 2)</t>
  </si>
  <si>
    <t>#----------- Cluster: 1000317 (amount of orthologs = 3)</t>
  </si>
  <si>
    <t>NZ_JOEI01000006.1</t>
  </si>
  <si>
    <t>#----------- Cluster: 1001272 (amount of orthologs = 2)</t>
  </si>
  <si>
    <t>NZ_LIPP01000032.1</t>
  </si>
  <si>
    <t>448;1162</t>
  </si>
  <si>
    <t>382;991</t>
  </si>
  <si>
    <t>#----------- Cluster: 1000693 (amount of orthologs = 2)</t>
  </si>
  <si>
    <t>NZ_AEJB01000564.1</t>
  </si>
  <si>
    <t>NZ_LIQS01000102.1</t>
  </si>
  <si>
    <t>#----------- Cluster: 1001497 (amount of orthologs = 5)</t>
  </si>
  <si>
    <t>469;1171</t>
  </si>
  <si>
    <t>448;1135</t>
  </si>
  <si>
    <t>NZ_KL571117.1</t>
  </si>
  <si>
    <t>481;1507</t>
  </si>
  <si>
    <t>469;1483</t>
  </si>
  <si>
    <t>#----------- Cluster: 1000873 (amount of orthologs = 4)</t>
  </si>
  <si>
    <t>NZ_AUBE01000006.1</t>
  </si>
  <si>
    <t>#----------- Cluster: 1000718 (amount of orthologs = 2)</t>
  </si>
  <si>
    <t>NZ_AORZ01000037.1</t>
  </si>
  <si>
    <t>NZ_JNYR01000031.1</t>
  </si>
  <si>
    <t>#----------- Cluster: 1001196 (amount of orthologs = 2)</t>
  </si>
  <si>
    <t>NZ_LIPP01000003.1</t>
  </si>
  <si>
    <t>#----------- Cluster: 1001540 (amount of orthologs = 3)</t>
  </si>
  <si>
    <t>#----------- Cluster: 1001318 (amount of orthologs = 4)</t>
  </si>
  <si>
    <t>73;295</t>
  </si>
  <si>
    <t>70;292</t>
  </si>
  <si>
    <t>NZ_FNFF01000017.1</t>
  </si>
  <si>
    <t>#----------- Cluster: 1000726 (amount of orthologs = 2)</t>
  </si>
  <si>
    <t>#----------- Cluster: 1001332 (amount of orthologs = 2)</t>
  </si>
  <si>
    <t>NZ_LOHS01000107.1</t>
  </si>
  <si>
    <t>#----------- Cluster: 1001274 (amount of orthologs = 2)</t>
  </si>
  <si>
    <t>NZ_LIQX01000395.1</t>
  </si>
  <si>
    <t>358;838</t>
  </si>
  <si>
    <t>259;730</t>
  </si>
  <si>
    <t>NZ_LIQY01000277.1</t>
  </si>
  <si>
    <t>#----------- Cluster: 1000493 (amount of orthologs = 2)</t>
  </si>
  <si>
    <t>#----------- Cluster: 1000089 (amount of orthologs = 3)</t>
  </si>
  <si>
    <t>NZ_MLCF01000100.1</t>
  </si>
  <si>
    <t>#----------- Cluster: 1000886 (amount of orthologs = 2)</t>
  </si>
  <si>
    <t>4;82</t>
  </si>
  <si>
    <t>#----------- Cluster: 1000509 (amount of orthologs = 2)</t>
  </si>
  <si>
    <t>#----------- Cluster: 1001557 (amount of orthologs = 3)</t>
  </si>
  <si>
    <t>MN119376.1</t>
  </si>
  <si>
    <t>Streptomyces phage Geostin</t>
  </si>
  <si>
    <t>MN284894.1</t>
  </si>
  <si>
    <t>Streptomyces phage Fabian</t>
  </si>
  <si>
    <t>NC_048706.1</t>
  </si>
  <si>
    <t>Streptomyces phage FlowerPower</t>
  </si>
  <si>
    <t>#----------- Cluster: 1000136 (amount of orthologs = 5)</t>
  </si>
  <si>
    <t>#----------- Cluster: 1001533 (amount of orthologs = 3)</t>
  </si>
  <si>
    <t>#----------- Cluster: 1000054 (amount of orthologs = 4)</t>
  </si>
  <si>
    <t>NZ_LJGU01000133.1</t>
  </si>
  <si>
    <t>#----------- Cluster: 1000659 (amount of orthologs = 7)</t>
  </si>
  <si>
    <t>409;427</t>
  </si>
  <si>
    <t>397;415</t>
  </si>
  <si>
    <t>586;715</t>
  </si>
  <si>
    <t>214;343</t>
  </si>
  <si>
    <t>NZ_LIQR01000168.1</t>
  </si>
  <si>
    <t>418;505</t>
  </si>
  <si>
    <t>7;94</t>
  </si>
  <si>
    <t>535;715</t>
  </si>
  <si>
    <t>163;343</t>
  </si>
  <si>
    <t>#----------- Cluster: 1000685 (amount of orthologs = 2)</t>
  </si>
  <si>
    <t>NZ_AEJB01000069.1</t>
  </si>
  <si>
    <t>#----------- Cluster: 1000722 (amount of orthologs = 2)</t>
  </si>
  <si>
    <t>#----------- Cluster: 1000677 (amount of orthologs = 3)</t>
  </si>
  <si>
    <t>55;76</t>
  </si>
  <si>
    <t>49;70</t>
  </si>
  <si>
    <t>NZ_JQJU01000054.1</t>
  </si>
  <si>
    <t>79;1033</t>
  </si>
  <si>
    <t>#----------- Cluster: 1001204 (amount of orthologs = 3)</t>
  </si>
  <si>
    <t>#----------- Cluster: 1000225 (amount of orthologs = 2)</t>
  </si>
  <si>
    <t>#----------- Cluster: 1000674 (amount of orthologs = 2)</t>
  </si>
  <si>
    <t>NZ_AEJB01000584.1</t>
  </si>
  <si>
    <t>#----------- Cluster: 1000379 (amount of orthologs = 2)</t>
  </si>
  <si>
    <t>#----------- Cluster: 1000308 (amount of orthologs = 5)</t>
  </si>
  <si>
    <t>229;400</t>
  </si>
  <si>
    <t>229;382</t>
  </si>
  <si>
    <t>NZ_LIPP01000059.1</t>
  </si>
  <si>
    <t>#----------- Cluster: 1000907 (amount of orthologs = 3)</t>
  </si>
  <si>
    <t>NZ_KL571090.1</t>
  </si>
  <si>
    <t>#----------- Cluster: 1001105 (amount of orthologs = 2)</t>
  </si>
  <si>
    <t>154;601</t>
  </si>
  <si>
    <t>136;568</t>
  </si>
  <si>
    <t>#----------- Cluster: 1001442 (amount of orthologs = 2)</t>
  </si>
  <si>
    <t>#----------- Cluster: 1000927 (amount of orthologs = 4)</t>
  </si>
  <si>
    <t>82;118</t>
  </si>
  <si>
    <t>NZ_JOEY01000051.1</t>
  </si>
  <si>
    <t>NZ_DF968252.1</t>
  </si>
  <si>
    <t>#----------- Cluster: 1000218 (amount of orthologs = 2)</t>
  </si>
  <si>
    <t>#----------- Cluster: 1001185 (amount of orthologs = 2)</t>
  </si>
  <si>
    <t>208;442</t>
  </si>
  <si>
    <t>160;370</t>
  </si>
  <si>
    <t>#----------- Cluster: 1000232 (amount of orthologs = 8)</t>
  </si>
  <si>
    <t>622;697</t>
  </si>
  <si>
    <t>220;286</t>
  </si>
  <si>
    <t>490;763</t>
  </si>
  <si>
    <t>97;277</t>
  </si>
  <si>
    <t>NZ_AJSZ01000013.1</t>
  </si>
  <si>
    <t>NZ_MUMD01000471.1</t>
  </si>
  <si>
    <t>NZ_FZOF01000011.1</t>
  </si>
  <si>
    <t>#----------- Cluster: 1000398 (amount of orthologs = 2)</t>
  </si>
  <si>
    <t>#----------- Cluster: 1000922 (amount of orthologs = 2)</t>
  </si>
  <si>
    <t>619;640</t>
  </si>
  <si>
    <t>502;523</t>
  </si>
  <si>
    <t>NZ_JNWJ01000062.1</t>
  </si>
  <si>
    <t>#----------- Cluster: 1000104 (amount of orthologs = 2)</t>
  </si>
  <si>
    <t>NZ_LIQS01000500.1</t>
  </si>
  <si>
    <t>#----------- Cluster: 1000487 (amount of orthologs = 3)</t>
  </si>
  <si>
    <t>181;802</t>
  </si>
  <si>
    <t>130;748</t>
  </si>
  <si>
    <t>NZ_JNWJ01000075.1</t>
  </si>
  <si>
    <t>#----------- Cluster: 1001058 (amount of orthologs = 7)</t>
  </si>
  <si>
    <t>#----------- Cluster: 1000716 (amount of orthologs = 2)</t>
  </si>
  <si>
    <t>NZ_AORZ01000024.1</t>
  </si>
  <si>
    <t>#----------- Cluster: 1000750 (amount of orthologs = 2)</t>
  </si>
  <si>
    <t>64;382</t>
  </si>
  <si>
    <t>58;376</t>
  </si>
  <si>
    <t>#----------- Cluster: 1001304 (amount of orthologs = 3)</t>
  </si>
  <si>
    <t>#----------- Cluster: 1000393 (amount of orthologs = 2)</t>
  </si>
  <si>
    <t>61;514</t>
  </si>
  <si>
    <t>61;484</t>
  </si>
  <si>
    <t>NZ_FZOF01000026.1</t>
  </si>
  <si>
    <t>#----------- Cluster: 1001486 (amount of orthologs = 10)</t>
  </si>
  <si>
    <t>NZ_MUME01000263.1</t>
  </si>
  <si>
    <t>#----------- Cluster: 1000566 (amount of orthologs = 6)</t>
  </si>
  <si>
    <t>31;487</t>
  </si>
  <si>
    <t>13;364</t>
  </si>
  <si>
    <t>NZ_KL571142.1</t>
  </si>
  <si>
    <t>532;535</t>
  </si>
  <si>
    <t>475;478</t>
  </si>
  <si>
    <t>NZ_JODY01000022.1</t>
  </si>
  <si>
    <t>NZ_LIQR01000206.1</t>
  </si>
  <si>
    <t>#----------- Cluster: 1001279 (amount of orthologs = 18)</t>
  </si>
  <si>
    <t>NZ_AEJB01000401.1</t>
  </si>
  <si>
    <t>NZ_BARG01000088.1</t>
  </si>
  <si>
    <t>70;619</t>
  </si>
  <si>
    <t>70;475</t>
  </si>
  <si>
    <t>NZ_BARG01000128.1</t>
  </si>
  <si>
    <t>7;43;85;199</t>
  </si>
  <si>
    <t>4;40;82;175</t>
  </si>
  <si>
    <t>NZ_JOBF01000010.1</t>
  </si>
  <si>
    <t>NZ_LIQX01000127.1</t>
  </si>
  <si>
    <t>NZ_LJGW01000064.1</t>
  </si>
  <si>
    <t>85;541</t>
  </si>
  <si>
    <t>82;397</t>
  </si>
  <si>
    <t>355;919</t>
  </si>
  <si>
    <t>253;736</t>
  </si>
  <si>
    <t>#----------- Cluster: 1001524 (amount of orthologs = 2)</t>
  </si>
  <si>
    <t>175;268;3052</t>
  </si>
  <si>
    <t>124;217;2968</t>
  </si>
  <si>
    <t>NZ_FRBI01000015.1</t>
  </si>
  <si>
    <t>#----------- Cluster: 1000774 (amount of orthologs = 2)</t>
  </si>
  <si>
    <t>#----------- Cluster: 1000887 (amount of orthologs = 2)</t>
  </si>
  <si>
    <t>#----------- Cluster: 1000277 (amount of orthologs = 28)</t>
  </si>
  <si>
    <t>NZ_AGBF01000253.1</t>
  </si>
  <si>
    <t>NZ_AHBF01000090.1</t>
  </si>
  <si>
    <t>NZ_AEJB01000320.1</t>
  </si>
  <si>
    <t>NZ_JNWJ01000020.1</t>
  </si>
  <si>
    <t>NZ_JOII01000031.1</t>
  </si>
  <si>
    <t>NZ_LIQS01000271.1</t>
  </si>
  <si>
    <t>NZ_LOHS01000095.1</t>
  </si>
  <si>
    <t>NZ_JUJA01000032.1</t>
  </si>
  <si>
    <t>NZ_MUMD01000007.1</t>
  </si>
  <si>
    <t>#----------- Cluster: 1000620 (amount of orthologs = 2)</t>
  </si>
  <si>
    <t>#----------- Cluster: 1001282 (amount of orthologs = 2)</t>
  </si>
  <si>
    <t>34;85</t>
  </si>
  <si>
    <t>NZ_LIQY01000280.1</t>
  </si>
  <si>
    <t>#----------- Cluster: 1000459 (amount of orthologs = 3)</t>
  </si>
  <si>
    <t>259;1543</t>
  </si>
  <si>
    <t>259;1423</t>
  </si>
  <si>
    <t>#----------- Cluster: 1000151 (amount of orthologs = 5)</t>
  </si>
  <si>
    <t>64;445</t>
  </si>
  <si>
    <t>58;439</t>
  </si>
  <si>
    <t>#----------- Cluster: 1000788 (amount of orthologs = 2)</t>
  </si>
  <si>
    <t>NZ_BARG01000058.1</t>
  </si>
  <si>
    <t>#----------- Cluster: 1001421 (amount of orthologs = 2)</t>
  </si>
  <si>
    <t>#----------- Cluster: 1000553 (amount of orthologs = 4)</t>
  </si>
  <si>
    <t>#----------- Cluster: 1000435 (amount of orthologs = 35)</t>
  </si>
  <si>
    <t>643;721</t>
  </si>
  <si>
    <t>544;613</t>
  </si>
  <si>
    <t>NZ_AGBF01000338.1</t>
  </si>
  <si>
    <t>NZ_AHBF01000057.1</t>
  </si>
  <si>
    <t>NZ_AEJB01000460.1</t>
  </si>
  <si>
    <t>NZ_BARG01000045.1</t>
  </si>
  <si>
    <t>691;700;736</t>
  </si>
  <si>
    <t>577;586;619</t>
  </si>
  <si>
    <t>NZ_AUBE01000036.1</t>
  </si>
  <si>
    <t>NZ_JODL01000023.1</t>
  </si>
  <si>
    <t>NZ_LIPP01000147.1</t>
  </si>
  <si>
    <t>109;565</t>
  </si>
  <si>
    <t>28;421</t>
  </si>
  <si>
    <t>NZ_LIQZ01000161.1</t>
  </si>
  <si>
    <t>265;643</t>
  </si>
  <si>
    <t>208;532</t>
  </si>
  <si>
    <t>229;964</t>
  </si>
  <si>
    <t>172;844</t>
  </si>
  <si>
    <t>NZ_MUME01000168.1</t>
  </si>
  <si>
    <t>265;964</t>
  </si>
  <si>
    <t>208;844</t>
  </si>
  <si>
    <t>NZ_FOET01000006.1</t>
  </si>
  <si>
    <t>#----------- Cluster: 1000639 (amount of orthologs = 2)</t>
  </si>
  <si>
    <t>NZ_AJSZ01000158.1</t>
  </si>
  <si>
    <t>NZ_FODD01000014.1</t>
  </si>
  <si>
    <t>#----------- Cluster: 1001330 (amount of orthologs = 2)</t>
  </si>
  <si>
    <t>#----------- Cluster: 1000960 (amount of orthologs = 2)</t>
  </si>
  <si>
    <t>#----------- Cluster: 1000044 (amount of orthologs = 3)</t>
  </si>
  <si>
    <t>#----------- Cluster: 1000031 (amount of orthologs = 6)</t>
  </si>
  <si>
    <t>706;1237</t>
  </si>
  <si>
    <t>364;844</t>
  </si>
  <si>
    <t>676;952</t>
  </si>
  <si>
    <t>85;316</t>
  </si>
  <si>
    <t>NZ_AJSZ01000671.1</t>
  </si>
  <si>
    <t>#----------- Cluster: 1000362 (amount of orthologs = 2)</t>
  </si>
  <si>
    <t>#----------- Cluster: 1001309 (amount of orthologs = 3)</t>
  </si>
  <si>
    <t>#----------- Cluster: 1000631 (amount of orthologs = 2)</t>
  </si>
  <si>
    <t>NZ_JOEY01000028.1</t>
  </si>
  <si>
    <t>#----------- Cluster: 1000301 (amount of orthologs = 2)</t>
  </si>
  <si>
    <t>#----------- Cluster: 1001386 (amount of orthologs = 2)</t>
  </si>
  <si>
    <t>#----------- Cluster: 1000715 (amount of orthologs = 2)</t>
  </si>
  <si>
    <t>325;343</t>
  </si>
  <si>
    <t>NZ_KB889684.1</t>
  </si>
  <si>
    <t>#----------- Cluster: 1000261 (amount of orthologs = 30)</t>
  </si>
  <si>
    <t>256;385</t>
  </si>
  <si>
    <t>196;325</t>
  </si>
  <si>
    <t>NZ_AGBF01000192.1</t>
  </si>
  <si>
    <t>NZ_JQJU01000013.1</t>
  </si>
  <si>
    <t>NZ_LIPP01000267.1</t>
  </si>
  <si>
    <t>385;514</t>
  </si>
  <si>
    <t>205;334</t>
  </si>
  <si>
    <t>NZ_MUME01000382.1</t>
  </si>
  <si>
    <t>#----------- Cluster: 1001352 (amount of orthologs = 2)</t>
  </si>
  <si>
    <t>#----------- Cluster: 1000266 (amount of orthologs = 2)</t>
  </si>
  <si>
    <t>#----------- Cluster: 1000295 (amount of orthologs = 2)</t>
  </si>
  <si>
    <t>#----------- Cluster: 1000416 (amount of orthologs = 2)</t>
  </si>
  <si>
    <t>310;406</t>
  </si>
  <si>
    <t>NZ_LIRG01000744.1</t>
  </si>
  <si>
    <t>#----------- Cluster: 1000283 (amount of orthologs = 2)</t>
  </si>
  <si>
    <t>#----------- Cluster: 1000542 (amount of orthologs = 3)</t>
  </si>
  <si>
    <t>#----------- Cluster: 1000508 (amount of orthologs = 2)</t>
  </si>
  <si>
    <t>NZ_JOFH01000030.1</t>
  </si>
  <si>
    <t>#----------- Cluster: 1000981 (amount of orthologs = 2)</t>
  </si>
  <si>
    <t>#----------- Cluster: 1000688 (amount of orthologs = 2)</t>
  </si>
  <si>
    <t>2740;4045</t>
  </si>
  <si>
    <t>2248;3412</t>
  </si>
  <si>
    <t>#----------- Cluster: 1000675 (amount of orthologs = 2)</t>
  </si>
  <si>
    <t>NZ_AEJB01000291.1</t>
  </si>
  <si>
    <t>NZ_LIQS01000434.1</t>
  </si>
  <si>
    <t>#----------- Cluster: 1000275 (amount of orthologs = 4)</t>
  </si>
  <si>
    <t>NZ_JNXG01000022.1</t>
  </si>
  <si>
    <t>157;388</t>
  </si>
  <si>
    <t>#----------- Cluster: 1000743 (amount of orthologs = 2)</t>
  </si>
  <si>
    <t>#----------- Cluster: 1000272 (amount of orthologs = 4)</t>
  </si>
  <si>
    <t>NZ_LIQX01000090.1</t>
  </si>
  <si>
    <t>NZ_LIQZ01000466.1</t>
  </si>
  <si>
    <t>#----------- Cluster: 1000250 (amount of orthologs = 16)</t>
  </si>
  <si>
    <t>244;478</t>
  </si>
  <si>
    <t>202;436</t>
  </si>
  <si>
    <t>NZ_AJSZ01000028.1</t>
  </si>
  <si>
    <t>13;487</t>
  </si>
  <si>
    <t>13;448</t>
  </si>
  <si>
    <t>NZ_JOEY01000078.1</t>
  </si>
  <si>
    <t>274;487</t>
  </si>
  <si>
    <t>235;448</t>
  </si>
  <si>
    <t>NZ_LIQX01000565.1</t>
  </si>
  <si>
    <t>373;478</t>
  </si>
  <si>
    <t>313;418</t>
  </si>
  <si>
    <t>#----------- Cluster: 1000651 (amount of orthologs = 4)</t>
  </si>
  <si>
    <t>NZ_AJSZ01000105.1</t>
  </si>
  <si>
    <t>NZ_JNXG01000011.1</t>
  </si>
  <si>
    <t>76;94;268</t>
  </si>
  <si>
    <t>#----------- Cluster: 1001068 (amount of orthologs = 7)</t>
  </si>
  <si>
    <t>577;1126</t>
  </si>
  <si>
    <t>541;1078</t>
  </si>
  <si>
    <t>682;712</t>
  </si>
  <si>
    <t>661;688</t>
  </si>
  <si>
    <t>478;487</t>
  </si>
  <si>
    <t>439;448</t>
  </si>
  <si>
    <t>#----------- Cluster: 1000111 (amount of orthologs = 3)</t>
  </si>
  <si>
    <t>#----------- Cluster: 1000011 (amount of orthologs = 4)</t>
  </si>
  <si>
    <t>NZ_JOII01000042.1</t>
  </si>
  <si>
    <t>#----------- Cluster: 1001400 (amount of orthologs = 2)</t>
  </si>
  <si>
    <t>NZ_MAXF01000055.1</t>
  </si>
  <si>
    <t>46;163</t>
  </si>
  <si>
    <t>#----------- Cluster: 1000083 (amount of orthologs = 3)</t>
  </si>
  <si>
    <t>NZ_JQJU01000024.1</t>
  </si>
  <si>
    <t>#----------- Cluster: 1000784 (amount of orthologs = 2)</t>
  </si>
  <si>
    <t>NZ_BARG01000116.1</t>
  </si>
  <si>
    <t>NZ_LIQS01000343.1</t>
  </si>
  <si>
    <t>#----------- Cluster: 1001168 (amount of orthologs = 2)</t>
  </si>
  <si>
    <t>#----------- Cluster: 1000747 (amount of orthologs = 2)</t>
  </si>
  <si>
    <t>#----------- Cluster: 1000490 (amount of orthologs = 2)</t>
  </si>
  <si>
    <t>#----------- Cluster: 1000892 (amount of orthologs = 2)</t>
  </si>
  <si>
    <t>#----------- Cluster: 1000456 (amount of orthologs = 4)</t>
  </si>
  <si>
    <t>97;427</t>
  </si>
  <si>
    <t>97;424</t>
  </si>
  <si>
    <t>NZ_MUME01000021.1</t>
  </si>
  <si>
    <t>#----------- Cluster: 1001406 (amount of orthologs = 2)</t>
  </si>
  <si>
    <t>196;442</t>
  </si>
  <si>
    <t>#----------- Cluster: 1001430 (amount of orthologs = 7)</t>
  </si>
  <si>
    <t>NZ_AEJB01000221.1</t>
  </si>
  <si>
    <t>484;493</t>
  </si>
  <si>
    <t>358;367</t>
  </si>
  <si>
    <t>#----------- Cluster: 1001174 (amount of orthologs = 2)</t>
  </si>
  <si>
    <t>NZ_MUME01000205.1</t>
  </si>
  <si>
    <t>#----------- Cluster: 1001340 (amount of orthologs = 5)</t>
  </si>
  <si>
    <t>358;1954</t>
  </si>
  <si>
    <t>265;1747</t>
  </si>
  <si>
    <t>1162;1774</t>
  </si>
  <si>
    <t>1087;1651</t>
  </si>
  <si>
    <t>#----------- Cluster: 1000233 (amount of orthologs = 8)</t>
  </si>
  <si>
    <t>NZ_AEYX01000040.1</t>
  </si>
  <si>
    <t>NZ_LJGW01000352.1</t>
  </si>
  <si>
    <t>#----------- Cluster: 1000323 (amount of orthologs = 2)</t>
  </si>
  <si>
    <t>NZ_MAXF01000068.1</t>
  </si>
  <si>
    <t>#----------- Cluster: 1000367 (amount of orthologs = 6)</t>
  </si>
  <si>
    <t>NZ_AGBF01000245.1</t>
  </si>
  <si>
    <t>199;211</t>
  </si>
  <si>
    <t>193;205</t>
  </si>
  <si>
    <t>NZ_JNWJ01000011.1</t>
  </si>
  <si>
    <t>103;421;535</t>
  </si>
  <si>
    <t>NZ_JOFH01000076.1</t>
  </si>
  <si>
    <t>NZ_LIRG01000464.1</t>
  </si>
  <si>
    <t>#----------- Cluster: 1001229 (amount of orthologs = 2)</t>
  </si>
  <si>
    <t>37;337;1150;1576</t>
  </si>
  <si>
    <t>37;328;1093;1465</t>
  </si>
  <si>
    <t>#----------- Cluster: 1000943 (amount of orthologs = 2)</t>
  </si>
  <si>
    <t>#----------- Cluster: 1001504 (amount of orthologs = 7)</t>
  </si>
  <si>
    <t>8965;9889</t>
  </si>
  <si>
    <t>2125;2938</t>
  </si>
  <si>
    <t>#----------- Cluster: 1000836 (amount of orthologs = 6)</t>
  </si>
  <si>
    <t>#----------- Cluster: 1001031 (amount of orthologs = 2)</t>
  </si>
  <si>
    <t>#----------- Cluster: 1001499 (amount of orthologs = 2)</t>
  </si>
  <si>
    <t>NZ_JOBF01000029.1</t>
  </si>
  <si>
    <t>NZ_FNFF01000013.1</t>
  </si>
  <si>
    <t>#----------- Cluster: 1001453 (amount of orthologs = 2)</t>
  </si>
  <si>
    <t>#----------- Cluster: 1001157 (amount of orthologs = 2)</t>
  </si>
  <si>
    <t>NZ_JNXD01000048.1</t>
  </si>
  <si>
    <t>#----------- Cluster: 1000518 (amount of orthologs = 4)</t>
  </si>
  <si>
    <t>76;604</t>
  </si>
  <si>
    <t>70;598</t>
  </si>
  <si>
    <t>#----------- Cluster: 1001020 (amount of orthologs = 3)</t>
  </si>
  <si>
    <t>184;190;226;436</t>
  </si>
  <si>
    <t>NZ_FONG01000024.1</t>
  </si>
  <si>
    <t>#----------- Cluster: 1000880 (amount of orthologs = 4)</t>
  </si>
  <si>
    <t>760;850</t>
  </si>
  <si>
    <t>#----------- Cluster: 1001493 (amount of orthologs = 2)</t>
  </si>
  <si>
    <t>#----------- Cluster: 1000941 (amount of orthologs = 4)</t>
  </si>
  <si>
    <t>352;481;1027</t>
  </si>
  <si>
    <t>352;481;991</t>
  </si>
  <si>
    <t>13;172</t>
  </si>
  <si>
    <t>13;157</t>
  </si>
  <si>
    <t>NZ_DF968389.1</t>
  </si>
  <si>
    <t>NZ_DF968254.1</t>
  </si>
  <si>
    <t>#----------- Cluster: 1000503 (amount of orthologs = 2)</t>
  </si>
  <si>
    <t>#----------- Cluster: 1000403 (amount of orthologs = 3)</t>
  </si>
  <si>
    <t>61;1003;1219</t>
  </si>
  <si>
    <t>46;988;1204</t>
  </si>
  <si>
    <t>#----------- Cluster: 1001362 (amount of orthologs = 9)</t>
  </si>
  <si>
    <t>568;688</t>
  </si>
  <si>
    <t>154;274</t>
  </si>
  <si>
    <t>NZ_KL571161.1</t>
  </si>
  <si>
    <t>NZ_MUME01000262.1</t>
  </si>
  <si>
    <t>#----------- Cluster: 1000463 (amount of orthologs = 2)</t>
  </si>
  <si>
    <t>34;82</t>
  </si>
  <si>
    <t>#----------- Cluster: 1001213 (amount of orthologs = 2)</t>
  </si>
  <si>
    <t>#----------- Cluster: 1000638 (amount of orthologs = 2)</t>
  </si>
  <si>
    <t>NZ_AJSZ01000554.1</t>
  </si>
  <si>
    <t>#----------- Cluster: 1000092 (amount of orthologs = 7)</t>
  </si>
  <si>
    <t>NZ_AJSZ01000797.1</t>
  </si>
  <si>
    <t>NZ_FNHI01000032.1</t>
  </si>
  <si>
    <t>#----------- Cluster: 1000838 (amount of orthologs = 2)</t>
  </si>
  <si>
    <t>283;1039</t>
  </si>
  <si>
    <t>#----------- Cluster: 1000186 (amount of orthologs = 5)</t>
  </si>
  <si>
    <t>NZ_KB889594.1</t>
  </si>
  <si>
    <t>#----------- Cluster: 1001410 (amount of orthologs = 3)</t>
  </si>
  <si>
    <t>NZ_MAXF01000035.1</t>
  </si>
  <si>
    <t>#----------- Cluster: 1001319 (amount of orthologs = 2)</t>
  </si>
  <si>
    <t>#----------- Cluster: 1000334 (amount of orthologs = 2)</t>
  </si>
  <si>
    <t>#----------- Cluster: 1001127 (amount of orthologs = 2)</t>
  </si>
  <si>
    <t>#----------- Cluster: 1001341 (amount of orthologs = 7)</t>
  </si>
  <si>
    <t>NZ_AORZ01000018.1</t>
  </si>
  <si>
    <t>1627;2116</t>
  </si>
  <si>
    <t>766;1171</t>
  </si>
  <si>
    <t>988;1504</t>
  </si>
  <si>
    <t>478;811</t>
  </si>
  <si>
    <t>#----------- Cluster: 1000346 (amount of orthologs = 6)</t>
  </si>
  <si>
    <t>NZ_JNWJ01000012.1</t>
  </si>
  <si>
    <t>NZ_DF968185.1</t>
  </si>
  <si>
    <t>#----------- Cluster: 1000206 (amount of orthologs = 6)</t>
  </si>
  <si>
    <t>316;325</t>
  </si>
  <si>
    <t>313;322</t>
  </si>
  <si>
    <t>64;325</t>
  </si>
  <si>
    <t>61;322</t>
  </si>
  <si>
    <t>#----------- Cluster: 1000984 (amount of orthologs = 2)</t>
  </si>
  <si>
    <t>NZ_JNYR01000024.1</t>
  </si>
  <si>
    <t>#----------- Cluster: 1000602 (amount of orthologs = 2)</t>
  </si>
  <si>
    <t>100;754</t>
  </si>
  <si>
    <t>97;727</t>
  </si>
  <si>
    <t>#----------- Cluster: 1000172 (amount of orthologs = 2)</t>
  </si>
  <si>
    <t>#----------- Cluster: 1000094 (amount of orthologs = 6)</t>
  </si>
  <si>
    <t>NZ_MAXF01000198.1</t>
  </si>
  <si>
    <t>#----------- Cluster: 1001467 (amount of orthologs = 2)</t>
  </si>
  <si>
    <t>#----------- Cluster: 1001541 (amount of orthologs = 4)</t>
  </si>
  <si>
    <t>#----------- Cluster: 1001392 (amount of orthologs = 2)</t>
  </si>
  <si>
    <t>910;1723</t>
  </si>
  <si>
    <t>901;1711</t>
  </si>
  <si>
    <t>#----------- Cluster: 1000947 (amount of orthologs = 2)</t>
  </si>
  <si>
    <t>NZ_JNWJ01000050.1</t>
  </si>
  <si>
    <t>#----------- Cluster: 1000958 (amount of orthologs = 4)</t>
  </si>
  <si>
    <t>52;61</t>
  </si>
  <si>
    <t>28;37</t>
  </si>
  <si>
    <t>#----------- Cluster: 1001038 (amount of orthologs = 2)</t>
  </si>
  <si>
    <t>NZ_JOEY01000091.1</t>
  </si>
  <si>
    <t>#----------- Cluster: 1000912 (amount of orthologs = 2)</t>
  </si>
  <si>
    <t>NZ_KL571129.1</t>
  </si>
  <si>
    <t>#----------- Cluster: 1000063 (amount of orthologs = 5)</t>
  </si>
  <si>
    <t>127;472</t>
  </si>
  <si>
    <t>61;406</t>
  </si>
  <si>
    <t>NZ_LOHS01000071.1</t>
  </si>
  <si>
    <t>#----------- Cluster: 1001066 (amount of orthologs = 2)</t>
  </si>
  <si>
    <t>#----------- Cluster: 1000751 (amount of orthologs = 2)</t>
  </si>
  <si>
    <t>118;160;547</t>
  </si>
  <si>
    <t>118;157;526</t>
  </si>
  <si>
    <t>118;445;547;1360</t>
  </si>
  <si>
    <t>118;442;544;1351</t>
  </si>
  <si>
    <t>#----------- Cluster: 1001322 (amount of orthologs = 6)</t>
  </si>
  <si>
    <t>NZ_JNXG01000026.1</t>
  </si>
  <si>
    <t>145;1381</t>
  </si>
  <si>
    <t>130;1006</t>
  </si>
  <si>
    <t>1441;1459</t>
  </si>
  <si>
    <t>1243;1261</t>
  </si>
  <si>
    <t>NZ_FNHI01000013.1</t>
  </si>
  <si>
    <t>#----------- Cluster: 1001034 (amount of orthologs = 7)</t>
  </si>
  <si>
    <t>NZ_JOEY01000100.1</t>
  </si>
  <si>
    <t>NZ_LIRG01000702.1</t>
  </si>
  <si>
    <t>NZ_LOHS01000163.1</t>
  </si>
  <si>
    <t>#----------- Cluster: 1000061 (amount of orthologs = 2)</t>
  </si>
  <si>
    <t>NZ_KL571102.1</t>
  </si>
  <si>
    <t>#----------- Cluster: 1001266 (amount of orthologs = 2)</t>
  </si>
  <si>
    <t>NZ_LIPP01000134.1</t>
  </si>
  <si>
    <t>NZ_LIQZ01000532.1</t>
  </si>
  <si>
    <t>#----------- Cluster: 1000238 (amount of orthologs = 2)</t>
  </si>
  <si>
    <t>721;736</t>
  </si>
  <si>
    <t>679;694</t>
  </si>
  <si>
    <t>#----------- Cluster: 1000419 (amount of orthologs = 2)</t>
  </si>
  <si>
    <t>NZ_LIRG01000115.1</t>
  </si>
  <si>
    <t>#----------- Cluster: 1001154 (amount of orthologs = 2)</t>
  </si>
  <si>
    <t>70;409</t>
  </si>
  <si>
    <t>67;406</t>
  </si>
  <si>
    <t>NZ_DF968261.1</t>
  </si>
  <si>
    <t>#----------- Cluster: 1000512 (amount of orthologs = 2)</t>
  </si>
  <si>
    <t>#----------- Cluster: 1000138 (amount of orthologs = 20)</t>
  </si>
  <si>
    <t>NZ_LIPP01000093.1</t>
  </si>
  <si>
    <t>559;937</t>
  </si>
  <si>
    <t>169;538</t>
  </si>
  <si>
    <t>#----------- Cluster: 1001057 (amount of orthologs = 2)</t>
  </si>
  <si>
    <t>NZ_JOFU01000098.1</t>
  </si>
  <si>
    <t>229;1816</t>
  </si>
  <si>
    <t>100;1669</t>
  </si>
  <si>
    <t>#----------- Cluster: 1000841 (amount of orthologs = 2)</t>
  </si>
  <si>
    <t>#----------- Cluster: 1001366 (amount of orthologs = 3)</t>
  </si>
  <si>
    <t>118;355</t>
  </si>
  <si>
    <t>79;283</t>
  </si>
  <si>
    <t>#----------- Cluster: 1000476 (amount of orthologs = 5)</t>
  </si>
  <si>
    <t>40;79;139</t>
  </si>
  <si>
    <t>16;55;115</t>
  </si>
  <si>
    <t>#----------- Cluster: 1000906 (amount of orthologs = 4)</t>
  </si>
  <si>
    <t>NZ_KL571092.1</t>
  </si>
  <si>
    <t>NZ_JOBF01000007.1</t>
  </si>
  <si>
    <t>#----------- Cluster: 1001456 (amount of orthologs = 2)</t>
  </si>
  <si>
    <t>#----------- Cluster: 1000527 (amount of orthologs = 2)</t>
  </si>
  <si>
    <t>NZ_AGBF01000182.1</t>
  </si>
  <si>
    <t>#----------- Cluster: 1000711 (amount of orthologs = 2)</t>
  </si>
  <si>
    <t>NZ_AORZ01000063.1</t>
  </si>
  <si>
    <t>#----------- Cluster: 1000474 (amount of orthologs = 2)</t>
  </si>
  <si>
    <t>#----------- Cluster: 1001235 (amount of orthologs = 2)</t>
  </si>
  <si>
    <t>#----------- Cluster: 1000533 (amount of orthologs = 2)</t>
  </si>
  <si>
    <t>NZ_AGBF01000128.1</t>
  </si>
  <si>
    <t>499;553;685</t>
  </si>
  <si>
    <t>496;550;682</t>
  </si>
  <si>
    <t>#----------- Cluster: 1000972 (amount of orthologs = 3)</t>
  </si>
  <si>
    <t>NZ_JNYR01000043.1</t>
  </si>
  <si>
    <t>#----------- Cluster: 1000222 (amount of orthologs = 2)</t>
  </si>
  <si>
    <t>NC_004719.1</t>
  </si>
  <si>
    <t>55;130;526</t>
  </si>
  <si>
    <t>55;130;517</t>
  </si>
  <si>
    <t>#----------- Cluster: 1000853 (amount of orthologs = 2)</t>
  </si>
  <si>
    <t>#----------- Cluster: 1001202 (amount of orthologs = 2)</t>
  </si>
  <si>
    <t>994;3034</t>
  </si>
  <si>
    <t>970;2992</t>
  </si>
  <si>
    <t>88;322;1384;2296;2380;2911</t>
  </si>
  <si>
    <t>13;235;1291;2167;2251;2770</t>
  </si>
  <si>
    <t>#----------- Cluster: 1000289 (amount of orthologs = 2)</t>
  </si>
  <si>
    <t>265;400;445;616;655</t>
  </si>
  <si>
    <t>235;358;403;574;613</t>
  </si>
  <si>
    <t>NZ_JOFL01000049.1</t>
  </si>
  <si>
    <t>#----------- Cluster: 1000494 (amount of orthologs = 16)</t>
  </si>
  <si>
    <t>511;544</t>
  </si>
  <si>
    <t>NZ_KB889595.1</t>
  </si>
  <si>
    <t>NZ_DF968201.1</t>
  </si>
  <si>
    <t>NZ_LOHS01000029.1</t>
  </si>
  <si>
    <t>NZ_FRBI01000052.1</t>
  </si>
  <si>
    <t>#----------- Cluster: 1001546 (amount of orthologs = 11)</t>
  </si>
  <si>
    <t>322;352</t>
  </si>
  <si>
    <t>127;328</t>
  </si>
  <si>
    <t>127;325</t>
  </si>
  <si>
    <t>NC_048722.1</t>
  </si>
  <si>
    <t>Streptomyces phage Wofford</t>
  </si>
  <si>
    <t>#----------- Cluster: 1001549 (amount of orthologs = 4)</t>
  </si>
  <si>
    <t>MK460248.1</t>
  </si>
  <si>
    <t>Streptomyces phage Teutsch</t>
  </si>
  <si>
    <t>MK977711.1</t>
  </si>
  <si>
    <t>Streptomyces phage Evy</t>
  </si>
  <si>
    <t>NC_042012.1</t>
  </si>
  <si>
    <t>Streptomyces phage Samisti12</t>
  </si>
  <si>
    <t>#----------- Cluster: 1001117 (amount of orthologs = 2)</t>
  </si>
  <si>
    <t>#----------- Cluster: 1000125 (amount of orthologs = 2)</t>
  </si>
  <si>
    <t>NZ_MAXF01000130.1</t>
  </si>
  <si>
    <t>#----------- Cluster: 1001321 (amount of orthologs = 2)</t>
  </si>
  <si>
    <t>#----------- Cluster: 1000330 (amount of orthologs = 2)</t>
  </si>
  <si>
    <t>NZ_AEJB01000118.1</t>
  </si>
  <si>
    <t>#----------- Cluster: 1000156 (amount of orthologs = 2)</t>
  </si>
  <si>
    <t>247;2425</t>
  </si>
  <si>
    <t>247;2389</t>
  </si>
  <si>
    <t>NZ_FONG01000028.1</t>
  </si>
  <si>
    <t>#----------- Cluster: 1000311 (amount of orthologs = 5)</t>
  </si>
  <si>
    <t>#----------- Cluster: 1001313 (amount of orthologs = 2)</t>
  </si>
  <si>
    <t>#----------- Cluster: 1001223 (amount of orthologs = 2)</t>
  </si>
  <si>
    <t>652;1660</t>
  </si>
  <si>
    <t>583;1591</t>
  </si>
  <si>
    <t>235;1639</t>
  </si>
  <si>
    <t>232;1555</t>
  </si>
  <si>
    <t>#----------- Cluster: 1000809 (amount of orthologs = 2)</t>
  </si>
  <si>
    <t>NZ_KB889585.1</t>
  </si>
  <si>
    <t>NZ_KB904695.1</t>
  </si>
  <si>
    <t>#----------- Cluster: 1001440 (amount of orthologs = 2)</t>
  </si>
  <si>
    <t>#----------- Cluster: 1000748 (amount of orthologs = 2)</t>
  </si>
  <si>
    <t>#----------- Cluster: 1001079 (amount of orthologs = 2)</t>
  </si>
  <si>
    <t>#----------- Cluster: 1001173 (amount of orthologs = 2)</t>
  </si>
  <si>
    <t>NZ_MUMD01000369.1</t>
  </si>
  <si>
    <t>#----------- Cluster: 1001111 (amount of orthologs = 6)</t>
  </si>
  <si>
    <t>NZ_JOID01000030.1</t>
  </si>
  <si>
    <t>#----------- Cluster: 1000200 (amount of orthologs = 10)</t>
  </si>
  <si>
    <t>#----------- Cluster: 1001408 (amount of orthologs = 2)</t>
  </si>
  <si>
    <t>#----------- Cluster: 1000787 (amount of orthologs = 4)</t>
  </si>
  <si>
    <t>NZ_BARG01000095.1</t>
  </si>
  <si>
    <t>#----------- Cluster: 1001391 (amount of orthologs = 2)</t>
  </si>
  <si>
    <t>#----------- Cluster: 1001395 (amount of orthologs = 3)</t>
  </si>
  <si>
    <t>#----------- Cluster: 1000498 (amount of orthologs = 2)</t>
  </si>
  <si>
    <t>#----------- Cluster: 1000214 (amount of orthologs = 8)</t>
  </si>
  <si>
    <t>NZ_AGBF01000117.1</t>
  </si>
  <si>
    <t>NZ_AHBF01000069.1</t>
  </si>
  <si>
    <t>NZ_AEJB01000116.1</t>
  </si>
  <si>
    <t>115;148</t>
  </si>
  <si>
    <t>NZ_LIPP01000152.1</t>
  </si>
  <si>
    <t>#----------- Cluster: 1001475 (amount of orthologs = 2)</t>
  </si>
  <si>
    <t>604;1033</t>
  </si>
  <si>
    <t>517;946</t>
  </si>
  <si>
    <t>NZ_MVFC01000003.1</t>
  </si>
  <si>
    <t>#----------- Cluster: 1000355 (amount of orthologs = 3)</t>
  </si>
  <si>
    <t>#----------- Cluster: 1001110 (amount of orthologs = 5)</t>
  </si>
  <si>
    <t>379;391</t>
  </si>
  <si>
    <t>259;271</t>
  </si>
  <si>
    <t>#----------- Cluster: 1001023 (amount of orthologs = 2)</t>
  </si>
  <si>
    <t>#----------- Cluster: 1001014 (amount of orthologs = 4)</t>
  </si>
  <si>
    <t>NZ_JOEI01000030.1</t>
  </si>
  <si>
    <t>NZ_FOGO01000011.1</t>
  </si>
  <si>
    <t>#----------- Cluster: 1001054 (amount of orthologs = 2)</t>
  </si>
  <si>
    <t>#----------- Cluster: 1000102 (amount of orthologs = 4)</t>
  </si>
  <si>
    <t>NZ_LIQS01000066.1</t>
  </si>
  <si>
    <t>NZ_LIQX01000333.1</t>
  </si>
  <si>
    <t>NZ_LIQZ01000233.1</t>
  </si>
  <si>
    <t>#----------- Cluster: 1001144 (amount of orthologs = 3)</t>
  </si>
  <si>
    <t>#----------- Cluster: 1000139 (amount of orthologs = 3)</t>
  </si>
  <si>
    <t>#----------- Cluster: 1001098 (amount of orthologs = 3)</t>
  </si>
  <si>
    <t>NZ_JOFL01000032.1</t>
  </si>
  <si>
    <t>#----------- Cluster: 1000269 (amount of orthologs = 3)</t>
  </si>
  <si>
    <t>NZ_AGBF01000013.1</t>
  </si>
  <si>
    <t>#----------- Cluster: 1000625 (amount of orthologs = 2)</t>
  </si>
  <si>
    <t>415;5953</t>
  </si>
  <si>
    <t>385;5707</t>
  </si>
  <si>
    <t>#----------- Cluster: 1000124 (amount of orthologs = 9)</t>
  </si>
  <si>
    <t>NZ_AJSZ01000544.1</t>
  </si>
  <si>
    <t>NZ_AEJB01000410.1</t>
  </si>
  <si>
    <t>61;826</t>
  </si>
  <si>
    <t>58;808</t>
  </si>
  <si>
    <t>#----------- Cluster: 1001060 (amount of orthologs = 2)</t>
  </si>
  <si>
    <t>#----------- Cluster: 1000801 (amount of orthologs = 6)</t>
  </si>
  <si>
    <t>#----------- Cluster: 1001531 (amount of orthologs = 2)</t>
  </si>
  <si>
    <t>NZ_FZOF01000003.1</t>
  </si>
  <si>
    <t>#----------- Cluster: 1000045 (amount of orthologs = 2)</t>
  </si>
  <si>
    <t>#----------- Cluster: 1000274 (amount of orthologs = 2)</t>
  </si>
  <si>
    <t>NZ_LIQX01000234.1</t>
  </si>
  <si>
    <t>#----------- Cluster: 1001420 (amount of orthologs = 2)</t>
  </si>
  <si>
    <t>1819;2554;2830</t>
  </si>
  <si>
    <t>1147;1876;2152</t>
  </si>
  <si>
    <t>NZ_JOFU01000104.1</t>
  </si>
  <si>
    <t>2692;2968;3109;3385;3523;3811</t>
  </si>
  <si>
    <t>2401;2677;2815;3091;3229;3508</t>
  </si>
  <si>
    <t>#----------- Cluster: 1000551 (amount of orthologs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</si>
</sst>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Red]\+#;[Blue]\-#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2A6099"/>
      <name val="Arial"/>
      <family val="2"/>
      <charset val="1"/>
    </font>
    <font>
      <i/>
      <sz val="8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BE33D"/>
        <bgColor rgb="FFFFDE59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B3CAC7"/>
      </patternFill>
    </fill>
    <fill>
      <patternFill patternType="solid">
        <fgColor rgb="FFB2B2B2"/>
        <bgColor rgb="FFB3CAC7"/>
      </patternFill>
    </fill>
    <fill>
      <patternFill patternType="solid">
        <fgColor rgb="FFB4C7DC"/>
        <bgColor rgb="FFB3CAC7"/>
      </patternFill>
    </fill>
    <fill>
      <patternFill patternType="solid">
        <fgColor rgb="FFFFDE59"/>
        <bgColor rgb="FFFFB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3" fillId="2" borderId="0" xfId="0" applyFont="1" applyFill="1" applyAlignment="1"/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2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0" fontId="2" fillId="5" borderId="0" xfId="0" applyFont="1" applyFill="1"/>
    <xf numFmtId="0" fontId="2" fillId="0" borderId="0" xfId="0" applyFont="1"/>
    <xf numFmtId="0" fontId="0" fillId="6" borderId="0" xfId="0" applyFont="1" applyFill="1"/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2" fillId="6" borderId="0" xfId="0" applyFont="1" applyFill="1"/>
    <xf numFmtId="0" fontId="0" fillId="6" borderId="0" xfId="0" applyFill="1"/>
    <xf numFmtId="0" fontId="0" fillId="7" borderId="0" xfId="0" applyFont="1" applyFill="1"/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2" fillId="7" borderId="0" xfId="0" applyFont="1" applyFill="1"/>
    <xf numFmtId="0" fontId="0" fillId="7" borderId="0" xfId="0" applyFill="1"/>
    <xf numFmtId="0" fontId="1" fillId="8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E59"/>
      <rgbColor rgb="FFB4C7DC"/>
      <rgbColor rgb="FFFF99CC"/>
      <rgbColor rgb="FFCC99FF"/>
      <rgbColor rgb="FFFFD7D7"/>
      <rgbColor rgb="FF3366FF"/>
      <rgbColor rgb="FF33CCCC"/>
      <rgbColor rgb="FFBBE33D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82"/>
  <sheetViews>
    <sheetView tabSelected="1" zoomScale="110" zoomScaleNormal="110" workbookViewId="0">
      <pane xSplit="3" ySplit="4" topLeftCell="D3336" activePane="bottomRight" state="frozen"/>
      <selection pane="topRight" activeCell="M1" sqref="M1"/>
      <selection pane="bottomLeft" activeCell="A3369" sqref="A3369"/>
      <selection pane="bottomRight" activeCell="B3346" sqref="B3346"/>
    </sheetView>
  </sheetViews>
  <sheetFormatPr baseColWidth="10" defaultColWidth="11.83203125" defaultRowHeight="13" x14ac:dyDescent="0.15"/>
  <cols>
    <col min="1" max="1" width="7.5" customWidth="1"/>
    <col min="2" max="2" width="7.83203125" customWidth="1"/>
    <col min="3" max="3" width="10.6640625" customWidth="1"/>
    <col min="4" max="4" width="7.83203125" customWidth="1"/>
    <col min="5" max="5" width="8.83203125" customWidth="1"/>
    <col min="6" max="6" width="5.5" style="7" customWidth="1"/>
    <col min="7" max="7" width="10.5" style="7" customWidth="1"/>
    <col min="8" max="8" width="10.83203125" style="8" customWidth="1"/>
    <col min="9" max="9" width="12.33203125" customWidth="1"/>
    <col min="10" max="10" width="9.1640625" customWidth="1"/>
    <col min="11" max="11" width="8.5" style="7" customWidth="1"/>
    <col min="12" max="12" width="6.5" style="9" customWidth="1"/>
    <col min="13" max="13" width="19.33203125" customWidth="1"/>
    <col min="14" max="14" width="36.6640625" customWidth="1"/>
    <col min="15" max="15" width="11.5" style="10" customWidth="1"/>
    <col min="16" max="16" width="10.1640625" style="7" customWidth="1"/>
    <col min="17" max="17" width="16.1640625" customWidth="1"/>
  </cols>
  <sheetData>
    <row r="1" spans="1:18" s="18" customFormat="1" x14ac:dyDescent="0.15">
      <c r="A1" s="11" t="s">
        <v>0</v>
      </c>
      <c r="B1" s="12"/>
      <c r="C1" s="13"/>
      <c r="D1" s="14"/>
      <c r="E1" s="14"/>
      <c r="F1" s="14"/>
      <c r="G1" s="14"/>
      <c r="H1" s="14"/>
      <c r="I1" s="13"/>
      <c r="J1" s="14"/>
      <c r="K1" s="14"/>
      <c r="L1" s="15"/>
      <c r="M1" s="14"/>
      <c r="N1" s="14"/>
      <c r="O1" s="16"/>
      <c r="P1" s="17"/>
    </row>
    <row r="2" spans="1:18" s="18" customFormat="1" ht="16" x14ac:dyDescent="0.15">
      <c r="A2" s="19" t="s">
        <v>1</v>
      </c>
      <c r="B2" s="12"/>
      <c r="C2" s="13"/>
      <c r="D2" s="14"/>
      <c r="E2" s="14"/>
      <c r="F2" s="14"/>
      <c r="G2" s="14"/>
      <c r="H2" s="14"/>
      <c r="I2" s="13"/>
      <c r="J2" s="14"/>
      <c r="K2" s="14"/>
      <c r="L2" s="15"/>
      <c r="M2" s="14"/>
      <c r="N2" s="14"/>
      <c r="O2" s="16"/>
      <c r="P2" s="17"/>
    </row>
    <row r="3" spans="1:18" ht="20" customHeight="1" x14ac:dyDescent="0.15">
      <c r="A3" s="6" t="s">
        <v>2</v>
      </c>
      <c r="B3" s="6" t="s">
        <v>3</v>
      </c>
      <c r="C3" s="5" t="s">
        <v>4</v>
      </c>
      <c r="D3" s="6" t="s">
        <v>5</v>
      </c>
      <c r="E3" s="6"/>
      <c r="F3" s="6" t="s">
        <v>6</v>
      </c>
      <c r="G3" s="6"/>
      <c r="H3" s="6"/>
      <c r="I3" s="4" t="s">
        <v>7</v>
      </c>
      <c r="J3" s="6" t="s">
        <v>8</v>
      </c>
      <c r="K3" s="6"/>
      <c r="L3" s="3" t="s">
        <v>9</v>
      </c>
      <c r="M3" s="6" t="s">
        <v>10</v>
      </c>
      <c r="N3" s="6" t="s">
        <v>11</v>
      </c>
      <c r="O3" s="2" t="s">
        <v>12</v>
      </c>
      <c r="P3" s="1" t="s">
        <v>13</v>
      </c>
      <c r="Q3" s="5" t="s">
        <v>14</v>
      </c>
      <c r="R3" s="6" t="s">
        <v>15</v>
      </c>
    </row>
    <row r="4" spans="1:18" ht="20" customHeight="1" x14ac:dyDescent="0.15">
      <c r="A4" s="6"/>
      <c r="B4" s="6"/>
      <c r="C4" s="6"/>
      <c r="D4" s="20" t="s">
        <v>16</v>
      </c>
      <c r="E4" s="20" t="s">
        <v>17</v>
      </c>
      <c r="F4" s="20" t="s">
        <v>18</v>
      </c>
      <c r="G4" s="20" t="s">
        <v>16</v>
      </c>
      <c r="H4" s="20" t="s">
        <v>17</v>
      </c>
      <c r="I4" s="4"/>
      <c r="J4" s="20" t="s">
        <v>19</v>
      </c>
      <c r="K4" s="20" t="s">
        <v>20</v>
      </c>
      <c r="L4" s="3"/>
      <c r="M4" s="6"/>
      <c r="N4" s="6"/>
      <c r="O4" s="2"/>
      <c r="P4" s="1"/>
      <c r="Q4" s="5"/>
      <c r="R4" s="6"/>
    </row>
    <row r="5" spans="1:18" s="21" customFormat="1" x14ac:dyDescent="0.15">
      <c r="A5" s="21" t="s">
        <v>21</v>
      </c>
      <c r="B5" s="21" t="s">
        <v>22</v>
      </c>
      <c r="F5" s="22"/>
      <c r="G5" s="23"/>
      <c r="H5" s="24"/>
      <c r="K5" s="23"/>
      <c r="L5" s="25"/>
      <c r="O5" s="26"/>
      <c r="P5" s="23"/>
    </row>
    <row r="6" spans="1:18" x14ac:dyDescent="0.15">
      <c r="A6" t="s">
        <v>21</v>
      </c>
      <c r="B6">
        <v>1001055</v>
      </c>
      <c r="C6">
        <v>354868</v>
      </c>
      <c r="F6" s="7">
        <v>1</v>
      </c>
      <c r="G6" s="7">
        <v>46</v>
      </c>
      <c r="H6" s="8">
        <v>46</v>
      </c>
      <c r="J6" t="s">
        <v>23</v>
      </c>
      <c r="K6" s="7">
        <v>1194</v>
      </c>
      <c r="L6" s="9">
        <v>-1</v>
      </c>
      <c r="M6" t="s">
        <v>24</v>
      </c>
      <c r="N6" t="s">
        <v>25</v>
      </c>
      <c r="O6" s="27" t="str">
        <f>HYPERLINK("https://www.ncbi.nlm.nih.gov/nuccore/NZ_JOFU01000020.1?report=graph&amp;from=56656&amp;to=56660", "TTA_codon")</f>
        <v>TTA_codon</v>
      </c>
    </row>
    <row r="7" spans="1:18" x14ac:dyDescent="0.15">
      <c r="A7" t="s">
        <v>21</v>
      </c>
      <c r="B7">
        <v>1001055</v>
      </c>
      <c r="C7">
        <v>363268</v>
      </c>
      <c r="F7" s="7">
        <v>2</v>
      </c>
      <c r="G7" s="7" t="s">
        <v>26</v>
      </c>
      <c r="H7" s="8" t="s">
        <v>26</v>
      </c>
      <c r="J7" t="s">
        <v>23</v>
      </c>
      <c r="K7" s="7">
        <v>1194</v>
      </c>
      <c r="L7" s="9">
        <v>-1</v>
      </c>
      <c r="M7" t="s">
        <v>27</v>
      </c>
      <c r="N7" t="s">
        <v>28</v>
      </c>
      <c r="O7" s="27" t="str">
        <f>HYPERLINK("https://www.ncbi.nlm.nih.gov/nuccore/NZ_JUJA01000034.1?report=graph&amp;from=51437&amp;to=51462", "TTA_codon")</f>
        <v>TTA_codon</v>
      </c>
    </row>
    <row r="8" spans="1:18" s="21" customFormat="1" x14ac:dyDescent="0.15">
      <c r="A8" s="21" t="s">
        <v>21</v>
      </c>
      <c r="B8" s="21" t="s">
        <v>29</v>
      </c>
      <c r="F8" s="22"/>
      <c r="G8" s="23"/>
      <c r="H8" s="24"/>
      <c r="K8" s="23"/>
      <c r="L8" s="25"/>
      <c r="O8" s="26"/>
      <c r="P8" s="23"/>
    </row>
    <row r="9" spans="1:18" x14ac:dyDescent="0.15">
      <c r="A9" t="s">
        <v>21</v>
      </c>
      <c r="B9">
        <v>1000851</v>
      </c>
      <c r="C9">
        <v>352463</v>
      </c>
      <c r="F9" s="7">
        <v>1</v>
      </c>
      <c r="G9" s="7">
        <v>70</v>
      </c>
      <c r="H9" s="8">
        <v>70</v>
      </c>
      <c r="J9" t="s">
        <v>23</v>
      </c>
      <c r="K9" s="7">
        <v>1005</v>
      </c>
      <c r="L9" s="9">
        <v>1</v>
      </c>
      <c r="M9" t="s">
        <v>30</v>
      </c>
      <c r="N9" t="s">
        <v>31</v>
      </c>
      <c r="O9" s="27" t="str">
        <f>HYPERLINK("https://www.ncbi.nlm.nih.gov/nuccore/NZ_KB913030.1?report=graph&amp;from=779805&amp;to=779809", "TTA_codon")</f>
        <v>TTA_codon</v>
      </c>
    </row>
    <row r="10" spans="1:18" x14ac:dyDescent="0.15">
      <c r="A10" t="s">
        <v>21</v>
      </c>
      <c r="B10">
        <v>1000851</v>
      </c>
      <c r="C10">
        <v>362647</v>
      </c>
      <c r="F10" s="7">
        <v>1</v>
      </c>
      <c r="G10" s="7">
        <v>70</v>
      </c>
      <c r="H10" s="8">
        <v>70</v>
      </c>
      <c r="J10" t="s">
        <v>23</v>
      </c>
      <c r="K10" s="7">
        <v>1005</v>
      </c>
      <c r="L10" s="9">
        <v>1</v>
      </c>
      <c r="M10" t="s">
        <v>32</v>
      </c>
      <c r="N10" t="s">
        <v>33</v>
      </c>
      <c r="O10" s="27" t="str">
        <f>HYPERLINK("https://www.ncbi.nlm.nih.gov/nuccore/NZ_CP017248.1?report=graph&amp;from=6723253&amp;to=6723257", "TTA_codon")</f>
        <v>TTA_codon</v>
      </c>
    </row>
    <row r="11" spans="1:18" s="21" customFormat="1" x14ac:dyDescent="0.15">
      <c r="A11" s="21" t="s">
        <v>21</v>
      </c>
      <c r="B11" s="21" t="s">
        <v>34</v>
      </c>
      <c r="F11" s="22"/>
      <c r="G11" s="23"/>
      <c r="H11" s="24"/>
      <c r="K11" s="23"/>
      <c r="L11" s="25"/>
      <c r="O11" s="26"/>
      <c r="P11" s="23"/>
    </row>
    <row r="12" spans="1:18" x14ac:dyDescent="0.15">
      <c r="A12" t="s">
        <v>21</v>
      </c>
      <c r="B12">
        <v>1000612</v>
      </c>
      <c r="C12">
        <v>350310</v>
      </c>
      <c r="F12" s="7">
        <v>1</v>
      </c>
      <c r="G12" s="7">
        <v>103</v>
      </c>
      <c r="H12" s="8">
        <v>46</v>
      </c>
      <c r="J12" t="s">
        <v>23</v>
      </c>
      <c r="K12" s="7">
        <v>1935</v>
      </c>
      <c r="L12" s="9">
        <v>1</v>
      </c>
      <c r="M12" t="s">
        <v>35</v>
      </c>
      <c r="N12" t="s">
        <v>36</v>
      </c>
      <c r="O12" s="27" t="str">
        <f>HYPERLINK("https://www.ncbi.nlm.nih.gov/nuccore/NZ_JH725387.1?report=graph&amp;from=1630021&amp;to=1630025", "TTA_codon")</f>
        <v>TTA_codon</v>
      </c>
    </row>
    <row r="13" spans="1:18" x14ac:dyDescent="0.15">
      <c r="A13" t="s">
        <v>21</v>
      </c>
      <c r="B13">
        <v>1000612</v>
      </c>
      <c r="C13">
        <v>361660</v>
      </c>
      <c r="F13" s="7">
        <v>1</v>
      </c>
      <c r="G13" s="7">
        <v>133</v>
      </c>
      <c r="H13" s="8">
        <v>76</v>
      </c>
      <c r="J13" t="s">
        <v>23</v>
      </c>
      <c r="K13" s="7">
        <v>1851</v>
      </c>
      <c r="L13" s="9">
        <v>1</v>
      </c>
      <c r="M13" t="s">
        <v>37</v>
      </c>
      <c r="N13" t="s">
        <v>38</v>
      </c>
      <c r="O13" s="27" t="str">
        <f>HYPERLINK("https://www.ncbi.nlm.nih.gov/nuccore/NZ_CP011533.1?report=graph&amp;from=3311595&amp;to=3311599", "TTA_codon")</f>
        <v>TTA_codon</v>
      </c>
    </row>
    <row r="14" spans="1:18" x14ac:dyDescent="0.15">
      <c r="A14" t="s">
        <v>21</v>
      </c>
      <c r="B14">
        <v>1000612</v>
      </c>
      <c r="C14">
        <v>362259</v>
      </c>
      <c r="F14" s="7">
        <v>1</v>
      </c>
      <c r="G14" s="7">
        <v>103</v>
      </c>
      <c r="H14" s="8">
        <v>103</v>
      </c>
      <c r="J14" t="s">
        <v>23</v>
      </c>
      <c r="K14" s="7">
        <v>1944</v>
      </c>
      <c r="L14" s="9">
        <v>1</v>
      </c>
      <c r="M14" t="s">
        <v>39</v>
      </c>
      <c r="N14" t="s">
        <v>40</v>
      </c>
      <c r="O14" s="27" t="str">
        <f>HYPERLINK("https://www.ncbi.nlm.nih.gov/nuccore/NZ_CP017157.1?report=graph&amp;from=6631117&amp;to=6631121", "TTA_codon")</f>
        <v>TTA_codon</v>
      </c>
    </row>
    <row r="15" spans="1:18" s="21" customFormat="1" x14ac:dyDescent="0.15">
      <c r="A15" s="21" t="s">
        <v>21</v>
      </c>
      <c r="B15" s="21" t="s">
        <v>41</v>
      </c>
      <c r="F15" s="22"/>
      <c r="G15" s="23"/>
      <c r="H15" s="24"/>
      <c r="K15" s="23"/>
      <c r="L15" s="25"/>
      <c r="O15" s="26"/>
      <c r="P15" s="23"/>
    </row>
    <row r="16" spans="1:18" x14ac:dyDescent="0.15">
      <c r="A16" t="s">
        <v>21</v>
      </c>
      <c r="B16">
        <v>1001501</v>
      </c>
      <c r="C16">
        <v>365411</v>
      </c>
      <c r="F16" s="7">
        <v>2</v>
      </c>
      <c r="G16" s="7" t="s">
        <v>42</v>
      </c>
      <c r="H16" s="8" t="s">
        <v>43</v>
      </c>
      <c r="J16" t="s">
        <v>23</v>
      </c>
      <c r="K16" s="7">
        <v>2514</v>
      </c>
      <c r="L16" s="9">
        <v>-1</v>
      </c>
      <c r="M16" t="s">
        <v>44</v>
      </c>
      <c r="N16" t="s">
        <v>45</v>
      </c>
      <c r="O16" s="27" t="str">
        <f>HYPERLINK("https://www.ncbi.nlm.nih.gov/nuccore/NZ_FNIE01000002.1?report=graph&amp;from=527679&amp;to=527788", "TTA_codon")</f>
        <v>TTA_codon</v>
      </c>
    </row>
    <row r="17" spans="1:16" x14ac:dyDescent="0.15">
      <c r="A17" t="s">
        <v>21</v>
      </c>
      <c r="B17">
        <v>1001501</v>
      </c>
      <c r="C17">
        <v>366250</v>
      </c>
      <c r="F17" s="7">
        <v>1</v>
      </c>
      <c r="G17" s="7">
        <v>1942</v>
      </c>
      <c r="H17" s="8">
        <v>1930</v>
      </c>
      <c r="J17" t="s">
        <v>23</v>
      </c>
      <c r="K17" s="7">
        <v>3066</v>
      </c>
      <c r="L17" s="9">
        <v>-1</v>
      </c>
      <c r="M17" t="s">
        <v>46</v>
      </c>
      <c r="N17" t="s">
        <v>47</v>
      </c>
      <c r="O17" s="27" t="str">
        <f>HYPERLINK("https://www.ncbi.nlm.nih.gov/nuccore/NZ_FOLM01000015.1?report=graph&amp;from=22798&amp;to=22802", "TTA_codon")</f>
        <v>TTA_codon</v>
      </c>
    </row>
    <row r="18" spans="1:16" s="33" customFormat="1" x14ac:dyDescent="0.15">
      <c r="A18" s="28" t="s">
        <v>21</v>
      </c>
      <c r="B18" s="28" t="s">
        <v>48</v>
      </c>
      <c r="C18" s="28"/>
      <c r="D18" s="28"/>
      <c r="E18" s="28"/>
      <c r="F18" s="29"/>
      <c r="G18" s="29"/>
      <c r="H18" s="30"/>
      <c r="I18" s="28"/>
      <c r="J18" s="28"/>
      <c r="K18" s="29"/>
      <c r="L18" s="31"/>
      <c r="M18" s="28"/>
      <c r="N18" s="28"/>
      <c r="O18" s="32"/>
      <c r="P18" s="29"/>
    </row>
    <row r="19" spans="1:16" x14ac:dyDescent="0.15">
      <c r="A19" t="s">
        <v>21</v>
      </c>
      <c r="B19">
        <v>1000596</v>
      </c>
      <c r="C19">
        <v>350257</v>
      </c>
      <c r="F19" s="7">
        <v>2</v>
      </c>
      <c r="G19" s="7" t="s">
        <v>49</v>
      </c>
      <c r="H19" s="8" t="s">
        <v>49</v>
      </c>
      <c r="J19" t="s">
        <v>23</v>
      </c>
      <c r="K19" s="7">
        <v>390</v>
      </c>
      <c r="L19" s="9">
        <v>-1</v>
      </c>
      <c r="M19" t="s">
        <v>35</v>
      </c>
      <c r="N19" t="s">
        <v>36</v>
      </c>
      <c r="O19" s="27" t="str">
        <f>HYPERLINK("https://www.ncbi.nlm.nih.gov/nuccore/NZ_JH725387.1?report=graph&amp;from=4986772&amp;to=4986857", "TTA_codon")</f>
        <v>TTA_codon</v>
      </c>
    </row>
    <row r="20" spans="1:16" x14ac:dyDescent="0.15">
      <c r="A20" t="s">
        <v>21</v>
      </c>
      <c r="B20">
        <v>1000596</v>
      </c>
      <c r="C20">
        <v>350733</v>
      </c>
      <c r="F20" s="7">
        <v>1</v>
      </c>
      <c r="G20" s="7">
        <v>241</v>
      </c>
      <c r="H20" s="8">
        <v>241</v>
      </c>
      <c r="J20" t="s">
        <v>23</v>
      </c>
      <c r="K20" s="7">
        <v>396</v>
      </c>
      <c r="L20" s="9">
        <v>-1</v>
      </c>
      <c r="M20" t="s">
        <v>50</v>
      </c>
      <c r="N20" t="s">
        <v>51</v>
      </c>
      <c r="O20" s="27" t="str">
        <f>HYPERLINK("https://www.ncbi.nlm.nih.gov/nuccore/NZ_AEJB01000421.1?report=graph&amp;from=27609&amp;to=27613", "TTA_codon")</f>
        <v>TTA_codon</v>
      </c>
    </row>
    <row r="21" spans="1:16" s="33" customFormat="1" x14ac:dyDescent="0.15">
      <c r="A21" s="28" t="s">
        <v>21</v>
      </c>
      <c r="B21" s="28" t="s">
        <v>52</v>
      </c>
      <c r="C21" s="28"/>
      <c r="D21" s="28"/>
      <c r="E21" s="28"/>
      <c r="F21" s="29"/>
      <c r="G21" s="29"/>
      <c r="H21" s="30"/>
      <c r="I21" s="28"/>
      <c r="J21" s="28"/>
      <c r="K21" s="29"/>
      <c r="L21" s="31"/>
      <c r="M21" s="28"/>
      <c r="N21" s="28"/>
      <c r="O21" s="32"/>
      <c r="P21" s="29"/>
    </row>
    <row r="22" spans="1:16" x14ac:dyDescent="0.15">
      <c r="A22" t="s">
        <v>21</v>
      </c>
      <c r="B22">
        <v>1000167</v>
      </c>
      <c r="C22">
        <v>347240</v>
      </c>
      <c r="F22" s="7">
        <v>1</v>
      </c>
      <c r="G22" s="7">
        <v>79</v>
      </c>
      <c r="H22" s="8">
        <v>46</v>
      </c>
      <c r="J22" t="s">
        <v>23</v>
      </c>
      <c r="K22" s="7">
        <v>837</v>
      </c>
      <c r="L22" s="9">
        <v>-1</v>
      </c>
      <c r="M22" t="s">
        <v>53</v>
      </c>
      <c r="N22" t="s">
        <v>54</v>
      </c>
      <c r="O22" s="27" t="str">
        <f>HYPERLINK("https://www.ncbi.nlm.nih.gov/nuccore/NC_003155.5?report=graph&amp;from=8459539&amp;to=8459543", "TTA_codon")</f>
        <v>TTA_codon</v>
      </c>
    </row>
    <row r="23" spans="1:16" x14ac:dyDescent="0.15">
      <c r="A23" t="s">
        <v>21</v>
      </c>
      <c r="B23">
        <v>1000167</v>
      </c>
      <c r="C23">
        <v>347613</v>
      </c>
      <c r="F23" s="7">
        <v>1</v>
      </c>
      <c r="G23" s="7">
        <v>487</v>
      </c>
      <c r="H23" s="8">
        <v>424</v>
      </c>
      <c r="J23" t="s">
        <v>23</v>
      </c>
      <c r="K23" s="7">
        <v>840</v>
      </c>
      <c r="L23" s="9">
        <v>-1</v>
      </c>
      <c r="M23" t="s">
        <v>55</v>
      </c>
      <c r="N23" t="s">
        <v>56</v>
      </c>
      <c r="O23" s="27" t="str">
        <f>HYPERLINK("https://www.ncbi.nlm.nih.gov/nuccore/NC_010572.1?report=graph&amp;from=7464849&amp;to=7464853", "TTA_codon")</f>
        <v>TTA_codon</v>
      </c>
    </row>
    <row r="24" spans="1:16" x14ac:dyDescent="0.15">
      <c r="A24" t="s">
        <v>21</v>
      </c>
      <c r="B24">
        <v>1000167</v>
      </c>
      <c r="C24">
        <v>347751</v>
      </c>
      <c r="F24" s="7">
        <v>1</v>
      </c>
      <c r="G24" s="7">
        <v>244</v>
      </c>
      <c r="H24" s="8">
        <v>208</v>
      </c>
      <c r="J24" t="s">
        <v>23</v>
      </c>
      <c r="K24" s="7">
        <v>846</v>
      </c>
      <c r="L24" s="9">
        <v>-1</v>
      </c>
      <c r="M24" t="s">
        <v>57</v>
      </c>
      <c r="N24" t="s">
        <v>58</v>
      </c>
      <c r="O24" s="27" t="str">
        <f>HYPERLINK("https://www.ncbi.nlm.nih.gov/nuccore/NC_013929.1?report=graph&amp;from=8650216&amp;to=8650220", "TTA_codon")</f>
        <v>TTA_codon</v>
      </c>
    </row>
    <row r="25" spans="1:16" x14ac:dyDescent="0.15">
      <c r="A25" t="s">
        <v>21</v>
      </c>
      <c r="B25">
        <v>1000167</v>
      </c>
      <c r="C25">
        <v>347993</v>
      </c>
      <c r="F25" s="7">
        <v>1</v>
      </c>
      <c r="G25" s="7">
        <v>358</v>
      </c>
      <c r="H25" s="8">
        <v>196</v>
      </c>
      <c r="J25" t="s">
        <v>23</v>
      </c>
      <c r="K25" s="7">
        <v>735</v>
      </c>
      <c r="L25" s="9">
        <v>-1</v>
      </c>
      <c r="M25" t="s">
        <v>59</v>
      </c>
      <c r="N25" t="s">
        <v>60</v>
      </c>
      <c r="O25" s="27" t="str">
        <f>HYPERLINK("https://www.ncbi.nlm.nih.gov/nuccore/NC_016582.1?report=graph&amp;from=7862248&amp;to=7862252", "TTA_codon")</f>
        <v>TTA_codon</v>
      </c>
    </row>
    <row r="26" spans="1:16" x14ac:dyDescent="0.15">
      <c r="A26" t="s">
        <v>21</v>
      </c>
      <c r="B26">
        <v>1000167</v>
      </c>
      <c r="C26">
        <v>348497</v>
      </c>
      <c r="F26" s="7">
        <v>1</v>
      </c>
      <c r="G26" s="7">
        <v>418</v>
      </c>
      <c r="H26" s="8">
        <v>367</v>
      </c>
      <c r="J26" t="s">
        <v>23</v>
      </c>
      <c r="K26" s="7">
        <v>852</v>
      </c>
      <c r="L26" s="9">
        <v>-1</v>
      </c>
      <c r="M26" t="s">
        <v>61</v>
      </c>
      <c r="N26" t="s">
        <v>62</v>
      </c>
      <c r="O26" s="27" t="str">
        <f>HYPERLINK("https://www.ncbi.nlm.nih.gov/nuccore/NZ_DS999641.1?report=graph&amp;from=4898173&amp;to=4898177", "TTA_codon")</f>
        <v>TTA_codon</v>
      </c>
    </row>
    <row r="27" spans="1:16" x14ac:dyDescent="0.15">
      <c r="A27" t="s">
        <v>21</v>
      </c>
      <c r="B27">
        <v>1000167</v>
      </c>
      <c r="C27">
        <v>349457</v>
      </c>
      <c r="F27" s="7">
        <v>1</v>
      </c>
      <c r="G27" s="7">
        <v>79</v>
      </c>
      <c r="H27" s="8">
        <v>46</v>
      </c>
      <c r="J27" t="s">
        <v>23</v>
      </c>
      <c r="K27" s="7">
        <v>846</v>
      </c>
      <c r="L27" s="9">
        <v>-1</v>
      </c>
      <c r="M27" t="s">
        <v>63</v>
      </c>
      <c r="N27" t="s">
        <v>64</v>
      </c>
      <c r="O27" s="27" t="str">
        <f>HYPERLINK("https://www.ncbi.nlm.nih.gov/nuccore/NZ_AEYX01000046.1?report=graph&amp;from=118266&amp;to=118270", "TTA_codon")</f>
        <v>TTA_codon</v>
      </c>
    </row>
    <row r="28" spans="1:16" x14ac:dyDescent="0.15">
      <c r="A28" t="s">
        <v>21</v>
      </c>
      <c r="B28">
        <v>1000167</v>
      </c>
      <c r="C28">
        <v>351182</v>
      </c>
      <c r="F28" s="7">
        <v>1</v>
      </c>
      <c r="G28" s="7">
        <v>208</v>
      </c>
      <c r="H28" s="8">
        <v>172</v>
      </c>
      <c r="J28" t="s">
        <v>23</v>
      </c>
      <c r="K28" s="7">
        <v>852</v>
      </c>
      <c r="L28" s="9">
        <v>-1</v>
      </c>
      <c r="M28" t="s">
        <v>65</v>
      </c>
      <c r="N28" t="s">
        <v>66</v>
      </c>
      <c r="O28" s="27" t="str">
        <f>HYPERLINK("https://www.ncbi.nlm.nih.gov/nuccore/NC_020504.1?report=graph&amp;from=8224449&amp;to=8224453", "TTA_codon")</f>
        <v>TTA_codon</v>
      </c>
    </row>
    <row r="29" spans="1:16" x14ac:dyDescent="0.15">
      <c r="A29" t="s">
        <v>21</v>
      </c>
      <c r="B29">
        <v>1000167</v>
      </c>
      <c r="C29">
        <v>351183</v>
      </c>
      <c r="F29" s="7">
        <v>1</v>
      </c>
      <c r="G29" s="7">
        <v>454</v>
      </c>
      <c r="H29" s="8">
        <v>391</v>
      </c>
      <c r="J29" t="s">
        <v>23</v>
      </c>
      <c r="K29" s="7">
        <v>837</v>
      </c>
      <c r="L29" s="9">
        <v>-1</v>
      </c>
      <c r="M29" t="s">
        <v>65</v>
      </c>
      <c r="N29" t="s">
        <v>66</v>
      </c>
      <c r="O29" s="27" t="str">
        <f>HYPERLINK("https://www.ncbi.nlm.nih.gov/nuccore/NC_020504.1?report=graph&amp;from=6023121&amp;to=6023125", "TTA_codon")</f>
        <v>TTA_codon</v>
      </c>
    </row>
    <row r="30" spans="1:16" x14ac:dyDescent="0.15">
      <c r="A30" t="s">
        <v>21</v>
      </c>
      <c r="B30">
        <v>1000167</v>
      </c>
      <c r="C30">
        <v>351753</v>
      </c>
      <c r="F30" s="7">
        <v>1</v>
      </c>
      <c r="G30" s="7">
        <v>526</v>
      </c>
      <c r="H30" s="8">
        <v>466</v>
      </c>
      <c r="J30" t="s">
        <v>23</v>
      </c>
      <c r="K30" s="7">
        <v>852</v>
      </c>
      <c r="L30" s="9">
        <v>-1</v>
      </c>
      <c r="M30" t="s">
        <v>67</v>
      </c>
      <c r="N30" t="s">
        <v>68</v>
      </c>
      <c r="O30" s="27" t="str">
        <f>HYPERLINK("https://www.ncbi.nlm.nih.gov/nuccore/NZ_BARG01000038.1?report=graph&amp;from=293372&amp;to=293376", "TTA_codon")</f>
        <v>TTA_codon</v>
      </c>
    </row>
    <row r="31" spans="1:16" x14ac:dyDescent="0.15">
      <c r="A31" t="s">
        <v>21</v>
      </c>
      <c r="B31">
        <v>1000167</v>
      </c>
      <c r="C31">
        <v>352049</v>
      </c>
      <c r="F31" s="7">
        <v>1</v>
      </c>
      <c r="G31" s="7">
        <v>67</v>
      </c>
      <c r="H31" s="8">
        <v>40</v>
      </c>
      <c r="J31" t="s">
        <v>23</v>
      </c>
      <c r="K31" s="7">
        <v>876</v>
      </c>
      <c r="L31" s="9">
        <v>-1</v>
      </c>
      <c r="M31" t="s">
        <v>69</v>
      </c>
      <c r="N31" t="s">
        <v>70</v>
      </c>
      <c r="O31" s="27" t="str">
        <f>HYPERLINK("https://www.ncbi.nlm.nih.gov/nuccore/NZ_KB904702.1?report=graph&amp;from=90036&amp;to=90040", "TTA_codon")</f>
        <v>TTA_codon</v>
      </c>
    </row>
    <row r="32" spans="1:16" x14ac:dyDescent="0.15">
      <c r="A32" t="s">
        <v>21</v>
      </c>
      <c r="B32">
        <v>1000167</v>
      </c>
      <c r="C32">
        <v>352283</v>
      </c>
      <c r="F32" s="7">
        <v>1</v>
      </c>
      <c r="G32" s="7">
        <v>265</v>
      </c>
      <c r="H32" s="8">
        <v>247</v>
      </c>
      <c r="J32" t="s">
        <v>23</v>
      </c>
      <c r="K32" s="7">
        <v>876</v>
      </c>
      <c r="L32" s="9">
        <v>-1</v>
      </c>
      <c r="M32" t="s">
        <v>71</v>
      </c>
      <c r="N32" t="s">
        <v>72</v>
      </c>
      <c r="O32" s="27" t="str">
        <f>HYPERLINK("https://www.ncbi.nlm.nih.gov/nuccore/NZ_KB905816.1?report=graph&amp;from=530134&amp;to=530138", "TTA_codon")</f>
        <v>TTA_codon</v>
      </c>
    </row>
    <row r="33" spans="1:15" x14ac:dyDescent="0.15">
      <c r="A33" t="s">
        <v>21</v>
      </c>
      <c r="B33">
        <v>1000167</v>
      </c>
      <c r="C33">
        <v>354806</v>
      </c>
      <c r="F33" s="7">
        <v>1</v>
      </c>
      <c r="G33" s="7">
        <v>208</v>
      </c>
      <c r="H33" s="8">
        <v>172</v>
      </c>
      <c r="J33" t="s">
        <v>23</v>
      </c>
      <c r="K33" s="7">
        <v>849</v>
      </c>
      <c r="L33" s="9">
        <v>-1</v>
      </c>
      <c r="M33" t="s">
        <v>73</v>
      </c>
      <c r="N33" t="s">
        <v>25</v>
      </c>
      <c r="O33" s="27" t="str">
        <f>HYPERLINK("https://www.ncbi.nlm.nih.gov/nuccore/NZ_JOFU01000031.1?report=graph&amp;from=51764&amp;to=51768", "TTA_codon")</f>
        <v>TTA_codon</v>
      </c>
    </row>
    <row r="34" spans="1:15" x14ac:dyDescent="0.15">
      <c r="A34" t="s">
        <v>21</v>
      </c>
      <c r="B34">
        <v>1000167</v>
      </c>
      <c r="C34">
        <v>355789</v>
      </c>
      <c r="F34" s="7">
        <v>1</v>
      </c>
      <c r="G34" s="7">
        <v>88</v>
      </c>
      <c r="H34" s="8">
        <v>70</v>
      </c>
      <c r="J34" t="s">
        <v>23</v>
      </c>
      <c r="K34" s="7">
        <v>861</v>
      </c>
      <c r="L34" s="9">
        <v>-1</v>
      </c>
      <c r="M34" t="s">
        <v>74</v>
      </c>
      <c r="N34" t="s">
        <v>75</v>
      </c>
      <c r="O34" s="27" t="str">
        <f>HYPERLINK("https://www.ncbi.nlm.nih.gov/nuccore/NZ_JOII01000007.1?report=graph&amp;from=112880&amp;to=112884", "TTA_codon")</f>
        <v>TTA_codon</v>
      </c>
    </row>
    <row r="35" spans="1:15" x14ac:dyDescent="0.15">
      <c r="A35" t="s">
        <v>21</v>
      </c>
      <c r="B35">
        <v>1000167</v>
      </c>
      <c r="C35">
        <v>356163</v>
      </c>
      <c r="F35" s="7">
        <v>1</v>
      </c>
      <c r="G35" s="7">
        <v>208</v>
      </c>
      <c r="H35" s="8">
        <v>172</v>
      </c>
      <c r="J35" t="s">
        <v>23</v>
      </c>
      <c r="K35" s="7">
        <v>846</v>
      </c>
      <c r="L35" s="9">
        <v>-1</v>
      </c>
      <c r="M35" t="s">
        <v>76</v>
      </c>
      <c r="N35" t="s">
        <v>77</v>
      </c>
      <c r="O35" s="27" t="str">
        <f>HYPERLINK("https://www.ncbi.nlm.nih.gov/nuccore/NZ_JNXD01000010.1?report=graph&amp;from=55887&amp;to=55891", "TTA_codon")</f>
        <v>TTA_codon</v>
      </c>
    </row>
    <row r="36" spans="1:15" x14ac:dyDescent="0.15">
      <c r="A36" t="s">
        <v>21</v>
      </c>
      <c r="B36">
        <v>1000167</v>
      </c>
      <c r="C36">
        <v>356832</v>
      </c>
      <c r="F36" s="7">
        <v>1</v>
      </c>
      <c r="G36" s="7">
        <v>133</v>
      </c>
      <c r="H36" s="8">
        <v>124</v>
      </c>
      <c r="J36" t="s">
        <v>23</v>
      </c>
      <c r="K36" s="7">
        <v>858</v>
      </c>
      <c r="L36" s="9">
        <v>-1</v>
      </c>
      <c r="M36" t="s">
        <v>78</v>
      </c>
      <c r="N36" t="s">
        <v>79</v>
      </c>
      <c r="O36" s="27" t="str">
        <f>HYPERLINK("https://www.ncbi.nlm.nih.gov/nuccore/NZ_CP009313.1?report=graph&amp;from=7259082&amp;to=7259086", "TTA_codon")</f>
        <v>TTA_codon</v>
      </c>
    </row>
    <row r="37" spans="1:15" x14ac:dyDescent="0.15">
      <c r="A37" t="s">
        <v>21</v>
      </c>
      <c r="B37">
        <v>1000167</v>
      </c>
      <c r="C37">
        <v>357373</v>
      </c>
      <c r="F37" s="7">
        <v>1</v>
      </c>
      <c r="G37" s="7">
        <v>208</v>
      </c>
      <c r="H37" s="8">
        <v>172</v>
      </c>
      <c r="J37" t="s">
        <v>23</v>
      </c>
      <c r="K37" s="7">
        <v>849</v>
      </c>
      <c r="L37" s="9">
        <v>-1</v>
      </c>
      <c r="M37" t="s">
        <v>80</v>
      </c>
      <c r="N37" t="s">
        <v>81</v>
      </c>
      <c r="O37" s="27" t="str">
        <f>HYPERLINK("https://www.ncbi.nlm.nih.gov/nuccore/NZ_LN831790.1?report=graph&amp;from=6818698&amp;to=6818702", "TTA_codon")</f>
        <v>TTA_codon</v>
      </c>
    </row>
    <row r="38" spans="1:15" x14ac:dyDescent="0.15">
      <c r="A38" t="s">
        <v>21</v>
      </c>
      <c r="B38">
        <v>1000167</v>
      </c>
      <c r="C38">
        <v>357681</v>
      </c>
      <c r="F38" s="7">
        <v>1</v>
      </c>
      <c r="G38" s="7">
        <v>208</v>
      </c>
      <c r="H38" s="8">
        <v>172</v>
      </c>
      <c r="J38" t="s">
        <v>23</v>
      </c>
      <c r="K38" s="7">
        <v>846</v>
      </c>
      <c r="L38" s="9">
        <v>-1</v>
      </c>
      <c r="M38" t="s">
        <v>82</v>
      </c>
      <c r="N38" t="s">
        <v>83</v>
      </c>
      <c r="O38" s="27" t="str">
        <f>HYPERLINK("https://www.ncbi.nlm.nih.gov/nuccore/NZ_DF968256.1?report=graph&amp;from=49665&amp;to=49669", "TTA_codon")</f>
        <v>TTA_codon</v>
      </c>
    </row>
    <row r="39" spans="1:15" x14ac:dyDescent="0.15">
      <c r="A39" t="s">
        <v>21</v>
      </c>
      <c r="B39">
        <v>1000167</v>
      </c>
      <c r="C39">
        <v>358332</v>
      </c>
      <c r="F39" s="7">
        <v>1</v>
      </c>
      <c r="G39" s="7">
        <v>244</v>
      </c>
      <c r="H39" s="8">
        <v>208</v>
      </c>
      <c r="J39" t="s">
        <v>23</v>
      </c>
      <c r="K39" s="7">
        <v>951</v>
      </c>
      <c r="L39" s="9">
        <v>-1</v>
      </c>
      <c r="M39" t="s">
        <v>84</v>
      </c>
      <c r="N39" t="s">
        <v>85</v>
      </c>
      <c r="O39" s="27" t="str">
        <f>HYPERLINK("https://www.ncbi.nlm.nih.gov/nuccore/NZ_LIQX01000046.1?report=graph&amp;from=38943&amp;to=38947", "TTA_codon")</f>
        <v>TTA_codon</v>
      </c>
    </row>
    <row r="40" spans="1:15" x14ac:dyDescent="0.15">
      <c r="A40" t="s">
        <v>21</v>
      </c>
      <c r="B40">
        <v>1000167</v>
      </c>
      <c r="C40">
        <v>358781</v>
      </c>
      <c r="F40" s="7">
        <v>1</v>
      </c>
      <c r="G40" s="7">
        <v>208</v>
      </c>
      <c r="H40" s="8">
        <v>172</v>
      </c>
      <c r="J40" t="s">
        <v>23</v>
      </c>
      <c r="K40" s="7">
        <v>846</v>
      </c>
      <c r="L40" s="9">
        <v>-1</v>
      </c>
      <c r="M40" t="s">
        <v>86</v>
      </c>
      <c r="N40" t="s">
        <v>87</v>
      </c>
      <c r="O40" s="27" t="str">
        <f>HYPERLINK("https://www.ncbi.nlm.nih.gov/nuccore/NZ_LIQS01000155.1?report=graph&amp;from=6339&amp;to=6343", "TTA_codon")</f>
        <v>TTA_codon</v>
      </c>
    </row>
    <row r="41" spans="1:15" x14ac:dyDescent="0.15">
      <c r="A41" t="s">
        <v>21</v>
      </c>
      <c r="B41">
        <v>1000167</v>
      </c>
      <c r="C41">
        <v>359276</v>
      </c>
      <c r="F41" s="7">
        <v>1</v>
      </c>
      <c r="G41" s="7">
        <v>208</v>
      </c>
      <c r="H41" s="8">
        <v>172</v>
      </c>
      <c r="J41" t="s">
        <v>23</v>
      </c>
      <c r="K41" s="7">
        <v>846</v>
      </c>
      <c r="L41" s="9">
        <v>-1</v>
      </c>
      <c r="M41" t="s">
        <v>88</v>
      </c>
      <c r="N41" t="s">
        <v>89</v>
      </c>
      <c r="O41" s="27" t="str">
        <f>HYPERLINK("https://www.ncbi.nlm.nih.gov/nuccore/NZ_LIRG01000162.1?report=graph&amp;from=2861&amp;to=2865", "TTA_codon")</f>
        <v>TTA_codon</v>
      </c>
    </row>
    <row r="42" spans="1:15" x14ac:dyDescent="0.15">
      <c r="A42" t="s">
        <v>21</v>
      </c>
      <c r="B42">
        <v>1000167</v>
      </c>
      <c r="C42">
        <v>359806</v>
      </c>
      <c r="F42" s="7">
        <v>1</v>
      </c>
      <c r="G42" s="7">
        <v>208</v>
      </c>
      <c r="H42" s="8">
        <v>172</v>
      </c>
      <c r="J42" t="s">
        <v>23</v>
      </c>
      <c r="K42" s="7">
        <v>846</v>
      </c>
      <c r="L42" s="9">
        <v>-1</v>
      </c>
      <c r="M42" t="s">
        <v>90</v>
      </c>
      <c r="N42" t="s">
        <v>91</v>
      </c>
      <c r="O42" s="27" t="str">
        <f>HYPERLINK("https://www.ncbi.nlm.nih.gov/nuccore/NZ_KQ948314.1?report=graph&amp;from=116706&amp;to=116710", "TTA_codon")</f>
        <v>TTA_codon</v>
      </c>
    </row>
    <row r="43" spans="1:15" x14ac:dyDescent="0.15">
      <c r="A43" t="s">
        <v>21</v>
      </c>
      <c r="B43">
        <v>1000167</v>
      </c>
      <c r="C43">
        <v>360640</v>
      </c>
      <c r="F43" s="7">
        <v>2</v>
      </c>
      <c r="G43" s="7" t="s">
        <v>92</v>
      </c>
      <c r="H43" s="8" t="s">
        <v>93</v>
      </c>
      <c r="J43" t="s">
        <v>23</v>
      </c>
      <c r="K43" s="7">
        <v>876</v>
      </c>
      <c r="L43" s="9">
        <v>-1</v>
      </c>
      <c r="M43" t="s">
        <v>94</v>
      </c>
      <c r="N43" t="s">
        <v>95</v>
      </c>
      <c r="O43" s="27" t="str">
        <f>HYPERLINK("https://www.ncbi.nlm.nih.gov/nuccore/NZ_JYIJ01000019.1?report=graph&amp;from=993058&amp;to=993512", "TTA_codon")</f>
        <v>TTA_codon</v>
      </c>
    </row>
    <row r="44" spans="1:15" x14ac:dyDescent="0.15">
      <c r="A44" t="s">
        <v>21</v>
      </c>
      <c r="B44">
        <v>1000167</v>
      </c>
      <c r="C44">
        <v>360894</v>
      </c>
      <c r="F44" s="7">
        <v>1</v>
      </c>
      <c r="G44" s="7">
        <v>658</v>
      </c>
      <c r="H44" s="8">
        <v>586</v>
      </c>
      <c r="J44" t="s">
        <v>23</v>
      </c>
      <c r="K44" s="7">
        <v>846</v>
      </c>
      <c r="L44" s="9">
        <v>-1</v>
      </c>
      <c r="M44" t="s">
        <v>96</v>
      </c>
      <c r="N44" t="s">
        <v>97</v>
      </c>
      <c r="O44" s="27" t="str">
        <f>HYPERLINK("https://www.ncbi.nlm.nih.gov/nuccore/NZ_LOHS01000116.1?report=graph&amp;from=5168&amp;to=5172", "TTA_codon")</f>
        <v>TTA_codon</v>
      </c>
    </row>
    <row r="45" spans="1:15" x14ac:dyDescent="0.15">
      <c r="A45" t="s">
        <v>21</v>
      </c>
      <c r="B45">
        <v>1000167</v>
      </c>
      <c r="C45">
        <v>361083</v>
      </c>
      <c r="F45" s="7">
        <v>1</v>
      </c>
      <c r="G45" s="7">
        <v>463</v>
      </c>
      <c r="H45" s="8">
        <v>418</v>
      </c>
      <c r="J45" t="s">
        <v>23</v>
      </c>
      <c r="K45" s="7">
        <v>858</v>
      </c>
      <c r="L45" s="9">
        <v>-1</v>
      </c>
      <c r="M45" t="s">
        <v>98</v>
      </c>
      <c r="N45" t="s">
        <v>99</v>
      </c>
      <c r="O45" s="27" t="str">
        <f>HYPERLINK("https://www.ncbi.nlm.nih.gov/nuccore/NZ_CP016438.1?report=graph&amp;from=9659579&amp;to=9659583", "TTA_codon")</f>
        <v>TTA_codon</v>
      </c>
    </row>
    <row r="46" spans="1:15" x14ac:dyDescent="0.15">
      <c r="A46" t="s">
        <v>21</v>
      </c>
      <c r="B46">
        <v>1000167</v>
      </c>
      <c r="C46">
        <v>363244</v>
      </c>
      <c r="F46" s="7">
        <v>1</v>
      </c>
      <c r="G46" s="7">
        <v>88</v>
      </c>
      <c r="H46" s="8">
        <v>64</v>
      </c>
      <c r="J46" t="s">
        <v>23</v>
      </c>
      <c r="K46" s="7">
        <v>849</v>
      </c>
      <c r="L46" s="9">
        <v>-1</v>
      </c>
      <c r="M46" t="s">
        <v>100</v>
      </c>
      <c r="N46" t="s">
        <v>28</v>
      </c>
      <c r="O46" s="27" t="str">
        <f>HYPERLINK("https://www.ncbi.nlm.nih.gov/nuccore/NZ_JUJA01000162.1?report=graph&amp;from=31260&amp;to=31264", "TTA_codon")</f>
        <v>TTA_codon</v>
      </c>
    </row>
    <row r="47" spans="1:15" x14ac:dyDescent="0.15">
      <c r="A47" t="s">
        <v>21</v>
      </c>
      <c r="B47">
        <v>1000167</v>
      </c>
      <c r="C47">
        <v>363579</v>
      </c>
      <c r="F47" s="7">
        <v>1</v>
      </c>
      <c r="G47" s="7">
        <v>88</v>
      </c>
      <c r="H47" s="8">
        <v>61</v>
      </c>
      <c r="J47" t="s">
        <v>23</v>
      </c>
      <c r="K47" s="7">
        <v>870</v>
      </c>
      <c r="L47" s="9">
        <v>-1</v>
      </c>
      <c r="M47" t="s">
        <v>101</v>
      </c>
      <c r="N47" t="s">
        <v>102</v>
      </c>
      <c r="O47" s="27" t="str">
        <f>HYPERLINK("https://www.ncbi.nlm.nih.gov/nuccore/NZ_CP019458.1?report=graph&amp;from=6196516&amp;to=6196520", "TTA_codon")</f>
        <v>TTA_codon</v>
      </c>
    </row>
    <row r="48" spans="1:15" x14ac:dyDescent="0.15">
      <c r="A48" t="s">
        <v>21</v>
      </c>
      <c r="B48">
        <v>1000167</v>
      </c>
      <c r="C48">
        <v>363915</v>
      </c>
      <c r="F48" s="7">
        <v>1</v>
      </c>
      <c r="G48" s="7">
        <v>547</v>
      </c>
      <c r="H48" s="8">
        <v>469</v>
      </c>
      <c r="J48" t="s">
        <v>23</v>
      </c>
      <c r="K48" s="7">
        <v>831</v>
      </c>
      <c r="L48" s="9">
        <v>-1</v>
      </c>
      <c r="M48" t="s">
        <v>103</v>
      </c>
      <c r="N48" t="s">
        <v>104</v>
      </c>
      <c r="O48" s="27" t="str">
        <f>HYPERLINK("https://www.ncbi.nlm.nih.gov/nuccore/NZ_MVFC01000016.1?report=graph&amp;from=35574&amp;to=35578", "TTA_codon")</f>
        <v>TTA_codon</v>
      </c>
    </row>
    <row r="49" spans="1:16" x14ac:dyDescent="0.15">
      <c r="A49" t="s">
        <v>21</v>
      </c>
      <c r="B49">
        <v>1000167</v>
      </c>
      <c r="C49">
        <v>364277</v>
      </c>
      <c r="F49" s="7">
        <v>1</v>
      </c>
      <c r="G49" s="7">
        <v>577</v>
      </c>
      <c r="H49" s="8">
        <v>499</v>
      </c>
      <c r="J49" t="s">
        <v>23</v>
      </c>
      <c r="K49" s="7">
        <v>876</v>
      </c>
      <c r="L49" s="9">
        <v>-1</v>
      </c>
      <c r="M49" t="s">
        <v>105</v>
      </c>
      <c r="N49" t="s">
        <v>106</v>
      </c>
      <c r="O49" s="27" t="str">
        <f>HYPERLINK("https://www.ncbi.nlm.nih.gov/nuccore/NZ_CP020042.1?report=graph&amp;from=3758221&amp;to=3758225", "TTA_codon")</f>
        <v>TTA_codon</v>
      </c>
    </row>
    <row r="50" spans="1:16" x14ac:dyDescent="0.15">
      <c r="A50" t="s">
        <v>21</v>
      </c>
      <c r="B50">
        <v>1000167</v>
      </c>
      <c r="C50">
        <v>364539</v>
      </c>
      <c r="F50" s="7">
        <v>1</v>
      </c>
      <c r="G50" s="7">
        <v>208</v>
      </c>
      <c r="H50" s="8">
        <v>172</v>
      </c>
      <c r="J50" t="s">
        <v>23</v>
      </c>
      <c r="K50" s="7">
        <v>849</v>
      </c>
      <c r="L50" s="9">
        <v>-1</v>
      </c>
      <c r="M50" t="s">
        <v>107</v>
      </c>
      <c r="N50" t="s">
        <v>108</v>
      </c>
      <c r="O50" s="27" t="str">
        <f>HYPERLINK("https://www.ncbi.nlm.nih.gov/nuccore/NZ_MUMD01000377.1?report=graph&amp;from=5509&amp;to=5513", "TTA_codon")</f>
        <v>TTA_codon</v>
      </c>
    </row>
    <row r="51" spans="1:16" x14ac:dyDescent="0.15">
      <c r="A51" t="s">
        <v>21</v>
      </c>
      <c r="B51">
        <v>1000167</v>
      </c>
      <c r="C51">
        <v>364652</v>
      </c>
      <c r="F51" s="7">
        <v>1</v>
      </c>
      <c r="G51" s="7">
        <v>208</v>
      </c>
      <c r="H51" s="8">
        <v>172</v>
      </c>
      <c r="J51" t="s">
        <v>23</v>
      </c>
      <c r="K51" s="7">
        <v>846</v>
      </c>
      <c r="L51" s="9">
        <v>-1</v>
      </c>
      <c r="M51" t="s">
        <v>109</v>
      </c>
      <c r="N51" t="s">
        <v>110</v>
      </c>
      <c r="O51" s="27" t="str">
        <f>HYPERLINK("https://www.ncbi.nlm.nih.gov/nuccore/NZ_MUME01000275.1?report=graph&amp;from=5589&amp;to=5593", "TTA_codon")</f>
        <v>TTA_codon</v>
      </c>
    </row>
    <row r="52" spans="1:16" x14ac:dyDescent="0.15">
      <c r="A52" t="s">
        <v>21</v>
      </c>
      <c r="B52">
        <v>1000167</v>
      </c>
      <c r="C52">
        <v>364974</v>
      </c>
      <c r="F52" s="7">
        <v>1</v>
      </c>
      <c r="G52" s="7">
        <v>397</v>
      </c>
      <c r="H52" s="8">
        <v>349</v>
      </c>
      <c r="J52" t="s">
        <v>23</v>
      </c>
      <c r="K52" s="7">
        <v>855</v>
      </c>
      <c r="L52" s="9">
        <v>-1</v>
      </c>
      <c r="M52" t="s">
        <v>111</v>
      </c>
      <c r="N52" t="s">
        <v>112</v>
      </c>
      <c r="O52" s="27" t="str">
        <f>HYPERLINK("https://www.ncbi.nlm.nih.gov/nuccore/NZ_CP021744.1?report=graph&amp;from=6633538&amp;to=6633542", "TTA_codon")</f>
        <v>TTA_codon</v>
      </c>
    </row>
    <row r="53" spans="1:16" x14ac:dyDescent="0.15">
      <c r="A53" t="s">
        <v>21</v>
      </c>
      <c r="B53">
        <v>1000167</v>
      </c>
      <c r="C53">
        <v>365417</v>
      </c>
      <c r="F53" s="7">
        <v>1</v>
      </c>
      <c r="G53" s="7">
        <v>202</v>
      </c>
      <c r="H53" s="8">
        <v>172</v>
      </c>
      <c r="J53" t="s">
        <v>23</v>
      </c>
      <c r="K53" s="7">
        <v>840</v>
      </c>
      <c r="L53" s="9">
        <v>-1</v>
      </c>
      <c r="M53" t="s">
        <v>113</v>
      </c>
      <c r="N53" t="s">
        <v>45</v>
      </c>
      <c r="O53" s="27" t="str">
        <f>HYPERLINK("https://www.ncbi.nlm.nih.gov/nuccore/NZ_FNIE01000005.1?report=graph&amp;from=51873&amp;to=51877", "TTA_codon")</f>
        <v>TTA_codon</v>
      </c>
    </row>
    <row r="54" spans="1:16" x14ac:dyDescent="0.15">
      <c r="A54" t="s">
        <v>21</v>
      </c>
      <c r="B54">
        <v>1000167</v>
      </c>
      <c r="C54">
        <v>365910</v>
      </c>
      <c r="F54" s="7">
        <v>1</v>
      </c>
      <c r="G54" s="7">
        <v>202</v>
      </c>
      <c r="H54" s="8">
        <v>172</v>
      </c>
      <c r="J54" t="s">
        <v>23</v>
      </c>
      <c r="K54" s="7">
        <v>840</v>
      </c>
      <c r="L54" s="9">
        <v>-1</v>
      </c>
      <c r="M54" t="s">
        <v>114</v>
      </c>
      <c r="N54" t="s">
        <v>115</v>
      </c>
      <c r="O54" s="27" t="str">
        <f>HYPERLINK("https://www.ncbi.nlm.nih.gov/nuccore/NZ_FODD01000003.1?report=graph&amp;from=327632&amp;to=327636", "TTA_codon")</f>
        <v>TTA_codon</v>
      </c>
    </row>
    <row r="55" spans="1:16" s="33" customFormat="1" x14ac:dyDescent="0.15">
      <c r="A55" s="28" t="s">
        <v>21</v>
      </c>
      <c r="B55" s="28" t="s">
        <v>116</v>
      </c>
      <c r="C55" s="28"/>
      <c r="D55" s="28"/>
      <c r="E55" s="28"/>
      <c r="F55" s="29"/>
      <c r="G55" s="29"/>
      <c r="H55" s="30"/>
      <c r="I55" s="28"/>
      <c r="J55" s="28"/>
      <c r="K55" s="29"/>
      <c r="L55" s="31"/>
      <c r="M55" s="28"/>
      <c r="N55" s="28"/>
      <c r="O55" s="32"/>
      <c r="P55" s="29"/>
    </row>
    <row r="56" spans="1:16" x14ac:dyDescent="0.15">
      <c r="A56" t="s">
        <v>21</v>
      </c>
      <c r="B56">
        <v>1000662</v>
      </c>
      <c r="C56">
        <v>350701</v>
      </c>
      <c r="F56" s="7">
        <v>1</v>
      </c>
      <c r="G56" s="7">
        <v>226</v>
      </c>
      <c r="H56" s="8">
        <v>223</v>
      </c>
      <c r="J56" t="s">
        <v>23</v>
      </c>
      <c r="K56" s="7">
        <v>459</v>
      </c>
      <c r="L56" s="9">
        <v>-1</v>
      </c>
      <c r="M56" t="s">
        <v>117</v>
      </c>
      <c r="N56" t="s">
        <v>51</v>
      </c>
      <c r="O56" s="27" t="str">
        <f>HYPERLINK("https://www.ncbi.nlm.nih.gov/nuccore/NZ_AEJB01000490.1?report=graph&amp;from=2567&amp;to=2571", "TTA_codon")</f>
        <v>TTA_codon</v>
      </c>
    </row>
    <row r="57" spans="1:16" x14ac:dyDescent="0.15">
      <c r="A57" t="s">
        <v>21</v>
      </c>
      <c r="B57">
        <v>1000662</v>
      </c>
      <c r="C57">
        <v>358050</v>
      </c>
      <c r="F57" s="7">
        <v>1</v>
      </c>
      <c r="G57" s="7">
        <v>226</v>
      </c>
      <c r="H57" s="8">
        <v>178</v>
      </c>
      <c r="J57" t="s">
        <v>23</v>
      </c>
      <c r="K57" s="7">
        <v>414</v>
      </c>
      <c r="L57" s="9">
        <v>-1</v>
      </c>
      <c r="M57" t="s">
        <v>118</v>
      </c>
      <c r="N57" t="s">
        <v>119</v>
      </c>
      <c r="O57" s="27" t="str">
        <f>HYPERLINK("https://www.ncbi.nlm.nih.gov/nuccore/NZ_LIPP01000368.1?report=graph&amp;from=2392&amp;to=2396", "TTA_codon")</f>
        <v>TTA_codon</v>
      </c>
    </row>
    <row r="58" spans="1:16" x14ac:dyDescent="0.15">
      <c r="A58" t="s">
        <v>21</v>
      </c>
      <c r="B58">
        <v>1000662</v>
      </c>
      <c r="C58">
        <v>359799</v>
      </c>
      <c r="F58" s="7">
        <v>1</v>
      </c>
      <c r="G58" s="7">
        <v>226</v>
      </c>
      <c r="H58" s="8">
        <v>172</v>
      </c>
      <c r="J58" t="s">
        <v>23</v>
      </c>
      <c r="K58" s="7">
        <v>408</v>
      </c>
      <c r="L58" s="9">
        <v>-1</v>
      </c>
      <c r="M58" t="s">
        <v>120</v>
      </c>
      <c r="N58" t="s">
        <v>91</v>
      </c>
      <c r="O58" s="27" t="str">
        <f>HYPERLINK("https://www.ncbi.nlm.nih.gov/nuccore/NZ_KQ948310.1?report=graph&amp;from=281483&amp;to=281487", "TTA_codon")</f>
        <v>TTA_codon</v>
      </c>
    </row>
    <row r="59" spans="1:16" x14ac:dyDescent="0.15">
      <c r="A59" t="s">
        <v>21</v>
      </c>
      <c r="B59">
        <v>1000662</v>
      </c>
      <c r="C59">
        <v>360329</v>
      </c>
      <c r="F59" s="7">
        <v>1</v>
      </c>
      <c r="G59" s="7">
        <v>226</v>
      </c>
      <c r="H59" s="8">
        <v>166</v>
      </c>
      <c r="J59" t="s">
        <v>23</v>
      </c>
      <c r="K59" s="7">
        <v>402</v>
      </c>
      <c r="L59" s="9">
        <v>-1</v>
      </c>
      <c r="M59" t="s">
        <v>121</v>
      </c>
      <c r="N59" t="s">
        <v>122</v>
      </c>
      <c r="O59" s="27" t="str">
        <f>HYPERLINK("https://www.ncbi.nlm.nih.gov/nuccore/NZ_CP016279.1?report=graph&amp;from=8030171&amp;to=8030175", "TTA_codon")</f>
        <v>TTA_codon</v>
      </c>
    </row>
    <row r="60" spans="1:16" x14ac:dyDescent="0.15">
      <c r="A60" t="s">
        <v>21</v>
      </c>
      <c r="B60">
        <v>1000662</v>
      </c>
      <c r="C60">
        <v>361061</v>
      </c>
      <c r="F60" s="7">
        <v>1</v>
      </c>
      <c r="G60" s="7">
        <v>226</v>
      </c>
      <c r="H60" s="8">
        <v>169</v>
      </c>
      <c r="J60" t="s">
        <v>23</v>
      </c>
      <c r="K60" s="7">
        <v>405</v>
      </c>
      <c r="L60" s="9">
        <v>-1</v>
      </c>
      <c r="M60" t="s">
        <v>98</v>
      </c>
      <c r="N60" t="s">
        <v>99</v>
      </c>
      <c r="O60" s="27" t="str">
        <f>HYPERLINK("https://www.ncbi.nlm.nih.gov/nuccore/NZ_CP016438.1?report=graph&amp;from=2198409&amp;to=2198413", "TTA_codon")</f>
        <v>TTA_codon</v>
      </c>
    </row>
    <row r="61" spans="1:16" s="33" customFormat="1" x14ac:dyDescent="0.15">
      <c r="A61" s="28" t="s">
        <v>21</v>
      </c>
      <c r="B61" s="28" t="s">
        <v>123</v>
      </c>
      <c r="C61" s="28"/>
      <c r="D61" s="28"/>
      <c r="E61" s="28"/>
      <c r="F61" s="29"/>
      <c r="G61" s="29"/>
      <c r="H61" s="30"/>
      <c r="I61" s="28"/>
      <c r="J61" s="28"/>
      <c r="K61" s="29"/>
      <c r="L61" s="31"/>
      <c r="M61" s="28"/>
      <c r="N61" s="28"/>
      <c r="O61" s="32"/>
      <c r="P61" s="29"/>
    </row>
    <row r="62" spans="1:16" x14ac:dyDescent="0.15">
      <c r="A62" t="s">
        <v>21</v>
      </c>
      <c r="B62">
        <v>1001331</v>
      </c>
      <c r="C62">
        <v>360088</v>
      </c>
      <c r="F62" s="7">
        <v>1</v>
      </c>
      <c r="G62" s="7">
        <v>1102</v>
      </c>
      <c r="H62" s="8">
        <v>1015</v>
      </c>
      <c r="J62" t="s">
        <v>23</v>
      </c>
      <c r="K62" s="7">
        <v>1299</v>
      </c>
      <c r="L62" s="9">
        <v>1</v>
      </c>
      <c r="M62" t="s">
        <v>124</v>
      </c>
      <c r="N62" t="s">
        <v>125</v>
      </c>
      <c r="O62" s="27" t="str">
        <f>HYPERLINK("https://www.ncbi.nlm.nih.gov/nuccore/NZ_KQ948455.1?report=graph&amp;from=485065&amp;to=485069", "TTA_codon")</f>
        <v>TTA_codon</v>
      </c>
    </row>
    <row r="63" spans="1:16" x14ac:dyDescent="0.15">
      <c r="A63" t="s">
        <v>21</v>
      </c>
      <c r="B63">
        <v>1001331</v>
      </c>
      <c r="C63">
        <v>364823</v>
      </c>
      <c r="F63" s="7">
        <v>1</v>
      </c>
      <c r="G63" s="7">
        <v>1117</v>
      </c>
      <c r="H63" s="8">
        <v>1072</v>
      </c>
      <c r="J63" t="s">
        <v>23</v>
      </c>
      <c r="K63" s="7">
        <v>1386</v>
      </c>
      <c r="L63" s="9">
        <v>1</v>
      </c>
      <c r="M63" t="s">
        <v>126</v>
      </c>
      <c r="N63" t="s">
        <v>127</v>
      </c>
      <c r="O63" s="27" t="str">
        <f>HYPERLINK("https://www.ncbi.nlm.nih.gov/nuccore/NZ_CP021748.1?report=graph&amp;from=3282259&amp;to=3282263", "TTA_codon")</f>
        <v>TTA_codon</v>
      </c>
    </row>
    <row r="64" spans="1:16" x14ac:dyDescent="0.15">
      <c r="A64" t="s">
        <v>21</v>
      </c>
      <c r="B64">
        <v>1001331</v>
      </c>
      <c r="C64">
        <v>365346</v>
      </c>
      <c r="F64" s="7">
        <v>1</v>
      </c>
      <c r="G64" s="7">
        <v>1198</v>
      </c>
      <c r="H64" s="8">
        <v>1090</v>
      </c>
      <c r="J64" t="s">
        <v>23</v>
      </c>
      <c r="K64" s="7">
        <v>1275</v>
      </c>
      <c r="L64" s="9">
        <v>1</v>
      </c>
      <c r="M64" t="s">
        <v>128</v>
      </c>
      <c r="N64" t="s">
        <v>129</v>
      </c>
      <c r="O64" s="27" t="str">
        <f>HYPERLINK("https://www.ncbi.nlm.nih.gov/nuccore/NZ_FNHI01000040.1?report=graph&amp;from=7701&amp;to=7705", "TTA_codon")</f>
        <v>TTA_codon</v>
      </c>
    </row>
    <row r="65" spans="1:16" s="33" customFormat="1" x14ac:dyDescent="0.15">
      <c r="A65" s="28" t="s">
        <v>21</v>
      </c>
      <c r="B65" s="28" t="s">
        <v>130</v>
      </c>
      <c r="C65" s="28"/>
      <c r="D65" s="28"/>
      <c r="E65" s="28"/>
      <c r="F65" s="29"/>
      <c r="G65" s="29"/>
      <c r="H65" s="30"/>
      <c r="I65" s="28"/>
      <c r="J65" s="28"/>
      <c r="K65" s="29"/>
      <c r="L65" s="31"/>
      <c r="M65" s="28"/>
      <c r="N65" s="28"/>
      <c r="O65" s="32"/>
      <c r="P65" s="29"/>
    </row>
    <row r="66" spans="1:16" x14ac:dyDescent="0.15">
      <c r="A66" t="s">
        <v>21</v>
      </c>
      <c r="B66">
        <v>1001439</v>
      </c>
      <c r="C66">
        <v>347222</v>
      </c>
      <c r="F66" s="7">
        <v>1</v>
      </c>
      <c r="G66" s="7">
        <v>1495</v>
      </c>
      <c r="H66" s="8">
        <v>925</v>
      </c>
      <c r="J66" t="s">
        <v>23</v>
      </c>
      <c r="K66" s="7">
        <v>2805</v>
      </c>
      <c r="L66" s="9">
        <v>-1</v>
      </c>
      <c r="M66" t="s">
        <v>53</v>
      </c>
      <c r="N66" t="s">
        <v>54</v>
      </c>
      <c r="O66" s="27" t="str">
        <f>HYPERLINK("https://www.ncbi.nlm.nih.gov/nuccore/NC_003155.5?report=graph&amp;from=3632259&amp;to=3632263", "TTA_codon")</f>
        <v>TTA_codon</v>
      </c>
    </row>
    <row r="67" spans="1:16" x14ac:dyDescent="0.15">
      <c r="A67" t="s">
        <v>21</v>
      </c>
      <c r="B67">
        <v>1001439</v>
      </c>
      <c r="C67">
        <v>347742</v>
      </c>
      <c r="F67" s="7">
        <v>4</v>
      </c>
      <c r="G67" s="7" t="s">
        <v>131</v>
      </c>
      <c r="H67" s="8" t="s">
        <v>132</v>
      </c>
      <c r="J67" t="s">
        <v>23</v>
      </c>
      <c r="K67" s="7">
        <v>2757</v>
      </c>
      <c r="L67" s="9">
        <v>-1</v>
      </c>
      <c r="M67" t="s">
        <v>57</v>
      </c>
      <c r="N67" t="s">
        <v>58</v>
      </c>
      <c r="O67" s="27" t="str">
        <f>HYPERLINK("https://www.ncbi.nlm.nih.gov/nuccore/NC_013929.1?report=graph&amp;from=9304386&amp;to=9306718", "TTA_codon")</f>
        <v>TTA_codon</v>
      </c>
    </row>
    <row r="68" spans="1:16" x14ac:dyDescent="0.15">
      <c r="A68" t="s">
        <v>21</v>
      </c>
      <c r="B68">
        <v>1001439</v>
      </c>
      <c r="C68">
        <v>347964</v>
      </c>
      <c r="F68" s="7">
        <v>1</v>
      </c>
      <c r="G68" s="7">
        <v>3232</v>
      </c>
      <c r="H68" s="8">
        <v>2500</v>
      </c>
      <c r="J68" t="s">
        <v>23</v>
      </c>
      <c r="K68" s="7">
        <v>2880</v>
      </c>
      <c r="L68" s="9">
        <v>-1</v>
      </c>
      <c r="M68" t="s">
        <v>59</v>
      </c>
      <c r="N68" t="s">
        <v>60</v>
      </c>
      <c r="O68" s="27" t="str">
        <f>HYPERLINK("https://www.ncbi.nlm.nih.gov/nuccore/NC_016582.1?report=graph&amp;from=1081685&amp;to=1081689", "TTA_codon")</f>
        <v>TTA_codon</v>
      </c>
    </row>
    <row r="69" spans="1:16" x14ac:dyDescent="0.15">
      <c r="A69" t="s">
        <v>21</v>
      </c>
      <c r="B69">
        <v>1001439</v>
      </c>
      <c r="C69">
        <v>350470</v>
      </c>
      <c r="F69" s="7">
        <v>1</v>
      </c>
      <c r="G69" s="7">
        <v>574</v>
      </c>
      <c r="H69" s="8">
        <v>121</v>
      </c>
      <c r="J69" t="s">
        <v>23</v>
      </c>
      <c r="K69" s="7">
        <v>2748</v>
      </c>
      <c r="L69" s="9">
        <v>-1</v>
      </c>
      <c r="M69" t="s">
        <v>133</v>
      </c>
      <c r="N69" t="s">
        <v>134</v>
      </c>
      <c r="O69" s="27" t="str">
        <f>HYPERLINK("https://www.ncbi.nlm.nih.gov/nuccore/NZ_AJSZ01000222.1?report=graph&amp;from=27168&amp;to=27172", "TTA_codon")</f>
        <v>TTA_codon</v>
      </c>
    </row>
    <row r="70" spans="1:16" x14ac:dyDescent="0.15">
      <c r="A70" t="s">
        <v>21</v>
      </c>
      <c r="B70">
        <v>1001439</v>
      </c>
      <c r="C70">
        <v>351003</v>
      </c>
      <c r="F70" s="7">
        <v>1</v>
      </c>
      <c r="G70" s="7">
        <v>496</v>
      </c>
      <c r="H70" s="8">
        <v>97</v>
      </c>
      <c r="J70" t="s">
        <v>23</v>
      </c>
      <c r="K70" s="7">
        <v>2952</v>
      </c>
      <c r="L70" s="9">
        <v>-1</v>
      </c>
      <c r="M70" t="s">
        <v>135</v>
      </c>
      <c r="N70" t="s">
        <v>136</v>
      </c>
      <c r="O70" s="27" t="str">
        <f>HYPERLINK("https://www.ncbi.nlm.nih.gov/nuccore/NZ_AORZ01000123.1?report=graph&amp;from=15134&amp;to=15138", "TTA_codon")</f>
        <v>TTA_codon</v>
      </c>
    </row>
    <row r="71" spans="1:16" x14ac:dyDescent="0.15">
      <c r="A71" t="s">
        <v>21</v>
      </c>
      <c r="B71">
        <v>1001439</v>
      </c>
      <c r="C71">
        <v>351485</v>
      </c>
      <c r="F71" s="7">
        <v>1</v>
      </c>
      <c r="G71" s="7">
        <v>1360</v>
      </c>
      <c r="H71" s="8">
        <v>667</v>
      </c>
      <c r="J71" t="s">
        <v>23</v>
      </c>
      <c r="K71" s="7">
        <v>2640</v>
      </c>
      <c r="L71" s="9">
        <v>-1</v>
      </c>
      <c r="M71" t="s">
        <v>137</v>
      </c>
      <c r="N71" t="s">
        <v>138</v>
      </c>
      <c r="O71" s="27" t="str">
        <f>HYPERLINK("https://www.ncbi.nlm.nih.gov/nuccore/NZ_KB889718.1?report=graph&amp;from=9880&amp;to=9884", "TTA_codon")</f>
        <v>TTA_codon</v>
      </c>
    </row>
    <row r="72" spans="1:16" x14ac:dyDescent="0.15">
      <c r="A72" t="s">
        <v>21</v>
      </c>
      <c r="B72">
        <v>1001439</v>
      </c>
      <c r="C72">
        <v>353549</v>
      </c>
      <c r="F72" s="7">
        <v>1</v>
      </c>
      <c r="G72" s="7">
        <v>3115</v>
      </c>
      <c r="H72" s="8">
        <v>2296</v>
      </c>
      <c r="J72" t="s">
        <v>23</v>
      </c>
      <c r="K72" s="7">
        <v>2889</v>
      </c>
      <c r="L72" s="9">
        <v>-1</v>
      </c>
      <c r="M72" t="s">
        <v>139</v>
      </c>
      <c r="N72" t="s">
        <v>140</v>
      </c>
      <c r="O72" s="27" t="str">
        <f>HYPERLINK("https://www.ncbi.nlm.nih.gov/nuccore/NZ_JNXG01000020.1?report=graph&amp;from=117556&amp;to=117560", "TTA_codon")</f>
        <v>TTA_codon</v>
      </c>
    </row>
    <row r="73" spans="1:16" x14ac:dyDescent="0.15">
      <c r="A73" t="s">
        <v>21</v>
      </c>
      <c r="B73">
        <v>1001439</v>
      </c>
      <c r="C73">
        <v>354269</v>
      </c>
      <c r="F73" s="7">
        <v>1</v>
      </c>
      <c r="G73" s="7">
        <v>2020</v>
      </c>
      <c r="H73" s="8">
        <v>1390</v>
      </c>
      <c r="J73" t="s">
        <v>23</v>
      </c>
      <c r="K73" s="7">
        <v>2724</v>
      </c>
      <c r="L73" s="9">
        <v>-1</v>
      </c>
      <c r="M73" t="s">
        <v>141</v>
      </c>
      <c r="N73" t="s">
        <v>142</v>
      </c>
      <c r="O73" s="27" t="str">
        <f>HYPERLINK("https://www.ncbi.nlm.nih.gov/nuccore/NZ_JOEI01000002.1?report=graph&amp;from=306654&amp;to=306658", "TTA_codon")</f>
        <v>TTA_codon</v>
      </c>
    </row>
    <row r="74" spans="1:16" x14ac:dyDescent="0.15">
      <c r="A74" t="s">
        <v>21</v>
      </c>
      <c r="B74">
        <v>1001439</v>
      </c>
      <c r="C74">
        <v>355999</v>
      </c>
      <c r="F74" s="7">
        <v>2</v>
      </c>
      <c r="G74" s="7" t="s">
        <v>143</v>
      </c>
      <c r="H74" s="8" t="s">
        <v>144</v>
      </c>
      <c r="J74" t="s">
        <v>23</v>
      </c>
      <c r="K74" s="7">
        <v>2964</v>
      </c>
      <c r="L74" s="9">
        <v>-1</v>
      </c>
      <c r="M74" t="s">
        <v>145</v>
      </c>
      <c r="N74" t="s">
        <v>146</v>
      </c>
      <c r="O74" s="27" t="str">
        <f>HYPERLINK("https://www.ncbi.nlm.nih.gov/nuccore/NZ_JOFH01000035.1?report=graph&amp;from=111942&amp;to=112267", "TTA_codon")</f>
        <v>TTA_codon</v>
      </c>
    </row>
    <row r="75" spans="1:16" x14ac:dyDescent="0.15">
      <c r="A75" t="s">
        <v>21</v>
      </c>
      <c r="B75">
        <v>1001439</v>
      </c>
      <c r="C75">
        <v>356654</v>
      </c>
      <c r="F75" s="7">
        <v>1</v>
      </c>
      <c r="G75" s="7">
        <v>787</v>
      </c>
      <c r="H75" s="8">
        <v>256</v>
      </c>
      <c r="J75" t="s">
        <v>23</v>
      </c>
      <c r="K75" s="7">
        <v>2763</v>
      </c>
      <c r="L75" s="9">
        <v>-1</v>
      </c>
      <c r="M75" t="s">
        <v>147</v>
      </c>
      <c r="N75" t="s">
        <v>148</v>
      </c>
      <c r="O75" s="27" t="str">
        <f>HYPERLINK("https://www.ncbi.nlm.nih.gov/nuccore/NZ_CP021080.1?report=graph&amp;from=7250611&amp;to=7250615", "TTA_codon")</f>
        <v>TTA_codon</v>
      </c>
    </row>
    <row r="76" spans="1:16" x14ac:dyDescent="0.15">
      <c r="A76" t="s">
        <v>21</v>
      </c>
      <c r="B76">
        <v>1001439</v>
      </c>
      <c r="C76">
        <v>359424</v>
      </c>
      <c r="F76" s="7">
        <v>3</v>
      </c>
      <c r="G76" s="7" t="s">
        <v>149</v>
      </c>
      <c r="H76" s="8" t="s">
        <v>150</v>
      </c>
      <c r="J76" t="s">
        <v>23</v>
      </c>
      <c r="K76" s="7">
        <v>2772</v>
      </c>
      <c r="L76" s="9">
        <v>-1</v>
      </c>
      <c r="M76" t="s">
        <v>151</v>
      </c>
      <c r="N76" t="s">
        <v>152</v>
      </c>
      <c r="O76" s="27" t="str">
        <f>HYPERLINK("https://www.ncbi.nlm.nih.gov/nuccore/NZ_CP013129.1?report=graph&amp;from=5575425&amp;to=5575963", "TTA_codon")</f>
        <v>TTA_codon</v>
      </c>
    </row>
    <row r="77" spans="1:16" x14ac:dyDescent="0.15">
      <c r="A77" t="s">
        <v>21</v>
      </c>
      <c r="B77">
        <v>1001439</v>
      </c>
      <c r="C77">
        <v>362794</v>
      </c>
      <c r="F77" s="7">
        <v>5</v>
      </c>
      <c r="G77" s="7" t="s">
        <v>153</v>
      </c>
      <c r="H77" s="8" t="s">
        <v>154</v>
      </c>
      <c r="J77" t="s">
        <v>23</v>
      </c>
      <c r="K77" s="7">
        <v>2802</v>
      </c>
      <c r="L77" s="9">
        <v>-1</v>
      </c>
      <c r="M77" t="s">
        <v>155</v>
      </c>
      <c r="N77" t="s">
        <v>156</v>
      </c>
      <c r="O77" s="27" t="str">
        <f>HYPERLINK("https://www.ncbi.nlm.nih.gov/nuccore/NZ_LJGW01000725.1?report=graph&amp;from=9044&amp;to=11214", "TTA_codon")</f>
        <v>TTA_codon</v>
      </c>
    </row>
    <row r="78" spans="1:16" x14ac:dyDescent="0.15">
      <c r="A78" t="s">
        <v>21</v>
      </c>
      <c r="B78">
        <v>1001439</v>
      </c>
      <c r="C78">
        <v>363424</v>
      </c>
      <c r="F78" s="7">
        <v>1</v>
      </c>
      <c r="G78" s="7">
        <v>1075</v>
      </c>
      <c r="H78" s="8">
        <v>544</v>
      </c>
      <c r="J78" t="s">
        <v>23</v>
      </c>
      <c r="K78" s="7">
        <v>2925</v>
      </c>
      <c r="L78" s="9">
        <v>-1</v>
      </c>
      <c r="M78" t="s">
        <v>157</v>
      </c>
      <c r="N78" t="s">
        <v>158</v>
      </c>
      <c r="O78" s="27" t="str">
        <f>HYPERLINK("https://www.ncbi.nlm.nih.gov/nuccore/NZ_CP015588.1?report=graph&amp;from=1149209&amp;to=1149213", "TTA_codon")</f>
        <v>TTA_codon</v>
      </c>
    </row>
    <row r="79" spans="1:16" x14ac:dyDescent="0.15">
      <c r="A79" t="s">
        <v>21</v>
      </c>
      <c r="B79">
        <v>1001439</v>
      </c>
      <c r="C79">
        <v>363559</v>
      </c>
      <c r="F79" s="7">
        <v>1</v>
      </c>
      <c r="G79" s="7">
        <v>772</v>
      </c>
      <c r="H79" s="8">
        <v>661</v>
      </c>
      <c r="J79" t="s">
        <v>23</v>
      </c>
      <c r="K79" s="7">
        <v>3093</v>
      </c>
      <c r="L79" s="9">
        <v>-1</v>
      </c>
      <c r="M79" t="s">
        <v>101</v>
      </c>
      <c r="N79" t="s">
        <v>102</v>
      </c>
      <c r="O79" s="27" t="str">
        <f>HYPERLINK("https://www.ncbi.nlm.nih.gov/nuccore/NZ_CP019458.1?report=graph&amp;from=1602919&amp;to=1602923", "TTA_codon")</f>
        <v>TTA_codon</v>
      </c>
    </row>
    <row r="80" spans="1:16" x14ac:dyDescent="0.15">
      <c r="A80" t="s">
        <v>21</v>
      </c>
      <c r="B80">
        <v>1001439</v>
      </c>
      <c r="C80">
        <v>363560</v>
      </c>
      <c r="F80" s="7">
        <v>4</v>
      </c>
      <c r="G80" s="7" t="s">
        <v>159</v>
      </c>
      <c r="H80" s="8" t="s">
        <v>160</v>
      </c>
      <c r="J80" t="s">
        <v>23</v>
      </c>
      <c r="K80" s="7">
        <v>2931</v>
      </c>
      <c r="L80" s="9">
        <v>-1</v>
      </c>
      <c r="M80" t="s">
        <v>101</v>
      </c>
      <c r="N80" t="s">
        <v>102</v>
      </c>
      <c r="O80" s="27" t="str">
        <f>HYPERLINK("https://www.ncbi.nlm.nih.gov/nuccore/NZ_CP019458.1?report=graph&amp;from=2147241&amp;to=2149054", "TTA_codon")</f>
        <v>TTA_codon</v>
      </c>
    </row>
    <row r="81" spans="1:16" x14ac:dyDescent="0.15">
      <c r="A81" t="s">
        <v>21</v>
      </c>
      <c r="B81">
        <v>1001439</v>
      </c>
      <c r="C81">
        <v>363561</v>
      </c>
      <c r="F81" s="7">
        <v>1</v>
      </c>
      <c r="G81" s="7">
        <v>1825</v>
      </c>
      <c r="H81" s="8">
        <v>1204</v>
      </c>
      <c r="J81" t="s">
        <v>23</v>
      </c>
      <c r="K81" s="7">
        <v>2769</v>
      </c>
      <c r="L81" s="9">
        <v>-1</v>
      </c>
      <c r="M81" t="s">
        <v>101</v>
      </c>
      <c r="N81" t="s">
        <v>102</v>
      </c>
      <c r="O81" s="27" t="str">
        <f>HYPERLINK("https://www.ncbi.nlm.nih.gov/nuccore/NZ_CP019458.1?report=graph&amp;from=2142068&amp;to=2142072", "TTA_codon")</f>
        <v>TTA_codon</v>
      </c>
    </row>
    <row r="82" spans="1:16" s="33" customFormat="1" x14ac:dyDescent="0.15">
      <c r="A82" s="28" t="s">
        <v>21</v>
      </c>
      <c r="B82" s="28" t="s">
        <v>161</v>
      </c>
      <c r="C82" s="28"/>
      <c r="D82" s="28"/>
      <c r="E82" s="28"/>
      <c r="F82" s="29"/>
      <c r="G82" s="29"/>
      <c r="H82" s="30"/>
      <c r="I82" s="28"/>
      <c r="J82" s="28"/>
      <c r="K82" s="29"/>
      <c r="L82" s="31"/>
      <c r="M82" s="28"/>
      <c r="N82" s="28"/>
      <c r="O82" s="32"/>
      <c r="P82" s="29"/>
    </row>
    <row r="83" spans="1:16" x14ac:dyDescent="0.15">
      <c r="A83" t="s">
        <v>21</v>
      </c>
      <c r="B83">
        <v>1001353</v>
      </c>
      <c r="C83">
        <v>357011</v>
      </c>
      <c r="F83" s="7">
        <v>1</v>
      </c>
      <c r="G83" s="7">
        <v>220</v>
      </c>
      <c r="H83" s="8">
        <v>205</v>
      </c>
      <c r="J83" t="s">
        <v>23</v>
      </c>
      <c r="K83" s="7">
        <v>1140</v>
      </c>
      <c r="L83" s="9">
        <v>1</v>
      </c>
      <c r="M83" t="s">
        <v>162</v>
      </c>
      <c r="N83" t="s">
        <v>163</v>
      </c>
      <c r="O83" s="27" t="str">
        <f>HYPERLINK("https://www.ncbi.nlm.nih.gov/nuccore/NZ_CP010519.1?report=graph&amp;from=3252786&amp;to=3252790", "TTA_codon")</f>
        <v>TTA_codon</v>
      </c>
    </row>
    <row r="84" spans="1:16" x14ac:dyDescent="0.15">
      <c r="A84" t="s">
        <v>21</v>
      </c>
      <c r="B84">
        <v>1001353</v>
      </c>
      <c r="C84">
        <v>360917</v>
      </c>
      <c r="F84" s="7">
        <v>1</v>
      </c>
      <c r="G84" s="7">
        <v>94</v>
      </c>
      <c r="H84" s="8">
        <v>94</v>
      </c>
      <c r="J84" t="s">
        <v>23</v>
      </c>
      <c r="K84" s="7">
        <v>1083</v>
      </c>
      <c r="L84" s="9">
        <v>1</v>
      </c>
      <c r="M84" t="s">
        <v>164</v>
      </c>
      <c r="N84" t="s">
        <v>97</v>
      </c>
      <c r="O84" s="27" t="str">
        <f>HYPERLINK("https://www.ncbi.nlm.nih.gov/nuccore/NZ_LOHS01000134.1?report=graph&amp;from=17757&amp;to=17761", "TTA_codon")</f>
        <v>TTA_codon</v>
      </c>
    </row>
    <row r="85" spans="1:16" s="33" customFormat="1" x14ac:dyDescent="0.15">
      <c r="A85" s="28" t="s">
        <v>21</v>
      </c>
      <c r="B85" s="28" t="s">
        <v>165</v>
      </c>
      <c r="C85" s="28"/>
      <c r="D85" s="28"/>
      <c r="E85" s="28"/>
      <c r="F85" s="29"/>
      <c r="G85" s="29"/>
      <c r="H85" s="30"/>
      <c r="I85" s="28"/>
      <c r="J85" s="28"/>
      <c r="K85" s="29"/>
      <c r="L85" s="31"/>
      <c r="M85" s="28"/>
      <c r="N85" s="28"/>
      <c r="O85" s="32"/>
      <c r="P85" s="29"/>
    </row>
    <row r="86" spans="1:16" x14ac:dyDescent="0.15">
      <c r="A86" t="s">
        <v>21</v>
      </c>
      <c r="B86">
        <v>1000632</v>
      </c>
      <c r="C86">
        <v>350461</v>
      </c>
      <c r="F86" s="7">
        <v>1</v>
      </c>
      <c r="G86" s="7">
        <v>55</v>
      </c>
      <c r="H86" s="8">
        <v>55</v>
      </c>
      <c r="J86" t="s">
        <v>23</v>
      </c>
      <c r="K86" s="7">
        <v>741</v>
      </c>
      <c r="L86" s="9">
        <v>1</v>
      </c>
      <c r="M86" t="s">
        <v>35</v>
      </c>
      <c r="N86" t="s">
        <v>36</v>
      </c>
      <c r="O86" s="27" t="str">
        <f>HYPERLINK("https://www.ncbi.nlm.nih.gov/nuccore/NZ_JH725387.1?report=graph&amp;from=2259382&amp;to=2259386", "TTA_codon")</f>
        <v>TTA_codon</v>
      </c>
    </row>
    <row r="87" spans="1:16" x14ac:dyDescent="0.15">
      <c r="A87" t="s">
        <v>21</v>
      </c>
      <c r="B87">
        <v>1000632</v>
      </c>
      <c r="C87">
        <v>356730</v>
      </c>
      <c r="F87" s="7">
        <v>1</v>
      </c>
      <c r="G87" s="7">
        <v>178</v>
      </c>
      <c r="H87" s="8">
        <v>178</v>
      </c>
      <c r="J87" t="s">
        <v>23</v>
      </c>
      <c r="K87" s="7">
        <v>741</v>
      </c>
      <c r="L87" s="9">
        <v>1</v>
      </c>
      <c r="M87" t="s">
        <v>147</v>
      </c>
      <c r="N87" t="s">
        <v>148</v>
      </c>
      <c r="O87" s="27" t="str">
        <f>HYPERLINK("https://www.ncbi.nlm.nih.gov/nuccore/NZ_CP021080.1?report=graph&amp;from=3807716&amp;to=3807720", "TTA_codon")</f>
        <v>TTA_codon</v>
      </c>
    </row>
    <row r="88" spans="1:16" s="33" customFormat="1" x14ac:dyDescent="0.15">
      <c r="A88" s="28" t="s">
        <v>21</v>
      </c>
      <c r="B88" s="28" t="s">
        <v>166</v>
      </c>
      <c r="C88" s="28"/>
      <c r="D88" s="28"/>
      <c r="E88" s="28"/>
      <c r="F88" s="29"/>
      <c r="G88" s="29"/>
      <c r="H88" s="30"/>
      <c r="I88" s="28"/>
      <c r="J88" s="28"/>
      <c r="K88" s="29"/>
      <c r="L88" s="31"/>
      <c r="M88" s="28"/>
      <c r="N88" s="28"/>
      <c r="O88" s="32"/>
      <c r="P88" s="29"/>
    </row>
    <row r="89" spans="1:16" x14ac:dyDescent="0.15">
      <c r="A89" t="s">
        <v>21</v>
      </c>
      <c r="B89">
        <v>1000282</v>
      </c>
      <c r="C89">
        <v>347810</v>
      </c>
      <c r="F89" s="7">
        <v>1</v>
      </c>
      <c r="G89" s="7">
        <v>211</v>
      </c>
      <c r="H89" s="8">
        <v>181</v>
      </c>
      <c r="J89" t="s">
        <v>23</v>
      </c>
      <c r="K89" s="7">
        <v>1401</v>
      </c>
      <c r="L89" s="9">
        <v>-1</v>
      </c>
      <c r="M89" t="s">
        <v>57</v>
      </c>
      <c r="N89" t="s">
        <v>58</v>
      </c>
      <c r="O89" s="27" t="str">
        <f>HYPERLINK("https://www.ncbi.nlm.nih.gov/nuccore/NC_013929.1?report=graph&amp;from=9500414&amp;to=9500418", "TTA_codon")</f>
        <v>TTA_codon</v>
      </c>
    </row>
    <row r="90" spans="1:16" x14ac:dyDescent="0.15">
      <c r="A90" t="s">
        <v>21</v>
      </c>
      <c r="B90">
        <v>1000282</v>
      </c>
      <c r="C90">
        <v>351815</v>
      </c>
      <c r="F90" s="7">
        <v>1</v>
      </c>
      <c r="G90" s="7">
        <v>1108</v>
      </c>
      <c r="H90" s="8">
        <v>1018</v>
      </c>
      <c r="J90" t="s">
        <v>23</v>
      </c>
      <c r="K90" s="7">
        <v>1413</v>
      </c>
      <c r="L90" s="9">
        <v>-1</v>
      </c>
      <c r="M90" t="s">
        <v>167</v>
      </c>
      <c r="N90" t="s">
        <v>68</v>
      </c>
      <c r="O90" s="27" t="str">
        <f>HYPERLINK("https://www.ncbi.nlm.nih.gov/nuccore/NZ_BARG01000031.1?report=graph&amp;from=187795&amp;to=187799", "TTA_codon")</f>
        <v>TTA_codon</v>
      </c>
    </row>
    <row r="91" spans="1:16" x14ac:dyDescent="0.15">
      <c r="A91" t="s">
        <v>21</v>
      </c>
      <c r="B91">
        <v>1000282</v>
      </c>
      <c r="C91">
        <v>353238</v>
      </c>
      <c r="F91" s="7">
        <v>1</v>
      </c>
      <c r="G91" s="7">
        <v>1108</v>
      </c>
      <c r="H91" s="8">
        <v>1021</v>
      </c>
      <c r="J91" t="s">
        <v>23</v>
      </c>
      <c r="K91" s="7">
        <v>1419</v>
      </c>
      <c r="L91" s="9">
        <v>-1</v>
      </c>
      <c r="M91" t="s">
        <v>168</v>
      </c>
      <c r="N91" t="s">
        <v>169</v>
      </c>
      <c r="O91" s="27" t="str">
        <f>HYPERLINK("https://www.ncbi.nlm.nih.gov/nuccore/NZ_JNWJ01000008.1?report=graph&amp;from=30791&amp;to=30795", "TTA_codon")</f>
        <v>TTA_codon</v>
      </c>
    </row>
    <row r="92" spans="1:16" x14ac:dyDescent="0.15">
      <c r="A92" t="s">
        <v>21</v>
      </c>
      <c r="B92">
        <v>1000282</v>
      </c>
      <c r="C92">
        <v>356200</v>
      </c>
      <c r="F92" s="7">
        <v>1</v>
      </c>
      <c r="G92" s="7">
        <v>1108</v>
      </c>
      <c r="H92" s="8">
        <v>997</v>
      </c>
      <c r="J92" t="s">
        <v>23</v>
      </c>
      <c r="K92" s="7">
        <v>1389</v>
      </c>
      <c r="L92" s="9">
        <v>-1</v>
      </c>
      <c r="M92" t="s">
        <v>170</v>
      </c>
      <c r="N92" t="s">
        <v>77</v>
      </c>
      <c r="O92" s="27" t="str">
        <f>HYPERLINK("https://www.ncbi.nlm.nih.gov/nuccore/NZ_JNXD01000021.1?report=graph&amp;from=33895&amp;to=33899", "TTA_codon")</f>
        <v>TTA_codon</v>
      </c>
    </row>
    <row r="93" spans="1:16" x14ac:dyDescent="0.15">
      <c r="A93" t="s">
        <v>21</v>
      </c>
      <c r="B93">
        <v>1000282</v>
      </c>
      <c r="C93">
        <v>356671</v>
      </c>
      <c r="F93" s="7">
        <v>2</v>
      </c>
      <c r="G93" s="7" t="s">
        <v>171</v>
      </c>
      <c r="H93" s="8" t="s">
        <v>172</v>
      </c>
      <c r="J93" t="s">
        <v>23</v>
      </c>
      <c r="K93" s="7">
        <v>1428</v>
      </c>
      <c r="L93" s="9">
        <v>-1</v>
      </c>
      <c r="M93" t="s">
        <v>147</v>
      </c>
      <c r="N93" t="s">
        <v>148</v>
      </c>
      <c r="O93" s="27" t="str">
        <f>HYPERLINK("https://www.ncbi.nlm.nih.gov/nuccore/NZ_CP021080.1?report=graph&amp;from=6930555&amp;to=6931297", "TTA_codon")</f>
        <v>TTA_codon</v>
      </c>
    </row>
    <row r="94" spans="1:16" x14ac:dyDescent="0.15">
      <c r="A94" t="s">
        <v>21</v>
      </c>
      <c r="B94">
        <v>1000282</v>
      </c>
      <c r="C94">
        <v>357727</v>
      </c>
      <c r="F94" s="7">
        <v>1</v>
      </c>
      <c r="G94" s="7">
        <v>1108</v>
      </c>
      <c r="H94" s="8">
        <v>994</v>
      </c>
      <c r="J94" t="s">
        <v>23</v>
      </c>
      <c r="K94" s="7">
        <v>1392</v>
      </c>
      <c r="L94" s="9">
        <v>-1</v>
      </c>
      <c r="M94" t="s">
        <v>173</v>
      </c>
      <c r="N94" t="s">
        <v>83</v>
      </c>
      <c r="O94" s="27" t="str">
        <f>HYPERLINK("https://www.ncbi.nlm.nih.gov/nuccore/NZ_DF968216.1?report=graph&amp;from=51705&amp;to=51709", "TTA_codon")</f>
        <v>TTA_codon</v>
      </c>
    </row>
    <row r="95" spans="1:16" x14ac:dyDescent="0.15">
      <c r="A95" t="s">
        <v>21</v>
      </c>
      <c r="B95">
        <v>1000282</v>
      </c>
      <c r="C95">
        <v>358387</v>
      </c>
      <c r="F95" s="7">
        <v>1</v>
      </c>
      <c r="G95" s="7">
        <v>1108</v>
      </c>
      <c r="H95" s="8">
        <v>1018</v>
      </c>
      <c r="J95" t="s">
        <v>23</v>
      </c>
      <c r="K95" s="7">
        <v>1410</v>
      </c>
      <c r="L95" s="9">
        <v>-1</v>
      </c>
      <c r="M95" t="s">
        <v>174</v>
      </c>
      <c r="N95" t="s">
        <v>85</v>
      </c>
      <c r="O95" s="27" t="str">
        <f>HYPERLINK("https://www.ncbi.nlm.nih.gov/nuccore/NZ_LIQX01000329.1?report=graph&amp;from=4327&amp;to=4331", "TTA_codon")</f>
        <v>TTA_codon</v>
      </c>
    </row>
    <row r="96" spans="1:16" x14ac:dyDescent="0.15">
      <c r="A96" t="s">
        <v>21</v>
      </c>
      <c r="B96">
        <v>1000282</v>
      </c>
      <c r="C96">
        <v>358832</v>
      </c>
      <c r="F96" s="7">
        <v>1</v>
      </c>
      <c r="G96" s="7">
        <v>1108</v>
      </c>
      <c r="H96" s="8">
        <v>979</v>
      </c>
      <c r="J96" t="s">
        <v>23</v>
      </c>
      <c r="K96" s="7">
        <v>1362</v>
      </c>
      <c r="L96" s="9">
        <v>-1</v>
      </c>
      <c r="M96" t="s">
        <v>175</v>
      </c>
      <c r="N96" t="s">
        <v>87</v>
      </c>
      <c r="O96" s="27" t="str">
        <f>HYPERLINK("https://www.ncbi.nlm.nih.gov/nuccore/NZ_LIQS01000721.1?report=graph&amp;from=3185&amp;to=3189", "TTA_codon")</f>
        <v>TTA_codon</v>
      </c>
    </row>
    <row r="97" spans="1:16" x14ac:dyDescent="0.15">
      <c r="A97" t="s">
        <v>21</v>
      </c>
      <c r="B97">
        <v>1000282</v>
      </c>
      <c r="C97">
        <v>360932</v>
      </c>
      <c r="F97" s="7">
        <v>1</v>
      </c>
      <c r="G97" s="7">
        <v>979</v>
      </c>
      <c r="H97" s="8">
        <v>886</v>
      </c>
      <c r="J97" t="s">
        <v>23</v>
      </c>
      <c r="K97" s="7">
        <v>1410</v>
      </c>
      <c r="L97" s="9">
        <v>-1</v>
      </c>
      <c r="M97" t="s">
        <v>176</v>
      </c>
      <c r="N97" t="s">
        <v>97</v>
      </c>
      <c r="O97" s="27" t="str">
        <f>HYPERLINK("https://www.ncbi.nlm.nih.gov/nuccore/NZ_LOHS01000088.1?report=graph&amp;from=18598&amp;to=18602", "TTA_codon")</f>
        <v>TTA_codon</v>
      </c>
    </row>
    <row r="98" spans="1:16" x14ac:dyDescent="0.15">
      <c r="A98" t="s">
        <v>21</v>
      </c>
      <c r="B98">
        <v>1000282</v>
      </c>
      <c r="C98">
        <v>362478</v>
      </c>
      <c r="F98" s="7">
        <v>1</v>
      </c>
      <c r="G98" s="7">
        <v>1108</v>
      </c>
      <c r="H98" s="8">
        <v>1027</v>
      </c>
      <c r="J98" t="s">
        <v>23</v>
      </c>
      <c r="K98" s="7">
        <v>1425</v>
      </c>
      <c r="L98" s="9">
        <v>-1</v>
      </c>
      <c r="M98" t="s">
        <v>32</v>
      </c>
      <c r="N98" t="s">
        <v>33</v>
      </c>
      <c r="O98" s="27" t="str">
        <f>HYPERLINK("https://www.ncbi.nlm.nih.gov/nuccore/NZ_CP017248.1?report=graph&amp;from=8938778&amp;to=8938782", "TTA_codon")</f>
        <v>TTA_codon</v>
      </c>
    </row>
    <row r="99" spans="1:16" x14ac:dyDescent="0.15">
      <c r="A99" t="s">
        <v>21</v>
      </c>
      <c r="B99">
        <v>1000282</v>
      </c>
      <c r="C99">
        <v>366190</v>
      </c>
      <c r="F99" s="7">
        <v>1</v>
      </c>
      <c r="G99" s="7">
        <v>250</v>
      </c>
      <c r="H99" s="8">
        <v>244</v>
      </c>
      <c r="J99" t="s">
        <v>23</v>
      </c>
      <c r="K99" s="7">
        <v>1539</v>
      </c>
      <c r="L99" s="9">
        <v>-1</v>
      </c>
      <c r="M99" t="s">
        <v>177</v>
      </c>
      <c r="N99" t="s">
        <v>178</v>
      </c>
      <c r="O99" s="27" t="str">
        <f>HYPERLINK("https://www.ncbi.nlm.nih.gov/nuccore/NZ_FOGO01000016.1?report=graph&amp;from=148699&amp;to=148703", "TTA_codon")</f>
        <v>TTA_codon</v>
      </c>
    </row>
    <row r="100" spans="1:16" x14ac:dyDescent="0.15">
      <c r="A100" t="s">
        <v>21</v>
      </c>
      <c r="B100">
        <v>1000282</v>
      </c>
      <c r="C100">
        <v>366586</v>
      </c>
      <c r="F100" s="7">
        <v>1</v>
      </c>
      <c r="G100" s="7">
        <v>976</v>
      </c>
      <c r="H100" s="8">
        <v>898</v>
      </c>
      <c r="J100" t="s">
        <v>23</v>
      </c>
      <c r="K100" s="7">
        <v>1455</v>
      </c>
      <c r="L100" s="9">
        <v>-1</v>
      </c>
      <c r="M100" t="s">
        <v>179</v>
      </c>
      <c r="N100" t="s">
        <v>180</v>
      </c>
      <c r="O100" s="27" t="str">
        <f>HYPERLINK("https://www.ncbi.nlm.nih.gov/nuccore/NZ_FRBI01000004.1?report=graph&amp;from=364201&amp;to=364205", "TTA_codon")</f>
        <v>TTA_codon</v>
      </c>
    </row>
    <row r="101" spans="1:16" s="33" customFormat="1" x14ac:dyDescent="0.15">
      <c r="A101" s="28" t="s">
        <v>21</v>
      </c>
      <c r="B101" s="28" t="s">
        <v>181</v>
      </c>
      <c r="C101" s="28"/>
      <c r="D101" s="28"/>
      <c r="E101" s="28"/>
      <c r="F101" s="29"/>
      <c r="G101" s="29"/>
      <c r="H101" s="30"/>
      <c r="I101" s="28"/>
      <c r="J101" s="28"/>
      <c r="K101" s="29"/>
      <c r="L101" s="31"/>
      <c r="M101" s="28"/>
      <c r="N101" s="28"/>
      <c r="O101" s="32"/>
      <c r="P101" s="29"/>
    </row>
    <row r="102" spans="1:16" x14ac:dyDescent="0.15">
      <c r="A102" t="s">
        <v>21</v>
      </c>
      <c r="B102">
        <v>1001249</v>
      </c>
      <c r="C102">
        <v>357782</v>
      </c>
      <c r="F102" s="7">
        <v>2</v>
      </c>
      <c r="G102" s="7" t="s">
        <v>182</v>
      </c>
      <c r="H102" s="8" t="s">
        <v>183</v>
      </c>
      <c r="J102" t="s">
        <v>23</v>
      </c>
      <c r="K102" s="7">
        <v>1665</v>
      </c>
      <c r="L102" s="9">
        <v>-1</v>
      </c>
      <c r="M102" t="s">
        <v>184</v>
      </c>
      <c r="N102" t="s">
        <v>83</v>
      </c>
      <c r="O102" s="27" t="str">
        <f>HYPERLINK("https://www.ncbi.nlm.nih.gov/nuccore/NZ_DF968306.1?report=graph&amp;from=294&amp;to=373", "TTA_codon")</f>
        <v>TTA_codon</v>
      </c>
    </row>
    <row r="103" spans="1:16" x14ac:dyDescent="0.15">
      <c r="A103" t="s">
        <v>21</v>
      </c>
      <c r="B103">
        <v>1001249</v>
      </c>
      <c r="C103">
        <v>362049</v>
      </c>
      <c r="F103" s="7">
        <v>2</v>
      </c>
      <c r="G103" s="7" t="s">
        <v>185</v>
      </c>
      <c r="H103" s="8" t="s">
        <v>185</v>
      </c>
      <c r="J103" t="s">
        <v>23</v>
      </c>
      <c r="K103" s="7">
        <v>2160</v>
      </c>
      <c r="L103" s="9">
        <v>-1</v>
      </c>
      <c r="M103" t="s">
        <v>186</v>
      </c>
      <c r="N103" t="s">
        <v>187</v>
      </c>
      <c r="O103" s="27" t="str">
        <f>HYPERLINK("https://www.ncbi.nlm.nih.gov/nuccore/NZ_MAXF01000056.1?report=graph&amp;from=5286&amp;to=5305", "TTA_codon")</f>
        <v>TTA_codon</v>
      </c>
    </row>
    <row r="104" spans="1:16" s="33" customFormat="1" x14ac:dyDescent="0.15">
      <c r="A104" s="28" t="s">
        <v>21</v>
      </c>
      <c r="B104" s="28" t="s">
        <v>188</v>
      </c>
      <c r="C104" s="28"/>
      <c r="D104" s="28"/>
      <c r="E104" s="28"/>
      <c r="F104" s="29"/>
      <c r="G104" s="29"/>
      <c r="H104" s="30"/>
      <c r="I104" s="28"/>
      <c r="J104" s="28"/>
      <c r="K104" s="29"/>
      <c r="L104" s="31"/>
      <c r="M104" s="28"/>
      <c r="N104" s="28"/>
      <c r="O104" s="32"/>
      <c r="P104" s="29"/>
    </row>
    <row r="105" spans="1:16" x14ac:dyDescent="0.15">
      <c r="A105" t="s">
        <v>21</v>
      </c>
      <c r="B105">
        <v>1000924</v>
      </c>
      <c r="C105">
        <v>353205</v>
      </c>
      <c r="F105" s="7">
        <v>1</v>
      </c>
      <c r="G105" s="7">
        <v>739</v>
      </c>
      <c r="H105" s="8">
        <v>601</v>
      </c>
      <c r="J105" t="s">
        <v>23</v>
      </c>
      <c r="K105" s="7">
        <v>855</v>
      </c>
      <c r="L105" s="9">
        <v>1</v>
      </c>
      <c r="M105" t="s">
        <v>189</v>
      </c>
      <c r="N105" t="s">
        <v>169</v>
      </c>
      <c r="O105" s="27" t="str">
        <f>HYPERLINK("https://www.ncbi.nlm.nih.gov/nuccore/NZ_JNWJ01000015.1?report=graph&amp;from=14303&amp;to=14307", "TTA_codon")</f>
        <v>TTA_codon</v>
      </c>
    </row>
    <row r="106" spans="1:16" x14ac:dyDescent="0.15">
      <c r="A106" t="s">
        <v>21</v>
      </c>
      <c r="B106">
        <v>1000924</v>
      </c>
      <c r="C106">
        <v>363934</v>
      </c>
      <c r="F106" s="7">
        <v>1</v>
      </c>
      <c r="G106" s="7">
        <v>745</v>
      </c>
      <c r="H106" s="8">
        <v>745</v>
      </c>
      <c r="J106" t="s">
        <v>23</v>
      </c>
      <c r="K106" s="7">
        <v>990</v>
      </c>
      <c r="L106" s="9">
        <v>1</v>
      </c>
      <c r="M106" t="s">
        <v>190</v>
      </c>
      <c r="N106" t="s">
        <v>104</v>
      </c>
      <c r="O106" s="27" t="str">
        <f>HYPERLINK("https://www.ncbi.nlm.nih.gov/nuccore/NZ_MVFC01000010.1?report=graph&amp;from=65841&amp;to=65845", "TTA_codon")</f>
        <v>TTA_codon</v>
      </c>
    </row>
    <row r="107" spans="1:16" s="33" customFormat="1" x14ac:dyDescent="0.15">
      <c r="A107" s="28" t="s">
        <v>21</v>
      </c>
      <c r="B107" s="28" t="s">
        <v>191</v>
      </c>
      <c r="C107" s="28"/>
      <c r="D107" s="28"/>
      <c r="E107" s="28"/>
      <c r="F107" s="29"/>
      <c r="G107" s="29"/>
      <c r="H107" s="30"/>
      <c r="I107" s="28"/>
      <c r="J107" s="28"/>
      <c r="K107" s="29"/>
      <c r="L107" s="31"/>
      <c r="M107" s="28"/>
      <c r="N107" s="28"/>
      <c r="O107" s="32"/>
      <c r="P107" s="29"/>
    </row>
    <row r="108" spans="1:16" x14ac:dyDescent="0.15">
      <c r="A108" t="s">
        <v>21</v>
      </c>
      <c r="B108">
        <v>1000852</v>
      </c>
      <c r="C108">
        <v>352465</v>
      </c>
      <c r="F108" s="7">
        <v>1</v>
      </c>
      <c r="G108" s="7">
        <v>1276</v>
      </c>
      <c r="H108" s="8">
        <v>550</v>
      </c>
      <c r="J108" t="s">
        <v>23</v>
      </c>
      <c r="K108" s="7">
        <v>3276</v>
      </c>
      <c r="L108" s="9">
        <v>1</v>
      </c>
      <c r="M108" t="s">
        <v>30</v>
      </c>
      <c r="N108" t="s">
        <v>31</v>
      </c>
      <c r="O108" s="27" t="str">
        <f>HYPERLINK("https://www.ncbi.nlm.nih.gov/nuccore/NZ_KB913030.1?report=graph&amp;from=4439892&amp;to=4439896", "TTA_codon")</f>
        <v>TTA_codon</v>
      </c>
    </row>
    <row r="109" spans="1:16" x14ac:dyDescent="0.15">
      <c r="A109" t="s">
        <v>21</v>
      </c>
      <c r="B109">
        <v>1000852</v>
      </c>
      <c r="C109">
        <v>360562</v>
      </c>
      <c r="F109" s="7">
        <v>1</v>
      </c>
      <c r="G109" s="7">
        <v>1264</v>
      </c>
      <c r="H109" s="8">
        <v>1255</v>
      </c>
      <c r="J109" t="s">
        <v>23</v>
      </c>
      <c r="K109" s="7">
        <v>4974</v>
      </c>
      <c r="L109" s="9">
        <v>1</v>
      </c>
      <c r="M109" t="s">
        <v>121</v>
      </c>
      <c r="N109" t="s">
        <v>122</v>
      </c>
      <c r="O109" s="27" t="str">
        <f>HYPERLINK("https://www.ncbi.nlm.nih.gov/nuccore/NZ_CP016279.1?report=graph&amp;from=6419954&amp;to=6419958", "TTA_codon")</f>
        <v>TTA_codon</v>
      </c>
    </row>
    <row r="110" spans="1:16" s="33" customFormat="1" x14ac:dyDescent="0.15">
      <c r="A110" s="28" t="s">
        <v>21</v>
      </c>
      <c r="B110" s="28" t="s">
        <v>192</v>
      </c>
      <c r="C110" s="28"/>
      <c r="D110" s="28"/>
      <c r="E110" s="28"/>
      <c r="F110" s="29"/>
      <c r="G110" s="29"/>
      <c r="H110" s="30"/>
      <c r="I110" s="28"/>
      <c r="J110" s="28"/>
      <c r="K110" s="29"/>
      <c r="L110" s="31"/>
      <c r="M110" s="28"/>
      <c r="N110" s="28"/>
      <c r="O110" s="32"/>
      <c r="P110" s="29"/>
    </row>
    <row r="111" spans="1:16" x14ac:dyDescent="0.15">
      <c r="A111" t="s">
        <v>21</v>
      </c>
      <c r="B111">
        <v>1000855</v>
      </c>
      <c r="C111">
        <v>352538</v>
      </c>
      <c r="F111" s="7">
        <v>1</v>
      </c>
      <c r="G111" s="7">
        <v>37</v>
      </c>
      <c r="H111" s="8">
        <v>37</v>
      </c>
      <c r="J111" t="s">
        <v>23</v>
      </c>
      <c r="K111" s="7">
        <v>921</v>
      </c>
      <c r="L111" s="9">
        <v>-1</v>
      </c>
      <c r="M111" t="s">
        <v>30</v>
      </c>
      <c r="N111" t="s">
        <v>31</v>
      </c>
      <c r="O111" s="27" t="str">
        <f>HYPERLINK("https://www.ncbi.nlm.nih.gov/nuccore/NZ_KB913030.1?report=graph&amp;from=766501&amp;to=766505", "TTA_codon")</f>
        <v>TTA_codon</v>
      </c>
    </row>
    <row r="112" spans="1:16" x14ac:dyDescent="0.15">
      <c r="A112" t="s">
        <v>21</v>
      </c>
      <c r="B112">
        <v>1000855</v>
      </c>
      <c r="C112">
        <v>354401</v>
      </c>
      <c r="F112" s="7">
        <v>1</v>
      </c>
      <c r="G112" s="7">
        <v>100</v>
      </c>
      <c r="H112" s="8">
        <v>100</v>
      </c>
      <c r="J112" t="s">
        <v>23</v>
      </c>
      <c r="K112" s="7">
        <v>966</v>
      </c>
      <c r="L112" s="9">
        <v>-1</v>
      </c>
      <c r="M112" t="s">
        <v>193</v>
      </c>
      <c r="N112" t="s">
        <v>142</v>
      </c>
      <c r="O112" s="27" t="str">
        <f>HYPERLINK("https://www.ncbi.nlm.nih.gov/nuccore/NZ_JOEI01000011.1?report=graph&amp;from=131169&amp;to=131173", "TTA_codon")</f>
        <v>TTA_codon</v>
      </c>
    </row>
    <row r="113" spans="1:16" x14ac:dyDescent="0.15">
      <c r="A113" t="s">
        <v>21</v>
      </c>
      <c r="B113">
        <v>1000855</v>
      </c>
      <c r="C113">
        <v>362890</v>
      </c>
      <c r="F113" s="7">
        <v>1</v>
      </c>
      <c r="G113" s="7">
        <v>37</v>
      </c>
      <c r="H113" s="8">
        <v>37</v>
      </c>
      <c r="J113" t="s">
        <v>23</v>
      </c>
      <c r="K113" s="7">
        <v>993</v>
      </c>
      <c r="L113" s="9">
        <v>-1</v>
      </c>
      <c r="M113" t="s">
        <v>194</v>
      </c>
      <c r="N113" t="s">
        <v>156</v>
      </c>
      <c r="O113" s="27" t="str">
        <f>HYPERLINK("https://www.ncbi.nlm.nih.gov/nuccore/NZ_LJGW01000387.1?report=graph&amp;from=27734&amp;to=27738", "TTA_codon")</f>
        <v>TTA_codon</v>
      </c>
    </row>
    <row r="114" spans="1:16" s="33" customFormat="1" x14ac:dyDescent="0.15">
      <c r="A114" s="28" t="s">
        <v>195</v>
      </c>
      <c r="B114" s="28" t="s">
        <v>196</v>
      </c>
      <c r="C114" s="28"/>
      <c r="D114" s="28"/>
      <c r="E114" s="28"/>
      <c r="F114" s="29"/>
      <c r="G114" s="29"/>
      <c r="H114" s="30"/>
      <c r="I114" s="28"/>
      <c r="J114" s="28"/>
      <c r="K114" s="29"/>
      <c r="L114" s="31"/>
      <c r="M114" s="28"/>
      <c r="N114" s="28"/>
      <c r="O114" s="32"/>
      <c r="P114" s="29"/>
    </row>
    <row r="115" spans="1:16" x14ac:dyDescent="0.15">
      <c r="A115" t="s">
        <v>195</v>
      </c>
      <c r="B115">
        <v>1000078</v>
      </c>
      <c r="C115">
        <v>346460</v>
      </c>
      <c r="F115" s="7">
        <v>1</v>
      </c>
      <c r="G115" s="7">
        <v>121</v>
      </c>
      <c r="H115" s="8">
        <v>121</v>
      </c>
      <c r="J115" t="s">
        <v>23</v>
      </c>
      <c r="K115" s="7">
        <v>525</v>
      </c>
      <c r="L115" s="9">
        <v>1</v>
      </c>
      <c r="M115" t="s">
        <v>197</v>
      </c>
      <c r="N115" t="s">
        <v>198</v>
      </c>
      <c r="O115" s="27" t="str">
        <f>HYPERLINK("https://www.ncbi.nlm.nih.gov/nuccore/NZ_JOFL01000024.1?report=graph&amp;from=86867&amp;to=86871", "TTA_codon")</f>
        <v>TTA_codon</v>
      </c>
    </row>
    <row r="116" spans="1:16" x14ac:dyDescent="0.15">
      <c r="A116" t="s">
        <v>195</v>
      </c>
      <c r="B116">
        <v>1000078</v>
      </c>
      <c r="C116">
        <v>346542</v>
      </c>
      <c r="F116" s="7">
        <v>1</v>
      </c>
      <c r="G116" s="7">
        <v>58</v>
      </c>
      <c r="H116" s="8">
        <v>58</v>
      </c>
      <c r="J116" t="s">
        <v>23</v>
      </c>
      <c r="K116" s="7">
        <v>522</v>
      </c>
      <c r="L116" s="9">
        <v>1</v>
      </c>
      <c r="M116" t="s">
        <v>78</v>
      </c>
      <c r="N116" t="s">
        <v>79</v>
      </c>
      <c r="O116" s="27" t="str">
        <f>HYPERLINK("https://www.ncbi.nlm.nih.gov/nuccore/NZ_CP009313.1?report=graph&amp;from=170434&amp;to=170438", "TTA_codon")</f>
        <v>TTA_codon</v>
      </c>
    </row>
    <row r="117" spans="1:16" x14ac:dyDescent="0.15">
      <c r="A117" t="s">
        <v>195</v>
      </c>
      <c r="B117">
        <v>1000078</v>
      </c>
      <c r="C117">
        <v>346657</v>
      </c>
      <c r="F117" s="7">
        <v>1</v>
      </c>
      <c r="G117" s="7">
        <v>121</v>
      </c>
      <c r="H117" s="8">
        <v>121</v>
      </c>
      <c r="J117" t="s">
        <v>23</v>
      </c>
      <c r="K117" s="7">
        <v>525</v>
      </c>
      <c r="L117" s="9">
        <v>1</v>
      </c>
      <c r="M117" t="s">
        <v>199</v>
      </c>
      <c r="N117" t="s">
        <v>85</v>
      </c>
      <c r="O117" s="27" t="str">
        <f>HYPERLINK("https://www.ncbi.nlm.nih.gov/nuccore/NZ_LIQX01000429.1?report=graph&amp;from=12011&amp;to=12015", "TTA_codon")</f>
        <v>TTA_codon</v>
      </c>
    </row>
    <row r="118" spans="1:16" x14ac:dyDescent="0.15">
      <c r="A118" t="s">
        <v>195</v>
      </c>
      <c r="B118">
        <v>1000078</v>
      </c>
      <c r="C118">
        <v>346852</v>
      </c>
      <c r="F118" s="7">
        <v>1</v>
      </c>
      <c r="G118" s="7">
        <v>121</v>
      </c>
      <c r="H118" s="8">
        <v>121</v>
      </c>
      <c r="J118" t="s">
        <v>23</v>
      </c>
      <c r="K118" s="7">
        <v>525</v>
      </c>
      <c r="L118" s="9">
        <v>1</v>
      </c>
      <c r="M118" t="s">
        <v>200</v>
      </c>
      <c r="N118" t="s">
        <v>201</v>
      </c>
      <c r="O118" s="27" t="str">
        <f>HYPERLINK("https://www.ncbi.nlm.nih.gov/nuccore/NZ_CP016559.1?report=graph&amp;from=6312416&amp;to=6312420", "TTA_codon")</f>
        <v>TTA_codon</v>
      </c>
    </row>
    <row r="119" spans="1:16" x14ac:dyDescent="0.15">
      <c r="A119" t="s">
        <v>195</v>
      </c>
      <c r="B119">
        <v>1000078</v>
      </c>
      <c r="C119">
        <v>346900</v>
      </c>
      <c r="F119" s="7">
        <v>1</v>
      </c>
      <c r="G119" s="7">
        <v>121</v>
      </c>
      <c r="H119" s="8">
        <v>121</v>
      </c>
      <c r="J119" t="s">
        <v>23</v>
      </c>
      <c r="K119" s="7">
        <v>525</v>
      </c>
      <c r="L119" s="9">
        <v>1</v>
      </c>
      <c r="M119" t="s">
        <v>32</v>
      </c>
      <c r="N119" t="s">
        <v>33</v>
      </c>
      <c r="O119" s="27" t="str">
        <f>HYPERLINK("https://www.ncbi.nlm.nih.gov/nuccore/NZ_CP017248.1?report=graph&amp;from=80085&amp;to=80089", "TTA_codon")</f>
        <v>TTA_codon</v>
      </c>
    </row>
    <row r="120" spans="1:16" x14ac:dyDescent="0.15">
      <c r="A120" t="s">
        <v>195</v>
      </c>
      <c r="B120">
        <v>1000078</v>
      </c>
      <c r="C120">
        <v>346903</v>
      </c>
      <c r="F120" s="7">
        <v>1</v>
      </c>
      <c r="G120" s="7">
        <v>121</v>
      </c>
      <c r="H120" s="8">
        <v>121</v>
      </c>
      <c r="J120" t="s">
        <v>23</v>
      </c>
      <c r="K120" s="7">
        <v>525</v>
      </c>
      <c r="L120" s="9">
        <v>1</v>
      </c>
      <c r="M120" t="s">
        <v>32</v>
      </c>
      <c r="N120" t="s">
        <v>33</v>
      </c>
      <c r="O120" s="27" t="str">
        <f>HYPERLINK("https://www.ncbi.nlm.nih.gov/nuccore/NZ_CP017248.1?report=graph&amp;from=233129&amp;to=233133", "TTA_codon")</f>
        <v>TTA_codon</v>
      </c>
    </row>
    <row r="121" spans="1:16" x14ac:dyDescent="0.15">
      <c r="A121" t="s">
        <v>195</v>
      </c>
      <c r="B121">
        <v>1000078</v>
      </c>
      <c r="C121">
        <v>346905</v>
      </c>
      <c r="F121" s="7">
        <v>1</v>
      </c>
      <c r="G121" s="7">
        <v>121</v>
      </c>
      <c r="H121" s="8">
        <v>121</v>
      </c>
      <c r="J121" t="s">
        <v>23</v>
      </c>
      <c r="K121" s="7">
        <v>525</v>
      </c>
      <c r="L121" s="9">
        <v>1</v>
      </c>
      <c r="M121" t="s">
        <v>32</v>
      </c>
      <c r="N121" t="s">
        <v>33</v>
      </c>
      <c r="O121" s="27" t="str">
        <f>HYPERLINK("https://www.ncbi.nlm.nih.gov/nuccore/NZ_CP017248.1?report=graph&amp;from=263435&amp;to=263439", "TTA_codon")</f>
        <v>TTA_codon</v>
      </c>
    </row>
    <row r="122" spans="1:16" x14ac:dyDescent="0.15">
      <c r="A122" t="s">
        <v>195</v>
      </c>
      <c r="B122">
        <v>1000078</v>
      </c>
      <c r="C122">
        <v>346985</v>
      </c>
      <c r="F122" s="7">
        <v>1</v>
      </c>
      <c r="G122" s="7">
        <v>79</v>
      </c>
      <c r="H122" s="8">
        <v>79</v>
      </c>
      <c r="J122" t="s">
        <v>23</v>
      </c>
      <c r="K122" s="7">
        <v>525</v>
      </c>
      <c r="L122" s="9">
        <v>1</v>
      </c>
      <c r="M122" t="s">
        <v>101</v>
      </c>
      <c r="N122" t="s">
        <v>102</v>
      </c>
      <c r="O122" s="27" t="str">
        <f>HYPERLINK("https://www.ncbi.nlm.nih.gov/nuccore/NZ_CP019458.1?report=graph&amp;from=6991583&amp;to=6991587", "TTA_codon")</f>
        <v>TTA_codon</v>
      </c>
    </row>
    <row r="123" spans="1:16" x14ac:dyDescent="0.15">
      <c r="A123" t="s">
        <v>21</v>
      </c>
      <c r="B123">
        <v>1000078</v>
      </c>
      <c r="C123">
        <v>351494</v>
      </c>
      <c r="F123" s="7">
        <v>1</v>
      </c>
      <c r="G123" s="7">
        <v>121</v>
      </c>
      <c r="H123" s="8">
        <v>121</v>
      </c>
      <c r="J123" t="s">
        <v>23</v>
      </c>
      <c r="K123" s="7">
        <v>525</v>
      </c>
      <c r="L123" s="9">
        <v>1</v>
      </c>
      <c r="M123" t="s">
        <v>202</v>
      </c>
      <c r="N123" t="s">
        <v>138</v>
      </c>
      <c r="O123" s="27" t="str">
        <f>HYPERLINK("https://www.ncbi.nlm.nih.gov/nuccore/NZ_KB889726.1?report=graph&amp;from=14867&amp;to=14871", "TTA_codon")</f>
        <v>TTA_codon</v>
      </c>
    </row>
    <row r="124" spans="1:16" x14ac:dyDescent="0.15">
      <c r="A124" t="s">
        <v>21</v>
      </c>
      <c r="B124">
        <v>1000078</v>
      </c>
      <c r="C124">
        <v>353160</v>
      </c>
      <c r="F124" s="7">
        <v>1</v>
      </c>
      <c r="G124" s="7">
        <v>256</v>
      </c>
      <c r="H124" s="8">
        <v>256</v>
      </c>
      <c r="J124" t="s">
        <v>23</v>
      </c>
      <c r="K124" s="7">
        <v>528</v>
      </c>
      <c r="L124" s="9">
        <v>1</v>
      </c>
      <c r="M124" t="s">
        <v>203</v>
      </c>
      <c r="N124" t="s">
        <v>169</v>
      </c>
      <c r="O124" s="27" t="str">
        <f>HYPERLINK("https://www.ncbi.nlm.nih.gov/nuccore/NZ_JNWJ01000122.1?report=graph&amp;from=4608&amp;to=4612", "TTA_codon")</f>
        <v>TTA_codon</v>
      </c>
    </row>
    <row r="125" spans="1:16" x14ac:dyDescent="0.15">
      <c r="A125" t="s">
        <v>21</v>
      </c>
      <c r="B125">
        <v>1000078</v>
      </c>
      <c r="C125">
        <v>356004</v>
      </c>
      <c r="F125" s="7">
        <v>1</v>
      </c>
      <c r="G125" s="7">
        <v>58</v>
      </c>
      <c r="H125" s="8">
        <v>58</v>
      </c>
      <c r="J125" t="s">
        <v>23</v>
      </c>
      <c r="K125" s="7">
        <v>480</v>
      </c>
      <c r="L125" s="9">
        <v>1</v>
      </c>
      <c r="M125" t="s">
        <v>204</v>
      </c>
      <c r="N125" t="s">
        <v>146</v>
      </c>
      <c r="O125" s="27" t="str">
        <f>HYPERLINK("https://www.ncbi.nlm.nih.gov/nuccore/NZ_JOFH01000037.1?report=graph&amp;from=2226&amp;to=2230", "TTA_codon")</f>
        <v>TTA_codon</v>
      </c>
    </row>
    <row r="126" spans="1:16" x14ac:dyDescent="0.15">
      <c r="A126" t="s">
        <v>21</v>
      </c>
      <c r="B126">
        <v>1000078</v>
      </c>
      <c r="C126">
        <v>357128</v>
      </c>
      <c r="F126" s="7">
        <v>1</v>
      </c>
      <c r="G126" s="7">
        <v>58</v>
      </c>
      <c r="H126" s="8">
        <v>58</v>
      </c>
      <c r="J126" t="s">
        <v>23</v>
      </c>
      <c r="K126" s="7">
        <v>522</v>
      </c>
      <c r="L126" s="9">
        <v>1</v>
      </c>
      <c r="M126" t="s">
        <v>205</v>
      </c>
      <c r="N126" t="s">
        <v>206</v>
      </c>
      <c r="O126" s="27" t="str">
        <f>HYPERLINK("https://www.ncbi.nlm.nih.gov/nuccore/NZ_CP010407.1?report=graph&amp;from=49204&amp;to=49208", "TTA_codon")</f>
        <v>TTA_codon</v>
      </c>
    </row>
    <row r="127" spans="1:16" x14ac:dyDescent="0.15">
      <c r="A127" t="s">
        <v>21</v>
      </c>
      <c r="B127">
        <v>1000078</v>
      </c>
      <c r="C127">
        <v>360341</v>
      </c>
      <c r="F127" s="7">
        <v>2</v>
      </c>
      <c r="G127" s="7" t="s">
        <v>207</v>
      </c>
      <c r="H127" s="8" t="s">
        <v>207</v>
      </c>
      <c r="J127" t="s">
        <v>23</v>
      </c>
      <c r="K127" s="7">
        <v>354</v>
      </c>
      <c r="L127" s="9">
        <v>1</v>
      </c>
      <c r="M127" t="s">
        <v>121</v>
      </c>
      <c r="N127" t="s">
        <v>122</v>
      </c>
      <c r="O127" s="27" t="str">
        <f>HYPERLINK("https://www.ncbi.nlm.nih.gov/nuccore/NZ_CP016279.1?report=graph&amp;from=5413748&amp;to=5413794", "TTA_codon")</f>
        <v>TTA_codon</v>
      </c>
    </row>
    <row r="128" spans="1:16" x14ac:dyDescent="0.15">
      <c r="A128" t="s">
        <v>21</v>
      </c>
      <c r="B128">
        <v>1000078</v>
      </c>
      <c r="C128">
        <v>361545</v>
      </c>
      <c r="F128" s="7">
        <v>1</v>
      </c>
      <c r="G128" s="7">
        <v>121</v>
      </c>
      <c r="H128" s="8">
        <v>121</v>
      </c>
      <c r="J128" t="s">
        <v>23</v>
      </c>
      <c r="K128" s="7">
        <v>492</v>
      </c>
      <c r="L128" s="9">
        <v>1</v>
      </c>
      <c r="M128" t="s">
        <v>37</v>
      </c>
      <c r="N128" t="s">
        <v>38</v>
      </c>
      <c r="O128" s="27" t="str">
        <f>HYPERLINK("https://www.ncbi.nlm.nih.gov/nuccore/NZ_CP011533.1?report=graph&amp;from=336609&amp;to=336613", "TTA_codon")</f>
        <v>TTA_codon</v>
      </c>
    </row>
    <row r="129" spans="1:16" x14ac:dyDescent="0.15">
      <c r="A129" t="s">
        <v>21</v>
      </c>
      <c r="B129">
        <v>1000078</v>
      </c>
      <c r="C129">
        <v>366755</v>
      </c>
      <c r="F129" s="7">
        <v>1</v>
      </c>
      <c r="G129" s="7">
        <v>256</v>
      </c>
      <c r="H129" s="8">
        <v>256</v>
      </c>
      <c r="J129" t="s">
        <v>23</v>
      </c>
      <c r="K129" s="7">
        <v>525</v>
      </c>
      <c r="L129" s="9">
        <v>1</v>
      </c>
      <c r="M129" t="s">
        <v>208</v>
      </c>
      <c r="N129" t="s">
        <v>209</v>
      </c>
      <c r="O129" s="27" t="str">
        <f>HYPERLINK("https://www.ncbi.nlm.nih.gov/nuccore/NZ_FZOF01000007.1?report=graph&amp;from=359737&amp;to=359741", "TTA_codon")</f>
        <v>TTA_codon</v>
      </c>
    </row>
    <row r="130" spans="1:16" s="33" customFormat="1" x14ac:dyDescent="0.15">
      <c r="A130" s="28" t="s">
        <v>21</v>
      </c>
      <c r="B130" s="28" t="s">
        <v>210</v>
      </c>
      <c r="C130" s="28"/>
      <c r="D130" s="28"/>
      <c r="E130" s="28"/>
      <c r="F130" s="29"/>
      <c r="G130" s="29"/>
      <c r="H130" s="30"/>
      <c r="I130" s="28"/>
      <c r="J130" s="28"/>
      <c r="K130" s="29"/>
      <c r="L130" s="31"/>
      <c r="M130" s="28"/>
      <c r="N130" s="28"/>
      <c r="O130" s="32"/>
      <c r="P130" s="29"/>
    </row>
    <row r="131" spans="1:16" x14ac:dyDescent="0.15">
      <c r="A131" t="s">
        <v>21</v>
      </c>
      <c r="B131">
        <v>1000467</v>
      </c>
      <c r="C131">
        <v>348917</v>
      </c>
      <c r="F131" s="7">
        <v>1</v>
      </c>
      <c r="G131" s="7">
        <v>454</v>
      </c>
      <c r="H131" s="8">
        <v>421</v>
      </c>
      <c r="J131" t="s">
        <v>23</v>
      </c>
      <c r="K131" s="7">
        <v>1152</v>
      </c>
      <c r="L131" s="9">
        <v>-1</v>
      </c>
      <c r="M131" t="s">
        <v>211</v>
      </c>
      <c r="N131" t="s">
        <v>212</v>
      </c>
      <c r="O131" s="27" t="str">
        <f>HYPERLINK("https://www.ncbi.nlm.nih.gov/nuccore/NZ_GG657754.1?report=graph&amp;from=846899&amp;to=846903", "TTA_codon")</f>
        <v>TTA_codon</v>
      </c>
    </row>
    <row r="132" spans="1:16" x14ac:dyDescent="0.15">
      <c r="A132" t="s">
        <v>21</v>
      </c>
      <c r="B132">
        <v>1000467</v>
      </c>
      <c r="C132">
        <v>362266</v>
      </c>
      <c r="F132" s="7">
        <v>1</v>
      </c>
      <c r="G132" s="7">
        <v>475</v>
      </c>
      <c r="H132" s="8">
        <v>442</v>
      </c>
      <c r="J132" t="s">
        <v>23</v>
      </c>
      <c r="K132" s="7">
        <v>1152</v>
      </c>
      <c r="L132" s="9">
        <v>-1</v>
      </c>
      <c r="M132" t="s">
        <v>39</v>
      </c>
      <c r="N132" t="s">
        <v>40</v>
      </c>
      <c r="O132" s="27" t="str">
        <f>HYPERLINK("https://www.ncbi.nlm.nih.gov/nuccore/NZ_CP017157.1?report=graph&amp;from=4389527&amp;to=4389531", "TTA_codon")</f>
        <v>TTA_codon</v>
      </c>
    </row>
    <row r="133" spans="1:16" x14ac:dyDescent="0.15">
      <c r="A133" t="s">
        <v>21</v>
      </c>
      <c r="B133">
        <v>1000467</v>
      </c>
      <c r="C133">
        <v>365661</v>
      </c>
      <c r="F133" s="7">
        <v>1</v>
      </c>
      <c r="G133" s="7">
        <v>397</v>
      </c>
      <c r="H133" s="8">
        <v>229</v>
      </c>
      <c r="J133" t="s">
        <v>23</v>
      </c>
      <c r="K133" s="7">
        <v>1005</v>
      </c>
      <c r="L133" s="9">
        <v>-1</v>
      </c>
      <c r="M133" t="s">
        <v>213</v>
      </c>
      <c r="N133" t="s">
        <v>214</v>
      </c>
      <c r="O133" s="27" t="str">
        <f>HYPERLINK("https://www.ncbi.nlm.nih.gov/nuccore/NZ_FNST01000002.1?report=graph&amp;from=8391825&amp;to=8391829", "TTA_codon")</f>
        <v>TTA_codon</v>
      </c>
    </row>
    <row r="134" spans="1:16" x14ac:dyDescent="0.15">
      <c r="A134" t="s">
        <v>21</v>
      </c>
      <c r="B134" t="s">
        <v>215</v>
      </c>
    </row>
    <row r="135" spans="1:16" x14ac:dyDescent="0.15">
      <c r="A135" t="s">
        <v>21</v>
      </c>
      <c r="B135">
        <v>1000600</v>
      </c>
      <c r="C135">
        <v>350266</v>
      </c>
      <c r="F135" s="7">
        <v>1</v>
      </c>
      <c r="G135" s="7">
        <v>358</v>
      </c>
      <c r="H135" s="8">
        <v>358</v>
      </c>
      <c r="J135" t="s">
        <v>23</v>
      </c>
      <c r="K135" s="7">
        <v>861</v>
      </c>
      <c r="L135" s="9">
        <v>-1</v>
      </c>
      <c r="M135" t="s">
        <v>35</v>
      </c>
      <c r="N135" t="s">
        <v>36</v>
      </c>
      <c r="O135" s="27" t="str">
        <f>HYPERLINK("https://www.ncbi.nlm.nih.gov/nuccore/NZ_JH725387.1?report=graph&amp;from=2471776&amp;to=2471780", "TTA_codon")</f>
        <v>TTA_codon</v>
      </c>
    </row>
    <row r="136" spans="1:16" x14ac:dyDescent="0.15">
      <c r="A136" t="s">
        <v>21</v>
      </c>
      <c r="B136">
        <v>1000600</v>
      </c>
      <c r="C136">
        <v>362216</v>
      </c>
      <c r="F136" s="7">
        <v>1</v>
      </c>
      <c r="G136" s="7">
        <v>358</v>
      </c>
      <c r="H136" s="8">
        <v>358</v>
      </c>
      <c r="J136" t="s">
        <v>23</v>
      </c>
      <c r="K136" s="7">
        <v>861</v>
      </c>
      <c r="L136" s="9">
        <v>-1</v>
      </c>
      <c r="M136" t="s">
        <v>39</v>
      </c>
      <c r="N136" t="s">
        <v>40</v>
      </c>
      <c r="O136" s="27" t="str">
        <f>HYPERLINK("https://www.ncbi.nlm.nih.gov/nuccore/NZ_CP017157.1?report=graph&amp;from=7375945&amp;to=7375949", "TTA_codon")</f>
        <v>TTA_codon</v>
      </c>
    </row>
    <row r="137" spans="1:16" x14ac:dyDescent="0.15">
      <c r="A137" t="s">
        <v>21</v>
      </c>
      <c r="B137" t="s">
        <v>216</v>
      </c>
    </row>
    <row r="138" spans="1:16" x14ac:dyDescent="0.15">
      <c r="A138" t="s">
        <v>21</v>
      </c>
      <c r="B138">
        <v>1000215</v>
      </c>
      <c r="C138">
        <v>347415</v>
      </c>
      <c r="F138" s="7">
        <v>1</v>
      </c>
      <c r="G138" s="7">
        <v>169</v>
      </c>
      <c r="H138" s="8">
        <v>169</v>
      </c>
      <c r="J138" t="s">
        <v>23</v>
      </c>
      <c r="K138" s="7">
        <v>1272</v>
      </c>
      <c r="L138" s="9">
        <v>1</v>
      </c>
      <c r="M138" t="s">
        <v>217</v>
      </c>
      <c r="N138" t="s">
        <v>218</v>
      </c>
      <c r="O138" s="27" t="str">
        <f>HYPERLINK("https://www.ncbi.nlm.nih.gov/nuccore/NC_021985.1?report=graph&amp;from=7438703&amp;to=7438707", "TTA_codon")</f>
        <v>TTA_codon</v>
      </c>
    </row>
    <row r="139" spans="1:16" x14ac:dyDescent="0.15">
      <c r="A139" t="s">
        <v>21</v>
      </c>
      <c r="B139">
        <v>1000215</v>
      </c>
      <c r="C139">
        <v>360502</v>
      </c>
      <c r="F139" s="7">
        <v>1</v>
      </c>
      <c r="G139" s="7">
        <v>169</v>
      </c>
      <c r="H139" s="8">
        <v>169</v>
      </c>
      <c r="J139" t="s">
        <v>23</v>
      </c>
      <c r="K139" s="7">
        <v>1272</v>
      </c>
      <c r="L139" s="9">
        <v>1</v>
      </c>
      <c r="M139" t="s">
        <v>121</v>
      </c>
      <c r="N139" t="s">
        <v>122</v>
      </c>
      <c r="O139" s="27" t="str">
        <f>HYPERLINK("https://www.ncbi.nlm.nih.gov/nuccore/NZ_CP016279.1?report=graph&amp;from=3959415&amp;to=3959419", "TTA_codon")</f>
        <v>TTA_codon</v>
      </c>
    </row>
    <row r="140" spans="1:16" x14ac:dyDescent="0.15">
      <c r="A140" t="s">
        <v>21</v>
      </c>
      <c r="B140" t="s">
        <v>219</v>
      </c>
    </row>
    <row r="141" spans="1:16" x14ac:dyDescent="0.15">
      <c r="A141" t="s">
        <v>21</v>
      </c>
      <c r="B141">
        <v>1001544</v>
      </c>
      <c r="C141">
        <v>366950</v>
      </c>
      <c r="F141" s="7">
        <v>1</v>
      </c>
      <c r="G141" s="7">
        <v>175</v>
      </c>
      <c r="H141" s="8">
        <v>175</v>
      </c>
      <c r="J141" t="s">
        <v>23</v>
      </c>
      <c r="K141" s="7">
        <v>555</v>
      </c>
      <c r="L141" s="9">
        <v>1</v>
      </c>
      <c r="M141" t="s">
        <v>220</v>
      </c>
      <c r="N141" t="s">
        <v>221</v>
      </c>
      <c r="O141" s="27" t="str">
        <f>HYPERLINK("https://www.ncbi.nlm.nih.gov/nuccore/MH576964.1?report=graph&amp;from=65903&amp;to=65907", "TTA_codon")</f>
        <v>TTA_codon</v>
      </c>
    </row>
    <row r="142" spans="1:16" x14ac:dyDescent="0.15">
      <c r="A142" t="s">
        <v>21</v>
      </c>
      <c r="B142">
        <v>1001544</v>
      </c>
      <c r="C142">
        <v>366979</v>
      </c>
      <c r="F142" s="7">
        <v>1</v>
      </c>
      <c r="G142" s="7">
        <v>175</v>
      </c>
      <c r="H142" s="8">
        <v>175</v>
      </c>
      <c r="J142" t="s">
        <v>23</v>
      </c>
      <c r="K142" s="7">
        <v>555</v>
      </c>
      <c r="L142" s="9">
        <v>1</v>
      </c>
      <c r="M142" t="s">
        <v>222</v>
      </c>
      <c r="N142" t="s">
        <v>223</v>
      </c>
      <c r="O142" s="27" t="str">
        <f>HYPERLINK("https://www.ncbi.nlm.nih.gov/nuccore/MK359332.1?report=graph&amp;from=65883&amp;to=65887", "TTA_codon")</f>
        <v>TTA_codon</v>
      </c>
    </row>
    <row r="143" spans="1:16" x14ac:dyDescent="0.15">
      <c r="A143" t="s">
        <v>21</v>
      </c>
      <c r="B143">
        <v>1001544</v>
      </c>
      <c r="C143">
        <v>366996</v>
      </c>
      <c r="F143" s="7">
        <v>1</v>
      </c>
      <c r="G143" s="7">
        <v>175</v>
      </c>
      <c r="H143" s="8">
        <v>175</v>
      </c>
      <c r="J143" t="s">
        <v>23</v>
      </c>
      <c r="K143" s="7">
        <v>555</v>
      </c>
      <c r="L143" s="9">
        <v>1</v>
      </c>
      <c r="M143" t="s">
        <v>224</v>
      </c>
      <c r="N143" t="s">
        <v>225</v>
      </c>
      <c r="O143" s="27" t="str">
        <f>HYPERLINK("https://www.ncbi.nlm.nih.gov/nuccore/MK359351.1?report=graph&amp;from=65769&amp;to=65773", "TTA_codon")</f>
        <v>TTA_codon</v>
      </c>
    </row>
    <row r="144" spans="1:16" x14ac:dyDescent="0.15">
      <c r="A144" t="s">
        <v>21</v>
      </c>
      <c r="B144">
        <v>1001544</v>
      </c>
      <c r="C144">
        <v>367029</v>
      </c>
      <c r="F144" s="7">
        <v>1</v>
      </c>
      <c r="G144" s="7">
        <v>175</v>
      </c>
      <c r="H144" s="8">
        <v>133</v>
      </c>
      <c r="J144" t="s">
        <v>23</v>
      </c>
      <c r="K144" s="7">
        <v>513</v>
      </c>
      <c r="L144" s="9">
        <v>1</v>
      </c>
      <c r="M144" t="s">
        <v>226</v>
      </c>
      <c r="N144" t="s">
        <v>227</v>
      </c>
      <c r="O144" s="27" t="str">
        <f>HYPERLINK("https://www.ncbi.nlm.nih.gov/nuccore/MK801722.1?report=graph&amp;from=63784&amp;to=63788", "TTA_codon")</f>
        <v>TTA_codon</v>
      </c>
    </row>
    <row r="145" spans="1:15" x14ac:dyDescent="0.15">
      <c r="A145" t="s">
        <v>21</v>
      </c>
      <c r="B145">
        <v>1001544</v>
      </c>
      <c r="C145">
        <v>367069</v>
      </c>
      <c r="F145" s="7">
        <v>1</v>
      </c>
      <c r="G145" s="7">
        <v>175</v>
      </c>
      <c r="H145" s="8">
        <v>175</v>
      </c>
      <c r="J145" t="s">
        <v>23</v>
      </c>
      <c r="K145" s="7">
        <v>555</v>
      </c>
      <c r="L145" s="9">
        <v>1</v>
      </c>
      <c r="M145" t="s">
        <v>228</v>
      </c>
      <c r="N145" t="s">
        <v>229</v>
      </c>
      <c r="O145" s="27" t="str">
        <f>HYPERLINK("https://www.ncbi.nlm.nih.gov/nuccore/MN428060.1?report=graph&amp;from=65628&amp;to=65632", "TTA_codon")</f>
        <v>TTA_codon</v>
      </c>
    </row>
    <row r="146" spans="1:15" x14ac:dyDescent="0.15">
      <c r="A146" t="s">
        <v>21</v>
      </c>
      <c r="B146">
        <v>1001544</v>
      </c>
      <c r="C146">
        <v>367082</v>
      </c>
      <c r="F146" s="7">
        <v>1</v>
      </c>
      <c r="G146" s="7">
        <v>175</v>
      </c>
      <c r="H146" s="8">
        <v>175</v>
      </c>
      <c r="J146" t="s">
        <v>23</v>
      </c>
      <c r="K146" s="7">
        <v>555</v>
      </c>
      <c r="L146" s="9">
        <v>1</v>
      </c>
      <c r="M146" t="s">
        <v>230</v>
      </c>
      <c r="N146" t="s">
        <v>231</v>
      </c>
      <c r="O146" s="27" t="str">
        <f>HYPERLINK("https://www.ncbi.nlm.nih.gov/nuccore/MN484599.1?report=graph&amp;from=66269&amp;to=66273", "TTA_codon")</f>
        <v>TTA_codon</v>
      </c>
    </row>
    <row r="147" spans="1:15" x14ac:dyDescent="0.15">
      <c r="A147" t="s">
        <v>21</v>
      </c>
      <c r="B147">
        <v>1001544</v>
      </c>
      <c r="C147">
        <v>367103</v>
      </c>
      <c r="F147" s="7">
        <v>1</v>
      </c>
      <c r="G147" s="7">
        <v>175</v>
      </c>
      <c r="H147" s="8">
        <v>175</v>
      </c>
      <c r="J147" t="s">
        <v>23</v>
      </c>
      <c r="K147" s="7">
        <v>555</v>
      </c>
      <c r="L147" s="9">
        <v>1</v>
      </c>
      <c r="M147" t="s">
        <v>232</v>
      </c>
      <c r="N147" t="s">
        <v>233</v>
      </c>
      <c r="O147" s="27" t="str">
        <f>HYPERLINK("https://www.ncbi.nlm.nih.gov/nuccore/MN369757.1?report=graph&amp;from=66056&amp;to=66060", "TTA_codon")</f>
        <v>TTA_codon</v>
      </c>
    </row>
    <row r="148" spans="1:15" x14ac:dyDescent="0.15">
      <c r="A148" t="s">
        <v>21</v>
      </c>
      <c r="B148">
        <v>1001544</v>
      </c>
      <c r="C148">
        <v>367121</v>
      </c>
      <c r="F148" s="7">
        <v>1</v>
      </c>
      <c r="G148" s="7">
        <v>175</v>
      </c>
      <c r="H148" s="8">
        <v>175</v>
      </c>
      <c r="J148" t="s">
        <v>23</v>
      </c>
      <c r="K148" s="7">
        <v>555</v>
      </c>
      <c r="L148" s="9">
        <v>1</v>
      </c>
      <c r="M148" t="s">
        <v>234</v>
      </c>
      <c r="N148" t="s">
        <v>235</v>
      </c>
      <c r="O148" s="27" t="str">
        <f>HYPERLINK("https://www.ncbi.nlm.nih.gov/nuccore/MN369750.1?report=graph&amp;from=65518&amp;to=65522", "TTA_codon")</f>
        <v>TTA_codon</v>
      </c>
    </row>
    <row r="149" spans="1:15" x14ac:dyDescent="0.15">
      <c r="A149" t="s">
        <v>21</v>
      </c>
      <c r="B149">
        <v>1001544</v>
      </c>
      <c r="C149">
        <v>367199</v>
      </c>
      <c r="F149" s="7">
        <v>1</v>
      </c>
      <c r="G149" s="7">
        <v>175</v>
      </c>
      <c r="H149" s="8">
        <v>175</v>
      </c>
      <c r="J149" t="s">
        <v>23</v>
      </c>
      <c r="K149" s="7">
        <v>555</v>
      </c>
      <c r="L149" s="9">
        <v>1</v>
      </c>
      <c r="M149" t="s">
        <v>236</v>
      </c>
      <c r="N149" t="s">
        <v>237</v>
      </c>
      <c r="O149" s="27" t="str">
        <f>HYPERLINK("https://www.ncbi.nlm.nih.gov/nuccore/MW291014.1?report=graph&amp;from=65535&amp;to=65539", "TTA_codon")</f>
        <v>TTA_codon</v>
      </c>
    </row>
    <row r="150" spans="1:15" x14ac:dyDescent="0.15">
      <c r="A150" t="s">
        <v>21</v>
      </c>
      <c r="B150">
        <v>1001544</v>
      </c>
      <c r="C150">
        <v>367232</v>
      </c>
      <c r="F150" s="7">
        <v>1</v>
      </c>
      <c r="G150" s="7">
        <v>175</v>
      </c>
      <c r="H150" s="8">
        <v>175</v>
      </c>
      <c r="J150" t="s">
        <v>23</v>
      </c>
      <c r="K150" s="7">
        <v>555</v>
      </c>
      <c r="L150" s="9">
        <v>1</v>
      </c>
      <c r="M150" t="s">
        <v>238</v>
      </c>
      <c r="N150" t="s">
        <v>239</v>
      </c>
      <c r="O150" s="27" t="str">
        <f>HYPERLINK("https://www.ncbi.nlm.nih.gov/nuccore/MW507134.1?report=graph&amp;from=65901&amp;to=65905", "TTA_codon")</f>
        <v>TTA_codon</v>
      </c>
    </row>
    <row r="151" spans="1:15" x14ac:dyDescent="0.15">
      <c r="A151" t="s">
        <v>21</v>
      </c>
      <c r="B151">
        <v>1001544</v>
      </c>
      <c r="C151">
        <v>367359</v>
      </c>
      <c r="F151" s="7">
        <v>1</v>
      </c>
      <c r="G151" s="7">
        <v>175</v>
      </c>
      <c r="H151" s="8">
        <v>175</v>
      </c>
      <c r="J151" t="s">
        <v>23</v>
      </c>
      <c r="K151" s="7">
        <v>555</v>
      </c>
      <c r="L151" s="9">
        <v>1</v>
      </c>
      <c r="M151" t="s">
        <v>240</v>
      </c>
      <c r="N151" t="s">
        <v>241</v>
      </c>
      <c r="O151" s="27" t="str">
        <f>HYPERLINK("https://www.ncbi.nlm.nih.gov/nuccore/NC_048724.1?report=graph&amp;from=66033&amp;to=66037", "TTA_codon")</f>
        <v>TTA_codon</v>
      </c>
    </row>
    <row r="152" spans="1:15" x14ac:dyDescent="0.15">
      <c r="A152" t="s">
        <v>21</v>
      </c>
      <c r="B152">
        <v>1001544</v>
      </c>
      <c r="C152">
        <v>367376</v>
      </c>
      <c r="F152" s="7">
        <v>1</v>
      </c>
      <c r="G152" s="7">
        <v>175</v>
      </c>
      <c r="H152" s="8">
        <v>175</v>
      </c>
      <c r="J152" t="s">
        <v>23</v>
      </c>
      <c r="K152" s="7">
        <v>555</v>
      </c>
      <c r="L152" s="9">
        <v>1</v>
      </c>
      <c r="M152" t="s">
        <v>242</v>
      </c>
      <c r="N152" t="s">
        <v>243</v>
      </c>
      <c r="O152" s="27" t="str">
        <f>HYPERLINK("https://www.ncbi.nlm.nih.gov/nuccore/NC_048730.1?report=graph&amp;from=65860&amp;to=65864", "TTA_codon")</f>
        <v>TTA_codon</v>
      </c>
    </row>
    <row r="153" spans="1:15" x14ac:dyDescent="0.15">
      <c r="A153" t="s">
        <v>21</v>
      </c>
      <c r="B153" t="s">
        <v>244</v>
      </c>
    </row>
    <row r="154" spans="1:15" x14ac:dyDescent="0.15">
      <c r="A154" t="s">
        <v>21</v>
      </c>
      <c r="B154">
        <v>1000181</v>
      </c>
      <c r="C154">
        <v>347287</v>
      </c>
      <c r="F154" s="7">
        <v>1</v>
      </c>
      <c r="G154" s="7">
        <v>46</v>
      </c>
      <c r="H154" s="8">
        <v>46</v>
      </c>
      <c r="J154" t="s">
        <v>23</v>
      </c>
      <c r="K154" s="7">
        <v>783</v>
      </c>
      <c r="L154" s="9">
        <v>1</v>
      </c>
      <c r="M154" t="s">
        <v>53</v>
      </c>
      <c r="N154" t="s">
        <v>54</v>
      </c>
      <c r="O154" s="27" t="str">
        <f>HYPERLINK("https://www.ncbi.nlm.nih.gov/nuccore/NC_003155.5?report=graph&amp;from=2804007&amp;to=2804011", "TTA_codon")</f>
        <v>TTA_codon</v>
      </c>
    </row>
    <row r="155" spans="1:15" x14ac:dyDescent="0.15">
      <c r="A155" t="s">
        <v>21</v>
      </c>
      <c r="B155">
        <v>1000181</v>
      </c>
      <c r="C155">
        <v>353708</v>
      </c>
      <c r="F155" s="7">
        <v>1</v>
      </c>
      <c r="G155" s="7">
        <v>88</v>
      </c>
      <c r="H155" s="8">
        <v>61</v>
      </c>
      <c r="J155" t="s">
        <v>23</v>
      </c>
      <c r="K155" s="7">
        <v>732</v>
      </c>
      <c r="L155" s="9">
        <v>1</v>
      </c>
      <c r="M155" t="s">
        <v>245</v>
      </c>
      <c r="N155" t="s">
        <v>246</v>
      </c>
      <c r="O155" s="27" t="str">
        <f>HYPERLINK("https://www.ncbi.nlm.nih.gov/nuccore/NZ_JNYR01000010.1?report=graph&amp;from=180137&amp;to=180141", "TTA_codon")</f>
        <v>TTA_codon</v>
      </c>
    </row>
    <row r="156" spans="1:15" x14ac:dyDescent="0.15">
      <c r="A156" t="s">
        <v>21</v>
      </c>
      <c r="B156">
        <v>1000181</v>
      </c>
      <c r="C156">
        <v>354275</v>
      </c>
      <c r="F156" s="7">
        <v>1</v>
      </c>
      <c r="G156" s="7">
        <v>103</v>
      </c>
      <c r="H156" s="8">
        <v>100</v>
      </c>
      <c r="J156" t="s">
        <v>23</v>
      </c>
      <c r="K156" s="7">
        <v>783</v>
      </c>
      <c r="L156" s="9">
        <v>1</v>
      </c>
      <c r="M156" t="s">
        <v>141</v>
      </c>
      <c r="N156" t="s">
        <v>142</v>
      </c>
      <c r="O156" s="27" t="str">
        <f>HYPERLINK("https://www.ncbi.nlm.nih.gov/nuccore/NZ_JOEI01000002.1?report=graph&amp;from=112697&amp;to=112701", "TTA_codon")</f>
        <v>TTA_codon</v>
      </c>
    </row>
    <row r="157" spans="1:15" x14ac:dyDescent="0.15">
      <c r="A157" t="s">
        <v>21</v>
      </c>
      <c r="B157">
        <v>1000181</v>
      </c>
      <c r="C157">
        <v>363432</v>
      </c>
      <c r="F157" s="7">
        <v>1</v>
      </c>
      <c r="G157" s="7">
        <v>46</v>
      </c>
      <c r="H157" s="8">
        <v>46</v>
      </c>
      <c r="J157" t="s">
        <v>23</v>
      </c>
      <c r="K157" s="7">
        <v>777</v>
      </c>
      <c r="L157" s="9">
        <v>1</v>
      </c>
      <c r="M157" t="s">
        <v>157</v>
      </c>
      <c r="N157" t="s">
        <v>158</v>
      </c>
      <c r="O157" s="27" t="str">
        <f>HYPERLINK("https://www.ncbi.nlm.nih.gov/nuccore/NZ_CP015588.1?report=graph&amp;from=3340867&amp;to=3340871", "TTA_codon")</f>
        <v>TTA_codon</v>
      </c>
    </row>
    <row r="158" spans="1:15" x14ac:dyDescent="0.15">
      <c r="A158" t="s">
        <v>21</v>
      </c>
      <c r="B158" t="s">
        <v>247</v>
      </c>
    </row>
    <row r="159" spans="1:15" x14ac:dyDescent="0.15">
      <c r="A159" t="s">
        <v>21</v>
      </c>
      <c r="B159">
        <v>1000401</v>
      </c>
      <c r="C159">
        <v>348498</v>
      </c>
      <c r="F159" s="7">
        <v>1</v>
      </c>
      <c r="G159" s="7">
        <v>184</v>
      </c>
      <c r="H159" s="8">
        <v>163</v>
      </c>
      <c r="J159" t="s">
        <v>23</v>
      </c>
      <c r="K159" s="7">
        <v>678</v>
      </c>
      <c r="L159" s="9">
        <v>1</v>
      </c>
      <c r="M159" t="s">
        <v>61</v>
      </c>
      <c r="N159" t="s">
        <v>62</v>
      </c>
      <c r="O159" s="27" t="str">
        <f>HYPERLINK("https://www.ncbi.nlm.nih.gov/nuccore/NZ_DS999641.1?report=graph&amp;from=7919828&amp;to=7919832", "TTA_codon")</f>
        <v>TTA_codon</v>
      </c>
    </row>
    <row r="160" spans="1:15" x14ac:dyDescent="0.15">
      <c r="A160" t="s">
        <v>21</v>
      </c>
      <c r="B160">
        <v>1000401</v>
      </c>
      <c r="C160">
        <v>350217</v>
      </c>
      <c r="F160" s="7">
        <v>1</v>
      </c>
      <c r="G160" s="7">
        <v>160</v>
      </c>
      <c r="H160" s="8">
        <v>109</v>
      </c>
      <c r="J160" t="s">
        <v>23</v>
      </c>
      <c r="K160" s="7">
        <v>651</v>
      </c>
      <c r="L160" s="9">
        <v>1</v>
      </c>
      <c r="M160" t="s">
        <v>248</v>
      </c>
      <c r="N160" t="s">
        <v>249</v>
      </c>
      <c r="O160" s="27" t="str">
        <f>HYPERLINK("https://www.ncbi.nlm.nih.gov/nuccore/NZ_AHBF01000124.1?report=graph&amp;from=10544&amp;to=10548", "TTA_codon")</f>
        <v>TTA_codon</v>
      </c>
    </row>
    <row r="161" spans="1:15" x14ac:dyDescent="0.15">
      <c r="A161" t="s">
        <v>21</v>
      </c>
      <c r="B161">
        <v>1000401</v>
      </c>
      <c r="C161">
        <v>357260</v>
      </c>
      <c r="F161" s="7">
        <v>1</v>
      </c>
      <c r="G161" s="7">
        <v>271</v>
      </c>
      <c r="H161" s="8">
        <v>157</v>
      </c>
      <c r="J161" t="s">
        <v>23</v>
      </c>
      <c r="K161" s="7">
        <v>594</v>
      </c>
      <c r="L161" s="9">
        <v>1</v>
      </c>
      <c r="M161" t="s">
        <v>250</v>
      </c>
      <c r="N161" t="s">
        <v>251</v>
      </c>
      <c r="O161" s="27" t="str">
        <f>HYPERLINK("https://www.ncbi.nlm.nih.gov/nuccore/NZ_CP009922.2?report=graph&amp;from=2298061&amp;to=2298065", "TTA_codon")</f>
        <v>TTA_codon</v>
      </c>
    </row>
    <row r="162" spans="1:15" x14ac:dyDescent="0.15">
      <c r="A162" t="s">
        <v>21</v>
      </c>
      <c r="B162">
        <v>1000401</v>
      </c>
      <c r="C162">
        <v>363439</v>
      </c>
      <c r="F162" s="7">
        <v>1</v>
      </c>
      <c r="G162" s="7">
        <v>406</v>
      </c>
      <c r="H162" s="8">
        <v>343</v>
      </c>
      <c r="J162" t="s">
        <v>23</v>
      </c>
      <c r="K162" s="7">
        <v>645</v>
      </c>
      <c r="L162" s="9">
        <v>1</v>
      </c>
      <c r="M162" t="s">
        <v>157</v>
      </c>
      <c r="N162" t="s">
        <v>158</v>
      </c>
      <c r="O162" s="27" t="str">
        <f>HYPERLINK("https://www.ncbi.nlm.nih.gov/nuccore/NZ_CP015588.1?report=graph&amp;from=368455&amp;to=368459", "TTA_codon")</f>
        <v>TTA_codon</v>
      </c>
    </row>
    <row r="163" spans="1:15" x14ac:dyDescent="0.15">
      <c r="A163" t="s">
        <v>21</v>
      </c>
      <c r="B163">
        <v>1000401</v>
      </c>
      <c r="C163">
        <v>364138</v>
      </c>
      <c r="F163" s="7">
        <v>2</v>
      </c>
      <c r="G163" s="7" t="s">
        <v>252</v>
      </c>
      <c r="H163" s="8" t="s">
        <v>253</v>
      </c>
      <c r="J163" t="s">
        <v>23</v>
      </c>
      <c r="K163" s="7">
        <v>612</v>
      </c>
      <c r="L163" s="9">
        <v>1</v>
      </c>
      <c r="M163" t="s">
        <v>254</v>
      </c>
      <c r="N163" t="s">
        <v>255</v>
      </c>
      <c r="O163" s="27" t="str">
        <f>HYPERLINK("https://www.ncbi.nlm.nih.gov/nuccore/NZ_CP018047.1?report=graph&amp;from=1709994&amp;to=1710043", "TTA_codon")</f>
        <v>TTA_codon</v>
      </c>
    </row>
    <row r="164" spans="1:15" x14ac:dyDescent="0.15">
      <c r="A164" t="s">
        <v>21</v>
      </c>
      <c r="B164">
        <v>1000401</v>
      </c>
      <c r="C164">
        <v>366092</v>
      </c>
      <c r="F164" s="7">
        <v>1</v>
      </c>
      <c r="G164" s="7">
        <v>160</v>
      </c>
      <c r="H164" s="8">
        <v>136</v>
      </c>
      <c r="J164" t="s">
        <v>23</v>
      </c>
      <c r="K164" s="7">
        <v>678</v>
      </c>
      <c r="L164" s="9">
        <v>1</v>
      </c>
      <c r="M164" t="s">
        <v>256</v>
      </c>
      <c r="N164" t="s">
        <v>257</v>
      </c>
      <c r="O164" s="27" t="str">
        <f>HYPERLINK("https://www.ncbi.nlm.nih.gov/nuccore/NZ_FOET01000004.1?report=graph&amp;from=39660&amp;to=39664", "TTA_codon")</f>
        <v>TTA_codon</v>
      </c>
    </row>
    <row r="165" spans="1:15" x14ac:dyDescent="0.15">
      <c r="A165" t="s">
        <v>21</v>
      </c>
      <c r="B165" t="s">
        <v>258</v>
      </c>
    </row>
    <row r="166" spans="1:15" x14ac:dyDescent="0.15">
      <c r="A166" t="s">
        <v>21</v>
      </c>
      <c r="B166">
        <v>1000759</v>
      </c>
      <c r="C166">
        <v>351547</v>
      </c>
      <c r="F166" s="7">
        <v>1</v>
      </c>
      <c r="G166" s="7">
        <v>256</v>
      </c>
      <c r="H166" s="8">
        <v>256</v>
      </c>
      <c r="J166" t="s">
        <v>23</v>
      </c>
      <c r="K166" s="7">
        <v>756</v>
      </c>
      <c r="L166" s="9">
        <v>1</v>
      </c>
      <c r="M166" t="s">
        <v>259</v>
      </c>
      <c r="N166" t="s">
        <v>138</v>
      </c>
      <c r="O166" s="27" t="str">
        <f>HYPERLINK("https://www.ncbi.nlm.nih.gov/nuccore/NZ_KB889618.1?report=graph&amp;from=65948&amp;to=65952", "TTA_codon")</f>
        <v>TTA_codon</v>
      </c>
    </row>
    <row r="167" spans="1:15" x14ac:dyDescent="0.15">
      <c r="A167" t="s">
        <v>21</v>
      </c>
      <c r="B167">
        <v>1000759</v>
      </c>
      <c r="C167">
        <v>365020</v>
      </c>
      <c r="F167" s="7">
        <v>1</v>
      </c>
      <c r="G167" s="7">
        <v>385</v>
      </c>
      <c r="H167" s="8">
        <v>385</v>
      </c>
      <c r="J167" t="s">
        <v>23</v>
      </c>
      <c r="K167" s="7">
        <v>813</v>
      </c>
      <c r="L167" s="9">
        <v>1</v>
      </c>
      <c r="M167" t="s">
        <v>111</v>
      </c>
      <c r="N167" t="s">
        <v>112</v>
      </c>
      <c r="O167" s="27" t="str">
        <f>HYPERLINK("https://www.ncbi.nlm.nih.gov/nuccore/NZ_CP021744.1?report=graph&amp;from=6973204&amp;to=6973208", "TTA_codon")</f>
        <v>TTA_codon</v>
      </c>
    </row>
    <row r="168" spans="1:15" x14ac:dyDescent="0.15">
      <c r="A168" t="s">
        <v>21</v>
      </c>
      <c r="B168" t="s">
        <v>260</v>
      </c>
    </row>
    <row r="169" spans="1:15" x14ac:dyDescent="0.15">
      <c r="A169" t="s">
        <v>21</v>
      </c>
      <c r="B169">
        <v>1000443</v>
      </c>
      <c r="C169">
        <v>348754</v>
      </c>
      <c r="F169" s="7">
        <v>1</v>
      </c>
      <c r="G169" s="7">
        <v>40</v>
      </c>
      <c r="H169" s="8">
        <v>40</v>
      </c>
      <c r="J169" t="s">
        <v>23</v>
      </c>
      <c r="K169" s="7">
        <v>1455</v>
      </c>
      <c r="L169" s="9">
        <v>-1</v>
      </c>
      <c r="M169" t="s">
        <v>211</v>
      </c>
      <c r="N169" t="s">
        <v>212</v>
      </c>
      <c r="O169" s="27" t="str">
        <f>HYPERLINK("https://www.ncbi.nlm.nih.gov/nuccore/NZ_GG657754.1?report=graph&amp;from=8746373&amp;to=8746377", "TTA_codon")</f>
        <v>TTA_codon</v>
      </c>
    </row>
    <row r="170" spans="1:15" x14ac:dyDescent="0.15">
      <c r="A170" t="s">
        <v>21</v>
      </c>
      <c r="B170">
        <v>1000443</v>
      </c>
      <c r="C170">
        <v>357926</v>
      </c>
      <c r="F170" s="7">
        <v>1</v>
      </c>
      <c r="G170" s="7">
        <v>40</v>
      </c>
      <c r="H170" s="8">
        <v>40</v>
      </c>
      <c r="J170" t="s">
        <v>23</v>
      </c>
      <c r="K170" s="7">
        <v>1452</v>
      </c>
      <c r="L170" s="9">
        <v>-1</v>
      </c>
      <c r="M170" t="s">
        <v>261</v>
      </c>
      <c r="N170" t="s">
        <v>262</v>
      </c>
      <c r="O170" s="27" t="str">
        <f>HYPERLINK("https://www.ncbi.nlm.nih.gov/nuccore/NZ_CP011340.1?report=graph&amp;from=539372&amp;to=539376", "TTA_codon")</f>
        <v>TTA_codon</v>
      </c>
    </row>
    <row r="171" spans="1:15" x14ac:dyDescent="0.15">
      <c r="A171" t="s">
        <v>21</v>
      </c>
      <c r="B171">
        <v>1000443</v>
      </c>
      <c r="C171">
        <v>359813</v>
      </c>
      <c r="F171" s="7">
        <v>1</v>
      </c>
      <c r="G171" s="7">
        <v>40</v>
      </c>
      <c r="H171" s="8">
        <v>40</v>
      </c>
      <c r="J171" t="s">
        <v>23</v>
      </c>
      <c r="K171" s="7">
        <v>1452</v>
      </c>
      <c r="L171" s="9">
        <v>-1</v>
      </c>
      <c r="M171" t="s">
        <v>90</v>
      </c>
      <c r="N171" t="s">
        <v>91</v>
      </c>
      <c r="O171" s="27" t="str">
        <f>HYPERLINK("https://www.ncbi.nlm.nih.gov/nuccore/NZ_KQ948314.1?report=graph&amp;from=229142&amp;to=229146", "TTA_codon")</f>
        <v>TTA_codon</v>
      </c>
    </row>
    <row r="172" spans="1:15" x14ac:dyDescent="0.15">
      <c r="A172" t="s">
        <v>21</v>
      </c>
      <c r="B172">
        <v>1000443</v>
      </c>
      <c r="C172">
        <v>363252</v>
      </c>
      <c r="F172" s="7">
        <v>1</v>
      </c>
      <c r="G172" s="7">
        <v>40</v>
      </c>
      <c r="H172" s="8">
        <v>40</v>
      </c>
      <c r="J172" t="s">
        <v>23</v>
      </c>
      <c r="K172" s="7">
        <v>1452</v>
      </c>
      <c r="L172" s="9">
        <v>-1</v>
      </c>
      <c r="M172" t="s">
        <v>263</v>
      </c>
      <c r="N172" t="s">
        <v>28</v>
      </c>
      <c r="O172" s="27" t="str">
        <f>HYPERLINK("https://www.ncbi.nlm.nih.gov/nuccore/NZ_JUJA01000075.1?report=graph&amp;from=23055&amp;to=23059", "TTA_codon")</f>
        <v>TTA_codon</v>
      </c>
    </row>
    <row r="173" spans="1:15" x14ac:dyDescent="0.15">
      <c r="A173" t="s">
        <v>21</v>
      </c>
      <c r="B173" t="s">
        <v>264</v>
      </c>
    </row>
    <row r="174" spans="1:15" x14ac:dyDescent="0.15">
      <c r="A174" t="s">
        <v>21</v>
      </c>
      <c r="B174">
        <v>1000549</v>
      </c>
      <c r="C174">
        <v>349769</v>
      </c>
      <c r="F174" s="7">
        <v>1</v>
      </c>
      <c r="G174" s="7">
        <v>367</v>
      </c>
      <c r="H174" s="8">
        <v>301</v>
      </c>
      <c r="J174" t="s">
        <v>23</v>
      </c>
      <c r="K174" s="7">
        <v>2193</v>
      </c>
      <c r="L174" s="9">
        <v>1</v>
      </c>
      <c r="M174" t="s">
        <v>265</v>
      </c>
      <c r="N174" t="s">
        <v>266</v>
      </c>
      <c r="O174" s="27" t="str">
        <f>HYPERLINK("https://www.ncbi.nlm.nih.gov/nuccore/NC_017586.1?report=graph&amp;from=1440134&amp;to=1440138", "TTA_codon")</f>
        <v>TTA_codon</v>
      </c>
    </row>
    <row r="175" spans="1:15" x14ac:dyDescent="0.15">
      <c r="A175" t="s">
        <v>21</v>
      </c>
      <c r="B175">
        <v>1000549</v>
      </c>
      <c r="C175">
        <v>354075</v>
      </c>
      <c r="F175" s="7">
        <v>2</v>
      </c>
      <c r="G175" s="7" t="s">
        <v>267</v>
      </c>
      <c r="H175" s="8" t="s">
        <v>268</v>
      </c>
      <c r="J175" t="s">
        <v>23</v>
      </c>
      <c r="K175" s="7">
        <v>2232</v>
      </c>
      <c r="L175" s="9">
        <v>1</v>
      </c>
      <c r="M175" t="s">
        <v>269</v>
      </c>
      <c r="N175" t="s">
        <v>270</v>
      </c>
      <c r="O175" s="27" t="str">
        <f>HYPERLINK("https://www.ncbi.nlm.nih.gov/nuccore/NZ_JOBH01000002.1?report=graph&amp;from=324775&amp;to=324941", "TTA_codon")</f>
        <v>TTA_codon</v>
      </c>
    </row>
    <row r="176" spans="1:15" x14ac:dyDescent="0.15">
      <c r="A176" t="s">
        <v>21</v>
      </c>
      <c r="B176">
        <v>1000549</v>
      </c>
      <c r="C176">
        <v>354791</v>
      </c>
      <c r="F176" s="7">
        <v>1</v>
      </c>
      <c r="G176" s="7">
        <v>448</v>
      </c>
      <c r="H176" s="8">
        <v>373</v>
      </c>
      <c r="J176" t="s">
        <v>23</v>
      </c>
      <c r="K176" s="7">
        <v>1113</v>
      </c>
      <c r="L176" s="9">
        <v>1</v>
      </c>
      <c r="M176" t="s">
        <v>271</v>
      </c>
      <c r="N176" t="s">
        <v>272</v>
      </c>
      <c r="O176" s="27" t="str">
        <f>HYPERLINK("https://www.ncbi.nlm.nih.gov/nuccore/NZ_JOEY01000095.1?report=graph&amp;from=1336&amp;to=1340", "TTA_codon")</f>
        <v>TTA_codon</v>
      </c>
    </row>
    <row r="177" spans="1:15" x14ac:dyDescent="0.15">
      <c r="A177" t="s">
        <v>21</v>
      </c>
      <c r="B177">
        <v>1000549</v>
      </c>
      <c r="C177">
        <v>363683</v>
      </c>
      <c r="F177" s="7">
        <v>1</v>
      </c>
      <c r="G177" s="7">
        <v>355</v>
      </c>
      <c r="H177" s="8">
        <v>352</v>
      </c>
      <c r="J177" t="s">
        <v>23</v>
      </c>
      <c r="K177" s="7">
        <v>1353</v>
      </c>
      <c r="L177" s="9">
        <v>1</v>
      </c>
      <c r="M177" t="s">
        <v>101</v>
      </c>
      <c r="N177" t="s">
        <v>102</v>
      </c>
      <c r="O177" s="27" t="str">
        <f>HYPERLINK("https://www.ncbi.nlm.nih.gov/nuccore/NZ_CP019458.1?report=graph&amp;from=6275289&amp;to=6275293", "TTA_codon")</f>
        <v>TTA_codon</v>
      </c>
    </row>
    <row r="178" spans="1:15" x14ac:dyDescent="0.15">
      <c r="A178" t="s">
        <v>21</v>
      </c>
      <c r="B178" t="s">
        <v>273</v>
      </c>
    </row>
    <row r="179" spans="1:15" x14ac:dyDescent="0.15">
      <c r="A179" t="s">
        <v>21</v>
      </c>
      <c r="B179">
        <v>1000770</v>
      </c>
      <c r="C179">
        <v>351736</v>
      </c>
      <c r="F179" s="7">
        <v>1</v>
      </c>
      <c r="G179" s="7">
        <v>70</v>
      </c>
      <c r="H179" s="8">
        <v>64</v>
      </c>
      <c r="J179" t="s">
        <v>23</v>
      </c>
      <c r="K179" s="7">
        <v>1866</v>
      </c>
      <c r="L179" s="9">
        <v>-1</v>
      </c>
      <c r="M179" t="s">
        <v>274</v>
      </c>
      <c r="N179" t="s">
        <v>68</v>
      </c>
      <c r="O179" s="27" t="str">
        <f>HYPERLINK("https://www.ncbi.nlm.nih.gov/nuccore/NZ_BARG01000054.1?report=graph&amp;from=37236&amp;to=37240", "TTA_codon")</f>
        <v>TTA_codon</v>
      </c>
    </row>
    <row r="180" spans="1:15" x14ac:dyDescent="0.15">
      <c r="A180" t="s">
        <v>21</v>
      </c>
      <c r="B180">
        <v>1000770</v>
      </c>
      <c r="C180">
        <v>360634</v>
      </c>
      <c r="F180" s="7">
        <v>1</v>
      </c>
      <c r="G180" s="7">
        <v>76</v>
      </c>
      <c r="H180" s="8">
        <v>55</v>
      </c>
      <c r="J180" t="s">
        <v>23</v>
      </c>
      <c r="K180" s="7">
        <v>1842</v>
      </c>
      <c r="L180" s="9">
        <v>-1</v>
      </c>
      <c r="M180" t="s">
        <v>94</v>
      </c>
      <c r="N180" t="s">
        <v>95</v>
      </c>
      <c r="O180" s="27" t="str">
        <f>HYPERLINK("https://www.ncbi.nlm.nih.gov/nuccore/NZ_JYIJ01000019.1?report=graph&amp;from=1110539&amp;to=1110543", "TTA_codon")</f>
        <v>TTA_codon</v>
      </c>
    </row>
    <row r="181" spans="1:15" x14ac:dyDescent="0.15">
      <c r="A181" t="s">
        <v>21</v>
      </c>
      <c r="B181" t="s">
        <v>275</v>
      </c>
    </row>
    <row r="182" spans="1:15" x14ac:dyDescent="0.15">
      <c r="A182" t="s">
        <v>21</v>
      </c>
      <c r="B182">
        <v>1000564</v>
      </c>
      <c r="C182">
        <v>349928</v>
      </c>
      <c r="F182" s="7">
        <v>1</v>
      </c>
      <c r="G182" s="7">
        <v>421</v>
      </c>
      <c r="H182" s="8">
        <v>274</v>
      </c>
      <c r="J182" t="s">
        <v>23</v>
      </c>
      <c r="K182" s="7">
        <v>1161</v>
      </c>
      <c r="L182" s="9">
        <v>-1</v>
      </c>
      <c r="M182" t="s">
        <v>276</v>
      </c>
      <c r="N182" t="s">
        <v>249</v>
      </c>
      <c r="O182" s="27" t="str">
        <f>HYPERLINK("https://www.ncbi.nlm.nih.gov/nuccore/NZ_AHBF01000109.1?report=graph&amp;from=14237&amp;to=14241", "TTA_codon")</f>
        <v>TTA_codon</v>
      </c>
    </row>
    <row r="183" spans="1:15" x14ac:dyDescent="0.15">
      <c r="A183" t="s">
        <v>21</v>
      </c>
      <c r="B183">
        <v>1000564</v>
      </c>
      <c r="C183">
        <v>353263</v>
      </c>
      <c r="F183" s="7">
        <v>1</v>
      </c>
      <c r="G183" s="7">
        <v>322</v>
      </c>
      <c r="H183" s="8">
        <v>280</v>
      </c>
      <c r="J183" t="s">
        <v>23</v>
      </c>
      <c r="K183" s="7">
        <v>1779</v>
      </c>
      <c r="L183" s="9">
        <v>-1</v>
      </c>
      <c r="M183" t="s">
        <v>168</v>
      </c>
      <c r="N183" t="s">
        <v>169</v>
      </c>
      <c r="O183" s="27" t="str">
        <f>HYPERLINK("https://www.ncbi.nlm.nih.gov/nuccore/NZ_JNWJ01000008.1?report=graph&amp;from=3584&amp;to=3588", "TTA_codon")</f>
        <v>TTA_codon</v>
      </c>
    </row>
    <row r="184" spans="1:15" x14ac:dyDescent="0.15">
      <c r="A184" t="s">
        <v>21</v>
      </c>
      <c r="B184">
        <v>1000564</v>
      </c>
      <c r="C184">
        <v>355598</v>
      </c>
      <c r="F184" s="7">
        <v>1</v>
      </c>
      <c r="G184" s="7">
        <v>244</v>
      </c>
      <c r="H184" s="8">
        <v>139</v>
      </c>
      <c r="J184" t="s">
        <v>23</v>
      </c>
      <c r="K184" s="7">
        <v>1224</v>
      </c>
      <c r="L184" s="9">
        <v>-1</v>
      </c>
      <c r="M184" t="s">
        <v>277</v>
      </c>
      <c r="N184" t="s">
        <v>278</v>
      </c>
      <c r="O184" s="27" t="str">
        <f>HYPERLINK("https://www.ncbi.nlm.nih.gov/nuccore/NZ_JOID01000016.1?report=graph&amp;from=59394&amp;to=59398", "TTA_codon")</f>
        <v>TTA_codon</v>
      </c>
    </row>
    <row r="185" spans="1:15" x14ac:dyDescent="0.15">
      <c r="A185" t="s">
        <v>21</v>
      </c>
      <c r="B185">
        <v>1000564</v>
      </c>
      <c r="C185">
        <v>357741</v>
      </c>
      <c r="F185" s="7">
        <v>1</v>
      </c>
      <c r="G185" s="7">
        <v>421</v>
      </c>
      <c r="H185" s="8">
        <v>364</v>
      </c>
      <c r="J185" t="s">
        <v>23</v>
      </c>
      <c r="K185" s="7">
        <v>1767</v>
      </c>
      <c r="L185" s="9">
        <v>-1</v>
      </c>
      <c r="M185" t="s">
        <v>173</v>
      </c>
      <c r="N185" t="s">
        <v>83</v>
      </c>
      <c r="O185" s="27" t="str">
        <f>HYPERLINK("https://www.ncbi.nlm.nih.gov/nuccore/NZ_DF968216.1?report=graph&amp;from=27219&amp;to=27223", "TTA_codon")</f>
        <v>TTA_codon</v>
      </c>
    </row>
    <row r="186" spans="1:15" x14ac:dyDescent="0.15">
      <c r="A186" t="s">
        <v>21</v>
      </c>
      <c r="B186" t="s">
        <v>279</v>
      </c>
    </row>
    <row r="187" spans="1:15" x14ac:dyDescent="0.15">
      <c r="A187" t="s">
        <v>21</v>
      </c>
      <c r="B187">
        <v>1000644</v>
      </c>
      <c r="C187">
        <v>350513</v>
      </c>
      <c r="F187" s="7">
        <v>1</v>
      </c>
      <c r="G187" s="7">
        <v>1099</v>
      </c>
      <c r="H187" s="8">
        <v>1084</v>
      </c>
      <c r="J187" t="s">
        <v>23</v>
      </c>
      <c r="K187" s="7">
        <v>1149</v>
      </c>
      <c r="L187" s="9">
        <v>-1</v>
      </c>
      <c r="M187" t="s">
        <v>280</v>
      </c>
      <c r="N187" t="s">
        <v>134</v>
      </c>
      <c r="O187" s="27" t="str">
        <f>HYPERLINK("https://www.ncbi.nlm.nih.gov/nuccore/NZ_AJSZ01000413.1?report=graph&amp;from=28267&amp;to=28271", "TTA_codon")</f>
        <v>TTA_codon</v>
      </c>
    </row>
    <row r="188" spans="1:15" x14ac:dyDescent="0.15">
      <c r="A188" t="s">
        <v>21</v>
      </c>
      <c r="B188">
        <v>1000644</v>
      </c>
      <c r="C188">
        <v>354833</v>
      </c>
      <c r="F188" s="7">
        <v>1</v>
      </c>
      <c r="G188" s="7">
        <v>1099</v>
      </c>
      <c r="H188" s="8">
        <v>1099</v>
      </c>
      <c r="J188" t="s">
        <v>23</v>
      </c>
      <c r="K188" s="7">
        <v>1164</v>
      </c>
      <c r="L188" s="9">
        <v>-1</v>
      </c>
      <c r="M188" t="s">
        <v>281</v>
      </c>
      <c r="N188" t="s">
        <v>25</v>
      </c>
      <c r="O188" s="27" t="str">
        <f>HYPERLINK("https://www.ncbi.nlm.nih.gov/nuccore/NZ_JOFU01000030.1?report=graph&amp;from=89972&amp;to=89976", "TTA_codon")</f>
        <v>TTA_codon</v>
      </c>
    </row>
    <row r="189" spans="1:15" x14ac:dyDescent="0.15">
      <c r="A189" t="s">
        <v>21</v>
      </c>
      <c r="B189" t="s">
        <v>282</v>
      </c>
    </row>
    <row r="190" spans="1:15" x14ac:dyDescent="0.15">
      <c r="A190" t="s">
        <v>21</v>
      </c>
      <c r="B190">
        <v>1000926</v>
      </c>
      <c r="C190">
        <v>353237</v>
      </c>
      <c r="F190" s="7">
        <v>2</v>
      </c>
      <c r="G190" s="7" t="s">
        <v>283</v>
      </c>
      <c r="H190" s="8" t="s">
        <v>284</v>
      </c>
      <c r="J190" t="s">
        <v>23</v>
      </c>
      <c r="K190" s="7">
        <v>3804</v>
      </c>
      <c r="L190" s="9">
        <v>1</v>
      </c>
      <c r="M190" t="s">
        <v>285</v>
      </c>
      <c r="N190" t="s">
        <v>169</v>
      </c>
      <c r="O190" s="27" t="str">
        <f>HYPERLINK("https://www.ncbi.nlm.nih.gov/nuccore/NZ_JNWJ01000002.1?report=graph&amp;from=223661&amp;to=223695", "TTA_codon")</f>
        <v>TTA_codon</v>
      </c>
    </row>
    <row r="191" spans="1:15" x14ac:dyDescent="0.15">
      <c r="A191" t="s">
        <v>21</v>
      </c>
      <c r="B191">
        <v>1000926</v>
      </c>
      <c r="C191">
        <v>361383</v>
      </c>
      <c r="F191" s="7">
        <v>1</v>
      </c>
      <c r="G191" s="7">
        <v>160</v>
      </c>
      <c r="H191" s="8">
        <v>160</v>
      </c>
      <c r="J191" t="s">
        <v>23</v>
      </c>
      <c r="K191" s="7">
        <v>1839</v>
      </c>
      <c r="L191" s="9">
        <v>1</v>
      </c>
      <c r="M191" t="s">
        <v>286</v>
      </c>
      <c r="N191" t="s">
        <v>201</v>
      </c>
      <c r="O191" s="27" t="str">
        <f>HYPERLINK("https://www.ncbi.nlm.nih.gov/nuccore/NZ_CP016560.1?report=graph&amp;from=215708&amp;to=215712", "TTA_codon")</f>
        <v>TTA_codon</v>
      </c>
    </row>
    <row r="192" spans="1:15" x14ac:dyDescent="0.15">
      <c r="A192" t="s">
        <v>21</v>
      </c>
      <c r="B192" t="s">
        <v>287</v>
      </c>
    </row>
    <row r="193" spans="1:15" x14ac:dyDescent="0.15">
      <c r="A193" t="s">
        <v>21</v>
      </c>
      <c r="B193">
        <v>1001511</v>
      </c>
      <c r="C193">
        <v>365970</v>
      </c>
      <c r="F193" s="7">
        <v>1</v>
      </c>
      <c r="G193" s="7">
        <v>223</v>
      </c>
      <c r="H193" s="8">
        <v>187</v>
      </c>
      <c r="J193" t="s">
        <v>23</v>
      </c>
      <c r="K193" s="7">
        <v>555</v>
      </c>
      <c r="L193" s="9">
        <v>-1</v>
      </c>
      <c r="M193" t="s">
        <v>288</v>
      </c>
      <c r="N193" t="s">
        <v>115</v>
      </c>
      <c r="O193" s="27" t="str">
        <f>HYPERLINK("https://www.ncbi.nlm.nih.gov/nuccore/NZ_FODD01000034.1?report=graph&amp;from=79888&amp;to=79892", "TTA_codon")</f>
        <v>TTA_codon</v>
      </c>
    </row>
    <row r="194" spans="1:15" x14ac:dyDescent="0.15">
      <c r="A194" t="s">
        <v>21</v>
      </c>
      <c r="B194">
        <v>1001511</v>
      </c>
      <c r="C194">
        <v>366623</v>
      </c>
      <c r="F194" s="7">
        <v>1</v>
      </c>
      <c r="G194" s="7">
        <v>223</v>
      </c>
      <c r="H194" s="8">
        <v>223</v>
      </c>
      <c r="J194" t="s">
        <v>23</v>
      </c>
      <c r="K194" s="7">
        <v>603</v>
      </c>
      <c r="L194" s="9">
        <v>-1</v>
      </c>
      <c r="M194" t="s">
        <v>289</v>
      </c>
      <c r="N194" t="s">
        <v>180</v>
      </c>
      <c r="O194" s="27" t="str">
        <f>HYPERLINK("https://www.ncbi.nlm.nih.gov/nuccore/NZ_FRBI01000012.1?report=graph&amp;from=218506&amp;to=218510", "TTA_codon")</f>
        <v>TTA_codon</v>
      </c>
    </row>
    <row r="195" spans="1:15" x14ac:dyDescent="0.15">
      <c r="A195" t="s">
        <v>21</v>
      </c>
      <c r="B195" t="s">
        <v>290</v>
      </c>
    </row>
    <row r="196" spans="1:15" x14ac:dyDescent="0.15">
      <c r="A196" t="s">
        <v>21</v>
      </c>
      <c r="B196">
        <v>1000779</v>
      </c>
      <c r="C196">
        <v>351799</v>
      </c>
      <c r="F196" s="7">
        <v>1</v>
      </c>
      <c r="G196" s="7">
        <v>43</v>
      </c>
      <c r="H196" s="8">
        <v>43</v>
      </c>
      <c r="J196" t="s">
        <v>23</v>
      </c>
      <c r="K196" s="7">
        <v>804</v>
      </c>
      <c r="L196" s="9">
        <v>-1</v>
      </c>
      <c r="M196" t="s">
        <v>291</v>
      </c>
      <c r="N196" t="s">
        <v>68</v>
      </c>
      <c r="O196" s="27" t="str">
        <f>HYPERLINK("https://www.ncbi.nlm.nih.gov/nuccore/NZ_BARG01000008.1?report=graph&amp;from=23816&amp;to=23820", "TTA_codon")</f>
        <v>TTA_codon</v>
      </c>
    </row>
    <row r="197" spans="1:15" x14ac:dyDescent="0.15">
      <c r="A197" t="s">
        <v>21</v>
      </c>
      <c r="B197">
        <v>1000779</v>
      </c>
      <c r="C197">
        <v>360071</v>
      </c>
      <c r="F197" s="7">
        <v>1</v>
      </c>
      <c r="G197" s="7">
        <v>43</v>
      </c>
      <c r="H197" s="8">
        <v>43</v>
      </c>
      <c r="J197" t="s">
        <v>23</v>
      </c>
      <c r="K197" s="7">
        <v>804</v>
      </c>
      <c r="L197" s="9">
        <v>-1</v>
      </c>
      <c r="M197" t="s">
        <v>292</v>
      </c>
      <c r="N197" t="s">
        <v>125</v>
      </c>
      <c r="O197" s="27" t="str">
        <f>HYPERLINK("https://www.ncbi.nlm.nih.gov/nuccore/NZ_KQ948453.1?report=graph&amp;from=96865&amp;to=96869", "TTA_codon")</f>
        <v>TTA_codon</v>
      </c>
    </row>
    <row r="198" spans="1:15" x14ac:dyDescent="0.15">
      <c r="A198" t="s">
        <v>21</v>
      </c>
      <c r="B198">
        <v>1000779</v>
      </c>
      <c r="C198">
        <v>363456</v>
      </c>
      <c r="F198" s="7">
        <v>1</v>
      </c>
      <c r="G198" s="7">
        <v>43</v>
      </c>
      <c r="H198" s="8">
        <v>43</v>
      </c>
      <c r="J198" t="s">
        <v>23</v>
      </c>
      <c r="K198" s="7">
        <v>819</v>
      </c>
      <c r="L198" s="9">
        <v>-1</v>
      </c>
      <c r="M198" t="s">
        <v>157</v>
      </c>
      <c r="N198" t="s">
        <v>158</v>
      </c>
      <c r="O198" s="27" t="str">
        <f>HYPERLINK("https://www.ncbi.nlm.nih.gov/nuccore/NZ_CP015588.1?report=graph&amp;from=6688438&amp;to=6688442", "TTA_codon")</f>
        <v>TTA_codon</v>
      </c>
    </row>
    <row r="199" spans="1:15" x14ac:dyDescent="0.15">
      <c r="A199" t="s">
        <v>21</v>
      </c>
      <c r="B199" t="s">
        <v>293</v>
      </c>
    </row>
    <row r="200" spans="1:15" x14ac:dyDescent="0.15">
      <c r="A200" t="s">
        <v>21</v>
      </c>
      <c r="B200">
        <v>1001077</v>
      </c>
      <c r="C200">
        <v>355267</v>
      </c>
      <c r="F200" s="7">
        <v>1</v>
      </c>
      <c r="G200" s="7">
        <v>892</v>
      </c>
      <c r="H200" s="8">
        <v>724</v>
      </c>
      <c r="J200" t="s">
        <v>23</v>
      </c>
      <c r="K200" s="7">
        <v>1371</v>
      </c>
      <c r="L200" s="9">
        <v>-1</v>
      </c>
      <c r="M200" t="s">
        <v>294</v>
      </c>
      <c r="N200" t="s">
        <v>295</v>
      </c>
      <c r="O200" s="27" t="str">
        <f>HYPERLINK("https://www.ncbi.nlm.nih.gov/nuccore/NZ_JODL01000004.1?report=graph&amp;from=148785&amp;to=148789", "TTA_codon")</f>
        <v>TTA_codon</v>
      </c>
    </row>
    <row r="201" spans="1:15" x14ac:dyDescent="0.15">
      <c r="A201" t="s">
        <v>21</v>
      </c>
      <c r="B201">
        <v>1001077</v>
      </c>
      <c r="C201">
        <v>358564</v>
      </c>
      <c r="F201" s="7">
        <v>2</v>
      </c>
      <c r="G201" s="7" t="s">
        <v>296</v>
      </c>
      <c r="H201" s="8" t="s">
        <v>297</v>
      </c>
      <c r="J201" t="s">
        <v>23</v>
      </c>
      <c r="K201" s="7">
        <v>1470</v>
      </c>
      <c r="L201" s="9">
        <v>-1</v>
      </c>
      <c r="M201" t="s">
        <v>298</v>
      </c>
      <c r="N201" t="s">
        <v>299</v>
      </c>
      <c r="O201" s="27" t="str">
        <f>HYPERLINK("https://www.ncbi.nlm.nih.gov/nuccore/NZ_LIQY01000446.1?report=graph&amp;from=3120&amp;to=4018", "TTA_codon")</f>
        <v>TTA_codon</v>
      </c>
    </row>
    <row r="202" spans="1:15" x14ac:dyDescent="0.15">
      <c r="A202" t="s">
        <v>21</v>
      </c>
      <c r="B202">
        <v>1001077</v>
      </c>
      <c r="C202">
        <v>360054</v>
      </c>
      <c r="F202" s="7">
        <v>1</v>
      </c>
      <c r="G202" s="7">
        <v>1075</v>
      </c>
      <c r="H202" s="8">
        <v>1021</v>
      </c>
      <c r="J202" t="s">
        <v>23</v>
      </c>
      <c r="K202" s="7">
        <v>1485</v>
      </c>
      <c r="L202" s="9">
        <v>-1</v>
      </c>
      <c r="M202" t="s">
        <v>300</v>
      </c>
      <c r="N202" t="s">
        <v>125</v>
      </c>
      <c r="O202" s="27" t="str">
        <f>HYPERLINK("https://www.ncbi.nlm.nih.gov/nuccore/NZ_KQ948466.1?report=graph&amp;from=72780&amp;to=72784", "TTA_codon")</f>
        <v>TTA_codon</v>
      </c>
    </row>
    <row r="203" spans="1:15" x14ac:dyDescent="0.15">
      <c r="A203" t="s">
        <v>21</v>
      </c>
      <c r="B203">
        <v>1001077</v>
      </c>
      <c r="C203">
        <v>366180</v>
      </c>
      <c r="F203" s="7">
        <v>2</v>
      </c>
      <c r="G203" s="7" t="s">
        <v>301</v>
      </c>
      <c r="H203" s="8" t="s">
        <v>302</v>
      </c>
      <c r="J203" t="s">
        <v>23</v>
      </c>
      <c r="K203" s="7">
        <v>1464</v>
      </c>
      <c r="L203" s="9">
        <v>-1</v>
      </c>
      <c r="M203" t="s">
        <v>303</v>
      </c>
      <c r="N203" t="s">
        <v>178</v>
      </c>
      <c r="O203" s="27" t="str">
        <f>HYPERLINK("https://www.ncbi.nlm.nih.gov/nuccore/NZ_FOGO01000007.1?report=graph&amp;from=140780&amp;to=141606", "TTA_codon")</f>
        <v>TTA_codon</v>
      </c>
    </row>
    <row r="204" spans="1:15" x14ac:dyDescent="0.15">
      <c r="A204" t="s">
        <v>195</v>
      </c>
      <c r="B204" t="s">
        <v>304</v>
      </c>
    </row>
    <row r="205" spans="1:15" x14ac:dyDescent="0.15">
      <c r="A205" t="s">
        <v>195</v>
      </c>
      <c r="B205">
        <v>1000899</v>
      </c>
      <c r="C205">
        <v>345995</v>
      </c>
      <c r="F205" s="7">
        <v>1</v>
      </c>
      <c r="G205" s="7">
        <v>196</v>
      </c>
      <c r="H205" s="8">
        <v>169</v>
      </c>
      <c r="J205" t="s">
        <v>23</v>
      </c>
      <c r="K205" s="7">
        <v>834</v>
      </c>
      <c r="L205" s="9">
        <v>-1</v>
      </c>
      <c r="M205" t="s">
        <v>53</v>
      </c>
      <c r="N205" t="s">
        <v>54</v>
      </c>
      <c r="O205" s="27" t="str">
        <f>HYPERLINK("https://www.ncbi.nlm.nih.gov/nuccore/NC_003155.5?report=graph&amp;from=370021&amp;to=370025", "TTA_codon")</f>
        <v>TTA_codon</v>
      </c>
    </row>
    <row r="206" spans="1:15" x14ac:dyDescent="0.15">
      <c r="A206" t="s">
        <v>21</v>
      </c>
      <c r="B206">
        <v>1000899</v>
      </c>
      <c r="C206">
        <v>347262</v>
      </c>
      <c r="F206" s="7">
        <v>1</v>
      </c>
      <c r="G206" s="7">
        <v>139</v>
      </c>
      <c r="H206" s="8">
        <v>97</v>
      </c>
      <c r="J206" t="s">
        <v>23</v>
      </c>
      <c r="K206" s="7">
        <v>1614</v>
      </c>
      <c r="L206" s="9">
        <v>-1</v>
      </c>
      <c r="M206" t="s">
        <v>53</v>
      </c>
      <c r="N206" t="s">
        <v>54</v>
      </c>
      <c r="O206" s="27" t="str">
        <f>HYPERLINK("https://www.ncbi.nlm.nih.gov/nuccore/NC_003155.5?report=graph&amp;from=372538&amp;to=372542", "TTA_codon")</f>
        <v>TTA_codon</v>
      </c>
    </row>
    <row r="207" spans="1:15" x14ac:dyDescent="0.15">
      <c r="A207" t="s">
        <v>21</v>
      </c>
      <c r="B207">
        <v>1000899</v>
      </c>
      <c r="C207">
        <v>352915</v>
      </c>
      <c r="F207" s="7">
        <v>1</v>
      </c>
      <c r="G207" s="7">
        <v>91</v>
      </c>
      <c r="H207" s="8">
        <v>49</v>
      </c>
      <c r="J207" t="s">
        <v>23</v>
      </c>
      <c r="K207" s="7">
        <v>1188</v>
      </c>
      <c r="L207" s="9">
        <v>-1</v>
      </c>
      <c r="M207" t="s">
        <v>305</v>
      </c>
      <c r="N207" t="s">
        <v>306</v>
      </c>
      <c r="O207" s="27" t="str">
        <f>HYPERLINK("https://www.ncbi.nlm.nih.gov/nuccore/NZ_KL571156.1?report=graph&amp;from=9469&amp;to=9473", "TTA_codon")</f>
        <v>TTA_codon</v>
      </c>
    </row>
    <row r="208" spans="1:15" x14ac:dyDescent="0.15">
      <c r="A208" t="s">
        <v>21</v>
      </c>
      <c r="B208">
        <v>1000899</v>
      </c>
      <c r="C208">
        <v>361583</v>
      </c>
      <c r="F208" s="7">
        <v>2</v>
      </c>
      <c r="G208" s="7" t="s">
        <v>307</v>
      </c>
      <c r="H208" s="8" t="s">
        <v>308</v>
      </c>
      <c r="J208" t="s">
        <v>23</v>
      </c>
      <c r="K208" s="7">
        <v>1641</v>
      </c>
      <c r="L208" s="9">
        <v>-1</v>
      </c>
      <c r="M208" t="s">
        <v>37</v>
      </c>
      <c r="N208" t="s">
        <v>38</v>
      </c>
      <c r="O208" s="27" t="str">
        <f>HYPERLINK("https://www.ncbi.nlm.nih.gov/nuccore/NZ_CP011533.1?report=graph&amp;from=8552142&amp;to=8552293", "TTA_codon")</f>
        <v>TTA_codon</v>
      </c>
    </row>
    <row r="209" spans="1:15" x14ac:dyDescent="0.15">
      <c r="A209" t="s">
        <v>21</v>
      </c>
      <c r="B209">
        <v>1000899</v>
      </c>
      <c r="C209">
        <v>363652</v>
      </c>
      <c r="F209" s="7">
        <v>1</v>
      </c>
      <c r="G209" s="7">
        <v>118</v>
      </c>
      <c r="H209" s="8">
        <v>97</v>
      </c>
      <c r="J209" t="s">
        <v>23</v>
      </c>
      <c r="K209" s="7">
        <v>1455</v>
      </c>
      <c r="L209" s="9">
        <v>-1</v>
      </c>
      <c r="M209" t="s">
        <v>101</v>
      </c>
      <c r="N209" t="s">
        <v>102</v>
      </c>
      <c r="O209" s="27" t="str">
        <f>HYPERLINK("https://www.ncbi.nlm.nih.gov/nuccore/NZ_CP019458.1?report=graph&amp;from=6064532&amp;to=6064536", "TTA_codon")</f>
        <v>TTA_codon</v>
      </c>
    </row>
    <row r="210" spans="1:15" x14ac:dyDescent="0.15">
      <c r="A210" t="s">
        <v>195</v>
      </c>
      <c r="B210" t="s">
        <v>309</v>
      </c>
    </row>
    <row r="211" spans="1:15" x14ac:dyDescent="0.15">
      <c r="A211" t="s">
        <v>195</v>
      </c>
      <c r="B211">
        <v>1000056</v>
      </c>
      <c r="C211">
        <v>346277</v>
      </c>
      <c r="F211" s="7">
        <v>1</v>
      </c>
      <c r="G211" s="7">
        <v>379</v>
      </c>
      <c r="H211" s="8">
        <v>343</v>
      </c>
      <c r="J211" t="s">
        <v>23</v>
      </c>
      <c r="K211" s="7">
        <v>1008</v>
      </c>
      <c r="L211" s="9">
        <v>-1</v>
      </c>
      <c r="M211" t="s">
        <v>30</v>
      </c>
      <c r="N211" t="s">
        <v>31</v>
      </c>
      <c r="O211" s="27" t="str">
        <f>HYPERLINK("https://www.ncbi.nlm.nih.gov/nuccore/NZ_KB913030.1?report=graph&amp;from=6931172&amp;to=6931176", "TTA_codon")</f>
        <v>TTA_codon</v>
      </c>
    </row>
    <row r="212" spans="1:15" x14ac:dyDescent="0.15">
      <c r="A212" t="s">
        <v>21</v>
      </c>
      <c r="B212">
        <v>1000056</v>
      </c>
      <c r="C212">
        <v>360676</v>
      </c>
      <c r="F212" s="7">
        <v>1</v>
      </c>
      <c r="G212" s="7">
        <v>502</v>
      </c>
      <c r="H212" s="8">
        <v>502</v>
      </c>
      <c r="J212" t="s">
        <v>23</v>
      </c>
      <c r="K212" s="7">
        <v>1068</v>
      </c>
      <c r="L212" s="9">
        <v>-1</v>
      </c>
      <c r="M212" t="s">
        <v>310</v>
      </c>
      <c r="N212" t="s">
        <v>95</v>
      </c>
      <c r="O212" s="27" t="str">
        <f>HYPERLINK("https://www.ncbi.nlm.nih.gov/nuccore/NZ_JYIJ01000011.1?report=graph&amp;from=192518&amp;to=192522", "TTA_codon")</f>
        <v>TTA_codon</v>
      </c>
    </row>
    <row r="213" spans="1:15" x14ac:dyDescent="0.15">
      <c r="A213" t="s">
        <v>21</v>
      </c>
      <c r="B213" t="s">
        <v>311</v>
      </c>
    </row>
    <row r="214" spans="1:15" x14ac:dyDescent="0.15">
      <c r="A214" t="s">
        <v>21</v>
      </c>
      <c r="B214">
        <v>1000298</v>
      </c>
      <c r="C214">
        <v>347897</v>
      </c>
      <c r="F214" s="7">
        <v>1</v>
      </c>
      <c r="G214" s="7">
        <v>331</v>
      </c>
      <c r="H214" s="8">
        <v>277</v>
      </c>
      <c r="J214" t="s">
        <v>23</v>
      </c>
      <c r="K214" s="7">
        <v>675</v>
      </c>
      <c r="L214" s="9">
        <v>1</v>
      </c>
      <c r="M214" t="s">
        <v>57</v>
      </c>
      <c r="N214" t="s">
        <v>58</v>
      </c>
      <c r="O214" s="27" t="str">
        <f>HYPERLINK("https://www.ncbi.nlm.nih.gov/nuccore/NC_013929.1?report=graph&amp;from=4875040&amp;to=4875044", "TTA_codon")</f>
        <v>TTA_codon</v>
      </c>
    </row>
    <row r="215" spans="1:15" x14ac:dyDescent="0.15">
      <c r="A215" t="s">
        <v>21</v>
      </c>
      <c r="B215">
        <v>1000298</v>
      </c>
      <c r="C215">
        <v>360150</v>
      </c>
      <c r="F215" s="7">
        <v>1</v>
      </c>
      <c r="G215" s="7">
        <v>415</v>
      </c>
      <c r="H215" s="8">
        <v>409</v>
      </c>
      <c r="J215" t="s">
        <v>23</v>
      </c>
      <c r="K215" s="7">
        <v>720</v>
      </c>
      <c r="L215" s="9">
        <v>1</v>
      </c>
      <c r="M215" t="s">
        <v>312</v>
      </c>
      <c r="N215" t="s">
        <v>125</v>
      </c>
      <c r="O215" s="27" t="str">
        <f>HYPERLINK("https://www.ncbi.nlm.nih.gov/nuccore/NZ_KQ948456.1?report=graph&amp;from=68660&amp;to=68664", "TTA_codon")</f>
        <v>TTA_codon</v>
      </c>
    </row>
    <row r="216" spans="1:15" x14ac:dyDescent="0.15">
      <c r="A216" t="s">
        <v>21</v>
      </c>
      <c r="B216" t="s">
        <v>313</v>
      </c>
    </row>
    <row r="217" spans="1:15" x14ac:dyDescent="0.15">
      <c r="A217" t="s">
        <v>21</v>
      </c>
      <c r="B217">
        <v>1000497</v>
      </c>
      <c r="C217">
        <v>349321</v>
      </c>
      <c r="F217" s="7">
        <v>1</v>
      </c>
      <c r="G217" s="7">
        <v>460</v>
      </c>
      <c r="H217" s="8">
        <v>415</v>
      </c>
      <c r="J217" t="s">
        <v>23</v>
      </c>
      <c r="K217" s="7">
        <v>1110</v>
      </c>
      <c r="L217" s="9">
        <v>1</v>
      </c>
      <c r="M217" t="s">
        <v>314</v>
      </c>
      <c r="N217" t="s">
        <v>315</v>
      </c>
      <c r="O217" s="27" t="str">
        <f>HYPERLINK("https://www.ncbi.nlm.nih.gov/nuccore/NC_003903.1?report=graph&amp;from=158404&amp;to=158408", "TTA_codon")</f>
        <v>TTA_codon</v>
      </c>
    </row>
    <row r="218" spans="1:15" x14ac:dyDescent="0.15">
      <c r="A218" t="s">
        <v>21</v>
      </c>
      <c r="B218">
        <v>1000497</v>
      </c>
      <c r="C218">
        <v>349749</v>
      </c>
      <c r="F218" s="7">
        <v>1</v>
      </c>
      <c r="G218" s="7">
        <v>460</v>
      </c>
      <c r="H218" s="8">
        <v>460</v>
      </c>
      <c r="J218" t="s">
        <v>23</v>
      </c>
      <c r="K218" s="7">
        <v>1155</v>
      </c>
      <c r="L218" s="9">
        <v>1</v>
      </c>
      <c r="M218" t="s">
        <v>265</v>
      </c>
      <c r="N218" t="s">
        <v>266</v>
      </c>
      <c r="O218" s="27" t="str">
        <f>HYPERLINK("https://www.ncbi.nlm.nih.gov/nuccore/NC_017586.1?report=graph&amp;from=3078868&amp;to=3078872", "TTA_codon")</f>
        <v>TTA_codon</v>
      </c>
    </row>
    <row r="219" spans="1:15" x14ac:dyDescent="0.15">
      <c r="A219" t="s">
        <v>21</v>
      </c>
      <c r="B219">
        <v>1000497</v>
      </c>
      <c r="C219">
        <v>349961</v>
      </c>
      <c r="F219" s="7">
        <v>1</v>
      </c>
      <c r="G219" s="7">
        <v>460</v>
      </c>
      <c r="H219" s="8">
        <v>415</v>
      </c>
      <c r="J219" t="s">
        <v>23</v>
      </c>
      <c r="K219" s="7">
        <v>1110</v>
      </c>
      <c r="L219" s="9">
        <v>1</v>
      </c>
      <c r="M219" t="s">
        <v>316</v>
      </c>
      <c r="N219" t="s">
        <v>249</v>
      </c>
      <c r="O219" s="27" t="str">
        <f>HYPERLINK("https://www.ncbi.nlm.nih.gov/nuccore/NZ_AHBF01000151.1?report=graph&amp;from=87077&amp;to=87081", "TTA_codon")</f>
        <v>TTA_codon</v>
      </c>
    </row>
    <row r="220" spans="1:15" x14ac:dyDescent="0.15">
      <c r="A220" t="s">
        <v>21</v>
      </c>
      <c r="B220">
        <v>1000497</v>
      </c>
      <c r="C220">
        <v>349962</v>
      </c>
      <c r="F220" s="7">
        <v>1</v>
      </c>
      <c r="G220" s="7">
        <v>460</v>
      </c>
      <c r="H220" s="8">
        <v>415</v>
      </c>
      <c r="J220" t="s">
        <v>23</v>
      </c>
      <c r="K220" s="7">
        <v>747</v>
      </c>
      <c r="L220" s="9">
        <v>1</v>
      </c>
      <c r="M220" t="s">
        <v>317</v>
      </c>
      <c r="N220" t="s">
        <v>249</v>
      </c>
      <c r="O220" s="27" t="str">
        <f>HYPERLINK("https://www.ncbi.nlm.nih.gov/nuccore/NZ_AHBF01000004.1?report=graph&amp;from=165073&amp;to=165077", "TTA_codon")</f>
        <v>TTA_codon</v>
      </c>
    </row>
    <row r="221" spans="1:15" x14ac:dyDescent="0.15">
      <c r="A221" t="s">
        <v>21</v>
      </c>
      <c r="B221">
        <v>1000497</v>
      </c>
      <c r="C221">
        <v>353198</v>
      </c>
      <c r="F221" s="7">
        <v>1</v>
      </c>
      <c r="G221" s="7">
        <v>460</v>
      </c>
      <c r="H221" s="8">
        <v>442</v>
      </c>
      <c r="J221" t="s">
        <v>23</v>
      </c>
      <c r="K221" s="7">
        <v>1146</v>
      </c>
      <c r="L221" s="9">
        <v>1</v>
      </c>
      <c r="M221" t="s">
        <v>318</v>
      </c>
      <c r="N221" t="s">
        <v>169</v>
      </c>
      <c r="O221" s="27" t="str">
        <f>HYPERLINK("https://www.ncbi.nlm.nih.gov/nuccore/NZ_JNWJ01000031.1?report=graph&amp;from=98792&amp;to=98796", "TTA_codon")</f>
        <v>TTA_codon</v>
      </c>
    </row>
    <row r="222" spans="1:15" x14ac:dyDescent="0.15">
      <c r="A222" t="s">
        <v>21</v>
      </c>
      <c r="B222">
        <v>1000497</v>
      </c>
      <c r="C222">
        <v>361112</v>
      </c>
      <c r="F222" s="7">
        <v>1</v>
      </c>
      <c r="G222" s="7">
        <v>460</v>
      </c>
      <c r="H222" s="8">
        <v>442</v>
      </c>
      <c r="J222" t="s">
        <v>23</v>
      </c>
      <c r="K222" s="7">
        <v>1137</v>
      </c>
      <c r="L222" s="9">
        <v>1</v>
      </c>
      <c r="M222" t="s">
        <v>98</v>
      </c>
      <c r="N222" t="s">
        <v>99</v>
      </c>
      <c r="O222" s="27" t="str">
        <f>HYPERLINK("https://www.ncbi.nlm.nih.gov/nuccore/NZ_CP016438.1?report=graph&amp;from=171756&amp;to=171760", "TTA_codon")</f>
        <v>TTA_codon</v>
      </c>
    </row>
    <row r="223" spans="1:15" x14ac:dyDescent="0.15">
      <c r="A223" t="s">
        <v>21</v>
      </c>
      <c r="B223">
        <v>1000497</v>
      </c>
      <c r="C223">
        <v>361113</v>
      </c>
      <c r="F223" s="7">
        <v>1</v>
      </c>
      <c r="G223" s="7">
        <v>460</v>
      </c>
      <c r="H223" s="8">
        <v>442</v>
      </c>
      <c r="J223" t="s">
        <v>23</v>
      </c>
      <c r="K223" s="7">
        <v>1137</v>
      </c>
      <c r="L223" s="9">
        <v>1</v>
      </c>
      <c r="M223" t="s">
        <v>98</v>
      </c>
      <c r="N223" t="s">
        <v>99</v>
      </c>
      <c r="O223" s="27" t="str">
        <f>HYPERLINK("https://www.ncbi.nlm.nih.gov/nuccore/NZ_CP016438.1?report=graph&amp;from=10237860&amp;to=10237864", "TTA_codon")</f>
        <v>TTA_codon</v>
      </c>
    </row>
    <row r="224" spans="1:15" x14ac:dyDescent="0.15">
      <c r="A224" t="s">
        <v>21</v>
      </c>
      <c r="B224" t="s">
        <v>319</v>
      </c>
    </row>
    <row r="225" spans="1:15" x14ac:dyDescent="0.15">
      <c r="A225" t="s">
        <v>21</v>
      </c>
      <c r="B225">
        <v>1000724</v>
      </c>
      <c r="C225">
        <v>351179</v>
      </c>
      <c r="F225" s="7">
        <v>1</v>
      </c>
      <c r="G225" s="7">
        <v>124</v>
      </c>
      <c r="H225" s="8">
        <v>124</v>
      </c>
      <c r="J225" t="s">
        <v>23</v>
      </c>
      <c r="K225" s="7">
        <v>1362</v>
      </c>
      <c r="L225" s="9">
        <v>1</v>
      </c>
      <c r="M225" t="s">
        <v>65</v>
      </c>
      <c r="N225" t="s">
        <v>66</v>
      </c>
      <c r="O225" s="27" t="str">
        <f>HYPERLINK("https://www.ncbi.nlm.nih.gov/nuccore/NC_020504.1?report=graph&amp;from=622111&amp;to=622115", "TTA_codon")</f>
        <v>TTA_codon</v>
      </c>
    </row>
    <row r="226" spans="1:15" x14ac:dyDescent="0.15">
      <c r="A226" t="s">
        <v>21</v>
      </c>
      <c r="B226">
        <v>1000724</v>
      </c>
      <c r="C226">
        <v>351180</v>
      </c>
      <c r="F226" s="7">
        <v>1</v>
      </c>
      <c r="G226" s="7">
        <v>124</v>
      </c>
      <c r="H226" s="8">
        <v>124</v>
      </c>
      <c r="J226" t="s">
        <v>23</v>
      </c>
      <c r="K226" s="7">
        <v>1362</v>
      </c>
      <c r="L226" s="9">
        <v>1</v>
      </c>
      <c r="M226" t="s">
        <v>65</v>
      </c>
      <c r="N226" t="s">
        <v>66</v>
      </c>
      <c r="O226" s="27" t="str">
        <f>HYPERLINK("https://www.ncbi.nlm.nih.gov/nuccore/NC_020504.1?report=graph&amp;from=194823&amp;to=194827", "TTA_codon")</f>
        <v>TTA_codon</v>
      </c>
    </row>
    <row r="227" spans="1:15" x14ac:dyDescent="0.15">
      <c r="A227" t="s">
        <v>21</v>
      </c>
      <c r="B227" t="s">
        <v>320</v>
      </c>
    </row>
    <row r="228" spans="1:15" x14ac:dyDescent="0.15">
      <c r="A228" t="s">
        <v>21</v>
      </c>
      <c r="B228">
        <v>1001483</v>
      </c>
      <c r="C228">
        <v>355003</v>
      </c>
      <c r="F228" s="7">
        <v>2</v>
      </c>
      <c r="G228" s="7" t="s">
        <v>321</v>
      </c>
      <c r="H228" s="8" t="s">
        <v>321</v>
      </c>
      <c r="J228" t="s">
        <v>23</v>
      </c>
      <c r="K228" s="7">
        <v>1590</v>
      </c>
      <c r="L228" s="9">
        <v>1</v>
      </c>
      <c r="M228" t="s">
        <v>322</v>
      </c>
      <c r="N228" t="s">
        <v>25</v>
      </c>
      <c r="O228" s="27" t="str">
        <f>HYPERLINK("https://www.ncbi.nlm.nih.gov/nuccore/NZ_JOFU01000078.1?report=graph&amp;from=20861&amp;to=21693", "TTA_codon")</f>
        <v>TTA_codon</v>
      </c>
    </row>
    <row r="229" spans="1:15" x14ac:dyDescent="0.15">
      <c r="A229" t="s">
        <v>21</v>
      </c>
      <c r="B229">
        <v>1001483</v>
      </c>
      <c r="C229">
        <v>364483</v>
      </c>
      <c r="F229" s="7">
        <v>2</v>
      </c>
      <c r="G229" s="7" t="s">
        <v>323</v>
      </c>
      <c r="H229" s="8" t="s">
        <v>324</v>
      </c>
      <c r="J229" t="s">
        <v>23</v>
      </c>
      <c r="K229" s="7">
        <v>762</v>
      </c>
      <c r="L229" s="9">
        <v>1</v>
      </c>
      <c r="M229" t="s">
        <v>325</v>
      </c>
      <c r="N229" t="s">
        <v>326</v>
      </c>
      <c r="O229" s="27" t="str">
        <f>HYPERLINK("https://www.ncbi.nlm.nih.gov/nuccore/NZ_MUBL01000070.1?report=graph&amp;from=23699&amp;to=23799", "TTA_codon")</f>
        <v>TTA_codon</v>
      </c>
    </row>
    <row r="230" spans="1:15" x14ac:dyDescent="0.15">
      <c r="A230" t="s">
        <v>21</v>
      </c>
      <c r="B230" t="s">
        <v>327</v>
      </c>
    </row>
    <row r="231" spans="1:15" x14ac:dyDescent="0.15">
      <c r="A231" t="s">
        <v>21</v>
      </c>
      <c r="B231">
        <v>1001089</v>
      </c>
      <c r="C231">
        <v>355414</v>
      </c>
      <c r="F231" s="7">
        <v>1</v>
      </c>
      <c r="G231" s="7">
        <v>298</v>
      </c>
      <c r="H231" s="8">
        <v>244</v>
      </c>
      <c r="J231" t="s">
        <v>23</v>
      </c>
      <c r="K231" s="7">
        <v>1386</v>
      </c>
      <c r="L231" s="9">
        <v>1</v>
      </c>
      <c r="M231" t="s">
        <v>328</v>
      </c>
      <c r="N231" t="s">
        <v>198</v>
      </c>
      <c r="O231" s="27" t="str">
        <f>HYPERLINK("https://www.ncbi.nlm.nih.gov/nuccore/NZ_JOFL01000033.1?report=graph&amp;from=58065&amp;to=58069", "TTA_codon")</f>
        <v>TTA_codon</v>
      </c>
    </row>
    <row r="232" spans="1:15" x14ac:dyDescent="0.15">
      <c r="A232" t="s">
        <v>21</v>
      </c>
      <c r="B232">
        <v>1001089</v>
      </c>
      <c r="C232">
        <v>356036</v>
      </c>
      <c r="F232" s="7">
        <v>1</v>
      </c>
      <c r="G232" s="7">
        <v>298</v>
      </c>
      <c r="H232" s="8">
        <v>277</v>
      </c>
      <c r="J232" t="s">
        <v>23</v>
      </c>
      <c r="K232" s="7">
        <v>1419</v>
      </c>
      <c r="L232" s="9">
        <v>1</v>
      </c>
      <c r="M232" t="s">
        <v>329</v>
      </c>
      <c r="N232" t="s">
        <v>146</v>
      </c>
      <c r="O232" s="27" t="str">
        <f>HYPERLINK("https://www.ncbi.nlm.nih.gov/nuccore/NZ_JOFH01000022.1?report=graph&amp;from=52916&amp;to=52920", "TTA_codon")</f>
        <v>TTA_codon</v>
      </c>
    </row>
    <row r="233" spans="1:15" x14ac:dyDescent="0.15">
      <c r="A233" t="s">
        <v>21</v>
      </c>
      <c r="B233" t="s">
        <v>330</v>
      </c>
    </row>
    <row r="234" spans="1:15" x14ac:dyDescent="0.15">
      <c r="A234" t="s">
        <v>21</v>
      </c>
      <c r="B234">
        <v>1001448</v>
      </c>
      <c r="C234">
        <v>363631</v>
      </c>
      <c r="F234" s="7">
        <v>1</v>
      </c>
      <c r="G234" s="7">
        <v>592</v>
      </c>
      <c r="H234" s="8">
        <v>592</v>
      </c>
      <c r="J234" t="s">
        <v>23</v>
      </c>
      <c r="K234" s="7">
        <v>2259</v>
      </c>
      <c r="L234" s="9">
        <v>-1</v>
      </c>
      <c r="M234" t="s">
        <v>101</v>
      </c>
      <c r="N234" t="s">
        <v>102</v>
      </c>
      <c r="O234" s="27" t="str">
        <f>HYPERLINK("https://www.ncbi.nlm.nih.gov/nuccore/NZ_CP019458.1?report=graph&amp;from=4197368&amp;to=4197372", "TTA_codon")</f>
        <v>TTA_codon</v>
      </c>
    </row>
    <row r="235" spans="1:15" x14ac:dyDescent="0.15">
      <c r="A235" t="s">
        <v>21</v>
      </c>
      <c r="B235">
        <v>1001448</v>
      </c>
      <c r="C235">
        <v>365610</v>
      </c>
      <c r="F235" s="7">
        <v>2</v>
      </c>
      <c r="G235" s="7" t="s">
        <v>331</v>
      </c>
      <c r="H235" s="8" t="s">
        <v>332</v>
      </c>
      <c r="J235" t="s">
        <v>23</v>
      </c>
      <c r="K235" s="7">
        <v>2172</v>
      </c>
      <c r="L235" s="9">
        <v>-1</v>
      </c>
      <c r="M235" t="s">
        <v>213</v>
      </c>
      <c r="N235" t="s">
        <v>214</v>
      </c>
      <c r="O235" s="27" t="str">
        <f>HYPERLINK("https://www.ncbi.nlm.nih.gov/nuccore/NZ_FNST01000002.1?report=graph&amp;from=1779035&amp;to=1779942", "TTA_codon")</f>
        <v>TTA_codon</v>
      </c>
    </row>
    <row r="236" spans="1:15" x14ac:dyDescent="0.15">
      <c r="A236" t="s">
        <v>21</v>
      </c>
      <c r="B236" t="s">
        <v>333</v>
      </c>
    </row>
    <row r="237" spans="1:15" x14ac:dyDescent="0.15">
      <c r="A237" t="s">
        <v>21</v>
      </c>
      <c r="B237">
        <v>1000176</v>
      </c>
      <c r="C237">
        <v>347271</v>
      </c>
      <c r="F237" s="7">
        <v>1</v>
      </c>
      <c r="G237" s="7">
        <v>157</v>
      </c>
      <c r="H237" s="8">
        <v>130</v>
      </c>
      <c r="J237" t="s">
        <v>23</v>
      </c>
      <c r="K237" s="7">
        <v>2121</v>
      </c>
      <c r="L237" s="9">
        <v>1</v>
      </c>
      <c r="M237" t="s">
        <v>53</v>
      </c>
      <c r="N237" t="s">
        <v>54</v>
      </c>
      <c r="O237" s="27" t="str">
        <f>HYPERLINK("https://www.ncbi.nlm.nih.gov/nuccore/NC_003155.5?report=graph&amp;from=4016910&amp;to=4016914", "TTA_codon")</f>
        <v>TTA_codon</v>
      </c>
    </row>
    <row r="238" spans="1:15" x14ac:dyDescent="0.15">
      <c r="A238" t="s">
        <v>21</v>
      </c>
      <c r="B238">
        <v>1000176</v>
      </c>
      <c r="C238">
        <v>348516</v>
      </c>
      <c r="F238" s="7">
        <v>1</v>
      </c>
      <c r="G238" s="7">
        <v>157</v>
      </c>
      <c r="H238" s="8">
        <v>118</v>
      </c>
      <c r="J238" t="s">
        <v>23</v>
      </c>
      <c r="K238" s="7">
        <v>2118</v>
      </c>
      <c r="L238" s="9">
        <v>1</v>
      </c>
      <c r="M238" t="s">
        <v>61</v>
      </c>
      <c r="N238" t="s">
        <v>62</v>
      </c>
      <c r="O238" s="27" t="str">
        <f>HYPERLINK("https://www.ncbi.nlm.nih.gov/nuccore/NZ_DS999641.1?report=graph&amp;from=2896454&amp;to=2896458", "TTA_codon")</f>
        <v>TTA_codon</v>
      </c>
    </row>
    <row r="239" spans="1:15" x14ac:dyDescent="0.15">
      <c r="A239" t="s">
        <v>21</v>
      </c>
      <c r="B239">
        <v>1000176</v>
      </c>
      <c r="C239">
        <v>349604</v>
      </c>
      <c r="F239" s="7">
        <v>1</v>
      </c>
      <c r="G239" s="7">
        <v>157</v>
      </c>
      <c r="H239" s="8">
        <v>115</v>
      </c>
      <c r="J239" t="s">
        <v>23</v>
      </c>
      <c r="K239" s="7">
        <v>2064</v>
      </c>
      <c r="L239" s="9">
        <v>1</v>
      </c>
      <c r="M239" t="s">
        <v>334</v>
      </c>
      <c r="N239" t="s">
        <v>335</v>
      </c>
      <c r="O239" s="27" t="str">
        <f>HYPERLINK("https://www.ncbi.nlm.nih.gov/nuccore/NZ_AGBF01000153.1?report=graph&amp;from=12178&amp;to=12182", "TTA_codon")</f>
        <v>TTA_codon</v>
      </c>
    </row>
    <row r="240" spans="1:15" x14ac:dyDescent="0.15">
      <c r="A240" t="s">
        <v>21</v>
      </c>
      <c r="B240">
        <v>1000176</v>
      </c>
      <c r="C240">
        <v>351221</v>
      </c>
      <c r="F240" s="7">
        <v>1</v>
      </c>
      <c r="G240" s="7">
        <v>157</v>
      </c>
      <c r="H240" s="8">
        <v>112</v>
      </c>
      <c r="J240" t="s">
        <v>23</v>
      </c>
      <c r="K240" s="7">
        <v>2052</v>
      </c>
      <c r="L240" s="9">
        <v>1</v>
      </c>
      <c r="M240" t="s">
        <v>65</v>
      </c>
      <c r="N240" t="s">
        <v>66</v>
      </c>
      <c r="O240" s="27" t="str">
        <f>HYPERLINK("https://www.ncbi.nlm.nih.gov/nuccore/NC_020504.1?report=graph&amp;from=3802201&amp;to=3802205", "TTA_codon")</f>
        <v>TTA_codon</v>
      </c>
    </row>
    <row r="241" spans="1:15" x14ac:dyDescent="0.15">
      <c r="A241" t="s">
        <v>21</v>
      </c>
      <c r="B241">
        <v>1000176</v>
      </c>
      <c r="C241">
        <v>351779</v>
      </c>
      <c r="F241" s="7">
        <v>1</v>
      </c>
      <c r="G241" s="7">
        <v>157</v>
      </c>
      <c r="H241" s="8">
        <v>115</v>
      </c>
      <c r="J241" t="s">
        <v>23</v>
      </c>
      <c r="K241" s="7">
        <v>2082</v>
      </c>
      <c r="L241" s="9">
        <v>1</v>
      </c>
      <c r="M241" t="s">
        <v>336</v>
      </c>
      <c r="N241" t="s">
        <v>68</v>
      </c>
      <c r="O241" s="27" t="str">
        <f>HYPERLINK("https://www.ncbi.nlm.nih.gov/nuccore/NZ_BARG01000063.1?report=graph&amp;from=41764&amp;to=41768", "TTA_codon")</f>
        <v>TTA_codon</v>
      </c>
    </row>
    <row r="242" spans="1:15" x14ac:dyDescent="0.15">
      <c r="A242" t="s">
        <v>21</v>
      </c>
      <c r="B242">
        <v>1000176</v>
      </c>
      <c r="C242">
        <v>354560</v>
      </c>
      <c r="F242" s="7">
        <v>1</v>
      </c>
      <c r="G242" s="7">
        <v>157</v>
      </c>
      <c r="H242" s="8">
        <v>115</v>
      </c>
      <c r="J242" t="s">
        <v>23</v>
      </c>
      <c r="K242" s="7">
        <v>2145</v>
      </c>
      <c r="L242" s="9">
        <v>1</v>
      </c>
      <c r="M242" t="s">
        <v>337</v>
      </c>
      <c r="N242" t="s">
        <v>272</v>
      </c>
      <c r="O242" s="27" t="str">
        <f>HYPERLINK("https://www.ncbi.nlm.nih.gov/nuccore/NZ_JOEY01000001.1?report=graph&amp;from=235515&amp;to=235519", "TTA_codon")</f>
        <v>TTA_codon</v>
      </c>
    </row>
    <row r="243" spans="1:15" x14ac:dyDescent="0.15">
      <c r="A243" t="s">
        <v>21</v>
      </c>
      <c r="B243">
        <v>1000176</v>
      </c>
      <c r="C243">
        <v>354830</v>
      </c>
      <c r="F243" s="7">
        <v>1</v>
      </c>
      <c r="G243" s="7">
        <v>157</v>
      </c>
      <c r="H243" s="8">
        <v>106</v>
      </c>
      <c r="J243" t="s">
        <v>23</v>
      </c>
      <c r="K243" s="7">
        <v>2079</v>
      </c>
      <c r="L243" s="9">
        <v>1</v>
      </c>
      <c r="M243" t="s">
        <v>338</v>
      </c>
      <c r="N243" t="s">
        <v>25</v>
      </c>
      <c r="O243" s="27" t="str">
        <f>HYPERLINK("https://www.ncbi.nlm.nih.gov/nuccore/NZ_JOFU01000052.1?report=graph&amp;from=36034&amp;to=36038", "TTA_codon")</f>
        <v>TTA_codon</v>
      </c>
    </row>
    <row r="244" spans="1:15" x14ac:dyDescent="0.15">
      <c r="A244" t="s">
        <v>21</v>
      </c>
      <c r="B244">
        <v>1000176</v>
      </c>
      <c r="C244">
        <v>356023</v>
      </c>
      <c r="F244" s="7">
        <v>1</v>
      </c>
      <c r="G244" s="7">
        <v>157</v>
      </c>
      <c r="H244" s="8">
        <v>112</v>
      </c>
      <c r="J244" t="s">
        <v>23</v>
      </c>
      <c r="K244" s="7">
        <v>2055</v>
      </c>
      <c r="L244" s="9">
        <v>1</v>
      </c>
      <c r="M244" t="s">
        <v>339</v>
      </c>
      <c r="N244" t="s">
        <v>146</v>
      </c>
      <c r="O244" s="27" t="str">
        <f>HYPERLINK("https://www.ncbi.nlm.nih.gov/nuccore/NZ_JOFH01000006.1?report=graph&amp;from=205145&amp;to=205149", "TTA_codon")</f>
        <v>TTA_codon</v>
      </c>
    </row>
    <row r="245" spans="1:15" x14ac:dyDescent="0.15">
      <c r="A245" t="s">
        <v>21</v>
      </c>
      <c r="B245">
        <v>1000176</v>
      </c>
      <c r="C245">
        <v>356175</v>
      </c>
      <c r="F245" s="7">
        <v>1</v>
      </c>
      <c r="G245" s="7">
        <v>157</v>
      </c>
      <c r="H245" s="8">
        <v>130</v>
      </c>
      <c r="J245" t="s">
        <v>23</v>
      </c>
      <c r="K245" s="7">
        <v>2130</v>
      </c>
      <c r="L245" s="9">
        <v>1</v>
      </c>
      <c r="M245" t="s">
        <v>340</v>
      </c>
      <c r="N245" t="s">
        <v>77</v>
      </c>
      <c r="O245" s="27" t="str">
        <f>HYPERLINK("https://www.ncbi.nlm.nih.gov/nuccore/NZ_JNXD01000002.1?report=graph&amp;from=198520&amp;to=198524", "TTA_codon")</f>
        <v>TTA_codon</v>
      </c>
    </row>
    <row r="246" spans="1:15" x14ac:dyDescent="0.15">
      <c r="A246" t="s">
        <v>21</v>
      </c>
      <c r="B246">
        <v>1000176</v>
      </c>
      <c r="C246">
        <v>357395</v>
      </c>
      <c r="F246" s="7">
        <v>1</v>
      </c>
      <c r="G246" s="7">
        <v>157</v>
      </c>
      <c r="H246" s="8">
        <v>115</v>
      </c>
      <c r="J246" t="s">
        <v>23</v>
      </c>
      <c r="K246" s="7">
        <v>2037</v>
      </c>
      <c r="L246" s="9">
        <v>1</v>
      </c>
      <c r="M246" t="s">
        <v>80</v>
      </c>
      <c r="N246" t="s">
        <v>81</v>
      </c>
      <c r="O246" s="27" t="str">
        <f>HYPERLINK("https://www.ncbi.nlm.nih.gov/nuccore/NZ_LN831790.1?report=graph&amp;from=3230999&amp;to=3231003", "TTA_codon")</f>
        <v>TTA_codon</v>
      </c>
    </row>
    <row r="247" spans="1:15" x14ac:dyDescent="0.15">
      <c r="A247" t="s">
        <v>21</v>
      </c>
      <c r="B247">
        <v>1000176</v>
      </c>
      <c r="C247">
        <v>357704</v>
      </c>
      <c r="F247" s="7">
        <v>1</v>
      </c>
      <c r="G247" s="7">
        <v>157</v>
      </c>
      <c r="H247" s="8">
        <v>130</v>
      </c>
      <c r="J247" t="s">
        <v>23</v>
      </c>
      <c r="K247" s="7">
        <v>2130</v>
      </c>
      <c r="L247" s="9">
        <v>1</v>
      </c>
      <c r="M247" t="s">
        <v>341</v>
      </c>
      <c r="N247" t="s">
        <v>83</v>
      </c>
      <c r="O247" s="27" t="str">
        <f>HYPERLINK("https://www.ncbi.nlm.nih.gov/nuccore/NZ_DF968264.1?report=graph&amp;from=57507&amp;to=57511", "TTA_codon")</f>
        <v>TTA_codon</v>
      </c>
    </row>
    <row r="248" spans="1:15" x14ac:dyDescent="0.15">
      <c r="A248" t="s">
        <v>21</v>
      </c>
      <c r="B248">
        <v>1000176</v>
      </c>
      <c r="C248">
        <v>358366</v>
      </c>
      <c r="F248" s="7">
        <v>1</v>
      </c>
      <c r="G248" s="7">
        <v>157</v>
      </c>
      <c r="H248" s="8">
        <v>115</v>
      </c>
      <c r="J248" t="s">
        <v>23</v>
      </c>
      <c r="K248" s="7">
        <v>2100</v>
      </c>
      <c r="L248" s="9">
        <v>1</v>
      </c>
      <c r="M248" t="s">
        <v>342</v>
      </c>
      <c r="N248" t="s">
        <v>85</v>
      </c>
      <c r="O248" s="27" t="str">
        <f>HYPERLINK("https://www.ncbi.nlm.nih.gov/nuccore/NZ_LIQX01000188.1?report=graph&amp;from=13734&amp;to=13738", "TTA_codon")</f>
        <v>TTA_codon</v>
      </c>
    </row>
    <row r="249" spans="1:15" x14ac:dyDescent="0.15">
      <c r="A249" t="s">
        <v>21</v>
      </c>
      <c r="B249">
        <v>1000176</v>
      </c>
      <c r="C249">
        <v>358809</v>
      </c>
      <c r="F249" s="7">
        <v>1</v>
      </c>
      <c r="G249" s="7">
        <v>157</v>
      </c>
      <c r="H249" s="8">
        <v>103</v>
      </c>
      <c r="J249" t="s">
        <v>23</v>
      </c>
      <c r="K249" s="7">
        <v>2088</v>
      </c>
      <c r="L249" s="9">
        <v>1</v>
      </c>
      <c r="M249" t="s">
        <v>343</v>
      </c>
      <c r="N249" t="s">
        <v>87</v>
      </c>
      <c r="O249" s="27" t="str">
        <f>HYPERLINK("https://www.ncbi.nlm.nih.gov/nuccore/NZ_LIQS01000569.1?report=graph&amp;from=2751&amp;to=2755", "TTA_codon")</f>
        <v>TTA_codon</v>
      </c>
    </row>
    <row r="250" spans="1:15" x14ac:dyDescent="0.15">
      <c r="A250" t="s">
        <v>21</v>
      </c>
      <c r="B250">
        <v>1000176</v>
      </c>
      <c r="C250">
        <v>362454</v>
      </c>
      <c r="F250" s="7">
        <v>1</v>
      </c>
      <c r="G250" s="7">
        <v>157</v>
      </c>
      <c r="H250" s="8">
        <v>124</v>
      </c>
      <c r="J250" t="s">
        <v>23</v>
      </c>
      <c r="K250" s="7">
        <v>2160</v>
      </c>
      <c r="L250" s="9">
        <v>1</v>
      </c>
      <c r="M250" t="s">
        <v>32</v>
      </c>
      <c r="N250" t="s">
        <v>33</v>
      </c>
      <c r="O250" s="27" t="str">
        <f>HYPERLINK("https://www.ncbi.nlm.nih.gov/nuccore/NZ_CP017248.1?report=graph&amp;from=3876044&amp;to=3876048", "TTA_codon")</f>
        <v>TTA_codon</v>
      </c>
    </row>
    <row r="251" spans="1:15" x14ac:dyDescent="0.15">
      <c r="A251" t="s">
        <v>21</v>
      </c>
      <c r="B251">
        <v>1000176</v>
      </c>
      <c r="C251">
        <v>364550</v>
      </c>
      <c r="F251" s="7">
        <v>1</v>
      </c>
      <c r="G251" s="7">
        <v>157</v>
      </c>
      <c r="H251" s="8">
        <v>112</v>
      </c>
      <c r="J251" t="s">
        <v>23</v>
      </c>
      <c r="K251" s="7">
        <v>2061</v>
      </c>
      <c r="L251" s="9">
        <v>1</v>
      </c>
      <c r="M251" t="s">
        <v>344</v>
      </c>
      <c r="N251" t="s">
        <v>108</v>
      </c>
      <c r="O251" s="27" t="str">
        <f>HYPERLINK("https://www.ncbi.nlm.nih.gov/nuccore/NZ_MUMD01000041.1?report=graph&amp;from=10340&amp;to=10344", "TTA_codon")</f>
        <v>TTA_codon</v>
      </c>
    </row>
    <row r="252" spans="1:15" x14ac:dyDescent="0.15">
      <c r="A252" t="s">
        <v>21</v>
      </c>
      <c r="B252">
        <v>1000176</v>
      </c>
      <c r="C252">
        <v>364681</v>
      </c>
      <c r="F252" s="7">
        <v>1</v>
      </c>
      <c r="G252" s="7">
        <v>157</v>
      </c>
      <c r="H252" s="8">
        <v>106</v>
      </c>
      <c r="J252" t="s">
        <v>23</v>
      </c>
      <c r="K252" s="7">
        <v>2256</v>
      </c>
      <c r="L252" s="9">
        <v>1</v>
      </c>
      <c r="M252" t="s">
        <v>345</v>
      </c>
      <c r="N252" t="s">
        <v>110</v>
      </c>
      <c r="O252" s="27" t="str">
        <f>HYPERLINK("https://www.ncbi.nlm.nih.gov/nuccore/NZ_MUME01000268.1?report=graph&amp;from=15186&amp;to=15190", "TTA_codon")</f>
        <v>TTA_codon</v>
      </c>
    </row>
    <row r="253" spans="1:15" x14ac:dyDescent="0.15">
      <c r="A253" t="s">
        <v>21</v>
      </c>
      <c r="B253">
        <v>1000176</v>
      </c>
      <c r="C253">
        <v>365222</v>
      </c>
      <c r="F253" s="7">
        <v>1</v>
      </c>
      <c r="G253" s="7">
        <v>157</v>
      </c>
      <c r="H253" s="8">
        <v>136</v>
      </c>
      <c r="J253" t="s">
        <v>23</v>
      </c>
      <c r="K253" s="7">
        <v>2124</v>
      </c>
      <c r="L253" s="9">
        <v>1</v>
      </c>
      <c r="M253" t="s">
        <v>346</v>
      </c>
      <c r="N253" t="s">
        <v>347</v>
      </c>
      <c r="O253" s="27" t="str">
        <f>HYPERLINK("https://www.ncbi.nlm.nih.gov/nuccore/NZ_FNFF01000007.1?report=graph&amp;from=37863&amp;to=37867", "TTA_codon")</f>
        <v>TTA_codon</v>
      </c>
    </row>
    <row r="254" spans="1:15" x14ac:dyDescent="0.15">
      <c r="A254" t="s">
        <v>21</v>
      </c>
      <c r="B254" t="s">
        <v>348</v>
      </c>
    </row>
    <row r="255" spans="1:15" x14ac:dyDescent="0.15">
      <c r="A255" t="s">
        <v>21</v>
      </c>
      <c r="B255">
        <v>1000366</v>
      </c>
      <c r="C255">
        <v>348224</v>
      </c>
      <c r="F255" s="7">
        <v>1</v>
      </c>
      <c r="G255" s="7">
        <v>43</v>
      </c>
      <c r="H255" s="8">
        <v>43</v>
      </c>
      <c r="J255" t="s">
        <v>23</v>
      </c>
      <c r="K255" s="7">
        <v>783</v>
      </c>
      <c r="L255" s="9">
        <v>1</v>
      </c>
      <c r="M255" t="s">
        <v>59</v>
      </c>
      <c r="N255" t="s">
        <v>60</v>
      </c>
      <c r="O255" s="27" t="str">
        <f>HYPERLINK("https://www.ncbi.nlm.nih.gov/nuccore/NC_016582.1?report=graph&amp;from=6482537&amp;to=6482541", "TTA_codon")</f>
        <v>TTA_codon</v>
      </c>
    </row>
    <row r="256" spans="1:15" x14ac:dyDescent="0.15">
      <c r="A256" t="s">
        <v>21</v>
      </c>
      <c r="B256">
        <v>1000366</v>
      </c>
      <c r="C256">
        <v>363875</v>
      </c>
      <c r="F256" s="7">
        <v>1</v>
      </c>
      <c r="G256" s="7">
        <v>43</v>
      </c>
      <c r="H256" s="8">
        <v>43</v>
      </c>
      <c r="J256" t="s">
        <v>23</v>
      </c>
      <c r="K256" s="7">
        <v>783</v>
      </c>
      <c r="L256" s="9">
        <v>1</v>
      </c>
      <c r="M256" t="s">
        <v>101</v>
      </c>
      <c r="N256" t="s">
        <v>102</v>
      </c>
      <c r="O256" s="27" t="str">
        <f>HYPERLINK("https://www.ncbi.nlm.nih.gov/nuccore/NZ_CP019458.1?report=graph&amp;from=5604104&amp;to=5604108", "TTA_codon")</f>
        <v>TTA_codon</v>
      </c>
    </row>
    <row r="257" spans="1:15" x14ac:dyDescent="0.15">
      <c r="A257" t="s">
        <v>21</v>
      </c>
      <c r="B257">
        <v>1000366</v>
      </c>
      <c r="C257">
        <v>365736</v>
      </c>
      <c r="F257" s="7">
        <v>1</v>
      </c>
      <c r="G257" s="7">
        <v>43</v>
      </c>
      <c r="H257" s="8">
        <v>43</v>
      </c>
      <c r="J257" t="s">
        <v>23</v>
      </c>
      <c r="K257" s="7">
        <v>783</v>
      </c>
      <c r="L257" s="9">
        <v>1</v>
      </c>
      <c r="M257" t="s">
        <v>213</v>
      </c>
      <c r="N257" t="s">
        <v>214</v>
      </c>
      <c r="O257" s="27" t="str">
        <f>HYPERLINK("https://www.ncbi.nlm.nih.gov/nuccore/NZ_FNST01000002.1?report=graph&amp;from=3199757&amp;to=3199761", "TTA_codon")</f>
        <v>TTA_codon</v>
      </c>
    </row>
    <row r="258" spans="1:15" x14ac:dyDescent="0.15">
      <c r="A258" t="s">
        <v>21</v>
      </c>
      <c r="B258" t="s">
        <v>349</v>
      </c>
    </row>
    <row r="259" spans="1:15" x14ac:dyDescent="0.15">
      <c r="A259" t="s">
        <v>21</v>
      </c>
      <c r="B259">
        <v>1001423</v>
      </c>
      <c r="C259">
        <v>362577</v>
      </c>
      <c r="F259" s="7">
        <v>1</v>
      </c>
      <c r="G259" s="7">
        <v>175</v>
      </c>
      <c r="H259" s="8">
        <v>175</v>
      </c>
      <c r="J259" t="s">
        <v>23</v>
      </c>
      <c r="K259" s="7">
        <v>1314</v>
      </c>
      <c r="L259" s="9">
        <v>1</v>
      </c>
      <c r="M259" t="s">
        <v>32</v>
      </c>
      <c r="N259" t="s">
        <v>33</v>
      </c>
      <c r="O259" s="27" t="str">
        <f>HYPERLINK("https://www.ncbi.nlm.nih.gov/nuccore/NZ_CP017248.1?report=graph&amp;from=6736173&amp;to=6736177", "TTA_codon")</f>
        <v>TTA_codon</v>
      </c>
    </row>
    <row r="260" spans="1:15" x14ac:dyDescent="0.15">
      <c r="A260" t="s">
        <v>21</v>
      </c>
      <c r="B260">
        <v>1001423</v>
      </c>
      <c r="C260">
        <v>366709</v>
      </c>
      <c r="F260" s="7">
        <v>1</v>
      </c>
      <c r="G260" s="7">
        <v>43</v>
      </c>
      <c r="H260" s="8">
        <v>43</v>
      </c>
      <c r="J260" t="s">
        <v>23</v>
      </c>
      <c r="K260" s="7">
        <v>1245</v>
      </c>
      <c r="L260" s="9">
        <v>1</v>
      </c>
      <c r="M260" t="s">
        <v>350</v>
      </c>
      <c r="N260" t="s">
        <v>180</v>
      </c>
      <c r="O260" s="27" t="str">
        <f>HYPERLINK("https://www.ncbi.nlm.nih.gov/nuccore/NZ_FRBI01000008.1?report=graph&amp;from=281481&amp;to=281485", "TTA_codon")</f>
        <v>TTA_codon</v>
      </c>
    </row>
    <row r="261" spans="1:15" x14ac:dyDescent="0.15">
      <c r="A261" t="s">
        <v>21</v>
      </c>
      <c r="B261" t="s">
        <v>351</v>
      </c>
    </row>
    <row r="262" spans="1:15" x14ac:dyDescent="0.15">
      <c r="A262" t="s">
        <v>21</v>
      </c>
      <c r="B262">
        <v>1001161</v>
      </c>
      <c r="C262">
        <v>347238</v>
      </c>
      <c r="F262" s="7">
        <v>1</v>
      </c>
      <c r="G262" s="7">
        <v>205</v>
      </c>
      <c r="H262" s="8">
        <v>157</v>
      </c>
      <c r="J262" t="s">
        <v>23</v>
      </c>
      <c r="K262" s="7">
        <v>1038</v>
      </c>
      <c r="L262" s="9">
        <v>1</v>
      </c>
      <c r="M262" t="s">
        <v>53</v>
      </c>
      <c r="N262" t="s">
        <v>54</v>
      </c>
      <c r="O262" s="27" t="str">
        <f>HYPERLINK("https://www.ncbi.nlm.nih.gov/nuccore/NC_003155.5?report=graph&amp;from=1458820&amp;to=1458824", "TTA_codon")</f>
        <v>TTA_codon</v>
      </c>
    </row>
    <row r="263" spans="1:15" x14ac:dyDescent="0.15">
      <c r="A263" t="s">
        <v>21</v>
      </c>
      <c r="B263">
        <v>1001161</v>
      </c>
      <c r="C263">
        <v>347336</v>
      </c>
      <c r="F263" s="7">
        <v>1</v>
      </c>
      <c r="G263" s="7">
        <v>205</v>
      </c>
      <c r="H263" s="8">
        <v>136</v>
      </c>
      <c r="J263" t="s">
        <v>23</v>
      </c>
      <c r="K263" s="7">
        <v>1014</v>
      </c>
      <c r="L263" s="9">
        <v>1</v>
      </c>
      <c r="M263" t="s">
        <v>217</v>
      </c>
      <c r="N263" t="s">
        <v>218</v>
      </c>
      <c r="O263" s="27" t="str">
        <f>HYPERLINK("https://www.ncbi.nlm.nih.gov/nuccore/NC_021985.1?report=graph&amp;from=638994&amp;to=638998", "TTA_codon")</f>
        <v>TTA_codon</v>
      </c>
    </row>
    <row r="264" spans="1:15" x14ac:dyDescent="0.15">
      <c r="A264" t="s">
        <v>21</v>
      </c>
      <c r="B264">
        <v>1001161</v>
      </c>
      <c r="C264">
        <v>350716</v>
      </c>
      <c r="F264" s="7">
        <v>1</v>
      </c>
      <c r="G264" s="7">
        <v>226</v>
      </c>
      <c r="H264" s="8">
        <v>184</v>
      </c>
      <c r="J264" t="s">
        <v>23</v>
      </c>
      <c r="K264" s="7">
        <v>1065</v>
      </c>
      <c r="L264" s="9">
        <v>1</v>
      </c>
      <c r="M264" t="s">
        <v>352</v>
      </c>
      <c r="N264" t="s">
        <v>51</v>
      </c>
      <c r="O264" s="27" t="str">
        <f>HYPERLINK("https://www.ncbi.nlm.nih.gov/nuccore/NZ_AEJB01000361.1?report=graph&amp;from=673797&amp;to=673801", "TTA_codon")</f>
        <v>TTA_codon</v>
      </c>
    </row>
    <row r="265" spans="1:15" x14ac:dyDescent="0.15">
      <c r="A265" t="s">
        <v>21</v>
      </c>
      <c r="B265">
        <v>1001161</v>
      </c>
      <c r="C265">
        <v>356340</v>
      </c>
      <c r="F265" s="7">
        <v>1</v>
      </c>
      <c r="G265" s="7">
        <v>259</v>
      </c>
      <c r="H265" s="8">
        <v>259</v>
      </c>
      <c r="J265" t="s">
        <v>23</v>
      </c>
      <c r="K265" s="7">
        <v>1092</v>
      </c>
      <c r="L265" s="9">
        <v>1</v>
      </c>
      <c r="M265" t="s">
        <v>353</v>
      </c>
      <c r="N265" t="s">
        <v>354</v>
      </c>
      <c r="O265" s="27" t="str">
        <f>HYPERLINK("https://www.ncbi.nlm.nih.gov/nuccore/NZ_JQJU01000017.1?report=graph&amp;from=73350&amp;to=73354", "TTA_codon")</f>
        <v>TTA_codon</v>
      </c>
    </row>
    <row r="266" spans="1:15" x14ac:dyDescent="0.15">
      <c r="A266" t="s">
        <v>21</v>
      </c>
      <c r="B266">
        <v>1001161</v>
      </c>
      <c r="C266">
        <v>360022</v>
      </c>
      <c r="F266" s="7">
        <v>1</v>
      </c>
      <c r="G266" s="7">
        <v>196</v>
      </c>
      <c r="H266" s="8">
        <v>148</v>
      </c>
      <c r="J266" t="s">
        <v>23</v>
      </c>
      <c r="K266" s="7">
        <v>1038</v>
      </c>
      <c r="L266" s="9">
        <v>1</v>
      </c>
      <c r="M266" t="s">
        <v>300</v>
      </c>
      <c r="N266" t="s">
        <v>125</v>
      </c>
      <c r="O266" s="27" t="str">
        <f>HYPERLINK("https://www.ncbi.nlm.nih.gov/nuccore/NZ_KQ948466.1?report=graph&amp;from=141367&amp;to=141371", "TTA_codon")</f>
        <v>TTA_codon</v>
      </c>
    </row>
    <row r="267" spans="1:15" x14ac:dyDescent="0.15">
      <c r="A267" t="s">
        <v>21</v>
      </c>
      <c r="B267" t="s">
        <v>355</v>
      </c>
    </row>
    <row r="268" spans="1:15" x14ac:dyDescent="0.15">
      <c r="A268" t="s">
        <v>21</v>
      </c>
      <c r="B268">
        <v>1000466</v>
      </c>
      <c r="C268">
        <v>348902</v>
      </c>
      <c r="F268" s="7">
        <v>1</v>
      </c>
      <c r="G268" s="7">
        <v>175</v>
      </c>
      <c r="H268" s="8">
        <v>160</v>
      </c>
      <c r="J268" t="s">
        <v>23</v>
      </c>
      <c r="K268" s="7">
        <v>1566</v>
      </c>
      <c r="L268" s="9">
        <v>-1</v>
      </c>
      <c r="M268" t="s">
        <v>211</v>
      </c>
      <c r="N268" t="s">
        <v>212</v>
      </c>
      <c r="O268" s="27" t="str">
        <f>HYPERLINK("https://www.ncbi.nlm.nih.gov/nuccore/NZ_GG657754.1?report=graph&amp;from=9326541&amp;to=9326545", "TTA_codon")</f>
        <v>TTA_codon</v>
      </c>
    </row>
    <row r="269" spans="1:15" x14ac:dyDescent="0.15">
      <c r="A269" t="s">
        <v>21</v>
      </c>
      <c r="B269">
        <v>1000466</v>
      </c>
      <c r="C269">
        <v>349631</v>
      </c>
      <c r="F269" s="7">
        <v>1</v>
      </c>
      <c r="G269" s="7">
        <v>82</v>
      </c>
      <c r="H269" s="8">
        <v>79</v>
      </c>
      <c r="J269" t="s">
        <v>23</v>
      </c>
      <c r="K269" s="7">
        <v>1680</v>
      </c>
      <c r="L269" s="9">
        <v>-1</v>
      </c>
      <c r="M269" t="s">
        <v>356</v>
      </c>
      <c r="N269" t="s">
        <v>335</v>
      </c>
      <c r="O269" s="27" t="str">
        <f>HYPERLINK("https://www.ncbi.nlm.nih.gov/nuccore/NZ_AGBF01000087.1?report=graph&amp;from=21114&amp;to=21118", "TTA_codon")</f>
        <v>TTA_codon</v>
      </c>
    </row>
    <row r="270" spans="1:15" x14ac:dyDescent="0.15">
      <c r="A270" t="s">
        <v>21</v>
      </c>
      <c r="B270">
        <v>1000466</v>
      </c>
      <c r="C270">
        <v>360964</v>
      </c>
      <c r="F270" s="7">
        <v>1</v>
      </c>
      <c r="G270" s="7">
        <v>265</v>
      </c>
      <c r="H270" s="8">
        <v>265</v>
      </c>
      <c r="J270" t="s">
        <v>23</v>
      </c>
      <c r="K270" s="7">
        <v>1533</v>
      </c>
      <c r="L270" s="9">
        <v>-1</v>
      </c>
      <c r="M270" t="s">
        <v>357</v>
      </c>
      <c r="N270" t="s">
        <v>97</v>
      </c>
      <c r="O270" s="27" t="str">
        <f>HYPERLINK("https://www.ncbi.nlm.nih.gov/nuccore/NZ_LOHS01000136.1?report=graph&amp;from=1470&amp;to=1474", "TTA_codon")</f>
        <v>TTA_codon</v>
      </c>
    </row>
    <row r="271" spans="1:15" x14ac:dyDescent="0.15">
      <c r="A271" t="s">
        <v>21</v>
      </c>
      <c r="B271">
        <v>1000466</v>
      </c>
      <c r="C271">
        <v>365665</v>
      </c>
      <c r="F271" s="7">
        <v>1</v>
      </c>
      <c r="G271" s="7">
        <v>76</v>
      </c>
      <c r="H271" s="8">
        <v>49</v>
      </c>
      <c r="J271" t="s">
        <v>23</v>
      </c>
      <c r="K271" s="7">
        <v>1527</v>
      </c>
      <c r="L271" s="9">
        <v>-1</v>
      </c>
      <c r="M271" t="s">
        <v>213</v>
      </c>
      <c r="N271" t="s">
        <v>214</v>
      </c>
      <c r="O271" s="27" t="str">
        <f>HYPERLINK("https://www.ncbi.nlm.nih.gov/nuccore/NZ_FNST01000002.1?report=graph&amp;from=10032627&amp;to=10032631", "TTA_codon")</f>
        <v>TTA_codon</v>
      </c>
    </row>
    <row r="272" spans="1:15" x14ac:dyDescent="0.15">
      <c r="A272" t="s">
        <v>21</v>
      </c>
      <c r="B272" t="s">
        <v>358</v>
      </c>
    </row>
    <row r="273" spans="1:15" x14ac:dyDescent="0.15">
      <c r="A273" t="s">
        <v>21</v>
      </c>
      <c r="B273">
        <v>1000390</v>
      </c>
      <c r="C273">
        <v>348408</v>
      </c>
      <c r="F273" s="7">
        <v>1</v>
      </c>
      <c r="G273" s="7">
        <v>1369</v>
      </c>
      <c r="H273" s="8">
        <v>1357</v>
      </c>
      <c r="J273" t="s">
        <v>23</v>
      </c>
      <c r="K273" s="7">
        <v>1467</v>
      </c>
      <c r="L273" s="9">
        <v>1</v>
      </c>
      <c r="M273" t="s">
        <v>59</v>
      </c>
      <c r="N273" t="s">
        <v>60</v>
      </c>
      <c r="O273" s="27" t="str">
        <f>HYPERLINK("https://www.ncbi.nlm.nih.gov/nuccore/NC_016582.1?report=graph&amp;from=2890507&amp;to=2890511", "TTA_codon")</f>
        <v>TTA_codon</v>
      </c>
    </row>
    <row r="274" spans="1:15" x14ac:dyDescent="0.15">
      <c r="A274" t="s">
        <v>21</v>
      </c>
      <c r="B274">
        <v>1000390</v>
      </c>
      <c r="C274">
        <v>348953</v>
      </c>
      <c r="F274" s="7">
        <v>1</v>
      </c>
      <c r="G274" s="7">
        <v>1348</v>
      </c>
      <c r="H274" s="8">
        <v>1348</v>
      </c>
      <c r="J274" t="s">
        <v>23</v>
      </c>
      <c r="K274" s="7">
        <v>1479</v>
      </c>
      <c r="L274" s="9">
        <v>1</v>
      </c>
      <c r="M274" t="s">
        <v>211</v>
      </c>
      <c r="N274" t="s">
        <v>212</v>
      </c>
      <c r="O274" s="27" t="str">
        <f>HYPERLINK("https://www.ncbi.nlm.nih.gov/nuccore/NZ_GG657754.1?report=graph&amp;from=892142&amp;to=892146", "TTA_codon")</f>
        <v>TTA_codon</v>
      </c>
    </row>
    <row r="275" spans="1:15" x14ac:dyDescent="0.15">
      <c r="A275" t="s">
        <v>21</v>
      </c>
      <c r="B275" t="s">
        <v>359</v>
      </c>
    </row>
    <row r="276" spans="1:15" x14ac:dyDescent="0.15">
      <c r="A276" t="s">
        <v>21</v>
      </c>
      <c r="B276">
        <v>1001001</v>
      </c>
      <c r="C276">
        <v>354221</v>
      </c>
      <c r="F276" s="7">
        <v>1</v>
      </c>
      <c r="G276" s="7">
        <v>61</v>
      </c>
      <c r="H276" s="8">
        <v>40</v>
      </c>
      <c r="J276" t="s">
        <v>23</v>
      </c>
      <c r="K276" s="7">
        <v>789</v>
      </c>
      <c r="L276" s="9">
        <v>1</v>
      </c>
      <c r="M276" t="s">
        <v>360</v>
      </c>
      <c r="N276" t="s">
        <v>361</v>
      </c>
      <c r="O276" s="27" t="str">
        <f>HYPERLINK("https://www.ncbi.nlm.nih.gov/nuccore/NZ_JODY01000046.1?report=graph&amp;from=9504&amp;to=9508", "TTA_codon")</f>
        <v>TTA_codon</v>
      </c>
    </row>
    <row r="277" spans="1:15" x14ac:dyDescent="0.15">
      <c r="A277" t="s">
        <v>21</v>
      </c>
      <c r="B277">
        <v>1001001</v>
      </c>
      <c r="C277">
        <v>355018</v>
      </c>
      <c r="F277" s="7">
        <v>1</v>
      </c>
      <c r="G277" s="7">
        <v>61</v>
      </c>
      <c r="H277" s="8">
        <v>61</v>
      </c>
      <c r="J277" t="s">
        <v>23</v>
      </c>
      <c r="K277" s="7">
        <v>798</v>
      </c>
      <c r="L277" s="9">
        <v>1</v>
      </c>
      <c r="M277" t="s">
        <v>362</v>
      </c>
      <c r="N277" t="s">
        <v>25</v>
      </c>
      <c r="O277" s="27" t="str">
        <f>HYPERLINK("https://www.ncbi.nlm.nih.gov/nuccore/NZ_JOFU01000001.1?report=graph&amp;from=131308&amp;to=131312", "TTA_codon")</f>
        <v>TTA_codon</v>
      </c>
    </row>
    <row r="278" spans="1:15" x14ac:dyDescent="0.15">
      <c r="A278" t="s">
        <v>21</v>
      </c>
      <c r="B278">
        <v>1001001</v>
      </c>
      <c r="C278">
        <v>356790</v>
      </c>
      <c r="F278" s="7">
        <v>2</v>
      </c>
      <c r="G278" s="7" t="s">
        <v>363</v>
      </c>
      <c r="H278" s="8" t="s">
        <v>364</v>
      </c>
      <c r="J278" t="s">
        <v>23</v>
      </c>
      <c r="K278" s="7">
        <v>783</v>
      </c>
      <c r="L278" s="9">
        <v>1</v>
      </c>
      <c r="M278" t="s">
        <v>147</v>
      </c>
      <c r="N278" t="s">
        <v>148</v>
      </c>
      <c r="O278" s="27" t="str">
        <f>HYPERLINK("https://www.ncbi.nlm.nih.gov/nuccore/NZ_CP021080.1?report=graph&amp;from=3471254&amp;to=3471297", "TTA_codon")</f>
        <v>TTA_codon</v>
      </c>
    </row>
    <row r="279" spans="1:15" x14ac:dyDescent="0.15">
      <c r="A279" t="s">
        <v>21</v>
      </c>
      <c r="B279" t="s">
        <v>365</v>
      </c>
    </row>
    <row r="280" spans="1:15" x14ac:dyDescent="0.15">
      <c r="A280" t="s">
        <v>21</v>
      </c>
      <c r="B280">
        <v>1001256</v>
      </c>
      <c r="C280">
        <v>348137</v>
      </c>
      <c r="F280" s="7">
        <v>2</v>
      </c>
      <c r="G280" s="7" t="s">
        <v>366</v>
      </c>
      <c r="H280" s="8" t="s">
        <v>367</v>
      </c>
      <c r="J280" t="s">
        <v>23</v>
      </c>
      <c r="K280" s="7">
        <v>2136</v>
      </c>
      <c r="L280" s="9">
        <v>-1</v>
      </c>
      <c r="M280" t="s">
        <v>59</v>
      </c>
      <c r="N280" t="s">
        <v>60</v>
      </c>
      <c r="O280" s="27" t="str">
        <f>HYPERLINK("https://www.ncbi.nlm.nih.gov/nuccore/NC_016582.1?report=graph&amp;from=11427598&amp;to=11428307", "TTA_codon")</f>
        <v>TTA_codon</v>
      </c>
    </row>
    <row r="281" spans="1:15" x14ac:dyDescent="0.15">
      <c r="A281" t="s">
        <v>21</v>
      </c>
      <c r="B281">
        <v>1001256</v>
      </c>
      <c r="C281">
        <v>356379</v>
      </c>
      <c r="F281" s="7">
        <v>2</v>
      </c>
      <c r="G281" s="7" t="s">
        <v>368</v>
      </c>
      <c r="H281" s="8" t="s">
        <v>369</v>
      </c>
      <c r="J281" t="s">
        <v>23</v>
      </c>
      <c r="K281" s="7">
        <v>2130</v>
      </c>
      <c r="L281" s="9">
        <v>-1</v>
      </c>
      <c r="M281" t="s">
        <v>370</v>
      </c>
      <c r="N281" t="s">
        <v>354</v>
      </c>
      <c r="O281" s="27" t="str">
        <f>HYPERLINK("https://www.ncbi.nlm.nih.gov/nuccore/NZ_KN050729.1?report=graph&amp;from=560080&amp;to=560777", "TTA_codon")</f>
        <v>TTA_codon</v>
      </c>
    </row>
    <row r="282" spans="1:15" x14ac:dyDescent="0.15">
      <c r="A282" t="s">
        <v>21</v>
      </c>
      <c r="B282">
        <v>1001256</v>
      </c>
      <c r="C282">
        <v>357965</v>
      </c>
      <c r="F282" s="7">
        <v>1</v>
      </c>
      <c r="G282" s="7">
        <v>127</v>
      </c>
      <c r="H282" s="8">
        <v>127</v>
      </c>
      <c r="J282" t="s">
        <v>23</v>
      </c>
      <c r="K282" s="7">
        <v>2133</v>
      </c>
      <c r="L282" s="9">
        <v>-1</v>
      </c>
      <c r="M282" t="s">
        <v>261</v>
      </c>
      <c r="N282" t="s">
        <v>262</v>
      </c>
      <c r="O282" s="27" t="str">
        <f>HYPERLINK("https://www.ncbi.nlm.nih.gov/nuccore/NZ_CP011340.1?report=graph&amp;from=7067007&amp;to=7067011", "TTA_codon")</f>
        <v>TTA_codon</v>
      </c>
    </row>
    <row r="283" spans="1:15" x14ac:dyDescent="0.15">
      <c r="A283" t="s">
        <v>21</v>
      </c>
      <c r="B283">
        <v>1001256</v>
      </c>
      <c r="C283">
        <v>359853</v>
      </c>
      <c r="F283" s="7">
        <v>1</v>
      </c>
      <c r="G283" s="7">
        <v>106</v>
      </c>
      <c r="H283" s="8">
        <v>61</v>
      </c>
      <c r="J283" t="s">
        <v>23</v>
      </c>
      <c r="K283" s="7">
        <v>2157</v>
      </c>
      <c r="L283" s="9">
        <v>-1</v>
      </c>
      <c r="M283" t="s">
        <v>371</v>
      </c>
      <c r="N283" t="s">
        <v>91</v>
      </c>
      <c r="O283" s="27" t="str">
        <f>HYPERLINK("https://www.ncbi.nlm.nih.gov/nuccore/NZ_KQ948323.1?report=graph&amp;from=39158&amp;to=39162", "TTA_codon")</f>
        <v>TTA_codon</v>
      </c>
    </row>
    <row r="284" spans="1:15" x14ac:dyDescent="0.15">
      <c r="A284" t="s">
        <v>21</v>
      </c>
      <c r="B284">
        <v>1001256</v>
      </c>
      <c r="C284">
        <v>361164</v>
      </c>
      <c r="F284" s="7">
        <v>1</v>
      </c>
      <c r="G284" s="7">
        <v>100</v>
      </c>
      <c r="H284" s="8">
        <v>82</v>
      </c>
      <c r="J284" t="s">
        <v>23</v>
      </c>
      <c r="K284" s="7">
        <v>2136</v>
      </c>
      <c r="L284" s="9">
        <v>-1</v>
      </c>
      <c r="M284" t="s">
        <v>98</v>
      </c>
      <c r="N284" t="s">
        <v>99</v>
      </c>
      <c r="O284" s="27" t="str">
        <f>HYPERLINK("https://www.ncbi.nlm.nih.gov/nuccore/NZ_CP016438.1?report=graph&amp;from=3364455&amp;to=3364459", "TTA_codon")</f>
        <v>TTA_codon</v>
      </c>
    </row>
    <row r="285" spans="1:15" x14ac:dyDescent="0.15">
      <c r="A285" t="s">
        <v>21</v>
      </c>
      <c r="B285" t="s">
        <v>372</v>
      </c>
    </row>
    <row r="286" spans="1:15" x14ac:dyDescent="0.15">
      <c r="A286" t="s">
        <v>21</v>
      </c>
      <c r="B286">
        <v>1001328</v>
      </c>
      <c r="C286">
        <v>360020</v>
      </c>
      <c r="F286" s="7">
        <v>1</v>
      </c>
      <c r="G286" s="7">
        <v>49</v>
      </c>
      <c r="H286" s="8">
        <v>49</v>
      </c>
      <c r="J286" t="s">
        <v>23</v>
      </c>
      <c r="K286" s="7">
        <v>519</v>
      </c>
      <c r="L286" s="9">
        <v>-1</v>
      </c>
      <c r="M286" t="s">
        <v>373</v>
      </c>
      <c r="N286" t="s">
        <v>125</v>
      </c>
      <c r="O286" s="27" t="str">
        <f>HYPERLINK("https://www.ncbi.nlm.nih.gov/nuccore/NZ_KQ948482.1?report=graph&amp;from=14092&amp;to=14096", "TTA_codon")</f>
        <v>TTA_codon</v>
      </c>
    </row>
    <row r="287" spans="1:15" x14ac:dyDescent="0.15">
      <c r="A287" t="s">
        <v>21</v>
      </c>
      <c r="B287">
        <v>1001328</v>
      </c>
      <c r="C287">
        <v>366358</v>
      </c>
      <c r="F287" s="7">
        <v>1</v>
      </c>
      <c r="G287" s="7">
        <v>49</v>
      </c>
      <c r="H287" s="8">
        <v>49</v>
      </c>
      <c r="J287" t="s">
        <v>23</v>
      </c>
      <c r="K287" s="7">
        <v>528</v>
      </c>
      <c r="L287" s="9">
        <v>-1</v>
      </c>
      <c r="M287" t="s">
        <v>374</v>
      </c>
      <c r="N287" t="s">
        <v>375</v>
      </c>
      <c r="O287" s="27" t="str">
        <f>HYPERLINK("https://www.ncbi.nlm.nih.gov/nuccore/NZ_FONG01000025.1?report=graph&amp;from=32093&amp;to=32097", "TTA_codon")</f>
        <v>TTA_codon</v>
      </c>
    </row>
    <row r="288" spans="1:15" x14ac:dyDescent="0.15">
      <c r="A288" t="s">
        <v>21</v>
      </c>
      <c r="B288" t="s">
        <v>376</v>
      </c>
    </row>
    <row r="289" spans="1:15" x14ac:dyDescent="0.15">
      <c r="A289" t="s">
        <v>21</v>
      </c>
      <c r="B289">
        <v>1001238</v>
      </c>
      <c r="C289">
        <v>357553</v>
      </c>
      <c r="F289" s="7">
        <v>1</v>
      </c>
      <c r="G289" s="7">
        <v>286</v>
      </c>
      <c r="H289" s="8">
        <v>283</v>
      </c>
      <c r="J289" t="s">
        <v>23</v>
      </c>
      <c r="K289" s="7">
        <v>1392</v>
      </c>
      <c r="L289" s="9">
        <v>1</v>
      </c>
      <c r="M289" t="s">
        <v>377</v>
      </c>
      <c r="N289" t="s">
        <v>378</v>
      </c>
      <c r="O289" s="27" t="str">
        <f>HYPERLINK("https://www.ncbi.nlm.nih.gov/nuccore/NZ_LFXA01000009.1?report=graph&amp;from=724645&amp;to=724649", "TTA_codon")</f>
        <v>TTA_codon</v>
      </c>
    </row>
    <row r="290" spans="1:15" x14ac:dyDescent="0.15">
      <c r="A290" t="s">
        <v>21</v>
      </c>
      <c r="B290">
        <v>1001238</v>
      </c>
      <c r="C290">
        <v>360645</v>
      </c>
      <c r="F290" s="7">
        <v>1</v>
      </c>
      <c r="G290" s="7">
        <v>148</v>
      </c>
      <c r="H290" s="8">
        <v>64</v>
      </c>
      <c r="J290" t="s">
        <v>23</v>
      </c>
      <c r="K290" s="7">
        <v>1305</v>
      </c>
      <c r="L290" s="9">
        <v>1</v>
      </c>
      <c r="M290" t="s">
        <v>94</v>
      </c>
      <c r="N290" t="s">
        <v>95</v>
      </c>
      <c r="O290" s="27" t="str">
        <f>HYPERLINK("https://www.ncbi.nlm.nih.gov/nuccore/NZ_JYIJ01000019.1?report=graph&amp;from=717885&amp;to=717889", "TTA_codon")</f>
        <v>TTA_codon</v>
      </c>
    </row>
    <row r="291" spans="1:15" x14ac:dyDescent="0.15">
      <c r="A291" t="s">
        <v>21</v>
      </c>
      <c r="B291" t="s">
        <v>379</v>
      </c>
    </row>
    <row r="292" spans="1:15" x14ac:dyDescent="0.15">
      <c r="A292" t="s">
        <v>21</v>
      </c>
      <c r="B292">
        <v>1000950</v>
      </c>
      <c r="C292">
        <v>347390</v>
      </c>
      <c r="F292" s="7">
        <v>1</v>
      </c>
      <c r="G292" s="7">
        <v>265</v>
      </c>
      <c r="H292" s="8">
        <v>265</v>
      </c>
      <c r="J292" t="s">
        <v>23</v>
      </c>
      <c r="K292" s="7">
        <v>891</v>
      </c>
      <c r="L292" s="9">
        <v>1</v>
      </c>
      <c r="M292" t="s">
        <v>217</v>
      </c>
      <c r="N292" t="s">
        <v>218</v>
      </c>
      <c r="O292" s="27" t="str">
        <f>HYPERLINK("https://www.ncbi.nlm.nih.gov/nuccore/NC_021985.1?report=graph&amp;from=4362188&amp;to=4362192", "TTA_codon")</f>
        <v>TTA_codon</v>
      </c>
    </row>
    <row r="293" spans="1:15" x14ac:dyDescent="0.15">
      <c r="A293" t="s">
        <v>21</v>
      </c>
      <c r="B293">
        <v>1000950</v>
      </c>
      <c r="C293">
        <v>352969</v>
      </c>
      <c r="F293" s="7">
        <v>4</v>
      </c>
      <c r="G293" s="7" t="s">
        <v>380</v>
      </c>
      <c r="H293" s="8" t="s">
        <v>381</v>
      </c>
      <c r="J293" t="s">
        <v>23</v>
      </c>
      <c r="K293" s="7">
        <v>882</v>
      </c>
      <c r="L293" s="9">
        <v>1</v>
      </c>
      <c r="M293" t="s">
        <v>382</v>
      </c>
      <c r="N293" t="s">
        <v>306</v>
      </c>
      <c r="O293" s="27" t="str">
        <f>HYPERLINK("https://www.ncbi.nlm.nih.gov/nuccore/NZ_KL571107.1?report=graph&amp;from=82986&amp;to=83653", "TTA_codon")</f>
        <v>TTA_codon</v>
      </c>
    </row>
    <row r="294" spans="1:15" x14ac:dyDescent="0.15">
      <c r="A294" t="s">
        <v>21</v>
      </c>
      <c r="B294">
        <v>1000950</v>
      </c>
      <c r="C294">
        <v>353498</v>
      </c>
      <c r="F294" s="7">
        <v>1</v>
      </c>
      <c r="G294" s="7">
        <v>781</v>
      </c>
      <c r="H294" s="8">
        <v>730</v>
      </c>
      <c r="J294" t="s">
        <v>23</v>
      </c>
      <c r="K294" s="7">
        <v>891</v>
      </c>
      <c r="L294" s="9">
        <v>1</v>
      </c>
      <c r="M294" t="s">
        <v>189</v>
      </c>
      <c r="N294" t="s">
        <v>169</v>
      </c>
      <c r="O294" s="27" t="str">
        <f>HYPERLINK("https://www.ncbi.nlm.nih.gov/nuccore/NZ_JNWJ01000015.1?report=graph&amp;from=91497&amp;to=91501", "TTA_codon")</f>
        <v>TTA_codon</v>
      </c>
    </row>
    <row r="295" spans="1:15" x14ac:dyDescent="0.15">
      <c r="A295" t="s">
        <v>21</v>
      </c>
      <c r="B295">
        <v>1000950</v>
      </c>
      <c r="C295">
        <v>355945</v>
      </c>
      <c r="F295" s="7">
        <v>1</v>
      </c>
      <c r="G295" s="7">
        <v>877</v>
      </c>
      <c r="H295" s="8">
        <v>829</v>
      </c>
      <c r="J295" t="s">
        <v>23</v>
      </c>
      <c r="K295" s="7">
        <v>891</v>
      </c>
      <c r="L295" s="9">
        <v>1</v>
      </c>
      <c r="M295" t="s">
        <v>383</v>
      </c>
      <c r="N295" t="s">
        <v>384</v>
      </c>
      <c r="O295" s="27" t="str">
        <f>HYPERLINK("https://www.ncbi.nlm.nih.gov/nuccore/NZ_JOAK01000001.1?report=graph&amp;from=158311&amp;to=158315", "TTA_codon")</f>
        <v>TTA_codon</v>
      </c>
    </row>
    <row r="296" spans="1:15" x14ac:dyDescent="0.15">
      <c r="A296" t="s">
        <v>21</v>
      </c>
      <c r="B296">
        <v>1000950</v>
      </c>
      <c r="C296">
        <v>357784</v>
      </c>
      <c r="F296" s="7">
        <v>1</v>
      </c>
      <c r="G296" s="7">
        <v>265</v>
      </c>
      <c r="H296" s="8">
        <v>265</v>
      </c>
      <c r="J296" t="s">
        <v>23</v>
      </c>
      <c r="K296" s="7">
        <v>891</v>
      </c>
      <c r="L296" s="9">
        <v>1</v>
      </c>
      <c r="M296" t="s">
        <v>385</v>
      </c>
      <c r="N296" t="s">
        <v>83</v>
      </c>
      <c r="O296" s="27" t="str">
        <f>HYPERLINK("https://www.ncbi.nlm.nih.gov/nuccore/NZ_DF968198.1?report=graph&amp;from=53543&amp;to=53547", "TTA_codon")</f>
        <v>TTA_codon</v>
      </c>
    </row>
    <row r="297" spans="1:15" x14ac:dyDescent="0.15">
      <c r="A297" t="s">
        <v>21</v>
      </c>
      <c r="B297">
        <v>1000950</v>
      </c>
      <c r="C297">
        <v>361012</v>
      </c>
      <c r="F297" s="7">
        <v>1</v>
      </c>
      <c r="G297" s="7">
        <v>265</v>
      </c>
      <c r="H297" s="8">
        <v>265</v>
      </c>
      <c r="J297" t="s">
        <v>23</v>
      </c>
      <c r="K297" s="7">
        <v>891</v>
      </c>
      <c r="L297" s="9">
        <v>1</v>
      </c>
      <c r="M297" t="s">
        <v>386</v>
      </c>
      <c r="N297" t="s">
        <v>97</v>
      </c>
      <c r="O297" s="27" t="str">
        <f>HYPERLINK("https://www.ncbi.nlm.nih.gov/nuccore/NZ_LOHS01000101.1?report=graph&amp;from=11261&amp;to=11265", "TTA_codon")</f>
        <v>TTA_codon</v>
      </c>
    </row>
    <row r="298" spans="1:15" x14ac:dyDescent="0.15">
      <c r="A298" t="s">
        <v>21</v>
      </c>
      <c r="B298">
        <v>1000950</v>
      </c>
      <c r="C298">
        <v>361225</v>
      </c>
      <c r="F298" s="7">
        <v>1</v>
      </c>
      <c r="G298" s="7">
        <v>316</v>
      </c>
      <c r="H298" s="8">
        <v>316</v>
      </c>
      <c r="J298" t="s">
        <v>23</v>
      </c>
      <c r="K298" s="7">
        <v>927</v>
      </c>
      <c r="L298" s="9">
        <v>1</v>
      </c>
      <c r="M298" t="s">
        <v>98</v>
      </c>
      <c r="N298" t="s">
        <v>99</v>
      </c>
      <c r="O298" s="27" t="str">
        <f>HYPERLINK("https://www.ncbi.nlm.nih.gov/nuccore/NZ_CP016438.1?report=graph&amp;from=5043609&amp;to=5043613", "TTA_codon")</f>
        <v>TTA_codon</v>
      </c>
    </row>
    <row r="299" spans="1:15" x14ac:dyDescent="0.15">
      <c r="A299" t="s">
        <v>21</v>
      </c>
      <c r="B299">
        <v>1000950</v>
      </c>
      <c r="C299">
        <v>361728</v>
      </c>
      <c r="F299" s="7">
        <v>1</v>
      </c>
      <c r="G299" s="7">
        <v>316</v>
      </c>
      <c r="H299" s="8">
        <v>316</v>
      </c>
      <c r="J299" t="s">
        <v>23</v>
      </c>
      <c r="K299" s="7">
        <v>882</v>
      </c>
      <c r="L299" s="9">
        <v>1</v>
      </c>
      <c r="M299" t="s">
        <v>37</v>
      </c>
      <c r="N299" t="s">
        <v>38</v>
      </c>
      <c r="O299" s="27" t="str">
        <f>HYPERLINK("https://www.ncbi.nlm.nih.gov/nuccore/NZ_CP011533.1?report=graph&amp;from=4761947&amp;to=4761951", "TTA_codon")</f>
        <v>TTA_codon</v>
      </c>
    </row>
    <row r="300" spans="1:15" x14ac:dyDescent="0.15">
      <c r="A300" t="s">
        <v>21</v>
      </c>
      <c r="B300">
        <v>1000950</v>
      </c>
      <c r="C300">
        <v>363366</v>
      </c>
      <c r="F300" s="7">
        <v>1</v>
      </c>
      <c r="G300" s="7">
        <v>265</v>
      </c>
      <c r="H300" s="8">
        <v>265</v>
      </c>
      <c r="J300" t="s">
        <v>23</v>
      </c>
      <c r="K300" s="7">
        <v>891</v>
      </c>
      <c r="L300" s="9">
        <v>1</v>
      </c>
      <c r="M300" t="s">
        <v>387</v>
      </c>
      <c r="N300" t="s">
        <v>28</v>
      </c>
      <c r="O300" s="27" t="str">
        <f>HYPERLINK("https://www.ncbi.nlm.nih.gov/nuccore/NZ_JUJA01000156.1?report=graph&amp;from=5398&amp;to=5402", "TTA_codon")</f>
        <v>TTA_codon</v>
      </c>
    </row>
    <row r="301" spans="1:15" x14ac:dyDescent="0.15">
      <c r="A301" t="s">
        <v>21</v>
      </c>
      <c r="B301" t="s">
        <v>388</v>
      </c>
    </row>
    <row r="302" spans="1:15" x14ac:dyDescent="0.15">
      <c r="A302" t="s">
        <v>21</v>
      </c>
      <c r="B302">
        <v>1000764</v>
      </c>
      <c r="C302">
        <v>351654</v>
      </c>
      <c r="F302" s="7">
        <v>2</v>
      </c>
      <c r="G302" s="7" t="s">
        <v>389</v>
      </c>
      <c r="H302" s="8" t="s">
        <v>390</v>
      </c>
      <c r="J302" t="s">
        <v>23</v>
      </c>
      <c r="K302" s="7">
        <v>1107</v>
      </c>
      <c r="L302" s="9">
        <v>1</v>
      </c>
      <c r="M302" t="s">
        <v>391</v>
      </c>
      <c r="N302" t="s">
        <v>138</v>
      </c>
      <c r="O302" s="27" t="str">
        <f>HYPERLINK("https://www.ncbi.nlm.nih.gov/nuccore/NZ_KB889702.1?report=graph&amp;from=35445&amp;to=35689", "TTA_codon")</f>
        <v>TTA_codon</v>
      </c>
    </row>
    <row r="303" spans="1:15" x14ac:dyDescent="0.15">
      <c r="A303" t="s">
        <v>21</v>
      </c>
      <c r="B303">
        <v>1000764</v>
      </c>
      <c r="C303">
        <v>360777</v>
      </c>
      <c r="F303" s="7">
        <v>1</v>
      </c>
      <c r="G303" s="7">
        <v>106</v>
      </c>
      <c r="H303" s="8">
        <v>70</v>
      </c>
      <c r="J303" t="s">
        <v>23</v>
      </c>
      <c r="K303" s="7">
        <v>1002</v>
      </c>
      <c r="L303" s="9">
        <v>1</v>
      </c>
      <c r="M303" t="s">
        <v>94</v>
      </c>
      <c r="N303" t="s">
        <v>95</v>
      </c>
      <c r="O303" s="27" t="str">
        <f>HYPERLINK("https://www.ncbi.nlm.nih.gov/nuccore/NZ_JYIJ01000019.1?report=graph&amp;from=656101&amp;to=656105", "TTA_codon")</f>
        <v>TTA_codon</v>
      </c>
    </row>
    <row r="304" spans="1:15" x14ac:dyDescent="0.15">
      <c r="A304" t="s">
        <v>21</v>
      </c>
      <c r="B304" t="s">
        <v>392</v>
      </c>
    </row>
    <row r="305" spans="1:15" x14ac:dyDescent="0.15">
      <c r="A305" t="s">
        <v>21</v>
      </c>
      <c r="B305">
        <v>1000544</v>
      </c>
      <c r="C305">
        <v>349742</v>
      </c>
      <c r="F305" s="7">
        <v>2</v>
      </c>
      <c r="G305" s="7" t="s">
        <v>393</v>
      </c>
      <c r="H305" s="8" t="s">
        <v>394</v>
      </c>
      <c r="J305" t="s">
        <v>23</v>
      </c>
      <c r="K305" s="7">
        <v>3882</v>
      </c>
      <c r="L305" s="9">
        <v>1</v>
      </c>
      <c r="M305" t="s">
        <v>265</v>
      </c>
      <c r="N305" t="s">
        <v>266</v>
      </c>
      <c r="O305" s="27" t="str">
        <f>HYPERLINK("https://www.ncbi.nlm.nih.gov/nuccore/NC_017586.1?report=graph&amp;from=4622442&amp;to=4625038", "TTA_codon")</f>
        <v>TTA_codon</v>
      </c>
    </row>
    <row r="306" spans="1:15" x14ac:dyDescent="0.15">
      <c r="A306" t="s">
        <v>21</v>
      </c>
      <c r="B306">
        <v>1000544</v>
      </c>
      <c r="C306">
        <v>362206</v>
      </c>
      <c r="F306" s="7">
        <v>1</v>
      </c>
      <c r="G306" s="7">
        <v>811</v>
      </c>
      <c r="H306" s="8">
        <v>802</v>
      </c>
      <c r="J306" t="s">
        <v>23</v>
      </c>
      <c r="K306" s="7">
        <v>3882</v>
      </c>
      <c r="L306" s="9">
        <v>1</v>
      </c>
      <c r="M306" t="s">
        <v>39</v>
      </c>
      <c r="N306" t="s">
        <v>40</v>
      </c>
      <c r="O306" s="27" t="str">
        <f>HYPERLINK("https://www.ncbi.nlm.nih.gov/nuccore/NZ_CP017157.1?report=graph&amp;from=6049429&amp;to=6049433", "TTA_codon")</f>
        <v>TTA_codon</v>
      </c>
    </row>
    <row r="307" spans="1:15" x14ac:dyDescent="0.15">
      <c r="A307" t="s">
        <v>195</v>
      </c>
      <c r="B307" t="s">
        <v>395</v>
      </c>
    </row>
    <row r="308" spans="1:15" x14ac:dyDescent="0.15">
      <c r="A308" t="s">
        <v>195</v>
      </c>
      <c r="B308">
        <v>1000101</v>
      </c>
      <c r="C308">
        <v>346670</v>
      </c>
      <c r="F308" s="7">
        <v>1</v>
      </c>
      <c r="G308" s="7">
        <v>499</v>
      </c>
      <c r="H308" s="8">
        <v>220</v>
      </c>
      <c r="J308" t="s">
        <v>23</v>
      </c>
      <c r="K308" s="7">
        <v>1044</v>
      </c>
      <c r="L308" s="9">
        <v>1</v>
      </c>
      <c r="M308" t="s">
        <v>396</v>
      </c>
      <c r="N308" t="s">
        <v>299</v>
      </c>
      <c r="O308" s="27" t="str">
        <f>HYPERLINK("https://www.ncbi.nlm.nih.gov/nuccore/NZ_LIQY01000485.1?report=graph&amp;from=5154&amp;to=5158", "TTA_codon")</f>
        <v>TTA_codon</v>
      </c>
    </row>
    <row r="309" spans="1:15" x14ac:dyDescent="0.15">
      <c r="A309" t="s">
        <v>21</v>
      </c>
      <c r="B309">
        <v>1000101</v>
      </c>
      <c r="C309">
        <v>358074</v>
      </c>
      <c r="F309" s="7">
        <v>1</v>
      </c>
      <c r="G309" s="7">
        <v>40</v>
      </c>
      <c r="H309" s="8">
        <v>40</v>
      </c>
      <c r="J309" t="s">
        <v>23</v>
      </c>
      <c r="K309" s="7">
        <v>1326</v>
      </c>
      <c r="L309" s="9">
        <v>1</v>
      </c>
      <c r="M309" t="s">
        <v>397</v>
      </c>
      <c r="N309" t="s">
        <v>119</v>
      </c>
      <c r="O309" s="27" t="str">
        <f>HYPERLINK("https://www.ncbi.nlm.nih.gov/nuccore/NZ_LIPP01000328.1?report=graph&amp;from=10537&amp;to=10541", "TTA_codon")</f>
        <v>TTA_codon</v>
      </c>
    </row>
    <row r="310" spans="1:15" x14ac:dyDescent="0.15">
      <c r="A310" t="s">
        <v>21</v>
      </c>
      <c r="B310">
        <v>1000101</v>
      </c>
      <c r="C310">
        <v>363084</v>
      </c>
      <c r="F310" s="7">
        <v>3</v>
      </c>
      <c r="G310" s="7" t="s">
        <v>398</v>
      </c>
      <c r="H310" s="8" t="s">
        <v>399</v>
      </c>
      <c r="J310" t="s">
        <v>23</v>
      </c>
      <c r="K310" s="7">
        <v>1038</v>
      </c>
      <c r="L310" s="9">
        <v>1</v>
      </c>
      <c r="M310" t="s">
        <v>400</v>
      </c>
      <c r="N310" t="s">
        <v>401</v>
      </c>
      <c r="O310" s="27" t="str">
        <f>HYPERLINK("https://www.ncbi.nlm.nih.gov/nuccore/NZ_LFBV01000005.1?report=graph&amp;from=440575&amp;to=441080", "TTA_codon")</f>
        <v>TTA_codon</v>
      </c>
    </row>
    <row r="311" spans="1:15" x14ac:dyDescent="0.15">
      <c r="A311" t="s">
        <v>21</v>
      </c>
      <c r="B311">
        <v>1000101</v>
      </c>
      <c r="C311">
        <v>365916</v>
      </c>
      <c r="F311" s="7">
        <v>2</v>
      </c>
      <c r="G311" s="7" t="s">
        <v>402</v>
      </c>
      <c r="H311" s="8" t="s">
        <v>402</v>
      </c>
      <c r="J311" t="s">
        <v>23</v>
      </c>
      <c r="K311" s="7">
        <v>1299</v>
      </c>
      <c r="L311" s="9">
        <v>1</v>
      </c>
      <c r="M311" t="s">
        <v>403</v>
      </c>
      <c r="N311" t="s">
        <v>115</v>
      </c>
      <c r="O311" s="27" t="str">
        <f>HYPERLINK("https://www.ncbi.nlm.nih.gov/nuccore/NZ_FODD01000024.1?report=graph&amp;from=42801&amp;to=43258", "TTA_codon")</f>
        <v>TTA_codon</v>
      </c>
    </row>
    <row r="312" spans="1:15" x14ac:dyDescent="0.15">
      <c r="A312" t="s">
        <v>21</v>
      </c>
      <c r="B312" t="s">
        <v>404</v>
      </c>
    </row>
    <row r="313" spans="1:15" x14ac:dyDescent="0.15">
      <c r="A313" t="s">
        <v>21</v>
      </c>
      <c r="B313">
        <v>1001559</v>
      </c>
      <c r="C313">
        <v>367090</v>
      </c>
      <c r="F313" s="7">
        <v>1</v>
      </c>
      <c r="G313" s="7">
        <v>67</v>
      </c>
      <c r="H313" s="8">
        <v>67</v>
      </c>
      <c r="J313" t="s">
        <v>23</v>
      </c>
      <c r="K313" s="7">
        <v>426</v>
      </c>
      <c r="L313" s="9">
        <v>-1</v>
      </c>
      <c r="M313" t="s">
        <v>405</v>
      </c>
      <c r="N313" t="s">
        <v>406</v>
      </c>
      <c r="O313" s="27" t="str">
        <f>HYPERLINK("https://www.ncbi.nlm.nih.gov/nuccore/MN444876.1?report=graph&amp;from=6111&amp;to=6115", "TTA_codon")</f>
        <v>TTA_codon</v>
      </c>
    </row>
    <row r="314" spans="1:15" x14ac:dyDescent="0.15">
      <c r="A314" t="s">
        <v>21</v>
      </c>
      <c r="B314">
        <v>1001559</v>
      </c>
      <c r="C314">
        <v>367092</v>
      </c>
      <c r="F314" s="7">
        <v>1</v>
      </c>
      <c r="G314" s="7">
        <v>67</v>
      </c>
      <c r="H314" s="8">
        <v>67</v>
      </c>
      <c r="J314" t="s">
        <v>23</v>
      </c>
      <c r="K314" s="7">
        <v>426</v>
      </c>
      <c r="L314" s="9">
        <v>-1</v>
      </c>
      <c r="M314" t="s">
        <v>405</v>
      </c>
      <c r="N314" t="s">
        <v>406</v>
      </c>
      <c r="O314" s="27" t="str">
        <f>HYPERLINK("https://www.ncbi.nlm.nih.gov/nuccore/MN444876.1?report=graph&amp;from=128487&amp;to=128491", "TTA_codon")</f>
        <v>TTA_codon</v>
      </c>
    </row>
    <row r="315" spans="1:15" x14ac:dyDescent="0.15">
      <c r="A315" t="s">
        <v>21</v>
      </c>
      <c r="B315" t="s">
        <v>407</v>
      </c>
    </row>
    <row r="316" spans="1:15" x14ac:dyDescent="0.15">
      <c r="A316" t="s">
        <v>21</v>
      </c>
      <c r="B316">
        <v>1000483</v>
      </c>
      <c r="C316">
        <v>349202</v>
      </c>
      <c r="F316" s="7">
        <v>1</v>
      </c>
      <c r="G316" s="7">
        <v>2032</v>
      </c>
      <c r="H316" s="8">
        <v>1999</v>
      </c>
      <c r="J316" t="s">
        <v>23</v>
      </c>
      <c r="K316" s="7">
        <v>3207</v>
      </c>
      <c r="L316" s="9">
        <v>1</v>
      </c>
      <c r="M316" t="s">
        <v>211</v>
      </c>
      <c r="N316" t="s">
        <v>212</v>
      </c>
      <c r="O316" s="27" t="str">
        <f>HYPERLINK("https://www.ncbi.nlm.nih.gov/nuccore/NZ_GG657754.1?report=graph&amp;from=320857&amp;to=320861", "TTA_codon")</f>
        <v>TTA_codon</v>
      </c>
    </row>
    <row r="317" spans="1:15" x14ac:dyDescent="0.15">
      <c r="A317" t="s">
        <v>21</v>
      </c>
      <c r="B317">
        <v>1000483</v>
      </c>
      <c r="C317">
        <v>361713</v>
      </c>
      <c r="F317" s="7">
        <v>2</v>
      </c>
      <c r="G317" s="7" t="s">
        <v>408</v>
      </c>
      <c r="H317" s="8" t="s">
        <v>409</v>
      </c>
      <c r="J317" t="s">
        <v>23</v>
      </c>
      <c r="K317" s="7">
        <v>3174</v>
      </c>
      <c r="L317" s="9">
        <v>1</v>
      </c>
      <c r="M317" t="s">
        <v>37</v>
      </c>
      <c r="N317" t="s">
        <v>38</v>
      </c>
      <c r="O317" s="27" t="str">
        <f>HYPERLINK("https://www.ncbi.nlm.nih.gov/nuccore/NZ_CP011533.1?report=graph&amp;from=4326429&amp;to=4326442", "TTA_codon")</f>
        <v>TTA_codon</v>
      </c>
    </row>
    <row r="318" spans="1:15" x14ac:dyDescent="0.15">
      <c r="A318" t="s">
        <v>21</v>
      </c>
      <c r="B318">
        <v>1000483</v>
      </c>
      <c r="C318">
        <v>363838</v>
      </c>
      <c r="F318" s="7">
        <v>1</v>
      </c>
      <c r="G318" s="7">
        <v>2032</v>
      </c>
      <c r="H318" s="8">
        <v>1999</v>
      </c>
      <c r="J318" t="s">
        <v>23</v>
      </c>
      <c r="K318" s="7">
        <v>3207</v>
      </c>
      <c r="L318" s="9">
        <v>1</v>
      </c>
      <c r="M318" t="s">
        <v>101</v>
      </c>
      <c r="N318" t="s">
        <v>102</v>
      </c>
      <c r="O318" s="27" t="str">
        <f>HYPERLINK("https://www.ncbi.nlm.nih.gov/nuccore/NZ_CP019458.1?report=graph&amp;from=9016874&amp;to=9016878", "TTA_codon")</f>
        <v>TTA_codon</v>
      </c>
    </row>
    <row r="319" spans="1:15" x14ac:dyDescent="0.15">
      <c r="A319" t="s">
        <v>195</v>
      </c>
      <c r="B319" t="s">
        <v>410</v>
      </c>
    </row>
    <row r="320" spans="1:15" x14ac:dyDescent="0.15">
      <c r="A320" t="s">
        <v>195</v>
      </c>
      <c r="B320">
        <v>1000140</v>
      </c>
      <c r="C320">
        <v>346971</v>
      </c>
      <c r="F320" s="7">
        <v>1</v>
      </c>
      <c r="G320" s="7">
        <v>169</v>
      </c>
      <c r="H320" s="8">
        <v>169</v>
      </c>
      <c r="J320" t="s">
        <v>23</v>
      </c>
      <c r="K320" s="7">
        <v>600</v>
      </c>
      <c r="L320" s="9">
        <v>-1</v>
      </c>
      <c r="M320" t="s">
        <v>157</v>
      </c>
      <c r="N320" t="s">
        <v>158</v>
      </c>
      <c r="O320" s="27" t="str">
        <f>HYPERLINK("https://www.ncbi.nlm.nih.gov/nuccore/NZ_CP015588.1?report=graph&amp;from=8601344&amp;to=8601348", "TTA_codon")</f>
        <v>TTA_codon</v>
      </c>
    </row>
    <row r="321" spans="1:15" x14ac:dyDescent="0.15">
      <c r="A321" t="s">
        <v>21</v>
      </c>
      <c r="B321">
        <v>1000140</v>
      </c>
      <c r="C321">
        <v>349453</v>
      </c>
      <c r="F321" s="7">
        <v>1</v>
      </c>
      <c r="G321" s="7">
        <v>169</v>
      </c>
      <c r="H321" s="8">
        <v>169</v>
      </c>
      <c r="J321" t="s">
        <v>23</v>
      </c>
      <c r="K321" s="7">
        <v>600</v>
      </c>
      <c r="L321" s="9">
        <v>-1</v>
      </c>
      <c r="M321" t="s">
        <v>411</v>
      </c>
      <c r="N321" t="s">
        <v>64</v>
      </c>
      <c r="O321" s="27" t="str">
        <f>HYPERLINK("https://www.ncbi.nlm.nih.gov/nuccore/NZ_AEYX01000003.1?report=graph&amp;from=108312&amp;to=108316", "TTA_codon")</f>
        <v>TTA_codon</v>
      </c>
    </row>
    <row r="322" spans="1:15" x14ac:dyDescent="0.15">
      <c r="A322" t="s">
        <v>21</v>
      </c>
      <c r="B322">
        <v>1000140</v>
      </c>
      <c r="C322">
        <v>356825</v>
      </c>
      <c r="F322" s="7">
        <v>1</v>
      </c>
      <c r="G322" s="7">
        <v>169</v>
      </c>
      <c r="H322" s="8">
        <v>133</v>
      </c>
      <c r="J322" t="s">
        <v>23</v>
      </c>
      <c r="K322" s="7">
        <v>561</v>
      </c>
      <c r="L322" s="9">
        <v>-1</v>
      </c>
      <c r="M322" t="s">
        <v>78</v>
      </c>
      <c r="N322" t="s">
        <v>79</v>
      </c>
      <c r="O322" s="27" t="str">
        <f>HYPERLINK("https://www.ncbi.nlm.nih.gov/nuccore/NZ_CP009313.1?report=graph&amp;from=167436&amp;to=167440", "TTA_codon")</f>
        <v>TTA_codon</v>
      </c>
    </row>
    <row r="323" spans="1:15" x14ac:dyDescent="0.15">
      <c r="A323" t="s">
        <v>21</v>
      </c>
      <c r="B323" t="s">
        <v>412</v>
      </c>
    </row>
    <row r="324" spans="1:15" x14ac:dyDescent="0.15">
      <c r="A324" t="s">
        <v>21</v>
      </c>
      <c r="B324">
        <v>1001215</v>
      </c>
      <c r="C324">
        <v>357159</v>
      </c>
      <c r="F324" s="7">
        <v>1</v>
      </c>
      <c r="G324" s="7">
        <v>121</v>
      </c>
      <c r="H324" s="8">
        <v>121</v>
      </c>
      <c r="J324" t="s">
        <v>23</v>
      </c>
      <c r="K324" s="7">
        <v>1047</v>
      </c>
      <c r="L324" s="9">
        <v>-1</v>
      </c>
      <c r="M324" t="s">
        <v>205</v>
      </c>
      <c r="N324" t="s">
        <v>206</v>
      </c>
      <c r="O324" s="27" t="str">
        <f>HYPERLINK("https://www.ncbi.nlm.nih.gov/nuccore/NZ_CP010407.1?report=graph&amp;from=4752549&amp;to=4752553", "TTA_codon")</f>
        <v>TTA_codon</v>
      </c>
    </row>
    <row r="325" spans="1:15" x14ac:dyDescent="0.15">
      <c r="A325" t="s">
        <v>21</v>
      </c>
      <c r="B325">
        <v>1001215</v>
      </c>
      <c r="C325">
        <v>359488</v>
      </c>
      <c r="F325" s="7">
        <v>1</v>
      </c>
      <c r="G325" s="7">
        <v>172</v>
      </c>
      <c r="H325" s="8">
        <v>160</v>
      </c>
      <c r="J325" t="s">
        <v>23</v>
      </c>
      <c r="K325" s="7">
        <v>1005</v>
      </c>
      <c r="L325" s="9">
        <v>-1</v>
      </c>
      <c r="M325" t="s">
        <v>151</v>
      </c>
      <c r="N325" t="s">
        <v>152</v>
      </c>
      <c r="O325" s="27" t="str">
        <f>HYPERLINK("https://www.ncbi.nlm.nih.gov/nuccore/NZ_CP013129.1?report=graph&amp;from=5005284&amp;to=5005288", "TTA_codon")</f>
        <v>TTA_codon</v>
      </c>
    </row>
    <row r="326" spans="1:15" x14ac:dyDescent="0.15">
      <c r="A326" t="s">
        <v>21</v>
      </c>
      <c r="B326" t="s">
        <v>413</v>
      </c>
    </row>
    <row r="327" spans="1:15" x14ac:dyDescent="0.15">
      <c r="A327" t="s">
        <v>21</v>
      </c>
      <c r="B327">
        <v>1001387</v>
      </c>
      <c r="C327">
        <v>361695</v>
      </c>
      <c r="F327" s="7">
        <v>1</v>
      </c>
      <c r="G327" s="7">
        <v>520</v>
      </c>
      <c r="H327" s="8">
        <v>496</v>
      </c>
      <c r="J327" t="s">
        <v>23</v>
      </c>
      <c r="K327" s="7">
        <v>780</v>
      </c>
      <c r="L327" s="9">
        <v>1</v>
      </c>
      <c r="M327" t="s">
        <v>37</v>
      </c>
      <c r="N327" t="s">
        <v>38</v>
      </c>
      <c r="O327" s="27" t="str">
        <f>HYPERLINK("https://www.ncbi.nlm.nih.gov/nuccore/NZ_CP011533.1?report=graph&amp;from=2553433&amp;to=2553437", "TTA_codon")</f>
        <v>TTA_codon</v>
      </c>
    </row>
    <row r="328" spans="1:15" x14ac:dyDescent="0.15">
      <c r="A328" t="s">
        <v>21</v>
      </c>
      <c r="B328">
        <v>1001387</v>
      </c>
      <c r="C328">
        <v>365125</v>
      </c>
      <c r="F328" s="7">
        <v>1</v>
      </c>
      <c r="G328" s="7">
        <v>520</v>
      </c>
      <c r="H328" s="8">
        <v>520</v>
      </c>
      <c r="J328" t="s">
        <v>23</v>
      </c>
      <c r="K328" s="7">
        <v>768</v>
      </c>
      <c r="L328" s="9">
        <v>1</v>
      </c>
      <c r="M328" t="s">
        <v>111</v>
      </c>
      <c r="N328" t="s">
        <v>112</v>
      </c>
      <c r="O328" s="27" t="str">
        <f>HYPERLINK("https://www.ncbi.nlm.nih.gov/nuccore/NZ_CP021744.1?report=graph&amp;from=1635459&amp;to=1635463", "TTA_codon")</f>
        <v>TTA_codon</v>
      </c>
    </row>
    <row r="329" spans="1:15" x14ac:dyDescent="0.15">
      <c r="A329" t="s">
        <v>195</v>
      </c>
      <c r="B329" t="s">
        <v>414</v>
      </c>
    </row>
    <row r="330" spans="1:15" x14ac:dyDescent="0.15">
      <c r="A330" t="s">
        <v>195</v>
      </c>
      <c r="B330">
        <v>1001092</v>
      </c>
      <c r="C330">
        <v>346858</v>
      </c>
      <c r="F330" s="7">
        <v>1</v>
      </c>
      <c r="G330" s="7">
        <v>961</v>
      </c>
      <c r="H330" s="8">
        <v>883</v>
      </c>
      <c r="J330" t="s">
        <v>23</v>
      </c>
      <c r="K330" s="7">
        <v>1434</v>
      </c>
      <c r="L330" s="9">
        <v>1</v>
      </c>
      <c r="M330" t="s">
        <v>37</v>
      </c>
      <c r="N330" t="s">
        <v>38</v>
      </c>
      <c r="O330" s="27" t="str">
        <f>HYPERLINK("https://www.ncbi.nlm.nih.gov/nuccore/NZ_CP011533.1?report=graph&amp;from=446109&amp;to=446113", "TTA_codon")</f>
        <v>TTA_codon</v>
      </c>
    </row>
    <row r="331" spans="1:15" x14ac:dyDescent="0.15">
      <c r="A331" t="s">
        <v>21</v>
      </c>
      <c r="B331">
        <v>1001092</v>
      </c>
      <c r="C331">
        <v>354629</v>
      </c>
      <c r="F331" s="7">
        <v>1</v>
      </c>
      <c r="G331" s="7">
        <v>832</v>
      </c>
      <c r="H331" s="8">
        <v>784</v>
      </c>
      <c r="J331" t="s">
        <v>23</v>
      </c>
      <c r="K331" s="7">
        <v>1851</v>
      </c>
      <c r="L331" s="9">
        <v>1</v>
      </c>
      <c r="M331" t="s">
        <v>415</v>
      </c>
      <c r="N331" t="s">
        <v>272</v>
      </c>
      <c r="O331" s="27" t="str">
        <f>HYPERLINK("https://www.ncbi.nlm.nih.gov/nuccore/NZ_JOEY01000041.1?report=graph&amp;from=53028&amp;to=53032", "TTA_codon")</f>
        <v>TTA_codon</v>
      </c>
    </row>
    <row r="332" spans="1:15" x14ac:dyDescent="0.15">
      <c r="A332" t="s">
        <v>21</v>
      </c>
      <c r="B332">
        <v>1001092</v>
      </c>
      <c r="C332">
        <v>355437</v>
      </c>
      <c r="F332" s="7">
        <v>1</v>
      </c>
      <c r="G332" s="7">
        <v>895</v>
      </c>
      <c r="H332" s="8">
        <v>829</v>
      </c>
      <c r="J332" t="s">
        <v>23</v>
      </c>
      <c r="K332" s="7">
        <v>1554</v>
      </c>
      <c r="L332" s="9">
        <v>1</v>
      </c>
      <c r="M332" t="s">
        <v>416</v>
      </c>
      <c r="N332" t="s">
        <v>198</v>
      </c>
      <c r="O332" s="27" t="str">
        <f>HYPERLINK("https://www.ncbi.nlm.nih.gov/nuccore/NZ_JOFL01000018.1?report=graph&amp;from=3392&amp;to=3396", "TTA_codon")</f>
        <v>TTA_codon</v>
      </c>
    </row>
    <row r="333" spans="1:15" x14ac:dyDescent="0.15">
      <c r="A333" t="s">
        <v>21</v>
      </c>
      <c r="B333">
        <v>1001092</v>
      </c>
      <c r="C333">
        <v>359878</v>
      </c>
      <c r="F333" s="7">
        <v>1</v>
      </c>
      <c r="G333" s="7">
        <v>691</v>
      </c>
      <c r="H333" s="8">
        <v>592</v>
      </c>
      <c r="J333" t="s">
        <v>23</v>
      </c>
      <c r="K333" s="7">
        <v>1716</v>
      </c>
      <c r="L333" s="9">
        <v>1</v>
      </c>
      <c r="M333" t="s">
        <v>417</v>
      </c>
      <c r="N333" t="s">
        <v>91</v>
      </c>
      <c r="O333" s="27" t="str">
        <f>HYPERLINK("https://www.ncbi.nlm.nih.gov/nuccore/NZ_KQ948309.1?report=graph&amp;from=396780&amp;to=396784", "TTA_codon")</f>
        <v>TTA_codon</v>
      </c>
    </row>
    <row r="334" spans="1:15" x14ac:dyDescent="0.15">
      <c r="A334" t="s">
        <v>21</v>
      </c>
      <c r="B334" t="s">
        <v>418</v>
      </c>
    </row>
    <row r="335" spans="1:15" x14ac:dyDescent="0.15">
      <c r="A335" t="s">
        <v>21</v>
      </c>
      <c r="B335">
        <v>1001450</v>
      </c>
      <c r="C335">
        <v>363650</v>
      </c>
      <c r="F335" s="7">
        <v>1</v>
      </c>
      <c r="G335" s="7">
        <v>1153</v>
      </c>
      <c r="H335" s="8">
        <v>1153</v>
      </c>
      <c r="J335" t="s">
        <v>23</v>
      </c>
      <c r="K335" s="7">
        <v>1239</v>
      </c>
      <c r="L335" s="9">
        <v>1</v>
      </c>
      <c r="M335" t="s">
        <v>101</v>
      </c>
      <c r="N335" t="s">
        <v>102</v>
      </c>
      <c r="O335" s="27" t="str">
        <f>HYPERLINK("https://www.ncbi.nlm.nih.gov/nuccore/NZ_CP019458.1?report=graph&amp;from=4583996&amp;to=4584000", "TTA_codon")</f>
        <v>TTA_codon</v>
      </c>
    </row>
    <row r="336" spans="1:15" x14ac:dyDescent="0.15">
      <c r="A336" t="s">
        <v>21</v>
      </c>
      <c r="B336">
        <v>1001450</v>
      </c>
      <c r="C336">
        <v>365625</v>
      </c>
      <c r="F336" s="7">
        <v>1</v>
      </c>
      <c r="G336" s="7">
        <v>1153</v>
      </c>
      <c r="H336" s="8">
        <v>1153</v>
      </c>
      <c r="J336" t="s">
        <v>23</v>
      </c>
      <c r="K336" s="7">
        <v>1263</v>
      </c>
      <c r="L336" s="9">
        <v>1</v>
      </c>
      <c r="M336" t="s">
        <v>213</v>
      </c>
      <c r="N336" t="s">
        <v>214</v>
      </c>
      <c r="O336" s="27" t="str">
        <f>HYPERLINK("https://www.ncbi.nlm.nih.gov/nuccore/NZ_FNST01000002.1?report=graph&amp;from=2151134&amp;to=2151138", "TTA_codon")</f>
        <v>TTA_codon</v>
      </c>
    </row>
    <row r="337" spans="1:15" x14ac:dyDescent="0.15">
      <c r="A337" t="s">
        <v>21</v>
      </c>
      <c r="B337" t="s">
        <v>419</v>
      </c>
    </row>
    <row r="338" spans="1:15" x14ac:dyDescent="0.15">
      <c r="A338" t="s">
        <v>21</v>
      </c>
      <c r="B338">
        <v>1000548</v>
      </c>
      <c r="C338">
        <v>349766</v>
      </c>
      <c r="F338" s="7">
        <v>1</v>
      </c>
      <c r="G338" s="7">
        <v>100</v>
      </c>
      <c r="H338" s="8">
        <v>100</v>
      </c>
      <c r="J338" t="s">
        <v>23</v>
      </c>
      <c r="K338" s="7">
        <v>1533</v>
      </c>
      <c r="L338" s="9">
        <v>1</v>
      </c>
      <c r="M338" t="s">
        <v>420</v>
      </c>
      <c r="N338" t="s">
        <v>266</v>
      </c>
      <c r="O338" s="27" t="str">
        <f>HYPERLINK("https://www.ncbi.nlm.nih.gov/nuccore/NC_017585.1?report=graph&amp;from=602054&amp;to=602058", "TTA_codon")</f>
        <v>TTA_codon</v>
      </c>
    </row>
    <row r="339" spans="1:15" x14ac:dyDescent="0.15">
      <c r="A339" t="s">
        <v>21</v>
      </c>
      <c r="B339">
        <v>1000548</v>
      </c>
      <c r="C339">
        <v>354854</v>
      </c>
      <c r="F339" s="7">
        <v>1</v>
      </c>
      <c r="G339" s="7">
        <v>214</v>
      </c>
      <c r="H339" s="8">
        <v>175</v>
      </c>
      <c r="J339" t="s">
        <v>23</v>
      </c>
      <c r="K339" s="7">
        <v>1422</v>
      </c>
      <c r="L339" s="9">
        <v>1</v>
      </c>
      <c r="M339" t="s">
        <v>421</v>
      </c>
      <c r="N339" t="s">
        <v>25</v>
      </c>
      <c r="O339" s="27" t="str">
        <f>HYPERLINK("https://www.ncbi.nlm.nih.gov/nuccore/NZ_JOFU01000035.1?report=graph&amp;from=11864&amp;to=11868", "TTA_codon")</f>
        <v>TTA_codon</v>
      </c>
    </row>
    <row r="340" spans="1:15" x14ac:dyDescent="0.15">
      <c r="A340" t="s">
        <v>195</v>
      </c>
      <c r="B340" t="s">
        <v>422</v>
      </c>
    </row>
    <row r="341" spans="1:15" x14ac:dyDescent="0.15">
      <c r="A341" t="s">
        <v>195</v>
      </c>
      <c r="B341">
        <v>1000090</v>
      </c>
      <c r="C341">
        <v>346572</v>
      </c>
      <c r="F341" s="7">
        <v>1</v>
      </c>
      <c r="G341" s="7">
        <v>40</v>
      </c>
      <c r="H341" s="8">
        <v>40</v>
      </c>
      <c r="J341" t="s">
        <v>23</v>
      </c>
      <c r="K341" s="7">
        <v>2778</v>
      </c>
      <c r="L341" s="9">
        <v>-1</v>
      </c>
      <c r="M341" t="s">
        <v>205</v>
      </c>
      <c r="N341" t="s">
        <v>206</v>
      </c>
      <c r="O341" s="27" t="str">
        <f>HYPERLINK("https://www.ncbi.nlm.nih.gov/nuccore/NZ_CP010407.1?report=graph&amp;from=7751901&amp;to=7751905", "TTA_codon")</f>
        <v>TTA_codon</v>
      </c>
    </row>
    <row r="342" spans="1:15" x14ac:dyDescent="0.15">
      <c r="A342" t="s">
        <v>21</v>
      </c>
      <c r="B342">
        <v>1000090</v>
      </c>
      <c r="C342">
        <v>354997</v>
      </c>
      <c r="F342" s="7">
        <v>1</v>
      </c>
      <c r="G342" s="7">
        <v>40</v>
      </c>
      <c r="H342" s="8">
        <v>40</v>
      </c>
      <c r="J342" t="s">
        <v>23</v>
      </c>
      <c r="K342" s="7">
        <v>2814</v>
      </c>
      <c r="L342" s="9">
        <v>-1</v>
      </c>
      <c r="M342" t="s">
        <v>423</v>
      </c>
      <c r="N342" t="s">
        <v>25</v>
      </c>
      <c r="O342" s="27" t="str">
        <f>HYPERLINK("https://www.ncbi.nlm.nih.gov/nuccore/NZ_JOFU01000005.1?report=graph&amp;from=143011&amp;to=143015", "TTA_codon")</f>
        <v>TTA_codon</v>
      </c>
    </row>
    <row r="343" spans="1:15" x14ac:dyDescent="0.15">
      <c r="A343" t="s">
        <v>21</v>
      </c>
      <c r="B343" t="s">
        <v>424</v>
      </c>
    </row>
    <row r="344" spans="1:15" x14ac:dyDescent="0.15">
      <c r="A344" t="s">
        <v>21</v>
      </c>
      <c r="B344">
        <v>1001115</v>
      </c>
      <c r="C344">
        <v>355718</v>
      </c>
      <c r="F344" s="7">
        <v>1</v>
      </c>
      <c r="G344" s="7">
        <v>49</v>
      </c>
      <c r="H344" s="8">
        <v>49</v>
      </c>
      <c r="J344" t="s">
        <v>23</v>
      </c>
      <c r="K344" s="7">
        <v>1032</v>
      </c>
      <c r="L344" s="9">
        <v>1</v>
      </c>
      <c r="M344" t="s">
        <v>425</v>
      </c>
      <c r="N344" t="s">
        <v>278</v>
      </c>
      <c r="O344" s="27" t="str">
        <f>HYPERLINK("https://www.ncbi.nlm.nih.gov/nuccore/NZ_JOID01000005.1?report=graph&amp;from=243684&amp;to=243688", "TTA_codon")</f>
        <v>TTA_codon</v>
      </c>
    </row>
    <row r="345" spans="1:15" x14ac:dyDescent="0.15">
      <c r="A345" t="s">
        <v>21</v>
      </c>
      <c r="B345">
        <v>1001115</v>
      </c>
      <c r="C345">
        <v>362056</v>
      </c>
      <c r="F345" s="7">
        <v>1</v>
      </c>
      <c r="G345" s="7">
        <v>100</v>
      </c>
      <c r="H345" s="8">
        <v>82</v>
      </c>
      <c r="J345" t="s">
        <v>23</v>
      </c>
      <c r="K345" s="7">
        <v>975</v>
      </c>
      <c r="L345" s="9">
        <v>1</v>
      </c>
      <c r="M345" t="s">
        <v>426</v>
      </c>
      <c r="N345" t="s">
        <v>187</v>
      </c>
      <c r="O345" s="27" t="str">
        <f>HYPERLINK("https://www.ncbi.nlm.nih.gov/nuccore/NZ_MAXF01000132.1?report=graph&amp;from=2392&amp;to=2396", "TTA_codon")</f>
        <v>TTA_codon</v>
      </c>
    </row>
    <row r="346" spans="1:15" x14ac:dyDescent="0.15">
      <c r="A346" t="s">
        <v>21</v>
      </c>
      <c r="B346">
        <v>1001115</v>
      </c>
      <c r="C346">
        <v>365888</v>
      </c>
      <c r="F346" s="7">
        <v>1</v>
      </c>
      <c r="G346" s="7">
        <v>100</v>
      </c>
      <c r="H346" s="8">
        <v>82</v>
      </c>
      <c r="J346" t="s">
        <v>23</v>
      </c>
      <c r="K346" s="7">
        <v>969</v>
      </c>
      <c r="L346" s="9">
        <v>1</v>
      </c>
      <c r="M346" t="s">
        <v>213</v>
      </c>
      <c r="N346" t="s">
        <v>214</v>
      </c>
      <c r="O346" s="27" t="str">
        <f>HYPERLINK("https://www.ncbi.nlm.nih.gov/nuccore/NZ_FNST01000002.1?report=graph&amp;from=9681271&amp;to=9681275", "TTA_codon")</f>
        <v>TTA_codon</v>
      </c>
    </row>
    <row r="347" spans="1:15" x14ac:dyDescent="0.15">
      <c r="A347" t="s">
        <v>195</v>
      </c>
      <c r="B347" t="s">
        <v>427</v>
      </c>
    </row>
    <row r="348" spans="1:15" x14ac:dyDescent="0.15">
      <c r="A348" t="s">
        <v>195</v>
      </c>
      <c r="B348">
        <v>1000126</v>
      </c>
      <c r="C348">
        <v>346881</v>
      </c>
      <c r="F348" s="7">
        <v>1</v>
      </c>
      <c r="G348" s="7">
        <v>61</v>
      </c>
      <c r="H348" s="8">
        <v>61</v>
      </c>
      <c r="J348" t="s">
        <v>23</v>
      </c>
      <c r="K348" s="7">
        <v>1743</v>
      </c>
      <c r="L348" s="9">
        <v>1</v>
      </c>
      <c r="M348" t="s">
        <v>428</v>
      </c>
      <c r="N348" t="s">
        <v>187</v>
      </c>
      <c r="O348" s="27" t="str">
        <f>HYPERLINK("https://www.ncbi.nlm.nih.gov/nuccore/NZ_MAXF01000227.1?report=graph&amp;from=27542&amp;to=27546", "TTA_codon")</f>
        <v>TTA_codon</v>
      </c>
    </row>
    <row r="349" spans="1:15" x14ac:dyDescent="0.15">
      <c r="A349" t="s">
        <v>21</v>
      </c>
      <c r="B349">
        <v>1000126</v>
      </c>
      <c r="C349">
        <v>348180</v>
      </c>
      <c r="F349" s="7">
        <v>1</v>
      </c>
      <c r="G349" s="7">
        <v>64</v>
      </c>
      <c r="H349" s="8">
        <v>64</v>
      </c>
      <c r="J349" t="s">
        <v>23</v>
      </c>
      <c r="K349" s="7">
        <v>1719</v>
      </c>
      <c r="L349" s="9">
        <v>1</v>
      </c>
      <c r="M349" t="s">
        <v>59</v>
      </c>
      <c r="N349" t="s">
        <v>60</v>
      </c>
      <c r="O349" s="27" t="str">
        <f>HYPERLINK("https://www.ncbi.nlm.nih.gov/nuccore/NC_016582.1?report=graph&amp;from=10550876&amp;to=10550880", "TTA_codon")</f>
        <v>TTA_codon</v>
      </c>
    </row>
    <row r="350" spans="1:15" x14ac:dyDescent="0.15">
      <c r="A350" t="s">
        <v>21</v>
      </c>
      <c r="B350">
        <v>1000126</v>
      </c>
      <c r="C350">
        <v>363679</v>
      </c>
      <c r="F350" s="7">
        <v>1</v>
      </c>
      <c r="G350" s="7">
        <v>64</v>
      </c>
      <c r="H350" s="8">
        <v>64</v>
      </c>
      <c r="J350" t="s">
        <v>23</v>
      </c>
      <c r="K350" s="7">
        <v>1818</v>
      </c>
      <c r="L350" s="9">
        <v>1</v>
      </c>
      <c r="M350" t="s">
        <v>101</v>
      </c>
      <c r="N350" t="s">
        <v>102</v>
      </c>
      <c r="O350" s="27" t="str">
        <f>HYPERLINK("https://www.ncbi.nlm.nih.gov/nuccore/NZ_CP019458.1?report=graph&amp;from=9232855&amp;to=9232859", "TTA_codon")</f>
        <v>TTA_codon</v>
      </c>
    </row>
    <row r="351" spans="1:15" x14ac:dyDescent="0.15">
      <c r="A351" t="s">
        <v>21</v>
      </c>
      <c r="B351">
        <v>1000126</v>
      </c>
      <c r="C351">
        <v>365647</v>
      </c>
      <c r="F351" s="7">
        <v>1</v>
      </c>
      <c r="G351" s="7">
        <v>64</v>
      </c>
      <c r="H351" s="8">
        <v>64</v>
      </c>
      <c r="J351" t="s">
        <v>23</v>
      </c>
      <c r="K351" s="7">
        <v>1728</v>
      </c>
      <c r="L351" s="9">
        <v>1</v>
      </c>
      <c r="M351" t="s">
        <v>213</v>
      </c>
      <c r="N351" t="s">
        <v>214</v>
      </c>
      <c r="O351" s="27" t="str">
        <f>HYPERLINK("https://www.ncbi.nlm.nih.gov/nuccore/NZ_FNST01000002.1?report=graph&amp;from=6881366&amp;to=6881370", "TTA_codon")</f>
        <v>TTA_codon</v>
      </c>
    </row>
    <row r="352" spans="1:15" x14ac:dyDescent="0.15">
      <c r="A352" t="s">
        <v>21</v>
      </c>
      <c r="B352" t="s">
        <v>429</v>
      </c>
    </row>
    <row r="353" spans="1:15" x14ac:dyDescent="0.15">
      <c r="A353" t="s">
        <v>21</v>
      </c>
      <c r="B353">
        <v>1001074</v>
      </c>
      <c r="C353">
        <v>353735</v>
      </c>
      <c r="F353" s="7">
        <v>4</v>
      </c>
      <c r="G353" s="7" t="s">
        <v>430</v>
      </c>
      <c r="H353" s="8" t="s">
        <v>430</v>
      </c>
      <c r="J353" t="s">
        <v>23</v>
      </c>
      <c r="K353" s="7">
        <v>2643</v>
      </c>
      <c r="L353" s="9">
        <v>1</v>
      </c>
      <c r="M353" t="s">
        <v>431</v>
      </c>
      <c r="N353" t="s">
        <v>246</v>
      </c>
      <c r="O353" s="27" t="str">
        <f>HYPERLINK("https://www.ncbi.nlm.nih.gov/nuccore/NZ_JNYR01000007.1?report=graph&amp;from=92412&amp;to=94207", "TTA_codon")</f>
        <v>TTA_codon</v>
      </c>
    </row>
    <row r="354" spans="1:15" x14ac:dyDescent="0.15">
      <c r="A354" t="s">
        <v>21</v>
      </c>
      <c r="B354">
        <v>1001074</v>
      </c>
      <c r="C354">
        <v>355243</v>
      </c>
      <c r="F354" s="7">
        <v>1</v>
      </c>
      <c r="G354" s="7">
        <v>1801</v>
      </c>
      <c r="H354" s="8">
        <v>325</v>
      </c>
      <c r="J354" t="s">
        <v>23</v>
      </c>
      <c r="K354" s="7">
        <v>1167</v>
      </c>
      <c r="L354" s="9">
        <v>1</v>
      </c>
      <c r="M354" t="s">
        <v>432</v>
      </c>
      <c r="N354" t="s">
        <v>433</v>
      </c>
      <c r="O354" s="27" t="str">
        <f>HYPERLINK("https://www.ncbi.nlm.nih.gov/nuccore/NZ_JOBF01000020.1?report=graph&amp;from=105455&amp;to=105459", "TTA_codon")</f>
        <v>TTA_codon</v>
      </c>
    </row>
    <row r="355" spans="1:15" x14ac:dyDescent="0.15">
      <c r="A355" t="s">
        <v>21</v>
      </c>
      <c r="B355" t="s">
        <v>434</v>
      </c>
    </row>
    <row r="356" spans="1:15" x14ac:dyDescent="0.15">
      <c r="A356" t="s">
        <v>21</v>
      </c>
      <c r="B356">
        <v>1000869</v>
      </c>
      <c r="C356">
        <v>352610</v>
      </c>
      <c r="F356" s="7">
        <v>1</v>
      </c>
      <c r="G356" s="7">
        <v>274</v>
      </c>
      <c r="H356" s="8">
        <v>274</v>
      </c>
      <c r="J356" t="s">
        <v>23</v>
      </c>
      <c r="K356" s="7">
        <v>2100</v>
      </c>
      <c r="L356" s="9">
        <v>1</v>
      </c>
      <c r="M356" t="s">
        <v>435</v>
      </c>
      <c r="N356" t="s">
        <v>436</v>
      </c>
      <c r="O356" s="27" t="str">
        <f>HYPERLINK("https://www.ncbi.nlm.nih.gov/nuccore/NZ_AUBE01000016.1?report=graph&amp;from=92220&amp;to=92224", "TTA_codon")</f>
        <v>TTA_codon</v>
      </c>
    </row>
    <row r="357" spans="1:15" x14ac:dyDescent="0.15">
      <c r="A357" t="s">
        <v>21</v>
      </c>
      <c r="B357">
        <v>1000869</v>
      </c>
      <c r="C357">
        <v>353792</v>
      </c>
      <c r="F357" s="7">
        <v>1</v>
      </c>
      <c r="G357" s="7">
        <v>211</v>
      </c>
      <c r="H357" s="8">
        <v>202</v>
      </c>
      <c r="J357" t="s">
        <v>23</v>
      </c>
      <c r="K357" s="7">
        <v>2067</v>
      </c>
      <c r="L357" s="9">
        <v>1</v>
      </c>
      <c r="M357" t="s">
        <v>437</v>
      </c>
      <c r="N357" t="s">
        <v>246</v>
      </c>
      <c r="O357" s="27" t="str">
        <f>HYPERLINK("https://www.ncbi.nlm.nih.gov/nuccore/NZ_JNYR01000021.1?report=graph&amp;from=36371&amp;to=36375", "TTA_codon")</f>
        <v>TTA_codon</v>
      </c>
    </row>
    <row r="358" spans="1:15" x14ac:dyDescent="0.15">
      <c r="A358" t="s">
        <v>21</v>
      </c>
      <c r="B358">
        <v>1000869</v>
      </c>
      <c r="C358">
        <v>364162</v>
      </c>
      <c r="F358" s="7">
        <v>1</v>
      </c>
      <c r="G358" s="7">
        <v>349</v>
      </c>
      <c r="H358" s="8">
        <v>349</v>
      </c>
      <c r="J358" t="s">
        <v>23</v>
      </c>
      <c r="K358" s="7">
        <v>2136</v>
      </c>
      <c r="L358" s="9">
        <v>1</v>
      </c>
      <c r="M358" t="s">
        <v>254</v>
      </c>
      <c r="N358" t="s">
        <v>255</v>
      </c>
      <c r="O358" s="27" t="str">
        <f>HYPERLINK("https://www.ncbi.nlm.nih.gov/nuccore/NZ_CP018047.1?report=graph&amp;from=4099604&amp;to=4099608", "TTA_codon")</f>
        <v>TTA_codon</v>
      </c>
    </row>
    <row r="359" spans="1:15" x14ac:dyDescent="0.15">
      <c r="A359" t="s">
        <v>21</v>
      </c>
      <c r="B359" t="s">
        <v>438</v>
      </c>
    </row>
    <row r="360" spans="1:15" x14ac:dyDescent="0.15">
      <c r="A360" t="s">
        <v>21</v>
      </c>
      <c r="B360">
        <v>1000567</v>
      </c>
      <c r="C360">
        <v>349949</v>
      </c>
      <c r="F360" s="7">
        <v>1</v>
      </c>
      <c r="G360" s="7">
        <v>112</v>
      </c>
      <c r="H360" s="8">
        <v>49</v>
      </c>
      <c r="J360" t="s">
        <v>23</v>
      </c>
      <c r="K360" s="7">
        <v>873</v>
      </c>
      <c r="L360" s="9">
        <v>1</v>
      </c>
      <c r="M360" t="s">
        <v>439</v>
      </c>
      <c r="N360" t="s">
        <v>249</v>
      </c>
      <c r="O360" s="27" t="str">
        <f>HYPERLINK("https://www.ncbi.nlm.nih.gov/nuccore/NZ_AHBF01000011.1?report=graph&amp;from=12772&amp;to=12776", "TTA_codon")</f>
        <v>TTA_codon</v>
      </c>
    </row>
    <row r="361" spans="1:15" x14ac:dyDescent="0.15">
      <c r="A361" t="s">
        <v>21</v>
      </c>
      <c r="B361">
        <v>1000567</v>
      </c>
      <c r="C361">
        <v>351765</v>
      </c>
      <c r="F361" s="7">
        <v>1</v>
      </c>
      <c r="G361" s="7">
        <v>112</v>
      </c>
      <c r="H361" s="8">
        <v>112</v>
      </c>
      <c r="J361" t="s">
        <v>23</v>
      </c>
      <c r="K361" s="7">
        <v>936</v>
      </c>
      <c r="L361" s="9">
        <v>1</v>
      </c>
      <c r="M361" t="s">
        <v>440</v>
      </c>
      <c r="N361" t="s">
        <v>68</v>
      </c>
      <c r="O361" s="27" t="str">
        <f>HYPERLINK("https://www.ncbi.nlm.nih.gov/nuccore/NZ_BARG01000050.1?report=graph&amp;from=52522&amp;to=52526", "TTA_codon")</f>
        <v>TTA_codon</v>
      </c>
    </row>
    <row r="362" spans="1:15" x14ac:dyDescent="0.15">
      <c r="A362" t="s">
        <v>21</v>
      </c>
      <c r="B362">
        <v>1000567</v>
      </c>
      <c r="C362">
        <v>360905</v>
      </c>
      <c r="F362" s="7">
        <v>1</v>
      </c>
      <c r="G362" s="7">
        <v>124</v>
      </c>
      <c r="H362" s="8">
        <v>109</v>
      </c>
      <c r="J362" t="s">
        <v>23</v>
      </c>
      <c r="K362" s="7">
        <v>921</v>
      </c>
      <c r="L362" s="9">
        <v>1</v>
      </c>
      <c r="M362" t="s">
        <v>441</v>
      </c>
      <c r="N362" t="s">
        <v>97</v>
      </c>
      <c r="O362" s="27" t="str">
        <f>HYPERLINK("https://www.ncbi.nlm.nih.gov/nuccore/NZ_LOHS01000115.1?report=graph&amp;from=33859&amp;to=33863", "TTA_codon")</f>
        <v>TTA_codon</v>
      </c>
    </row>
    <row r="363" spans="1:15" x14ac:dyDescent="0.15">
      <c r="A363" t="s">
        <v>21</v>
      </c>
      <c r="B363" t="s">
        <v>442</v>
      </c>
    </row>
    <row r="364" spans="1:15" x14ac:dyDescent="0.15">
      <c r="A364" t="s">
        <v>21</v>
      </c>
      <c r="B364">
        <v>1000242</v>
      </c>
      <c r="C364">
        <v>347629</v>
      </c>
      <c r="F364" s="7">
        <v>1</v>
      </c>
      <c r="G364" s="7">
        <v>2173</v>
      </c>
      <c r="H364" s="8">
        <v>2170</v>
      </c>
      <c r="J364" t="s">
        <v>23</v>
      </c>
      <c r="K364" s="7">
        <v>2442</v>
      </c>
      <c r="L364" s="9">
        <v>1</v>
      </c>
      <c r="M364" t="s">
        <v>55</v>
      </c>
      <c r="N364" t="s">
        <v>56</v>
      </c>
      <c r="O364" s="27" t="str">
        <f>HYPERLINK("https://www.ncbi.nlm.nih.gov/nuccore/NC_010572.1?report=graph&amp;from=139537&amp;to=139541", "TTA_codon")</f>
        <v>TTA_codon</v>
      </c>
    </row>
    <row r="365" spans="1:15" x14ac:dyDescent="0.15">
      <c r="A365" t="s">
        <v>21</v>
      </c>
      <c r="B365">
        <v>1000242</v>
      </c>
      <c r="C365">
        <v>351783</v>
      </c>
      <c r="F365" s="7">
        <v>3</v>
      </c>
      <c r="G365" s="7" t="s">
        <v>443</v>
      </c>
      <c r="H365" s="8" t="s">
        <v>444</v>
      </c>
      <c r="J365" t="s">
        <v>23</v>
      </c>
      <c r="K365" s="7">
        <v>1719</v>
      </c>
      <c r="L365" s="9">
        <v>1</v>
      </c>
      <c r="M365" t="s">
        <v>445</v>
      </c>
      <c r="N365" t="s">
        <v>68</v>
      </c>
      <c r="O365" s="27" t="str">
        <f>HYPERLINK("https://www.ncbi.nlm.nih.gov/nuccore/NZ_BARG01000089.1?report=graph&amp;from=91198&amp;to=91808", "TTA_codon")</f>
        <v>TTA_codon</v>
      </c>
    </row>
    <row r="366" spans="1:15" x14ac:dyDescent="0.15">
      <c r="A366" t="s">
        <v>21</v>
      </c>
      <c r="B366" t="s">
        <v>446</v>
      </c>
    </row>
    <row r="367" spans="1:15" x14ac:dyDescent="0.15">
      <c r="A367" t="s">
        <v>21</v>
      </c>
      <c r="B367">
        <v>1001503</v>
      </c>
      <c r="C367">
        <v>348791</v>
      </c>
      <c r="F367" s="7">
        <v>1</v>
      </c>
      <c r="G367" s="7">
        <v>1111</v>
      </c>
      <c r="H367" s="8">
        <v>244</v>
      </c>
      <c r="J367" t="s">
        <v>23</v>
      </c>
      <c r="K367" s="7">
        <v>3381</v>
      </c>
      <c r="L367" s="9">
        <v>-1</v>
      </c>
      <c r="M367" t="s">
        <v>211</v>
      </c>
      <c r="N367" t="s">
        <v>212</v>
      </c>
      <c r="O367" s="27" t="str">
        <f>HYPERLINK("https://www.ncbi.nlm.nih.gov/nuccore/NZ_GG657754.1?report=graph&amp;from=4558058&amp;to=4558062", "TTA_codon")</f>
        <v>TTA_codon</v>
      </c>
    </row>
    <row r="368" spans="1:15" x14ac:dyDescent="0.15">
      <c r="A368" t="s">
        <v>21</v>
      </c>
      <c r="B368">
        <v>1001503</v>
      </c>
      <c r="C368">
        <v>353199</v>
      </c>
      <c r="F368" s="7">
        <v>2</v>
      </c>
      <c r="G368" s="7" t="s">
        <v>447</v>
      </c>
      <c r="H368" s="8" t="s">
        <v>448</v>
      </c>
      <c r="J368" t="s">
        <v>23</v>
      </c>
      <c r="K368" s="7">
        <v>4008</v>
      </c>
      <c r="L368" s="9">
        <v>-1</v>
      </c>
      <c r="M368" t="s">
        <v>449</v>
      </c>
      <c r="N368" t="s">
        <v>169</v>
      </c>
      <c r="O368" s="27" t="str">
        <f>HYPERLINK("https://www.ncbi.nlm.nih.gov/nuccore/NZ_JNWJ01000022.1?report=graph&amp;from=51368&amp;to=51912", "TTA_codon")</f>
        <v>TTA_codon</v>
      </c>
    </row>
    <row r="369" spans="1:15" x14ac:dyDescent="0.15">
      <c r="A369" t="s">
        <v>21</v>
      </c>
      <c r="B369">
        <v>1001503</v>
      </c>
      <c r="C369">
        <v>359048</v>
      </c>
      <c r="F369" s="7">
        <v>1</v>
      </c>
      <c r="G369" s="7">
        <v>1066</v>
      </c>
      <c r="H369" s="8">
        <v>1033</v>
      </c>
      <c r="J369" t="s">
        <v>23</v>
      </c>
      <c r="K369" s="7">
        <v>4470</v>
      </c>
      <c r="L369" s="9">
        <v>-1</v>
      </c>
      <c r="M369" t="s">
        <v>450</v>
      </c>
      <c r="N369" t="s">
        <v>451</v>
      </c>
      <c r="O369" s="27" t="str">
        <f>HYPERLINK("https://www.ncbi.nlm.nih.gov/nuccore/NZ_LIQZ01000115.1?report=graph&amp;from=30502&amp;to=30506", "TTA_codon")</f>
        <v>TTA_codon</v>
      </c>
    </row>
    <row r="370" spans="1:15" x14ac:dyDescent="0.15">
      <c r="A370" t="s">
        <v>21</v>
      </c>
      <c r="B370">
        <v>1001503</v>
      </c>
      <c r="C370">
        <v>363588</v>
      </c>
      <c r="F370" s="7">
        <v>2</v>
      </c>
      <c r="G370" s="7" t="s">
        <v>452</v>
      </c>
      <c r="H370" s="8" t="s">
        <v>453</v>
      </c>
      <c r="J370" t="s">
        <v>23</v>
      </c>
      <c r="K370" s="7">
        <v>4347</v>
      </c>
      <c r="L370" s="9">
        <v>-1</v>
      </c>
      <c r="M370" t="s">
        <v>101</v>
      </c>
      <c r="N370" t="s">
        <v>102</v>
      </c>
      <c r="O370" s="27" t="str">
        <f>HYPERLINK("https://www.ncbi.nlm.nih.gov/nuccore/NZ_CP019458.1?report=graph&amp;from=9362053&amp;to=9362216", "TTA_codon")</f>
        <v>TTA_codon</v>
      </c>
    </row>
    <row r="371" spans="1:15" x14ac:dyDescent="0.15">
      <c r="A371" t="s">
        <v>21</v>
      </c>
      <c r="B371">
        <v>1001503</v>
      </c>
      <c r="C371">
        <v>365561</v>
      </c>
      <c r="F371" s="7">
        <v>1</v>
      </c>
      <c r="G371" s="7">
        <v>781</v>
      </c>
      <c r="H371" s="8">
        <v>667</v>
      </c>
      <c r="J371" t="s">
        <v>23</v>
      </c>
      <c r="K371" s="7">
        <v>4344</v>
      </c>
      <c r="L371" s="9">
        <v>-1</v>
      </c>
      <c r="M371" t="s">
        <v>213</v>
      </c>
      <c r="N371" t="s">
        <v>214</v>
      </c>
      <c r="O371" s="27" t="str">
        <f>HYPERLINK("https://www.ncbi.nlm.nih.gov/nuccore/NZ_FNST01000002.1?report=graph&amp;from=7019146&amp;to=7019150", "TTA_codon")</f>
        <v>TTA_codon</v>
      </c>
    </row>
    <row r="372" spans="1:15" x14ac:dyDescent="0.15">
      <c r="A372" t="s">
        <v>21</v>
      </c>
      <c r="B372">
        <v>1001503</v>
      </c>
      <c r="C372">
        <v>365931</v>
      </c>
      <c r="F372" s="7">
        <v>2</v>
      </c>
      <c r="G372" s="7" t="s">
        <v>454</v>
      </c>
      <c r="H372" s="8" t="s">
        <v>455</v>
      </c>
      <c r="J372" t="s">
        <v>23</v>
      </c>
      <c r="K372" s="7">
        <v>3936</v>
      </c>
      <c r="L372" s="9">
        <v>-1</v>
      </c>
      <c r="M372" t="s">
        <v>456</v>
      </c>
      <c r="N372" t="s">
        <v>115</v>
      </c>
      <c r="O372" s="27" t="str">
        <f>HYPERLINK("https://www.ncbi.nlm.nih.gov/nuccore/NZ_FODD01000002.1?report=graph&amp;from=129988&amp;to=130031", "TTA_codon")</f>
        <v>TTA_codon</v>
      </c>
    </row>
    <row r="373" spans="1:15" x14ac:dyDescent="0.15">
      <c r="A373" t="s">
        <v>195</v>
      </c>
      <c r="B373" t="s">
        <v>457</v>
      </c>
    </row>
    <row r="374" spans="1:15" x14ac:dyDescent="0.15">
      <c r="A374" t="s">
        <v>195</v>
      </c>
      <c r="B374">
        <v>1000023</v>
      </c>
      <c r="C374">
        <v>346110</v>
      </c>
      <c r="F374" s="7">
        <v>1</v>
      </c>
      <c r="G374" s="7">
        <v>853</v>
      </c>
      <c r="H374" s="8">
        <v>697</v>
      </c>
      <c r="J374" t="s">
        <v>23</v>
      </c>
      <c r="K374" s="7">
        <v>1083</v>
      </c>
      <c r="L374" s="9">
        <v>1</v>
      </c>
      <c r="M374" t="s">
        <v>458</v>
      </c>
      <c r="N374" t="s">
        <v>315</v>
      </c>
      <c r="O374" s="27" t="str">
        <f>HYPERLINK("https://www.ncbi.nlm.nih.gov/nuccore/NC_003888.3?report=graph&amp;from=5453220&amp;to=5453224", "TTA_codon")</f>
        <v>TTA_codon</v>
      </c>
    </row>
    <row r="375" spans="1:15" x14ac:dyDescent="0.15">
      <c r="A375" t="s">
        <v>21</v>
      </c>
      <c r="B375">
        <v>1000023</v>
      </c>
      <c r="C375">
        <v>347527</v>
      </c>
      <c r="F375" s="7">
        <v>1</v>
      </c>
      <c r="G375" s="7">
        <v>322</v>
      </c>
      <c r="H375" s="8">
        <v>145</v>
      </c>
      <c r="J375" t="s">
        <v>23</v>
      </c>
      <c r="K375" s="7">
        <v>972</v>
      </c>
      <c r="L375" s="9">
        <v>1</v>
      </c>
      <c r="M375" t="s">
        <v>53</v>
      </c>
      <c r="N375" t="s">
        <v>54</v>
      </c>
      <c r="O375" s="27" t="str">
        <f>HYPERLINK("https://www.ncbi.nlm.nih.gov/nuccore/NC_003155.5?report=graph&amp;from=891435&amp;to=891439", "TTA_codon")</f>
        <v>TTA_codon</v>
      </c>
    </row>
    <row r="376" spans="1:15" x14ac:dyDescent="0.15">
      <c r="A376" t="s">
        <v>21</v>
      </c>
      <c r="B376">
        <v>1000023</v>
      </c>
      <c r="C376">
        <v>352154</v>
      </c>
      <c r="F376" s="7">
        <v>1</v>
      </c>
      <c r="G376" s="7">
        <v>418</v>
      </c>
      <c r="H376" s="8">
        <v>244</v>
      </c>
      <c r="J376" t="s">
        <v>23</v>
      </c>
      <c r="K376" s="7">
        <v>978</v>
      </c>
      <c r="L376" s="9">
        <v>1</v>
      </c>
      <c r="M376" t="s">
        <v>459</v>
      </c>
      <c r="N376" t="s">
        <v>70</v>
      </c>
      <c r="O376" s="27" t="str">
        <f>HYPERLINK("https://www.ncbi.nlm.nih.gov/nuccore/NZ_KB904636.1?report=graph&amp;from=139744&amp;to=139748", "TTA_codon")</f>
        <v>TTA_codon</v>
      </c>
    </row>
    <row r="377" spans="1:15" x14ac:dyDescent="0.15">
      <c r="A377" t="s">
        <v>21</v>
      </c>
      <c r="B377">
        <v>1000023</v>
      </c>
      <c r="C377">
        <v>355827</v>
      </c>
      <c r="F377" s="7">
        <v>1</v>
      </c>
      <c r="G377" s="7">
        <v>970</v>
      </c>
      <c r="H377" s="8">
        <v>736</v>
      </c>
      <c r="J377" t="s">
        <v>23</v>
      </c>
      <c r="K377" s="7">
        <v>957</v>
      </c>
      <c r="L377" s="9">
        <v>1</v>
      </c>
      <c r="M377" t="s">
        <v>460</v>
      </c>
      <c r="N377" t="s">
        <v>75</v>
      </c>
      <c r="O377" s="27" t="str">
        <f>HYPERLINK("https://www.ncbi.nlm.nih.gov/nuccore/NZ_JOII01000008.1?report=graph&amp;from=225843&amp;to=225847", "TTA_codon")</f>
        <v>TTA_codon</v>
      </c>
    </row>
    <row r="378" spans="1:15" x14ac:dyDescent="0.15">
      <c r="A378" t="s">
        <v>21</v>
      </c>
      <c r="B378">
        <v>1000023</v>
      </c>
      <c r="C378">
        <v>358305</v>
      </c>
      <c r="F378" s="7">
        <v>1</v>
      </c>
      <c r="G378" s="7">
        <v>931</v>
      </c>
      <c r="H378" s="8">
        <v>742</v>
      </c>
      <c r="J378" t="s">
        <v>23</v>
      </c>
      <c r="K378" s="7">
        <v>1062</v>
      </c>
      <c r="L378" s="9">
        <v>1</v>
      </c>
      <c r="M378" t="s">
        <v>461</v>
      </c>
      <c r="N378" t="s">
        <v>119</v>
      </c>
      <c r="O378" s="27" t="str">
        <f>HYPERLINK("https://www.ncbi.nlm.nih.gov/nuccore/NZ_LIPP01000397.1?report=graph&amp;from=958&amp;to=962", "TTA_codon")</f>
        <v>TTA_codon</v>
      </c>
    </row>
    <row r="379" spans="1:15" x14ac:dyDescent="0.15">
      <c r="A379" t="s">
        <v>21</v>
      </c>
      <c r="B379">
        <v>1000023</v>
      </c>
      <c r="C379">
        <v>360538</v>
      </c>
      <c r="F379" s="7">
        <v>2</v>
      </c>
      <c r="G379" s="7" t="s">
        <v>462</v>
      </c>
      <c r="H379" s="8" t="s">
        <v>463</v>
      </c>
      <c r="J379" t="s">
        <v>23</v>
      </c>
      <c r="K379" s="7">
        <v>960</v>
      </c>
      <c r="L379" s="9">
        <v>1</v>
      </c>
      <c r="M379" t="s">
        <v>121</v>
      </c>
      <c r="N379" t="s">
        <v>122</v>
      </c>
      <c r="O379" s="27" t="str">
        <f>HYPERLINK("https://www.ncbi.nlm.nih.gov/nuccore/NZ_CP016279.1?report=graph&amp;from=5030390&amp;to=5030469", "TTA_codon")</f>
        <v>TTA_codon</v>
      </c>
    </row>
    <row r="380" spans="1:15" x14ac:dyDescent="0.15">
      <c r="A380" t="s">
        <v>21</v>
      </c>
      <c r="B380">
        <v>1000023</v>
      </c>
      <c r="C380">
        <v>360583</v>
      </c>
      <c r="F380" s="7">
        <v>1</v>
      </c>
      <c r="G380" s="7">
        <v>970</v>
      </c>
      <c r="H380" s="8">
        <v>604</v>
      </c>
      <c r="J380" t="s">
        <v>23</v>
      </c>
      <c r="K380" s="7">
        <v>831</v>
      </c>
      <c r="L380" s="9">
        <v>1</v>
      </c>
      <c r="M380" t="s">
        <v>121</v>
      </c>
      <c r="N380" t="s">
        <v>122</v>
      </c>
      <c r="O380" s="27" t="str">
        <f>HYPERLINK("https://www.ncbi.nlm.nih.gov/nuccore/NZ_CP016279.1?report=graph&amp;from=4761862&amp;to=4761866", "TTA_codon")</f>
        <v>TTA_codon</v>
      </c>
    </row>
    <row r="381" spans="1:15" x14ac:dyDescent="0.15">
      <c r="A381" t="s">
        <v>21</v>
      </c>
      <c r="B381">
        <v>1000023</v>
      </c>
      <c r="C381">
        <v>361460</v>
      </c>
      <c r="F381" s="7">
        <v>1</v>
      </c>
      <c r="G381" s="7">
        <v>760</v>
      </c>
      <c r="H381" s="8">
        <v>538</v>
      </c>
      <c r="J381" t="s">
        <v>23</v>
      </c>
      <c r="K381" s="7">
        <v>936</v>
      </c>
      <c r="L381" s="9">
        <v>1</v>
      </c>
      <c r="M381" t="s">
        <v>286</v>
      </c>
      <c r="N381" t="s">
        <v>201</v>
      </c>
      <c r="O381" s="27" t="str">
        <f>HYPERLINK("https://www.ncbi.nlm.nih.gov/nuccore/NZ_CP016560.1?report=graph&amp;from=271971&amp;to=271975", "TTA_codon")</f>
        <v>TTA_codon</v>
      </c>
    </row>
    <row r="382" spans="1:15" x14ac:dyDescent="0.15">
      <c r="A382" t="s">
        <v>21</v>
      </c>
      <c r="B382">
        <v>1000023</v>
      </c>
      <c r="C382">
        <v>362072</v>
      </c>
      <c r="F382" s="7">
        <v>1</v>
      </c>
      <c r="G382" s="7">
        <v>769</v>
      </c>
      <c r="H382" s="8">
        <v>721</v>
      </c>
      <c r="J382" t="s">
        <v>23</v>
      </c>
      <c r="K382" s="7">
        <v>1152</v>
      </c>
      <c r="L382" s="9">
        <v>1</v>
      </c>
      <c r="M382" t="s">
        <v>464</v>
      </c>
      <c r="N382" t="s">
        <v>187</v>
      </c>
      <c r="O382" s="27" t="str">
        <f>HYPERLINK("https://www.ncbi.nlm.nih.gov/nuccore/NZ_MAXF01000234.1?report=graph&amp;from=5000&amp;to=5004", "TTA_codon")</f>
        <v>TTA_codon</v>
      </c>
    </row>
    <row r="383" spans="1:15" x14ac:dyDescent="0.15">
      <c r="A383" t="s">
        <v>21</v>
      </c>
      <c r="B383">
        <v>1000023</v>
      </c>
      <c r="C383">
        <v>362110</v>
      </c>
      <c r="F383" s="7">
        <v>1</v>
      </c>
      <c r="G383" s="7">
        <v>601</v>
      </c>
      <c r="H383" s="8">
        <v>322</v>
      </c>
      <c r="J383" t="s">
        <v>23</v>
      </c>
      <c r="K383" s="7">
        <v>897</v>
      </c>
      <c r="L383" s="9">
        <v>1</v>
      </c>
      <c r="M383" t="s">
        <v>465</v>
      </c>
      <c r="N383" t="s">
        <v>187</v>
      </c>
      <c r="O383" s="27" t="str">
        <f>HYPERLINK("https://www.ncbi.nlm.nih.gov/nuccore/NZ_MAXF01000023.1?report=graph&amp;from=67629&amp;to=67633", "TTA_codon")</f>
        <v>TTA_codon</v>
      </c>
    </row>
    <row r="384" spans="1:15" x14ac:dyDescent="0.15">
      <c r="A384" t="s">
        <v>21</v>
      </c>
      <c r="B384">
        <v>1000023</v>
      </c>
      <c r="C384">
        <v>362936</v>
      </c>
      <c r="F384" s="7">
        <v>1</v>
      </c>
      <c r="G384" s="7">
        <v>673</v>
      </c>
      <c r="H384" s="8">
        <v>496</v>
      </c>
      <c r="J384" t="s">
        <v>23</v>
      </c>
      <c r="K384" s="7">
        <v>1059</v>
      </c>
      <c r="L384" s="9">
        <v>1</v>
      </c>
      <c r="M384" t="s">
        <v>466</v>
      </c>
      <c r="N384" t="s">
        <v>156</v>
      </c>
      <c r="O384" s="27" t="str">
        <f>HYPERLINK("https://www.ncbi.nlm.nih.gov/nuccore/NZ_LJGW01000421.1?report=graph&amp;from=17607&amp;to=17611", "TTA_codon")</f>
        <v>TTA_codon</v>
      </c>
    </row>
    <row r="385" spans="1:15" x14ac:dyDescent="0.15">
      <c r="A385" t="s">
        <v>21</v>
      </c>
      <c r="B385">
        <v>1000023</v>
      </c>
      <c r="C385">
        <v>363894</v>
      </c>
      <c r="F385" s="7">
        <v>1</v>
      </c>
      <c r="G385" s="7">
        <v>886</v>
      </c>
      <c r="H385" s="8">
        <v>667</v>
      </c>
      <c r="J385" t="s">
        <v>23</v>
      </c>
      <c r="K385" s="7">
        <v>978</v>
      </c>
      <c r="L385" s="9">
        <v>1</v>
      </c>
      <c r="M385" t="s">
        <v>101</v>
      </c>
      <c r="N385" t="s">
        <v>102</v>
      </c>
      <c r="O385" s="27" t="str">
        <f>HYPERLINK("https://www.ncbi.nlm.nih.gov/nuccore/NZ_CP019458.1?report=graph&amp;from=4496475&amp;to=4496479", "TTA_codon")</f>
        <v>TTA_codon</v>
      </c>
    </row>
    <row r="386" spans="1:15" x14ac:dyDescent="0.15">
      <c r="A386" t="s">
        <v>21</v>
      </c>
      <c r="B386">
        <v>1000023</v>
      </c>
      <c r="C386">
        <v>365726</v>
      </c>
      <c r="F386" s="7">
        <v>1</v>
      </c>
      <c r="G386" s="7">
        <v>886</v>
      </c>
      <c r="H386" s="8">
        <v>667</v>
      </c>
      <c r="J386" t="s">
        <v>23</v>
      </c>
      <c r="K386" s="7">
        <v>978</v>
      </c>
      <c r="L386" s="9">
        <v>1</v>
      </c>
      <c r="M386" t="s">
        <v>213</v>
      </c>
      <c r="N386" t="s">
        <v>214</v>
      </c>
      <c r="O386" s="27" t="str">
        <f>HYPERLINK("https://www.ncbi.nlm.nih.gov/nuccore/NZ_FNST01000002.1?report=graph&amp;from=2069269&amp;to=2069273", "TTA_codon")</f>
        <v>TTA_codon</v>
      </c>
    </row>
    <row r="387" spans="1:15" x14ac:dyDescent="0.15">
      <c r="A387" t="s">
        <v>21</v>
      </c>
      <c r="B387" t="s">
        <v>467</v>
      </c>
    </row>
    <row r="388" spans="1:15" x14ac:dyDescent="0.15">
      <c r="A388" t="s">
        <v>21</v>
      </c>
      <c r="B388">
        <v>1000752</v>
      </c>
      <c r="C388">
        <v>351477</v>
      </c>
      <c r="F388" s="7">
        <v>1</v>
      </c>
      <c r="G388" s="7">
        <v>55</v>
      </c>
      <c r="H388" s="8">
        <v>55</v>
      </c>
      <c r="J388" t="s">
        <v>23</v>
      </c>
      <c r="K388" s="7">
        <v>627</v>
      </c>
      <c r="L388" s="9">
        <v>1</v>
      </c>
      <c r="M388" t="s">
        <v>65</v>
      </c>
      <c r="N388" t="s">
        <v>66</v>
      </c>
      <c r="O388" s="27" t="str">
        <f>HYPERLINK("https://www.ncbi.nlm.nih.gov/nuccore/NC_020504.1?report=graph&amp;from=7287787&amp;to=7287791", "TTA_codon")</f>
        <v>TTA_codon</v>
      </c>
    </row>
    <row r="389" spans="1:15" x14ac:dyDescent="0.15">
      <c r="A389" t="s">
        <v>21</v>
      </c>
      <c r="B389">
        <v>1000752</v>
      </c>
      <c r="C389">
        <v>356083</v>
      </c>
      <c r="F389" s="7">
        <v>1</v>
      </c>
      <c r="G389" s="7">
        <v>55</v>
      </c>
      <c r="H389" s="8">
        <v>55</v>
      </c>
      <c r="J389" t="s">
        <v>23</v>
      </c>
      <c r="K389" s="7">
        <v>675</v>
      </c>
      <c r="L389" s="9">
        <v>1</v>
      </c>
      <c r="M389" t="s">
        <v>468</v>
      </c>
      <c r="N389" t="s">
        <v>146</v>
      </c>
      <c r="O389" s="27" t="str">
        <f>HYPERLINK("https://www.ncbi.nlm.nih.gov/nuccore/NZ_JOFH01000002.1?report=graph&amp;from=313472&amp;to=313476", "TTA_codon")</f>
        <v>TTA_codon</v>
      </c>
    </row>
    <row r="390" spans="1:15" x14ac:dyDescent="0.15">
      <c r="A390" t="s">
        <v>21</v>
      </c>
      <c r="B390">
        <v>1000752</v>
      </c>
      <c r="C390">
        <v>363514</v>
      </c>
      <c r="F390" s="7">
        <v>1</v>
      </c>
      <c r="G390" s="7">
        <v>55</v>
      </c>
      <c r="H390" s="8">
        <v>55</v>
      </c>
      <c r="J390" t="s">
        <v>23</v>
      </c>
      <c r="K390" s="7">
        <v>669</v>
      </c>
      <c r="L390" s="9">
        <v>1</v>
      </c>
      <c r="M390" t="s">
        <v>157</v>
      </c>
      <c r="N390" t="s">
        <v>158</v>
      </c>
      <c r="O390" s="27" t="str">
        <f>HYPERLINK("https://www.ncbi.nlm.nih.gov/nuccore/NZ_CP015588.1?report=graph&amp;from=6409700&amp;to=6409704", "TTA_codon")</f>
        <v>TTA_codon</v>
      </c>
    </row>
    <row r="391" spans="1:15" x14ac:dyDescent="0.15">
      <c r="A391" t="s">
        <v>21</v>
      </c>
      <c r="B391" t="s">
        <v>469</v>
      </c>
    </row>
    <row r="392" spans="1:15" x14ac:dyDescent="0.15">
      <c r="A392" t="s">
        <v>21</v>
      </c>
      <c r="B392">
        <v>1001159</v>
      </c>
      <c r="C392">
        <v>356312</v>
      </c>
      <c r="F392" s="7">
        <v>1</v>
      </c>
      <c r="G392" s="7">
        <v>337</v>
      </c>
      <c r="H392" s="8">
        <v>337</v>
      </c>
      <c r="J392" t="s">
        <v>23</v>
      </c>
      <c r="K392" s="7">
        <v>507</v>
      </c>
      <c r="L392" s="9">
        <v>1</v>
      </c>
      <c r="M392" t="s">
        <v>470</v>
      </c>
      <c r="N392" t="s">
        <v>77</v>
      </c>
      <c r="O392" s="27" t="str">
        <f>HYPERLINK("https://www.ncbi.nlm.nih.gov/nuccore/NZ_JNXD01000006.1?report=graph&amp;from=271849&amp;to=271853", "TTA_codon")</f>
        <v>TTA_codon</v>
      </c>
    </row>
    <row r="393" spans="1:15" x14ac:dyDescent="0.15">
      <c r="A393" t="s">
        <v>21</v>
      </c>
      <c r="B393">
        <v>1001159</v>
      </c>
      <c r="C393">
        <v>356942</v>
      </c>
      <c r="F393" s="7">
        <v>1</v>
      </c>
      <c r="G393" s="7">
        <v>337</v>
      </c>
      <c r="H393" s="8">
        <v>322</v>
      </c>
      <c r="J393" t="s">
        <v>23</v>
      </c>
      <c r="K393" s="7">
        <v>504</v>
      </c>
      <c r="L393" s="9">
        <v>1</v>
      </c>
      <c r="M393" t="s">
        <v>78</v>
      </c>
      <c r="N393" t="s">
        <v>79</v>
      </c>
      <c r="O393" s="27" t="str">
        <f>HYPERLINK("https://www.ncbi.nlm.nih.gov/nuccore/NZ_CP009313.1?report=graph&amp;from=7612992&amp;to=7612996", "TTA_codon")</f>
        <v>TTA_codon</v>
      </c>
    </row>
    <row r="394" spans="1:15" x14ac:dyDescent="0.15">
      <c r="A394" t="s">
        <v>21</v>
      </c>
      <c r="B394" t="s">
        <v>471</v>
      </c>
    </row>
    <row r="395" spans="1:15" x14ac:dyDescent="0.15">
      <c r="A395" t="s">
        <v>21</v>
      </c>
      <c r="B395">
        <v>1000878</v>
      </c>
      <c r="C395">
        <v>352745</v>
      </c>
      <c r="F395" s="7">
        <v>1</v>
      </c>
      <c r="G395" s="7">
        <v>406</v>
      </c>
      <c r="H395" s="8">
        <v>403</v>
      </c>
      <c r="J395" t="s">
        <v>23</v>
      </c>
      <c r="K395" s="7">
        <v>1200</v>
      </c>
      <c r="L395" s="9">
        <v>-1</v>
      </c>
      <c r="M395" t="s">
        <v>472</v>
      </c>
      <c r="N395" t="s">
        <v>473</v>
      </c>
      <c r="O395" s="27" t="str">
        <f>HYPERLINK("https://www.ncbi.nlm.nih.gov/nuccore/NZ_ASHX02000001.1?report=graph&amp;from=4256826&amp;to=4256830", "TTA_codon")</f>
        <v>TTA_codon</v>
      </c>
    </row>
    <row r="396" spans="1:15" x14ac:dyDescent="0.15">
      <c r="A396" t="s">
        <v>21</v>
      </c>
      <c r="B396">
        <v>1000878</v>
      </c>
      <c r="C396">
        <v>353563</v>
      </c>
      <c r="F396" s="7">
        <v>1</v>
      </c>
      <c r="G396" s="7">
        <v>331</v>
      </c>
      <c r="H396" s="8">
        <v>268</v>
      </c>
      <c r="J396" t="s">
        <v>23</v>
      </c>
      <c r="K396" s="7">
        <v>921</v>
      </c>
      <c r="L396" s="9">
        <v>-1</v>
      </c>
      <c r="M396" t="s">
        <v>474</v>
      </c>
      <c r="N396" t="s">
        <v>140</v>
      </c>
      <c r="O396" s="27" t="str">
        <f>HYPERLINK("https://www.ncbi.nlm.nih.gov/nuccore/NZ_JNXG01000012.1?report=graph&amp;from=74814&amp;to=74818", "TTA_codon")</f>
        <v>TTA_codon</v>
      </c>
    </row>
    <row r="397" spans="1:15" x14ac:dyDescent="0.15">
      <c r="A397" t="s">
        <v>21</v>
      </c>
      <c r="B397" t="s">
        <v>475</v>
      </c>
    </row>
    <row r="398" spans="1:15" x14ac:dyDescent="0.15">
      <c r="A398" t="s">
        <v>21</v>
      </c>
      <c r="B398">
        <v>1000520</v>
      </c>
      <c r="C398">
        <v>349491</v>
      </c>
      <c r="F398" s="7">
        <v>1</v>
      </c>
      <c r="G398" s="7">
        <v>265</v>
      </c>
      <c r="H398" s="8">
        <v>256</v>
      </c>
      <c r="J398" t="s">
        <v>23</v>
      </c>
      <c r="K398" s="7">
        <v>1422</v>
      </c>
      <c r="L398" s="9">
        <v>1</v>
      </c>
      <c r="M398" t="s">
        <v>476</v>
      </c>
      <c r="N398" t="s">
        <v>64</v>
      </c>
      <c r="O398" s="27" t="str">
        <f>HYPERLINK("https://www.ncbi.nlm.nih.gov/nuccore/NZ_AEYX01000027.1?report=graph&amp;from=116178&amp;to=116182", "TTA_codon")</f>
        <v>TTA_codon</v>
      </c>
    </row>
    <row r="399" spans="1:15" x14ac:dyDescent="0.15">
      <c r="A399" t="s">
        <v>21</v>
      </c>
      <c r="B399">
        <v>1000520</v>
      </c>
      <c r="C399">
        <v>351563</v>
      </c>
      <c r="F399" s="7">
        <v>1</v>
      </c>
      <c r="G399" s="7">
        <v>214</v>
      </c>
      <c r="H399" s="8">
        <v>193</v>
      </c>
      <c r="J399" t="s">
        <v>23</v>
      </c>
      <c r="K399" s="7">
        <v>1512</v>
      </c>
      <c r="L399" s="9">
        <v>1</v>
      </c>
      <c r="M399" t="s">
        <v>477</v>
      </c>
      <c r="N399" t="s">
        <v>138</v>
      </c>
      <c r="O399" s="27" t="str">
        <f>HYPERLINK("https://www.ncbi.nlm.nih.gov/nuccore/NZ_KB889670.1?report=graph&amp;from=40377&amp;to=40381", "TTA_codon")</f>
        <v>TTA_codon</v>
      </c>
    </row>
    <row r="400" spans="1:15" x14ac:dyDescent="0.15">
      <c r="A400" t="s">
        <v>21</v>
      </c>
      <c r="B400" t="s">
        <v>478</v>
      </c>
    </row>
    <row r="401" spans="1:15" x14ac:dyDescent="0.15">
      <c r="A401" t="s">
        <v>21</v>
      </c>
      <c r="B401">
        <v>1000522</v>
      </c>
      <c r="C401">
        <v>349540</v>
      </c>
      <c r="F401" s="7">
        <v>1</v>
      </c>
      <c r="G401" s="7">
        <v>775</v>
      </c>
      <c r="H401" s="8">
        <v>775</v>
      </c>
      <c r="J401" t="s">
        <v>23</v>
      </c>
      <c r="K401" s="7">
        <v>1134</v>
      </c>
      <c r="L401" s="9">
        <v>-1</v>
      </c>
      <c r="M401" t="s">
        <v>479</v>
      </c>
      <c r="N401" t="s">
        <v>64</v>
      </c>
      <c r="O401" s="27" t="str">
        <f>HYPERLINK("https://www.ncbi.nlm.nih.gov/nuccore/NZ_AEYX01000001.1?report=graph&amp;from=80810&amp;to=80814", "TTA_codon")</f>
        <v>TTA_codon</v>
      </c>
    </row>
    <row r="402" spans="1:15" x14ac:dyDescent="0.15">
      <c r="A402" t="s">
        <v>21</v>
      </c>
      <c r="B402">
        <v>1000522</v>
      </c>
      <c r="C402">
        <v>356780</v>
      </c>
      <c r="F402" s="7">
        <v>1</v>
      </c>
      <c r="G402" s="7">
        <v>802</v>
      </c>
      <c r="H402" s="8">
        <v>718</v>
      </c>
      <c r="J402" t="s">
        <v>23</v>
      </c>
      <c r="K402" s="7">
        <v>942</v>
      </c>
      <c r="L402" s="9">
        <v>-1</v>
      </c>
      <c r="M402" t="s">
        <v>147</v>
      </c>
      <c r="N402" t="s">
        <v>148</v>
      </c>
      <c r="O402" s="27" t="str">
        <f>HYPERLINK("https://www.ncbi.nlm.nih.gov/nuccore/NZ_CP021080.1?report=graph&amp;from=7146873&amp;to=7146877", "TTA_codon")</f>
        <v>TTA_codon</v>
      </c>
    </row>
    <row r="403" spans="1:15" x14ac:dyDescent="0.15">
      <c r="A403" t="s">
        <v>21</v>
      </c>
      <c r="B403">
        <v>1000522</v>
      </c>
      <c r="C403">
        <v>359160</v>
      </c>
      <c r="F403" s="7">
        <v>2</v>
      </c>
      <c r="G403" s="7" t="s">
        <v>480</v>
      </c>
      <c r="H403" s="8" t="s">
        <v>481</v>
      </c>
      <c r="J403" t="s">
        <v>23</v>
      </c>
      <c r="K403" s="7">
        <v>1023</v>
      </c>
      <c r="L403" s="9">
        <v>-1</v>
      </c>
      <c r="M403" t="s">
        <v>482</v>
      </c>
      <c r="N403" t="s">
        <v>451</v>
      </c>
      <c r="O403" s="27" t="str">
        <f>HYPERLINK("https://www.ncbi.nlm.nih.gov/nuccore/NZ_LIQZ01000314.1?report=graph&amp;from=7639&amp;to=8279", "TTA_codon")</f>
        <v>TTA_codon</v>
      </c>
    </row>
    <row r="404" spans="1:15" x14ac:dyDescent="0.15">
      <c r="A404" t="s">
        <v>21</v>
      </c>
      <c r="B404" t="s">
        <v>483</v>
      </c>
    </row>
    <row r="405" spans="1:15" x14ac:dyDescent="0.15">
      <c r="A405" t="s">
        <v>21</v>
      </c>
      <c r="B405">
        <v>1001192</v>
      </c>
      <c r="C405">
        <v>356771</v>
      </c>
      <c r="F405" s="7">
        <v>1</v>
      </c>
      <c r="G405" s="7">
        <v>139</v>
      </c>
      <c r="H405" s="8">
        <v>139</v>
      </c>
      <c r="J405" t="s">
        <v>23</v>
      </c>
      <c r="K405" s="7">
        <v>768</v>
      </c>
      <c r="L405" s="9">
        <v>-1</v>
      </c>
      <c r="M405" t="s">
        <v>147</v>
      </c>
      <c r="N405" t="s">
        <v>148</v>
      </c>
      <c r="O405" s="27" t="str">
        <f>HYPERLINK("https://www.ncbi.nlm.nih.gov/nuccore/NZ_CP021080.1?report=graph&amp;from=6101947&amp;to=6101951", "TTA_codon")</f>
        <v>TTA_codon</v>
      </c>
    </row>
    <row r="406" spans="1:15" x14ac:dyDescent="0.15">
      <c r="A406" t="s">
        <v>21</v>
      </c>
      <c r="B406">
        <v>1001192</v>
      </c>
      <c r="C406">
        <v>356986</v>
      </c>
      <c r="F406" s="7">
        <v>1</v>
      </c>
      <c r="G406" s="7">
        <v>73</v>
      </c>
      <c r="H406" s="8">
        <v>73</v>
      </c>
      <c r="J406" t="s">
        <v>23</v>
      </c>
      <c r="K406" s="7">
        <v>774</v>
      </c>
      <c r="L406" s="9">
        <v>-1</v>
      </c>
      <c r="M406" t="s">
        <v>78</v>
      </c>
      <c r="N406" t="s">
        <v>79</v>
      </c>
      <c r="O406" s="27" t="str">
        <f>HYPERLINK("https://www.ncbi.nlm.nih.gov/nuccore/NZ_CP009313.1?report=graph&amp;from=5863564&amp;to=5863568", "TTA_codon")</f>
        <v>TTA_codon</v>
      </c>
    </row>
    <row r="407" spans="1:15" x14ac:dyDescent="0.15">
      <c r="A407" t="s">
        <v>21</v>
      </c>
      <c r="B407" t="s">
        <v>484</v>
      </c>
    </row>
    <row r="408" spans="1:15" x14ac:dyDescent="0.15">
      <c r="A408" t="s">
        <v>21</v>
      </c>
      <c r="B408">
        <v>1000396</v>
      </c>
      <c r="C408">
        <v>348477</v>
      </c>
      <c r="F408" s="7">
        <v>1</v>
      </c>
      <c r="G408" s="7">
        <v>253</v>
      </c>
      <c r="H408" s="8">
        <v>112</v>
      </c>
      <c r="J408" t="s">
        <v>23</v>
      </c>
      <c r="K408" s="7">
        <v>1362</v>
      </c>
      <c r="L408" s="9">
        <v>1</v>
      </c>
      <c r="M408" t="s">
        <v>61</v>
      </c>
      <c r="N408" t="s">
        <v>62</v>
      </c>
      <c r="O408" s="27" t="str">
        <f>HYPERLINK("https://www.ncbi.nlm.nih.gov/nuccore/NZ_DS999641.1?report=graph&amp;from=4508241&amp;to=4508245", "TTA_codon")</f>
        <v>TTA_codon</v>
      </c>
    </row>
    <row r="409" spans="1:15" x14ac:dyDescent="0.15">
      <c r="A409" t="s">
        <v>21</v>
      </c>
      <c r="B409">
        <v>1000396</v>
      </c>
      <c r="C409">
        <v>349289</v>
      </c>
      <c r="F409" s="7">
        <v>1</v>
      </c>
      <c r="G409" s="7">
        <v>598</v>
      </c>
      <c r="H409" s="8">
        <v>451</v>
      </c>
      <c r="J409" t="s">
        <v>23</v>
      </c>
      <c r="K409" s="7">
        <v>1287</v>
      </c>
      <c r="L409" s="9">
        <v>1</v>
      </c>
      <c r="M409" t="s">
        <v>458</v>
      </c>
      <c r="N409" t="s">
        <v>315</v>
      </c>
      <c r="O409" s="27" t="str">
        <f>HYPERLINK("https://www.ncbi.nlm.nih.gov/nuccore/NC_003888.3?report=graph&amp;from=4329319&amp;to=4329323", "TTA_codon")</f>
        <v>TTA_codon</v>
      </c>
    </row>
    <row r="410" spans="1:15" x14ac:dyDescent="0.15">
      <c r="A410" t="s">
        <v>21</v>
      </c>
      <c r="B410">
        <v>1000396</v>
      </c>
      <c r="C410">
        <v>349443</v>
      </c>
      <c r="F410" s="7">
        <v>1</v>
      </c>
      <c r="G410" s="7">
        <v>598</v>
      </c>
      <c r="H410" s="8">
        <v>451</v>
      </c>
      <c r="J410" t="s">
        <v>23</v>
      </c>
      <c r="K410" s="7">
        <v>1287</v>
      </c>
      <c r="L410" s="9">
        <v>1</v>
      </c>
      <c r="M410" t="s">
        <v>485</v>
      </c>
      <c r="N410" t="s">
        <v>64</v>
      </c>
      <c r="O410" s="27" t="str">
        <f>HYPERLINK("https://www.ncbi.nlm.nih.gov/nuccore/NZ_AEYX01000002.1?report=graph&amp;from=85673&amp;to=85677", "TTA_codon")</f>
        <v>TTA_codon</v>
      </c>
    </row>
    <row r="411" spans="1:15" x14ac:dyDescent="0.15">
      <c r="A411" t="s">
        <v>21</v>
      </c>
      <c r="B411">
        <v>1000396</v>
      </c>
      <c r="C411">
        <v>350228</v>
      </c>
      <c r="F411" s="7">
        <v>1</v>
      </c>
      <c r="G411" s="7">
        <v>277</v>
      </c>
      <c r="H411" s="8">
        <v>118</v>
      </c>
      <c r="J411" t="s">
        <v>23</v>
      </c>
      <c r="K411" s="7">
        <v>1341</v>
      </c>
      <c r="L411" s="9">
        <v>1</v>
      </c>
      <c r="M411" t="s">
        <v>35</v>
      </c>
      <c r="N411" t="s">
        <v>36</v>
      </c>
      <c r="O411" s="27" t="str">
        <f>HYPERLINK("https://www.ncbi.nlm.nih.gov/nuccore/NZ_JH725387.1?report=graph&amp;from=3409550&amp;to=3409554", "TTA_codon")</f>
        <v>TTA_codon</v>
      </c>
    </row>
    <row r="412" spans="1:15" x14ac:dyDescent="0.15">
      <c r="A412" t="s">
        <v>21</v>
      </c>
      <c r="B412">
        <v>1000396</v>
      </c>
      <c r="C412">
        <v>350467</v>
      </c>
      <c r="F412" s="7">
        <v>1</v>
      </c>
      <c r="G412" s="7">
        <v>430</v>
      </c>
      <c r="H412" s="8">
        <v>286</v>
      </c>
      <c r="J412" t="s">
        <v>23</v>
      </c>
      <c r="K412" s="7">
        <v>1311</v>
      </c>
      <c r="L412" s="9">
        <v>1</v>
      </c>
      <c r="M412" t="s">
        <v>486</v>
      </c>
      <c r="N412" t="s">
        <v>134</v>
      </c>
      <c r="O412" s="27" t="str">
        <f>HYPERLINK("https://www.ncbi.nlm.nih.gov/nuccore/NZ_AJSZ01000496.1?report=graph&amp;from=5632&amp;to=5636", "TTA_codon")</f>
        <v>TTA_codon</v>
      </c>
    </row>
    <row r="413" spans="1:15" x14ac:dyDescent="0.15">
      <c r="A413" t="s">
        <v>21</v>
      </c>
      <c r="B413">
        <v>1000396</v>
      </c>
      <c r="C413">
        <v>352735</v>
      </c>
      <c r="F413" s="7">
        <v>1</v>
      </c>
      <c r="G413" s="7">
        <v>658</v>
      </c>
      <c r="H413" s="8">
        <v>493</v>
      </c>
      <c r="J413" t="s">
        <v>23</v>
      </c>
      <c r="K413" s="7">
        <v>1362</v>
      </c>
      <c r="L413" s="9">
        <v>1</v>
      </c>
      <c r="M413" t="s">
        <v>472</v>
      </c>
      <c r="N413" t="s">
        <v>473</v>
      </c>
      <c r="O413" s="27" t="str">
        <f>HYPERLINK("https://www.ncbi.nlm.nih.gov/nuccore/NZ_ASHX02000001.1?report=graph&amp;from=3750782&amp;to=3750786", "TTA_codon")</f>
        <v>TTA_codon</v>
      </c>
    </row>
    <row r="414" spans="1:15" x14ac:dyDescent="0.15">
      <c r="A414" t="s">
        <v>21</v>
      </c>
      <c r="B414">
        <v>1000396</v>
      </c>
      <c r="C414">
        <v>352736</v>
      </c>
      <c r="F414" s="7">
        <v>1</v>
      </c>
      <c r="G414" s="7">
        <v>181</v>
      </c>
      <c r="H414" s="8">
        <v>40</v>
      </c>
      <c r="J414" t="s">
        <v>23</v>
      </c>
      <c r="K414" s="7">
        <v>1341</v>
      </c>
      <c r="L414" s="9">
        <v>1</v>
      </c>
      <c r="M414" t="s">
        <v>472</v>
      </c>
      <c r="N414" t="s">
        <v>473</v>
      </c>
      <c r="O414" s="27" t="str">
        <f>HYPERLINK("https://www.ncbi.nlm.nih.gov/nuccore/NZ_ASHX02000001.1?report=graph&amp;from=3346345&amp;to=3346349", "TTA_codon")</f>
        <v>TTA_codon</v>
      </c>
    </row>
    <row r="415" spans="1:15" x14ac:dyDescent="0.15">
      <c r="A415" t="s">
        <v>21</v>
      </c>
      <c r="B415">
        <v>1000396</v>
      </c>
      <c r="C415">
        <v>353695</v>
      </c>
      <c r="F415" s="7">
        <v>1</v>
      </c>
      <c r="G415" s="7">
        <v>430</v>
      </c>
      <c r="H415" s="8">
        <v>283</v>
      </c>
      <c r="J415" t="s">
        <v>23</v>
      </c>
      <c r="K415" s="7">
        <v>1362</v>
      </c>
      <c r="L415" s="9">
        <v>1</v>
      </c>
      <c r="M415" t="s">
        <v>437</v>
      </c>
      <c r="N415" t="s">
        <v>246</v>
      </c>
      <c r="O415" s="27" t="str">
        <f>HYPERLINK("https://www.ncbi.nlm.nih.gov/nuccore/NZ_JNYR01000021.1?report=graph&amp;from=126222&amp;to=126226", "TTA_codon")</f>
        <v>TTA_codon</v>
      </c>
    </row>
    <row r="416" spans="1:15" x14ac:dyDescent="0.15">
      <c r="A416" t="s">
        <v>21</v>
      </c>
      <c r="B416">
        <v>1000396</v>
      </c>
      <c r="C416">
        <v>354264</v>
      </c>
      <c r="F416" s="7">
        <v>2</v>
      </c>
      <c r="G416" s="7" t="s">
        <v>487</v>
      </c>
      <c r="H416" s="8" t="s">
        <v>488</v>
      </c>
      <c r="J416" t="s">
        <v>23</v>
      </c>
      <c r="K416" s="7">
        <v>1338</v>
      </c>
      <c r="L416" s="9">
        <v>1</v>
      </c>
      <c r="M416" t="s">
        <v>489</v>
      </c>
      <c r="N416" t="s">
        <v>142</v>
      </c>
      <c r="O416" s="27" t="str">
        <f>HYPERLINK("https://www.ncbi.nlm.nih.gov/nuccore/NZ_JOEI01000003.1?report=graph&amp;from=75104&amp;to=76197", "TTA_codon")</f>
        <v>TTA_codon</v>
      </c>
    </row>
    <row r="417" spans="1:15" x14ac:dyDescent="0.15">
      <c r="A417" t="s">
        <v>21</v>
      </c>
      <c r="B417">
        <v>1000396</v>
      </c>
      <c r="C417">
        <v>354796</v>
      </c>
      <c r="F417" s="7">
        <v>1</v>
      </c>
      <c r="G417" s="7">
        <v>181</v>
      </c>
      <c r="H417" s="8">
        <v>40</v>
      </c>
      <c r="J417" t="s">
        <v>23</v>
      </c>
      <c r="K417" s="7">
        <v>1326</v>
      </c>
      <c r="L417" s="9">
        <v>1</v>
      </c>
      <c r="M417" t="s">
        <v>490</v>
      </c>
      <c r="N417" t="s">
        <v>25</v>
      </c>
      <c r="O417" s="27" t="str">
        <f>HYPERLINK("https://www.ncbi.nlm.nih.gov/nuccore/NZ_JOFU01000051.1?report=graph&amp;from=39797&amp;to=39801", "TTA_codon")</f>
        <v>TTA_codon</v>
      </c>
    </row>
    <row r="418" spans="1:15" x14ac:dyDescent="0.15">
      <c r="A418" t="s">
        <v>21</v>
      </c>
      <c r="B418">
        <v>1000396</v>
      </c>
      <c r="C418">
        <v>356332</v>
      </c>
      <c r="F418" s="7">
        <v>1</v>
      </c>
      <c r="G418" s="7">
        <v>181</v>
      </c>
      <c r="H418" s="8">
        <v>40</v>
      </c>
      <c r="J418" t="s">
        <v>23</v>
      </c>
      <c r="K418" s="7">
        <v>1335</v>
      </c>
      <c r="L418" s="9">
        <v>1</v>
      </c>
      <c r="M418" t="s">
        <v>491</v>
      </c>
      <c r="N418" t="s">
        <v>354</v>
      </c>
      <c r="O418" s="27" t="str">
        <f>HYPERLINK("https://www.ncbi.nlm.nih.gov/nuccore/NZ_JQJU01000031.1?report=graph&amp;from=13046&amp;to=13050", "TTA_codon")</f>
        <v>TTA_codon</v>
      </c>
    </row>
    <row r="419" spans="1:15" x14ac:dyDescent="0.15">
      <c r="A419" t="s">
        <v>21</v>
      </c>
      <c r="B419">
        <v>1000396</v>
      </c>
      <c r="C419">
        <v>357245</v>
      </c>
      <c r="F419" s="7">
        <v>1</v>
      </c>
      <c r="G419" s="7">
        <v>244</v>
      </c>
      <c r="H419" s="8">
        <v>232</v>
      </c>
      <c r="J419" t="s">
        <v>23</v>
      </c>
      <c r="K419" s="7">
        <v>1401</v>
      </c>
      <c r="L419" s="9">
        <v>1</v>
      </c>
      <c r="M419" t="s">
        <v>250</v>
      </c>
      <c r="N419" t="s">
        <v>251</v>
      </c>
      <c r="O419" s="27" t="str">
        <f>HYPERLINK("https://www.ncbi.nlm.nih.gov/nuccore/NZ_CP009922.2?report=graph&amp;from=4396029&amp;to=4396033", "TTA_codon")</f>
        <v>TTA_codon</v>
      </c>
    </row>
    <row r="420" spans="1:15" x14ac:dyDescent="0.15">
      <c r="A420" t="s">
        <v>21</v>
      </c>
      <c r="B420">
        <v>1000396</v>
      </c>
      <c r="C420">
        <v>357521</v>
      </c>
      <c r="F420" s="7">
        <v>1</v>
      </c>
      <c r="G420" s="7">
        <v>181</v>
      </c>
      <c r="H420" s="8">
        <v>40</v>
      </c>
      <c r="J420" t="s">
        <v>23</v>
      </c>
      <c r="K420" s="7">
        <v>1326</v>
      </c>
      <c r="L420" s="9">
        <v>1</v>
      </c>
      <c r="M420" t="s">
        <v>492</v>
      </c>
      <c r="N420" t="s">
        <v>378</v>
      </c>
      <c r="O420" s="27" t="str">
        <f>HYPERLINK("https://www.ncbi.nlm.nih.gov/nuccore/NZ_LFXA01000018.1?report=graph&amp;from=313411&amp;to=313415", "TTA_codon")</f>
        <v>TTA_codon</v>
      </c>
    </row>
    <row r="421" spans="1:15" x14ac:dyDescent="0.15">
      <c r="A421" t="s">
        <v>21</v>
      </c>
      <c r="B421">
        <v>1000396</v>
      </c>
      <c r="C421">
        <v>357665</v>
      </c>
      <c r="F421" s="7">
        <v>1</v>
      </c>
      <c r="G421" s="7">
        <v>181</v>
      </c>
      <c r="H421" s="8">
        <v>40</v>
      </c>
      <c r="J421" t="s">
        <v>23</v>
      </c>
      <c r="K421" s="7">
        <v>1326</v>
      </c>
      <c r="L421" s="9">
        <v>1</v>
      </c>
      <c r="M421" t="s">
        <v>493</v>
      </c>
      <c r="N421" t="s">
        <v>83</v>
      </c>
      <c r="O421" s="27" t="str">
        <f>HYPERLINK("https://www.ncbi.nlm.nih.gov/nuccore/NZ_DF968260.1?report=graph&amp;from=2850&amp;to=2854", "TTA_codon")</f>
        <v>TTA_codon</v>
      </c>
    </row>
    <row r="422" spans="1:15" x14ac:dyDescent="0.15">
      <c r="A422" t="s">
        <v>21</v>
      </c>
      <c r="B422">
        <v>1000396</v>
      </c>
      <c r="C422">
        <v>358048</v>
      </c>
      <c r="F422" s="7">
        <v>1</v>
      </c>
      <c r="G422" s="7">
        <v>451</v>
      </c>
      <c r="H422" s="8">
        <v>343</v>
      </c>
      <c r="J422" t="s">
        <v>23</v>
      </c>
      <c r="K422" s="7">
        <v>1305</v>
      </c>
      <c r="L422" s="9">
        <v>1</v>
      </c>
      <c r="M422" t="s">
        <v>494</v>
      </c>
      <c r="N422" t="s">
        <v>119</v>
      </c>
      <c r="O422" s="27" t="str">
        <f>HYPERLINK("https://www.ncbi.nlm.nih.gov/nuccore/NZ_LIPP01000162.1?report=graph&amp;from=23479&amp;to=23483", "TTA_codon")</f>
        <v>TTA_codon</v>
      </c>
    </row>
    <row r="423" spans="1:15" x14ac:dyDescent="0.15">
      <c r="A423" t="s">
        <v>21</v>
      </c>
      <c r="B423">
        <v>1000396</v>
      </c>
      <c r="C423">
        <v>359004</v>
      </c>
      <c r="F423" s="7">
        <v>1</v>
      </c>
      <c r="G423" s="7">
        <v>181</v>
      </c>
      <c r="H423" s="8">
        <v>40</v>
      </c>
      <c r="J423" t="s">
        <v>23</v>
      </c>
      <c r="K423" s="7">
        <v>1326</v>
      </c>
      <c r="L423" s="9">
        <v>1</v>
      </c>
      <c r="M423" t="s">
        <v>495</v>
      </c>
      <c r="N423" t="s">
        <v>451</v>
      </c>
      <c r="O423" s="27" t="str">
        <f>HYPERLINK("https://www.ncbi.nlm.nih.gov/nuccore/NZ_LIQZ01000099.1?report=graph&amp;from=10399&amp;to=10403", "TTA_codon")</f>
        <v>TTA_codon</v>
      </c>
    </row>
    <row r="424" spans="1:15" x14ac:dyDescent="0.15">
      <c r="A424" t="s">
        <v>21</v>
      </c>
      <c r="B424">
        <v>1000396</v>
      </c>
      <c r="C424">
        <v>360000</v>
      </c>
      <c r="F424" s="7">
        <v>1</v>
      </c>
      <c r="G424" s="7">
        <v>598</v>
      </c>
      <c r="H424" s="8">
        <v>451</v>
      </c>
      <c r="J424" t="s">
        <v>23</v>
      </c>
      <c r="K424" s="7">
        <v>1287</v>
      </c>
      <c r="L424" s="9">
        <v>1</v>
      </c>
      <c r="M424" t="s">
        <v>496</v>
      </c>
      <c r="N424" t="s">
        <v>125</v>
      </c>
      <c r="O424" s="27" t="str">
        <f>HYPERLINK("https://www.ncbi.nlm.nih.gov/nuccore/NZ_KQ948454.1?report=graph&amp;from=399695&amp;to=399699", "TTA_codon")</f>
        <v>TTA_codon</v>
      </c>
    </row>
    <row r="425" spans="1:15" x14ac:dyDescent="0.15">
      <c r="A425" t="s">
        <v>21</v>
      </c>
      <c r="B425">
        <v>1000396</v>
      </c>
      <c r="C425">
        <v>360001</v>
      </c>
      <c r="F425" s="7">
        <v>1</v>
      </c>
      <c r="G425" s="7">
        <v>430</v>
      </c>
      <c r="H425" s="8">
        <v>283</v>
      </c>
      <c r="J425" t="s">
        <v>23</v>
      </c>
      <c r="K425" s="7">
        <v>1365</v>
      </c>
      <c r="L425" s="9">
        <v>1</v>
      </c>
      <c r="M425" t="s">
        <v>124</v>
      </c>
      <c r="N425" t="s">
        <v>125</v>
      </c>
      <c r="O425" s="27" t="str">
        <f>HYPERLINK("https://www.ncbi.nlm.nih.gov/nuccore/NZ_KQ948455.1?report=graph&amp;from=481388&amp;to=481392", "TTA_codon")</f>
        <v>TTA_codon</v>
      </c>
    </row>
    <row r="426" spans="1:15" x14ac:dyDescent="0.15">
      <c r="A426" t="s">
        <v>21</v>
      </c>
      <c r="B426">
        <v>1000396</v>
      </c>
      <c r="C426">
        <v>360328</v>
      </c>
      <c r="F426" s="7">
        <v>1</v>
      </c>
      <c r="G426" s="7">
        <v>313</v>
      </c>
      <c r="H426" s="8">
        <v>154</v>
      </c>
      <c r="J426" t="s">
        <v>23</v>
      </c>
      <c r="K426" s="7">
        <v>1341</v>
      </c>
      <c r="L426" s="9">
        <v>1</v>
      </c>
      <c r="M426" t="s">
        <v>121</v>
      </c>
      <c r="N426" t="s">
        <v>122</v>
      </c>
      <c r="O426" s="27" t="str">
        <f>HYPERLINK("https://www.ncbi.nlm.nih.gov/nuccore/NZ_CP016279.1?report=graph&amp;from=9443158&amp;to=9443162", "TTA_codon")</f>
        <v>TTA_codon</v>
      </c>
    </row>
    <row r="427" spans="1:15" x14ac:dyDescent="0.15">
      <c r="A427" t="s">
        <v>21</v>
      </c>
      <c r="B427">
        <v>1000396</v>
      </c>
      <c r="C427">
        <v>365900</v>
      </c>
      <c r="F427" s="7">
        <v>1</v>
      </c>
      <c r="G427" s="7">
        <v>334</v>
      </c>
      <c r="H427" s="8">
        <v>193</v>
      </c>
      <c r="J427" t="s">
        <v>23</v>
      </c>
      <c r="K427" s="7">
        <v>1362</v>
      </c>
      <c r="L427" s="9">
        <v>1</v>
      </c>
      <c r="M427" t="s">
        <v>497</v>
      </c>
      <c r="N427" t="s">
        <v>115</v>
      </c>
      <c r="O427" s="27" t="str">
        <f>HYPERLINK("https://www.ncbi.nlm.nih.gov/nuccore/NZ_FODD01000020.1?report=graph&amp;from=72705&amp;to=72709", "TTA_codon")</f>
        <v>TTA_codon</v>
      </c>
    </row>
    <row r="428" spans="1:15" x14ac:dyDescent="0.15">
      <c r="A428" t="s">
        <v>21</v>
      </c>
      <c r="B428">
        <v>1000396</v>
      </c>
      <c r="C428">
        <v>366246</v>
      </c>
      <c r="F428" s="7">
        <v>1</v>
      </c>
      <c r="G428" s="7">
        <v>637</v>
      </c>
      <c r="H428" s="8">
        <v>520</v>
      </c>
      <c r="J428" t="s">
        <v>23</v>
      </c>
      <c r="K428" s="7">
        <v>1359</v>
      </c>
      <c r="L428" s="9">
        <v>1</v>
      </c>
      <c r="M428" t="s">
        <v>498</v>
      </c>
      <c r="N428" t="s">
        <v>47</v>
      </c>
      <c r="O428" s="27" t="str">
        <f>HYPERLINK("https://www.ncbi.nlm.nih.gov/nuccore/NZ_FOLM01000030.1?report=graph&amp;from=28810&amp;to=28814", "TTA_codon")</f>
        <v>TTA_codon</v>
      </c>
    </row>
    <row r="429" spans="1:15" x14ac:dyDescent="0.15">
      <c r="A429" t="s">
        <v>21</v>
      </c>
      <c r="B429" t="s">
        <v>499</v>
      </c>
    </row>
    <row r="430" spans="1:15" x14ac:dyDescent="0.15">
      <c r="A430" t="s">
        <v>21</v>
      </c>
      <c r="B430">
        <v>1000161</v>
      </c>
      <c r="C430">
        <v>347224</v>
      </c>
      <c r="F430" s="7">
        <v>1</v>
      </c>
      <c r="G430" s="7">
        <v>46</v>
      </c>
      <c r="H430" s="8">
        <v>46</v>
      </c>
      <c r="J430" t="s">
        <v>23</v>
      </c>
      <c r="K430" s="7">
        <v>735</v>
      </c>
      <c r="L430" s="9">
        <v>-1</v>
      </c>
      <c r="M430" t="s">
        <v>53</v>
      </c>
      <c r="N430" t="s">
        <v>54</v>
      </c>
      <c r="O430" s="27" t="str">
        <f>HYPERLINK("https://www.ncbi.nlm.nih.gov/nuccore/NC_003155.5?report=graph&amp;from=3854616&amp;to=3854620", "TTA_codon")</f>
        <v>TTA_codon</v>
      </c>
    </row>
    <row r="431" spans="1:15" x14ac:dyDescent="0.15">
      <c r="A431" t="s">
        <v>21</v>
      </c>
      <c r="B431">
        <v>1000161</v>
      </c>
      <c r="C431">
        <v>359008</v>
      </c>
      <c r="F431" s="7">
        <v>1</v>
      </c>
      <c r="G431" s="7">
        <v>46</v>
      </c>
      <c r="H431" s="8">
        <v>46</v>
      </c>
      <c r="J431" t="s">
        <v>23</v>
      </c>
      <c r="K431" s="7">
        <v>744</v>
      </c>
      <c r="L431" s="9">
        <v>-1</v>
      </c>
      <c r="M431" t="s">
        <v>500</v>
      </c>
      <c r="N431" t="s">
        <v>451</v>
      </c>
      <c r="O431" s="27" t="str">
        <f>HYPERLINK("https://www.ncbi.nlm.nih.gov/nuccore/NZ_LIQZ01000013.1?report=graph&amp;from=33614&amp;to=33618", "TTA_codon")</f>
        <v>TTA_codon</v>
      </c>
    </row>
    <row r="432" spans="1:15" x14ac:dyDescent="0.15">
      <c r="A432" t="s">
        <v>21</v>
      </c>
      <c r="B432" t="s">
        <v>501</v>
      </c>
    </row>
    <row r="433" spans="1:15" x14ac:dyDescent="0.15">
      <c r="A433" t="s">
        <v>21</v>
      </c>
      <c r="B433">
        <v>1000700</v>
      </c>
      <c r="C433">
        <v>351026</v>
      </c>
      <c r="F433" s="7">
        <v>1</v>
      </c>
      <c r="G433" s="7">
        <v>754</v>
      </c>
      <c r="H433" s="8">
        <v>601</v>
      </c>
      <c r="J433" t="s">
        <v>23</v>
      </c>
      <c r="K433" s="7">
        <v>3156</v>
      </c>
      <c r="L433" s="9">
        <v>1</v>
      </c>
      <c r="M433" t="s">
        <v>502</v>
      </c>
      <c r="N433" t="s">
        <v>136</v>
      </c>
      <c r="O433" s="27" t="str">
        <f>HYPERLINK("https://www.ncbi.nlm.nih.gov/nuccore/NZ_AORZ01000001.1?report=graph&amp;from=147051&amp;to=147055", "TTA_codon")</f>
        <v>TTA_codon</v>
      </c>
    </row>
    <row r="434" spans="1:15" x14ac:dyDescent="0.15">
      <c r="A434" t="s">
        <v>21</v>
      </c>
      <c r="B434">
        <v>1000700</v>
      </c>
      <c r="C434">
        <v>354299</v>
      </c>
      <c r="F434" s="7">
        <v>1</v>
      </c>
      <c r="G434" s="7">
        <v>607</v>
      </c>
      <c r="H434" s="8">
        <v>475</v>
      </c>
      <c r="J434" t="s">
        <v>23</v>
      </c>
      <c r="K434" s="7">
        <v>3381</v>
      </c>
      <c r="L434" s="9">
        <v>1</v>
      </c>
      <c r="M434" t="s">
        <v>503</v>
      </c>
      <c r="N434" t="s">
        <v>142</v>
      </c>
      <c r="O434" s="27" t="str">
        <f>HYPERLINK("https://www.ncbi.nlm.nih.gov/nuccore/NZ_JOEI01000038.1?report=graph&amp;from=12215&amp;to=12219", "TTA_codon")</f>
        <v>TTA_codon</v>
      </c>
    </row>
    <row r="435" spans="1:15" x14ac:dyDescent="0.15">
      <c r="A435" t="s">
        <v>21</v>
      </c>
      <c r="B435">
        <v>1000700</v>
      </c>
      <c r="C435">
        <v>356355</v>
      </c>
      <c r="F435" s="7">
        <v>1</v>
      </c>
      <c r="G435" s="7">
        <v>607</v>
      </c>
      <c r="H435" s="8">
        <v>520</v>
      </c>
      <c r="J435" t="s">
        <v>23</v>
      </c>
      <c r="K435" s="7">
        <v>3438</v>
      </c>
      <c r="L435" s="9">
        <v>1</v>
      </c>
      <c r="M435" t="s">
        <v>504</v>
      </c>
      <c r="N435" t="s">
        <v>354</v>
      </c>
      <c r="O435" s="27" t="str">
        <f>HYPERLINK("https://www.ncbi.nlm.nih.gov/nuccore/NZ_JQJU01000001.1?report=graph&amp;from=706377&amp;to=706381", "TTA_codon")</f>
        <v>TTA_codon</v>
      </c>
    </row>
    <row r="436" spans="1:15" x14ac:dyDescent="0.15">
      <c r="A436" t="s">
        <v>21</v>
      </c>
      <c r="B436" t="s">
        <v>505</v>
      </c>
    </row>
    <row r="437" spans="1:15" x14ac:dyDescent="0.15">
      <c r="A437" t="s">
        <v>21</v>
      </c>
      <c r="B437">
        <v>1000388</v>
      </c>
      <c r="C437">
        <v>348379</v>
      </c>
      <c r="F437" s="7">
        <v>1</v>
      </c>
      <c r="G437" s="7">
        <v>397</v>
      </c>
      <c r="H437" s="8">
        <v>397</v>
      </c>
      <c r="J437" t="s">
        <v>23</v>
      </c>
      <c r="K437" s="7">
        <v>876</v>
      </c>
      <c r="L437" s="9">
        <v>1</v>
      </c>
      <c r="M437" t="s">
        <v>59</v>
      </c>
      <c r="N437" t="s">
        <v>60</v>
      </c>
      <c r="O437" s="27" t="str">
        <f>HYPERLINK("https://www.ncbi.nlm.nih.gov/nuccore/NC_016582.1?report=graph&amp;from=594827&amp;to=594831", "TTA_codon")</f>
        <v>TTA_codon</v>
      </c>
    </row>
    <row r="438" spans="1:15" x14ac:dyDescent="0.15">
      <c r="A438" t="s">
        <v>21</v>
      </c>
      <c r="B438">
        <v>1000388</v>
      </c>
      <c r="C438">
        <v>362083</v>
      </c>
      <c r="F438" s="7">
        <v>1</v>
      </c>
      <c r="G438" s="7">
        <v>397</v>
      </c>
      <c r="H438" s="8">
        <v>376</v>
      </c>
      <c r="J438" t="s">
        <v>23</v>
      </c>
      <c r="K438" s="7">
        <v>765</v>
      </c>
      <c r="L438" s="9">
        <v>1</v>
      </c>
      <c r="M438" t="s">
        <v>506</v>
      </c>
      <c r="N438" t="s">
        <v>187</v>
      </c>
      <c r="O438" s="27" t="str">
        <f>HYPERLINK("https://www.ncbi.nlm.nih.gov/nuccore/NZ_MAXF01000191.1?report=graph&amp;from=91970&amp;to=91974", "TTA_codon")</f>
        <v>TTA_codon</v>
      </c>
    </row>
    <row r="439" spans="1:15" x14ac:dyDescent="0.15">
      <c r="A439" t="s">
        <v>21</v>
      </c>
      <c r="B439" t="s">
        <v>507</v>
      </c>
    </row>
    <row r="440" spans="1:15" x14ac:dyDescent="0.15">
      <c r="A440" t="s">
        <v>21</v>
      </c>
      <c r="B440">
        <v>1000305</v>
      </c>
      <c r="C440">
        <v>347937</v>
      </c>
      <c r="F440" s="7">
        <v>1</v>
      </c>
      <c r="G440" s="7">
        <v>1132</v>
      </c>
      <c r="H440" s="8">
        <v>1102</v>
      </c>
      <c r="J440" t="s">
        <v>23</v>
      </c>
      <c r="K440" s="7">
        <v>1920</v>
      </c>
      <c r="L440" s="9">
        <v>-1</v>
      </c>
      <c r="M440" t="s">
        <v>57</v>
      </c>
      <c r="N440" t="s">
        <v>58</v>
      </c>
      <c r="O440" s="27" t="str">
        <f>HYPERLINK("https://www.ncbi.nlm.nih.gov/nuccore/NC_013929.1?report=graph&amp;from=4682741&amp;to=4682745", "TTA_codon")</f>
        <v>TTA_codon</v>
      </c>
    </row>
    <row r="441" spans="1:15" x14ac:dyDescent="0.15">
      <c r="A441" t="s">
        <v>21</v>
      </c>
      <c r="B441">
        <v>1000305</v>
      </c>
      <c r="C441">
        <v>356597</v>
      </c>
      <c r="F441" s="7">
        <v>1</v>
      </c>
      <c r="G441" s="7">
        <v>1132</v>
      </c>
      <c r="H441" s="8">
        <v>1060</v>
      </c>
      <c r="J441" t="s">
        <v>23</v>
      </c>
      <c r="K441" s="7">
        <v>1917</v>
      </c>
      <c r="L441" s="9">
        <v>-1</v>
      </c>
      <c r="M441" t="s">
        <v>508</v>
      </c>
      <c r="N441" t="s">
        <v>509</v>
      </c>
      <c r="O441" s="27" t="str">
        <f>HYPERLINK("https://www.ncbi.nlm.nih.gov/nuccore/NZ_CP009438.1?report=graph&amp;from=4182005&amp;to=4182009", "TTA_codon")</f>
        <v>TTA_codon</v>
      </c>
    </row>
    <row r="442" spans="1:15" x14ac:dyDescent="0.15">
      <c r="A442" t="s">
        <v>21</v>
      </c>
      <c r="B442" t="s">
        <v>510</v>
      </c>
    </row>
    <row r="443" spans="1:15" x14ac:dyDescent="0.15">
      <c r="A443" t="s">
        <v>21</v>
      </c>
      <c r="B443">
        <v>1001043</v>
      </c>
      <c r="C443">
        <v>350212</v>
      </c>
      <c r="F443" s="7">
        <v>1</v>
      </c>
      <c r="G443" s="7">
        <v>151</v>
      </c>
      <c r="H443" s="8">
        <v>127</v>
      </c>
      <c r="J443" t="s">
        <v>23</v>
      </c>
      <c r="K443" s="7">
        <v>1569</v>
      </c>
      <c r="L443" s="9">
        <v>-1</v>
      </c>
      <c r="M443" t="s">
        <v>511</v>
      </c>
      <c r="N443" t="s">
        <v>249</v>
      </c>
      <c r="O443" s="27" t="str">
        <f>HYPERLINK("https://www.ncbi.nlm.nih.gov/nuccore/NZ_AHBF01000031.1?report=graph&amp;from=7152&amp;to=7156", "TTA_codon")</f>
        <v>TTA_codon</v>
      </c>
    </row>
    <row r="444" spans="1:15" x14ac:dyDescent="0.15">
      <c r="A444" t="s">
        <v>21</v>
      </c>
      <c r="B444">
        <v>1001043</v>
      </c>
      <c r="C444">
        <v>354747</v>
      </c>
      <c r="F444" s="7">
        <v>1</v>
      </c>
      <c r="G444" s="7">
        <v>112</v>
      </c>
      <c r="H444" s="8">
        <v>109</v>
      </c>
      <c r="J444" t="s">
        <v>23</v>
      </c>
      <c r="K444" s="7">
        <v>1614</v>
      </c>
      <c r="L444" s="9">
        <v>-1</v>
      </c>
      <c r="M444" t="s">
        <v>512</v>
      </c>
      <c r="N444" t="s">
        <v>272</v>
      </c>
      <c r="O444" s="27" t="str">
        <f>HYPERLINK("https://www.ncbi.nlm.nih.gov/nuccore/NZ_JOEY01000012.1?report=graph&amp;from=239708&amp;to=239712", "TTA_codon")</f>
        <v>TTA_codon</v>
      </c>
    </row>
    <row r="445" spans="1:15" x14ac:dyDescent="0.15">
      <c r="A445" t="s">
        <v>21</v>
      </c>
      <c r="B445">
        <v>1001043</v>
      </c>
      <c r="C445">
        <v>355564</v>
      </c>
      <c r="F445" s="7">
        <v>1</v>
      </c>
      <c r="G445" s="7">
        <v>94</v>
      </c>
      <c r="H445" s="8">
        <v>70</v>
      </c>
      <c r="J445" t="s">
        <v>23</v>
      </c>
      <c r="K445" s="7">
        <v>1518</v>
      </c>
      <c r="L445" s="9">
        <v>-1</v>
      </c>
      <c r="M445" t="s">
        <v>513</v>
      </c>
      <c r="N445" t="s">
        <v>198</v>
      </c>
      <c r="O445" s="27" t="str">
        <f>HYPERLINK("https://www.ncbi.nlm.nih.gov/nuccore/NZ_JOFL01000027.1?report=graph&amp;from=50041&amp;to=50045", "TTA_codon")</f>
        <v>TTA_codon</v>
      </c>
    </row>
    <row r="446" spans="1:15" x14ac:dyDescent="0.15">
      <c r="A446" t="s">
        <v>21</v>
      </c>
      <c r="B446">
        <v>1001043</v>
      </c>
      <c r="C446">
        <v>358885</v>
      </c>
      <c r="F446" s="7">
        <v>1</v>
      </c>
      <c r="G446" s="7">
        <v>112</v>
      </c>
      <c r="H446" s="8">
        <v>91</v>
      </c>
      <c r="J446" t="s">
        <v>23</v>
      </c>
      <c r="K446" s="7">
        <v>1566</v>
      </c>
      <c r="L446" s="9">
        <v>-1</v>
      </c>
      <c r="M446" t="s">
        <v>514</v>
      </c>
      <c r="N446" t="s">
        <v>87</v>
      </c>
      <c r="O446" s="27" t="str">
        <f>HYPERLINK("https://www.ncbi.nlm.nih.gov/nuccore/NZ_LIQS01000078.1?report=graph&amp;from=22583&amp;to=22587", "TTA_codon")</f>
        <v>TTA_codon</v>
      </c>
    </row>
    <row r="447" spans="1:15" x14ac:dyDescent="0.15">
      <c r="A447" t="s">
        <v>21</v>
      </c>
      <c r="B447" t="s">
        <v>515</v>
      </c>
    </row>
    <row r="448" spans="1:15" x14ac:dyDescent="0.15">
      <c r="A448" t="s">
        <v>21</v>
      </c>
      <c r="B448">
        <v>1000846</v>
      </c>
      <c r="C448">
        <v>352450</v>
      </c>
      <c r="F448" s="7">
        <v>1</v>
      </c>
      <c r="G448" s="7">
        <v>643</v>
      </c>
      <c r="H448" s="8">
        <v>613</v>
      </c>
      <c r="J448" t="s">
        <v>23</v>
      </c>
      <c r="K448" s="7">
        <v>1416</v>
      </c>
      <c r="L448" s="9">
        <v>-1</v>
      </c>
      <c r="M448" t="s">
        <v>30</v>
      </c>
      <c r="N448" t="s">
        <v>31</v>
      </c>
      <c r="O448" s="27" t="str">
        <f>HYPERLINK("https://www.ncbi.nlm.nih.gov/nuccore/NZ_KB913030.1?report=graph&amp;from=7347698&amp;to=7347702", "TTA_codon")</f>
        <v>TTA_codon</v>
      </c>
    </row>
    <row r="449" spans="1:15" x14ac:dyDescent="0.15">
      <c r="A449" t="s">
        <v>21</v>
      </c>
      <c r="B449">
        <v>1000846</v>
      </c>
      <c r="C449">
        <v>352903</v>
      </c>
      <c r="F449" s="7">
        <v>1</v>
      </c>
      <c r="G449" s="7">
        <v>769</v>
      </c>
      <c r="H449" s="8">
        <v>694</v>
      </c>
      <c r="J449" t="s">
        <v>23</v>
      </c>
      <c r="K449" s="7">
        <v>1302</v>
      </c>
      <c r="L449" s="9">
        <v>-1</v>
      </c>
      <c r="M449" t="s">
        <v>516</v>
      </c>
      <c r="N449" t="s">
        <v>306</v>
      </c>
      <c r="O449" s="27" t="str">
        <f>HYPERLINK("https://www.ncbi.nlm.nih.gov/nuccore/NZ_KL571112.1?report=graph&amp;from=104062&amp;to=104066", "TTA_codon")</f>
        <v>TTA_codon</v>
      </c>
    </row>
    <row r="450" spans="1:15" x14ac:dyDescent="0.15">
      <c r="A450" t="s">
        <v>21</v>
      </c>
      <c r="B450" t="s">
        <v>517</v>
      </c>
    </row>
    <row r="451" spans="1:15" x14ac:dyDescent="0.15">
      <c r="A451" t="s">
        <v>21</v>
      </c>
      <c r="B451">
        <v>1000329</v>
      </c>
      <c r="C451">
        <v>348052</v>
      </c>
      <c r="F451" s="7">
        <v>1</v>
      </c>
      <c r="G451" s="7">
        <v>565</v>
      </c>
      <c r="H451" s="8">
        <v>535</v>
      </c>
      <c r="J451" t="s">
        <v>23</v>
      </c>
      <c r="K451" s="7">
        <v>4029</v>
      </c>
      <c r="L451" s="9">
        <v>1</v>
      </c>
      <c r="M451" t="s">
        <v>59</v>
      </c>
      <c r="N451" t="s">
        <v>60</v>
      </c>
      <c r="O451" s="27" t="str">
        <f>HYPERLINK("https://www.ncbi.nlm.nih.gov/nuccore/NC_016582.1?report=graph&amp;from=138695&amp;to=138699", "TTA_codon")</f>
        <v>TTA_codon</v>
      </c>
    </row>
    <row r="452" spans="1:15" x14ac:dyDescent="0.15">
      <c r="A452" t="s">
        <v>21</v>
      </c>
      <c r="B452">
        <v>1000329</v>
      </c>
      <c r="C452">
        <v>355876</v>
      </c>
      <c r="F452" s="7">
        <v>2</v>
      </c>
      <c r="G452" s="7" t="s">
        <v>518</v>
      </c>
      <c r="H452" s="8" t="s">
        <v>519</v>
      </c>
      <c r="J452" t="s">
        <v>23</v>
      </c>
      <c r="K452" s="7">
        <v>2835</v>
      </c>
      <c r="L452" s="9">
        <v>1</v>
      </c>
      <c r="M452" t="s">
        <v>383</v>
      </c>
      <c r="N452" t="s">
        <v>384</v>
      </c>
      <c r="O452" s="27" t="str">
        <f>HYPERLINK("https://www.ncbi.nlm.nih.gov/nuccore/NZ_JOAK01000001.1?report=graph&amp;from=222556&amp;to=222746", "TTA_codon")</f>
        <v>TTA_codon</v>
      </c>
    </row>
    <row r="453" spans="1:15" x14ac:dyDescent="0.15">
      <c r="A453" t="s">
        <v>21</v>
      </c>
      <c r="B453">
        <v>1000329</v>
      </c>
      <c r="C453">
        <v>361992</v>
      </c>
      <c r="F453" s="7">
        <v>1</v>
      </c>
      <c r="G453" s="7">
        <v>532</v>
      </c>
      <c r="H453" s="8">
        <v>112</v>
      </c>
      <c r="J453" t="s">
        <v>23</v>
      </c>
      <c r="K453" s="7">
        <v>2784</v>
      </c>
      <c r="L453" s="9">
        <v>1</v>
      </c>
      <c r="M453" t="s">
        <v>506</v>
      </c>
      <c r="N453" t="s">
        <v>187</v>
      </c>
      <c r="O453" s="27" t="str">
        <f>HYPERLINK("https://www.ncbi.nlm.nih.gov/nuccore/NZ_MAXF01000191.1?report=graph&amp;from=7819&amp;to=7823", "TTA_codon")</f>
        <v>TTA_codon</v>
      </c>
    </row>
    <row r="454" spans="1:15" x14ac:dyDescent="0.15">
      <c r="A454" t="s">
        <v>21</v>
      </c>
      <c r="B454" t="s">
        <v>520</v>
      </c>
    </row>
    <row r="455" spans="1:15" x14ac:dyDescent="0.15">
      <c r="A455" t="s">
        <v>21</v>
      </c>
      <c r="B455">
        <v>1001433</v>
      </c>
      <c r="C455">
        <v>363270</v>
      </c>
      <c r="F455" s="7">
        <v>1</v>
      </c>
      <c r="G455" s="7">
        <v>169</v>
      </c>
      <c r="H455" s="8">
        <v>169</v>
      </c>
      <c r="J455" t="s">
        <v>23</v>
      </c>
      <c r="K455" s="7">
        <v>816</v>
      </c>
      <c r="L455" s="9">
        <v>-1</v>
      </c>
      <c r="M455" t="s">
        <v>521</v>
      </c>
      <c r="N455" t="s">
        <v>28</v>
      </c>
      <c r="O455" s="27" t="str">
        <f>HYPERLINK("https://www.ncbi.nlm.nih.gov/nuccore/NZ_JUJA01000155.1?report=graph&amp;from=35348&amp;to=35352", "TTA_codon")</f>
        <v>TTA_codon</v>
      </c>
    </row>
    <row r="456" spans="1:15" x14ac:dyDescent="0.15">
      <c r="A456" t="s">
        <v>21</v>
      </c>
      <c r="B456">
        <v>1001433</v>
      </c>
      <c r="C456">
        <v>364693</v>
      </c>
      <c r="F456" s="7">
        <v>1</v>
      </c>
      <c r="G456" s="7">
        <v>247</v>
      </c>
      <c r="H456" s="8">
        <v>220</v>
      </c>
      <c r="J456" t="s">
        <v>23</v>
      </c>
      <c r="K456" s="7">
        <v>789</v>
      </c>
      <c r="L456" s="9">
        <v>-1</v>
      </c>
      <c r="M456" t="s">
        <v>522</v>
      </c>
      <c r="N456" t="s">
        <v>110</v>
      </c>
      <c r="O456" s="27" t="str">
        <f>HYPERLINK("https://www.ncbi.nlm.nih.gov/nuccore/NZ_MUME01000020.1?report=graph&amp;from=14986&amp;to=14990", "TTA_codon")</f>
        <v>TTA_codon</v>
      </c>
    </row>
    <row r="457" spans="1:15" x14ac:dyDescent="0.15">
      <c r="A457" t="s">
        <v>21</v>
      </c>
      <c r="B457" t="s">
        <v>523</v>
      </c>
    </row>
    <row r="458" spans="1:15" x14ac:dyDescent="0.15">
      <c r="A458" t="s">
        <v>21</v>
      </c>
      <c r="B458">
        <v>1001081</v>
      </c>
      <c r="C458">
        <v>355332</v>
      </c>
      <c r="F458" s="7">
        <v>1</v>
      </c>
      <c r="G458" s="7">
        <v>40</v>
      </c>
      <c r="H458" s="8">
        <v>37</v>
      </c>
      <c r="J458" t="s">
        <v>23</v>
      </c>
      <c r="K458" s="7">
        <v>693</v>
      </c>
      <c r="L458" s="9">
        <v>-1</v>
      </c>
      <c r="M458" t="s">
        <v>524</v>
      </c>
      <c r="N458" t="s">
        <v>295</v>
      </c>
      <c r="O458" s="27" t="str">
        <f>HYPERLINK("https://www.ncbi.nlm.nih.gov/nuccore/NZ_JODL01000017.1?report=graph&amp;from=18281&amp;to=18285", "TTA_codon")</f>
        <v>TTA_codon</v>
      </c>
    </row>
    <row r="459" spans="1:15" x14ac:dyDescent="0.15">
      <c r="A459" t="s">
        <v>21</v>
      </c>
      <c r="B459">
        <v>1001081</v>
      </c>
      <c r="C459">
        <v>359280</v>
      </c>
      <c r="F459" s="7">
        <v>1</v>
      </c>
      <c r="G459" s="7">
        <v>163</v>
      </c>
      <c r="H459" s="8">
        <v>163</v>
      </c>
      <c r="J459" t="s">
        <v>23</v>
      </c>
      <c r="K459" s="7">
        <v>1254</v>
      </c>
      <c r="L459" s="9">
        <v>-1</v>
      </c>
      <c r="M459" t="s">
        <v>525</v>
      </c>
      <c r="N459" t="s">
        <v>89</v>
      </c>
      <c r="O459" s="27" t="str">
        <f>HYPERLINK("https://www.ncbi.nlm.nih.gov/nuccore/NZ_LIRG01000207.1?report=graph&amp;from=2844&amp;to=2848", "TTA_codon")</f>
        <v>TTA_codon</v>
      </c>
    </row>
    <row r="460" spans="1:15" x14ac:dyDescent="0.15">
      <c r="A460" t="s">
        <v>21</v>
      </c>
      <c r="B460" t="s">
        <v>526</v>
      </c>
    </row>
    <row r="461" spans="1:15" x14ac:dyDescent="0.15">
      <c r="A461" t="s">
        <v>21</v>
      </c>
      <c r="B461">
        <v>1000550</v>
      </c>
      <c r="C461">
        <v>349774</v>
      </c>
      <c r="F461" s="7">
        <v>1</v>
      </c>
      <c r="G461" s="7">
        <v>61</v>
      </c>
      <c r="H461" s="8">
        <v>58</v>
      </c>
      <c r="J461" t="s">
        <v>23</v>
      </c>
      <c r="K461" s="7">
        <v>1596</v>
      </c>
      <c r="L461" s="9">
        <v>1</v>
      </c>
      <c r="M461" t="s">
        <v>265</v>
      </c>
      <c r="N461" t="s">
        <v>266</v>
      </c>
      <c r="O461" s="27" t="str">
        <f>HYPERLINK("https://www.ncbi.nlm.nih.gov/nuccore/NC_017586.1?report=graph&amp;from=3870695&amp;to=3870699", "TTA_codon")</f>
        <v>TTA_codon</v>
      </c>
    </row>
    <row r="462" spans="1:15" x14ac:dyDescent="0.15">
      <c r="A462" t="s">
        <v>21</v>
      </c>
      <c r="B462">
        <v>1000550</v>
      </c>
      <c r="C462">
        <v>352313</v>
      </c>
      <c r="F462" s="7">
        <v>1</v>
      </c>
      <c r="G462" s="7">
        <v>136</v>
      </c>
      <c r="H462" s="8">
        <v>136</v>
      </c>
      <c r="J462" t="s">
        <v>23</v>
      </c>
      <c r="K462" s="7">
        <v>1530</v>
      </c>
      <c r="L462" s="9">
        <v>1</v>
      </c>
      <c r="M462" t="s">
        <v>527</v>
      </c>
      <c r="N462" t="s">
        <v>72</v>
      </c>
      <c r="O462" s="27" t="str">
        <f>HYPERLINK("https://www.ncbi.nlm.nih.gov/nuccore/NZ_KB905813.1?report=graph&amp;from=213955&amp;to=213959", "TTA_codon")</f>
        <v>TTA_codon</v>
      </c>
    </row>
    <row r="463" spans="1:15" x14ac:dyDescent="0.15">
      <c r="A463" t="s">
        <v>21</v>
      </c>
      <c r="B463" t="s">
        <v>528</v>
      </c>
    </row>
    <row r="464" spans="1:15" x14ac:dyDescent="0.15">
      <c r="A464" t="s">
        <v>21</v>
      </c>
      <c r="B464">
        <v>1000524</v>
      </c>
      <c r="C464">
        <v>349555</v>
      </c>
      <c r="F464" s="7">
        <v>1</v>
      </c>
      <c r="G464" s="7">
        <v>856</v>
      </c>
      <c r="H464" s="8">
        <v>853</v>
      </c>
      <c r="J464" t="s">
        <v>23</v>
      </c>
      <c r="K464" s="7">
        <v>1227</v>
      </c>
      <c r="L464" s="9">
        <v>-1</v>
      </c>
      <c r="M464" t="s">
        <v>529</v>
      </c>
      <c r="N464" t="s">
        <v>64</v>
      </c>
      <c r="O464" s="27" t="str">
        <f>HYPERLINK("https://www.ncbi.nlm.nih.gov/nuccore/NZ_AEYX01000043.1?report=graph&amp;from=112170&amp;to=112174", "TTA_codon")</f>
        <v>TTA_codon</v>
      </c>
    </row>
    <row r="465" spans="1:15" x14ac:dyDescent="0.15">
      <c r="A465" t="s">
        <v>21</v>
      </c>
      <c r="B465">
        <v>1000524</v>
      </c>
      <c r="C465">
        <v>364263</v>
      </c>
      <c r="F465" s="7">
        <v>1</v>
      </c>
      <c r="G465" s="7">
        <v>946</v>
      </c>
      <c r="H465" s="8">
        <v>946</v>
      </c>
      <c r="J465" t="s">
        <v>23</v>
      </c>
      <c r="K465" s="7">
        <v>1233</v>
      </c>
      <c r="L465" s="9">
        <v>-1</v>
      </c>
      <c r="M465" t="s">
        <v>254</v>
      </c>
      <c r="N465" t="s">
        <v>255</v>
      </c>
      <c r="O465" s="27" t="str">
        <f>HYPERLINK("https://www.ncbi.nlm.nih.gov/nuccore/NZ_CP018047.1?report=graph&amp;from=3606749&amp;to=3606753", "TTA_codon")</f>
        <v>TTA_codon</v>
      </c>
    </row>
    <row r="466" spans="1:15" x14ac:dyDescent="0.15">
      <c r="A466" t="s">
        <v>21</v>
      </c>
      <c r="B466" t="s">
        <v>530</v>
      </c>
    </row>
    <row r="467" spans="1:15" x14ac:dyDescent="0.15">
      <c r="A467" t="s">
        <v>21</v>
      </c>
      <c r="B467">
        <v>1000666</v>
      </c>
      <c r="C467">
        <v>350712</v>
      </c>
      <c r="F467" s="7">
        <v>1</v>
      </c>
      <c r="G467" s="7">
        <v>511</v>
      </c>
      <c r="H467" s="8">
        <v>487</v>
      </c>
      <c r="J467" t="s">
        <v>23</v>
      </c>
      <c r="K467" s="7">
        <v>2067</v>
      </c>
      <c r="L467" s="9">
        <v>-1</v>
      </c>
      <c r="M467" t="s">
        <v>531</v>
      </c>
      <c r="N467" t="s">
        <v>51</v>
      </c>
      <c r="O467" s="27" t="str">
        <f>HYPERLINK("https://www.ncbi.nlm.nih.gov/nuccore/NZ_AEJB01000670.1?report=graph&amp;from=1615&amp;to=1619", "TTA_codon")</f>
        <v>TTA_codon</v>
      </c>
    </row>
    <row r="468" spans="1:15" x14ac:dyDescent="0.15">
      <c r="A468" t="s">
        <v>21</v>
      </c>
      <c r="B468">
        <v>1000666</v>
      </c>
      <c r="C468">
        <v>363644</v>
      </c>
      <c r="F468" s="7">
        <v>1</v>
      </c>
      <c r="G468" s="7">
        <v>517</v>
      </c>
      <c r="H468" s="8">
        <v>505</v>
      </c>
      <c r="J468" t="s">
        <v>23</v>
      </c>
      <c r="K468" s="7">
        <v>2070</v>
      </c>
      <c r="L468" s="9">
        <v>-1</v>
      </c>
      <c r="M468" t="s">
        <v>101</v>
      </c>
      <c r="N468" t="s">
        <v>102</v>
      </c>
      <c r="O468" s="27" t="str">
        <f>HYPERLINK("https://www.ncbi.nlm.nih.gov/nuccore/NZ_CP019458.1?report=graph&amp;from=3908590&amp;to=3908594", "TTA_codon")</f>
        <v>TTA_codon</v>
      </c>
    </row>
    <row r="469" spans="1:15" x14ac:dyDescent="0.15">
      <c r="A469" t="s">
        <v>21</v>
      </c>
      <c r="B469" t="s">
        <v>532</v>
      </c>
    </row>
    <row r="470" spans="1:15" x14ac:dyDescent="0.15">
      <c r="A470" t="s">
        <v>21</v>
      </c>
      <c r="B470">
        <v>1000310</v>
      </c>
      <c r="C470">
        <v>347962</v>
      </c>
      <c r="F470" s="7">
        <v>1</v>
      </c>
      <c r="G470" s="7">
        <v>73</v>
      </c>
      <c r="H470" s="8">
        <v>73</v>
      </c>
      <c r="J470" t="s">
        <v>23</v>
      </c>
      <c r="K470" s="7">
        <v>1323</v>
      </c>
      <c r="L470" s="9">
        <v>-1</v>
      </c>
      <c r="M470" t="s">
        <v>59</v>
      </c>
      <c r="N470" t="s">
        <v>60</v>
      </c>
      <c r="O470" s="27" t="str">
        <f>HYPERLINK("https://www.ncbi.nlm.nih.gov/nuccore/NC_016582.1?report=graph&amp;from=8251652&amp;to=8251656", "TTA_codon")</f>
        <v>TTA_codon</v>
      </c>
    </row>
    <row r="471" spans="1:15" x14ac:dyDescent="0.15">
      <c r="A471" t="s">
        <v>21</v>
      </c>
      <c r="B471">
        <v>1000310</v>
      </c>
      <c r="C471">
        <v>348685</v>
      </c>
      <c r="F471" s="7">
        <v>1</v>
      </c>
      <c r="G471" s="7">
        <v>61</v>
      </c>
      <c r="H471" s="8">
        <v>61</v>
      </c>
      <c r="J471" t="s">
        <v>23</v>
      </c>
      <c r="K471" s="7">
        <v>1323</v>
      </c>
      <c r="L471" s="9">
        <v>-1</v>
      </c>
      <c r="M471" t="s">
        <v>211</v>
      </c>
      <c r="N471" t="s">
        <v>212</v>
      </c>
      <c r="O471" s="27" t="str">
        <f>HYPERLINK("https://www.ncbi.nlm.nih.gov/nuccore/NZ_GG657754.1?report=graph&amp;from=6634269&amp;to=6634273", "TTA_codon")</f>
        <v>TTA_codon</v>
      </c>
    </row>
    <row r="472" spans="1:15" x14ac:dyDescent="0.15">
      <c r="A472" t="s">
        <v>195</v>
      </c>
      <c r="B472" t="s">
        <v>533</v>
      </c>
    </row>
    <row r="473" spans="1:15" x14ac:dyDescent="0.15">
      <c r="A473" t="s">
        <v>195</v>
      </c>
      <c r="B473">
        <v>1000119</v>
      </c>
      <c r="C473">
        <v>346814</v>
      </c>
      <c r="F473" s="7">
        <v>1</v>
      </c>
      <c r="G473" s="7">
        <v>124</v>
      </c>
      <c r="H473" s="8">
        <v>118</v>
      </c>
      <c r="J473" t="s">
        <v>23</v>
      </c>
      <c r="K473" s="7">
        <v>783</v>
      </c>
      <c r="L473" s="9">
        <v>-1</v>
      </c>
      <c r="M473" t="s">
        <v>94</v>
      </c>
      <c r="N473" t="s">
        <v>95</v>
      </c>
      <c r="O473" s="27" t="str">
        <f>HYPERLINK("https://www.ncbi.nlm.nih.gov/nuccore/NZ_JYIJ01000019.1?report=graph&amp;from=33398&amp;to=33402", "TTA_codon")</f>
        <v>TTA_codon</v>
      </c>
    </row>
    <row r="474" spans="1:15" x14ac:dyDescent="0.15">
      <c r="A474" t="s">
        <v>21</v>
      </c>
      <c r="B474">
        <v>1000119</v>
      </c>
      <c r="C474">
        <v>349650</v>
      </c>
      <c r="F474" s="7">
        <v>1</v>
      </c>
      <c r="G474" s="7">
        <v>229</v>
      </c>
      <c r="H474" s="8">
        <v>196</v>
      </c>
      <c r="J474" t="s">
        <v>23</v>
      </c>
      <c r="K474" s="7">
        <v>738</v>
      </c>
      <c r="L474" s="9">
        <v>-1</v>
      </c>
      <c r="M474" t="s">
        <v>534</v>
      </c>
      <c r="N474" t="s">
        <v>335</v>
      </c>
      <c r="O474" s="27" t="str">
        <f>HYPERLINK("https://www.ncbi.nlm.nih.gov/nuccore/NZ_AGBF01000018.1?report=graph&amp;from=29674&amp;to=29678", "TTA_codon")</f>
        <v>TTA_codon</v>
      </c>
    </row>
    <row r="475" spans="1:15" x14ac:dyDescent="0.15">
      <c r="A475" t="s">
        <v>21</v>
      </c>
      <c r="B475">
        <v>1000119</v>
      </c>
      <c r="C475">
        <v>350351</v>
      </c>
      <c r="F475" s="7">
        <v>1</v>
      </c>
      <c r="G475" s="7">
        <v>163</v>
      </c>
      <c r="H475" s="8">
        <v>157</v>
      </c>
      <c r="J475" t="s">
        <v>23</v>
      </c>
      <c r="K475" s="7">
        <v>729</v>
      </c>
      <c r="L475" s="9">
        <v>-1</v>
      </c>
      <c r="M475" t="s">
        <v>35</v>
      </c>
      <c r="N475" t="s">
        <v>36</v>
      </c>
      <c r="O475" s="27" t="str">
        <f>HYPERLINK("https://www.ncbi.nlm.nih.gov/nuccore/NZ_JH725387.1?report=graph&amp;from=2169602&amp;to=2169606", "TTA_codon")</f>
        <v>TTA_codon</v>
      </c>
    </row>
    <row r="476" spans="1:15" x14ac:dyDescent="0.15">
      <c r="A476" t="s">
        <v>21</v>
      </c>
      <c r="B476">
        <v>1000119</v>
      </c>
      <c r="C476">
        <v>366309</v>
      </c>
      <c r="F476" s="7">
        <v>1</v>
      </c>
      <c r="G476" s="7">
        <v>298</v>
      </c>
      <c r="H476" s="8">
        <v>295</v>
      </c>
      <c r="J476" t="s">
        <v>23</v>
      </c>
      <c r="K476" s="7">
        <v>768</v>
      </c>
      <c r="L476" s="9">
        <v>-1</v>
      </c>
      <c r="M476" t="s">
        <v>535</v>
      </c>
      <c r="N476" t="s">
        <v>47</v>
      </c>
      <c r="O476" s="27" t="str">
        <f>HYPERLINK("https://www.ncbi.nlm.nih.gov/nuccore/NZ_FOLM01000004.1?report=graph&amp;from=342446&amp;to=342450", "TTA_codon")</f>
        <v>TTA_codon</v>
      </c>
    </row>
    <row r="477" spans="1:15" x14ac:dyDescent="0.15">
      <c r="A477" t="s">
        <v>21</v>
      </c>
      <c r="B477" t="s">
        <v>536</v>
      </c>
    </row>
    <row r="478" spans="1:15" x14ac:dyDescent="0.15">
      <c r="A478" t="s">
        <v>21</v>
      </c>
      <c r="B478">
        <v>1000786</v>
      </c>
      <c r="C478">
        <v>351851</v>
      </c>
      <c r="F478" s="7">
        <v>1</v>
      </c>
      <c r="G478" s="7">
        <v>2293</v>
      </c>
      <c r="H478" s="8">
        <v>2245</v>
      </c>
      <c r="J478" t="s">
        <v>23</v>
      </c>
      <c r="K478" s="7">
        <v>2436</v>
      </c>
      <c r="L478" s="9">
        <v>1</v>
      </c>
      <c r="M478" t="s">
        <v>537</v>
      </c>
      <c r="N478" t="s">
        <v>68</v>
      </c>
      <c r="O478" s="27" t="str">
        <f>HYPERLINK("https://www.ncbi.nlm.nih.gov/nuccore/NZ_BARG01000110.1?report=graph&amp;from=23912&amp;to=23916", "TTA_codon")</f>
        <v>TTA_codon</v>
      </c>
    </row>
    <row r="479" spans="1:15" x14ac:dyDescent="0.15">
      <c r="A479" t="s">
        <v>21</v>
      </c>
      <c r="B479">
        <v>1000786</v>
      </c>
      <c r="C479">
        <v>353795</v>
      </c>
      <c r="F479" s="7">
        <v>1</v>
      </c>
      <c r="G479" s="7">
        <v>2431</v>
      </c>
      <c r="H479" s="8">
        <v>2050</v>
      </c>
      <c r="J479" t="s">
        <v>23</v>
      </c>
      <c r="K479" s="7">
        <v>2172</v>
      </c>
      <c r="L479" s="9">
        <v>1</v>
      </c>
      <c r="M479" t="s">
        <v>538</v>
      </c>
      <c r="N479" t="s">
        <v>246</v>
      </c>
      <c r="O479" s="27" t="str">
        <f>HYPERLINK("https://www.ncbi.nlm.nih.gov/nuccore/NZ_JNYR01000003.1?report=graph&amp;from=44201&amp;to=44205", "TTA_codon")</f>
        <v>TTA_codon</v>
      </c>
    </row>
    <row r="480" spans="1:15" x14ac:dyDescent="0.15">
      <c r="A480" t="s">
        <v>21</v>
      </c>
      <c r="B480">
        <v>1000786</v>
      </c>
      <c r="C480">
        <v>363960</v>
      </c>
      <c r="F480" s="7">
        <v>2</v>
      </c>
      <c r="G480" s="7" t="s">
        <v>539</v>
      </c>
      <c r="H480" s="8" t="s">
        <v>540</v>
      </c>
      <c r="J480" t="s">
        <v>23</v>
      </c>
      <c r="K480" s="7">
        <v>2427</v>
      </c>
      <c r="L480" s="9">
        <v>1</v>
      </c>
      <c r="M480" t="s">
        <v>541</v>
      </c>
      <c r="N480" t="s">
        <v>104</v>
      </c>
      <c r="O480" s="27" t="str">
        <f>HYPERLINK("https://www.ncbi.nlm.nih.gov/nuccore/NZ_MVFC01000025.1?report=graph&amp;from=111478&amp;to=113453", "TTA_codon")</f>
        <v>TTA_codon</v>
      </c>
    </row>
    <row r="481" spans="1:15" x14ac:dyDescent="0.15">
      <c r="A481" t="s">
        <v>21</v>
      </c>
      <c r="B481" t="s">
        <v>542</v>
      </c>
    </row>
    <row r="482" spans="1:15" x14ac:dyDescent="0.15">
      <c r="A482" t="s">
        <v>21</v>
      </c>
      <c r="B482">
        <v>1000369</v>
      </c>
      <c r="C482">
        <v>348235</v>
      </c>
      <c r="F482" s="7">
        <v>1</v>
      </c>
      <c r="G482" s="7">
        <v>244</v>
      </c>
      <c r="H482" s="8">
        <v>244</v>
      </c>
      <c r="J482" t="s">
        <v>23</v>
      </c>
      <c r="K482" s="7">
        <v>459</v>
      </c>
      <c r="L482" s="9">
        <v>-1</v>
      </c>
      <c r="M482" t="s">
        <v>59</v>
      </c>
      <c r="N482" t="s">
        <v>60</v>
      </c>
      <c r="O482" s="27" t="str">
        <f>HYPERLINK("https://www.ncbi.nlm.nih.gov/nuccore/NC_016582.1?report=graph&amp;from=4204733&amp;to=4204737", "TTA_codon")</f>
        <v>TTA_codon</v>
      </c>
    </row>
    <row r="483" spans="1:15" x14ac:dyDescent="0.15">
      <c r="A483" t="s">
        <v>21</v>
      </c>
      <c r="B483">
        <v>1000369</v>
      </c>
      <c r="C483">
        <v>351069</v>
      </c>
      <c r="F483" s="7">
        <v>1</v>
      </c>
      <c r="G483" s="7">
        <v>244</v>
      </c>
      <c r="H483" s="8">
        <v>229</v>
      </c>
      <c r="J483" t="s">
        <v>23</v>
      </c>
      <c r="K483" s="7">
        <v>444</v>
      </c>
      <c r="L483" s="9">
        <v>-1</v>
      </c>
      <c r="M483" t="s">
        <v>543</v>
      </c>
      <c r="N483" t="s">
        <v>136</v>
      </c>
      <c r="O483" s="27" t="str">
        <f>HYPERLINK("https://www.ncbi.nlm.nih.gov/nuccore/NZ_AORZ01000064.1?report=graph&amp;from=7266&amp;to=7270", "TTA_codon")</f>
        <v>TTA_codon</v>
      </c>
    </row>
    <row r="484" spans="1:15" x14ac:dyDescent="0.15">
      <c r="A484" t="s">
        <v>21</v>
      </c>
      <c r="B484">
        <v>1000369</v>
      </c>
      <c r="C484">
        <v>355205</v>
      </c>
      <c r="F484" s="7">
        <v>1</v>
      </c>
      <c r="G484" s="7">
        <v>214</v>
      </c>
      <c r="H484" s="8">
        <v>199</v>
      </c>
      <c r="J484" t="s">
        <v>23</v>
      </c>
      <c r="K484" s="7">
        <v>462</v>
      </c>
      <c r="L484" s="9">
        <v>-1</v>
      </c>
      <c r="M484" t="s">
        <v>544</v>
      </c>
      <c r="N484" t="s">
        <v>433</v>
      </c>
      <c r="O484" s="27" t="str">
        <f>HYPERLINK("https://www.ncbi.nlm.nih.gov/nuccore/NZ_JOBF01000016.1?report=graph&amp;from=70036&amp;to=70040", "TTA_codon")</f>
        <v>TTA_codon</v>
      </c>
    </row>
    <row r="485" spans="1:15" x14ac:dyDescent="0.15">
      <c r="A485" t="s">
        <v>21</v>
      </c>
      <c r="B485" t="s">
        <v>545</v>
      </c>
    </row>
    <row r="486" spans="1:15" x14ac:dyDescent="0.15">
      <c r="A486" t="s">
        <v>21</v>
      </c>
      <c r="B486">
        <v>1000966</v>
      </c>
      <c r="C486">
        <v>353668</v>
      </c>
      <c r="F486" s="7">
        <v>1</v>
      </c>
      <c r="G486" s="7">
        <v>292</v>
      </c>
      <c r="H486" s="8">
        <v>244</v>
      </c>
      <c r="J486" t="s">
        <v>23</v>
      </c>
      <c r="K486" s="7">
        <v>1758</v>
      </c>
      <c r="L486" s="9">
        <v>-1</v>
      </c>
      <c r="M486" t="s">
        <v>546</v>
      </c>
      <c r="N486" t="s">
        <v>140</v>
      </c>
      <c r="O486" s="27" t="str">
        <f>HYPERLINK("https://www.ncbi.nlm.nih.gov/nuccore/NZ_JNXG01000003.1?report=graph&amp;from=186628&amp;to=186632", "TTA_codon")</f>
        <v>TTA_codon</v>
      </c>
    </row>
    <row r="487" spans="1:15" x14ac:dyDescent="0.15">
      <c r="A487" t="s">
        <v>21</v>
      </c>
      <c r="B487">
        <v>1000966</v>
      </c>
      <c r="C487">
        <v>362908</v>
      </c>
      <c r="F487" s="7">
        <v>1</v>
      </c>
      <c r="G487" s="7">
        <v>346</v>
      </c>
      <c r="H487" s="8">
        <v>238</v>
      </c>
      <c r="J487" t="s">
        <v>23</v>
      </c>
      <c r="K487" s="7">
        <v>1887</v>
      </c>
      <c r="L487" s="9">
        <v>-1</v>
      </c>
      <c r="M487" t="s">
        <v>547</v>
      </c>
      <c r="N487" t="s">
        <v>156</v>
      </c>
      <c r="O487" s="27" t="str">
        <f>HYPERLINK("https://www.ncbi.nlm.nih.gov/nuccore/NZ_LJGW01000052.1?report=graph&amp;from=11506&amp;to=11510", "TTA_codon")</f>
        <v>TTA_codon</v>
      </c>
    </row>
    <row r="488" spans="1:15" x14ac:dyDescent="0.15">
      <c r="A488" t="s">
        <v>21</v>
      </c>
      <c r="B488">
        <v>1000966</v>
      </c>
      <c r="C488">
        <v>365841</v>
      </c>
      <c r="F488" s="7">
        <v>1</v>
      </c>
      <c r="G488" s="7">
        <v>319</v>
      </c>
      <c r="H488" s="8">
        <v>319</v>
      </c>
      <c r="J488" t="s">
        <v>23</v>
      </c>
      <c r="K488" s="7">
        <v>1779</v>
      </c>
      <c r="L488" s="9">
        <v>-1</v>
      </c>
      <c r="M488" t="s">
        <v>213</v>
      </c>
      <c r="N488" t="s">
        <v>214</v>
      </c>
      <c r="O488" s="27" t="str">
        <f>HYPERLINK("https://www.ncbi.nlm.nih.gov/nuccore/NZ_FNST01000002.1?report=graph&amp;from=2646463&amp;to=2646467", "TTA_codon")</f>
        <v>TTA_codon</v>
      </c>
    </row>
    <row r="489" spans="1:15" x14ac:dyDescent="0.15">
      <c r="A489" t="s">
        <v>21</v>
      </c>
      <c r="B489" t="s">
        <v>548</v>
      </c>
    </row>
    <row r="490" spans="1:15" x14ac:dyDescent="0.15">
      <c r="A490" t="s">
        <v>21</v>
      </c>
      <c r="B490">
        <v>1001519</v>
      </c>
      <c r="C490">
        <v>366435</v>
      </c>
      <c r="F490" s="7">
        <v>1</v>
      </c>
      <c r="G490" s="7">
        <v>145</v>
      </c>
      <c r="H490" s="8">
        <v>139</v>
      </c>
      <c r="J490" t="s">
        <v>23</v>
      </c>
      <c r="K490" s="7">
        <v>810</v>
      </c>
      <c r="L490" s="9">
        <v>1</v>
      </c>
      <c r="M490" t="s">
        <v>549</v>
      </c>
      <c r="N490" t="s">
        <v>375</v>
      </c>
      <c r="O490" s="27" t="str">
        <f>HYPERLINK("https://www.ncbi.nlm.nih.gov/nuccore/NZ_FONG01000021.1?report=graph&amp;from=102565&amp;to=102569", "TTA_codon")</f>
        <v>TTA_codon</v>
      </c>
    </row>
    <row r="491" spans="1:15" x14ac:dyDescent="0.15">
      <c r="A491" t="s">
        <v>21</v>
      </c>
      <c r="B491">
        <v>1001519</v>
      </c>
      <c r="C491">
        <v>366692</v>
      </c>
      <c r="F491" s="7">
        <v>1</v>
      </c>
      <c r="G491" s="7">
        <v>286</v>
      </c>
      <c r="H491" s="8">
        <v>286</v>
      </c>
      <c r="J491" t="s">
        <v>23</v>
      </c>
      <c r="K491" s="7">
        <v>828</v>
      </c>
      <c r="L491" s="9">
        <v>1</v>
      </c>
      <c r="M491" t="s">
        <v>550</v>
      </c>
      <c r="N491" t="s">
        <v>180</v>
      </c>
      <c r="O491" s="27" t="str">
        <f>HYPERLINK("https://www.ncbi.nlm.nih.gov/nuccore/NZ_FRBI01000013.1?report=graph&amp;from=114469&amp;to=114473", "TTA_codon")</f>
        <v>TTA_codon</v>
      </c>
    </row>
    <row r="492" spans="1:15" x14ac:dyDescent="0.15">
      <c r="A492" t="s">
        <v>21</v>
      </c>
      <c r="B492" t="s">
        <v>551</v>
      </c>
    </row>
    <row r="493" spans="1:15" x14ac:dyDescent="0.15">
      <c r="A493" t="s">
        <v>21</v>
      </c>
      <c r="B493">
        <v>1000973</v>
      </c>
      <c r="C493">
        <v>353746</v>
      </c>
      <c r="F493" s="7">
        <v>1</v>
      </c>
      <c r="G493" s="7">
        <v>319</v>
      </c>
      <c r="H493" s="8">
        <v>319</v>
      </c>
      <c r="J493" t="s">
        <v>23</v>
      </c>
      <c r="K493" s="7">
        <v>2784</v>
      </c>
      <c r="L493" s="9">
        <v>1</v>
      </c>
      <c r="M493" t="s">
        <v>552</v>
      </c>
      <c r="N493" t="s">
        <v>246</v>
      </c>
      <c r="O493" s="27" t="str">
        <f>HYPERLINK("https://www.ncbi.nlm.nih.gov/nuccore/NZ_JNYR01000017.1?report=graph&amp;from=111960&amp;to=111964", "TTA_codon")</f>
        <v>TTA_codon</v>
      </c>
    </row>
    <row r="494" spans="1:15" x14ac:dyDescent="0.15">
      <c r="A494" t="s">
        <v>21</v>
      </c>
      <c r="B494">
        <v>1000973</v>
      </c>
      <c r="C494">
        <v>363617</v>
      </c>
      <c r="F494" s="7">
        <v>3</v>
      </c>
      <c r="G494" s="7" t="s">
        <v>553</v>
      </c>
      <c r="H494" s="8" t="s">
        <v>554</v>
      </c>
      <c r="J494" t="s">
        <v>23</v>
      </c>
      <c r="K494" s="7">
        <v>2742</v>
      </c>
      <c r="L494" s="9">
        <v>1</v>
      </c>
      <c r="M494" t="s">
        <v>101</v>
      </c>
      <c r="N494" t="s">
        <v>102</v>
      </c>
      <c r="O494" s="27" t="str">
        <f>HYPERLINK("https://www.ncbi.nlm.nih.gov/nuccore/NZ_CP019458.1?report=graph&amp;from=9878719&amp;to=9880709", "TTA_codon")</f>
        <v>TTA_codon</v>
      </c>
    </row>
    <row r="495" spans="1:15" x14ac:dyDescent="0.15">
      <c r="A495" t="s">
        <v>21</v>
      </c>
      <c r="B495">
        <v>1000973</v>
      </c>
      <c r="C495">
        <v>365590</v>
      </c>
      <c r="F495" s="7">
        <v>1</v>
      </c>
      <c r="G495" s="7">
        <v>355</v>
      </c>
      <c r="H495" s="8">
        <v>313</v>
      </c>
      <c r="J495" t="s">
        <v>23</v>
      </c>
      <c r="K495" s="7">
        <v>2742</v>
      </c>
      <c r="L495" s="9">
        <v>1</v>
      </c>
      <c r="M495" t="s">
        <v>213</v>
      </c>
      <c r="N495" t="s">
        <v>214</v>
      </c>
      <c r="O495" s="27" t="str">
        <f>HYPERLINK("https://www.ncbi.nlm.nih.gov/nuccore/NZ_FNST01000002.1?report=graph&amp;from=7550827&amp;to=7550831", "TTA_codon")</f>
        <v>TTA_codon</v>
      </c>
    </row>
    <row r="496" spans="1:15" x14ac:dyDescent="0.15">
      <c r="A496" t="s">
        <v>21</v>
      </c>
      <c r="B496" t="s">
        <v>555</v>
      </c>
    </row>
    <row r="497" spans="1:15" x14ac:dyDescent="0.15">
      <c r="A497" t="s">
        <v>21</v>
      </c>
      <c r="B497">
        <v>1000293</v>
      </c>
      <c r="C497">
        <v>347859</v>
      </c>
      <c r="F497" s="7">
        <v>1</v>
      </c>
      <c r="G497" s="7">
        <v>172</v>
      </c>
      <c r="H497" s="8">
        <v>154</v>
      </c>
      <c r="J497" t="s">
        <v>23</v>
      </c>
      <c r="K497" s="7">
        <v>1176</v>
      </c>
      <c r="L497" s="9">
        <v>1</v>
      </c>
      <c r="M497" t="s">
        <v>57</v>
      </c>
      <c r="N497" t="s">
        <v>58</v>
      </c>
      <c r="O497" s="27" t="str">
        <f>HYPERLINK("https://www.ncbi.nlm.nih.gov/nuccore/NC_013929.1?report=graph&amp;from=9103944&amp;to=9103948", "TTA_codon")</f>
        <v>TTA_codon</v>
      </c>
    </row>
    <row r="498" spans="1:15" x14ac:dyDescent="0.15">
      <c r="A498" t="s">
        <v>21</v>
      </c>
      <c r="B498">
        <v>1000293</v>
      </c>
      <c r="C498">
        <v>350843</v>
      </c>
      <c r="F498" s="7">
        <v>1</v>
      </c>
      <c r="G498" s="7">
        <v>61</v>
      </c>
      <c r="H498" s="8">
        <v>49</v>
      </c>
      <c r="J498" t="s">
        <v>23</v>
      </c>
      <c r="K498" s="7">
        <v>1200</v>
      </c>
      <c r="L498" s="9">
        <v>1</v>
      </c>
      <c r="M498" t="s">
        <v>556</v>
      </c>
      <c r="N498" t="s">
        <v>51</v>
      </c>
      <c r="O498" s="27" t="str">
        <f>HYPERLINK("https://www.ncbi.nlm.nih.gov/nuccore/NZ_AEJB01000371.1?report=graph&amp;from=7043&amp;to=7047", "TTA_codon")</f>
        <v>TTA_codon</v>
      </c>
    </row>
    <row r="499" spans="1:15" x14ac:dyDescent="0.15">
      <c r="A499" t="s">
        <v>21</v>
      </c>
      <c r="B499">
        <v>1000293</v>
      </c>
      <c r="C499">
        <v>354776</v>
      </c>
      <c r="F499" s="7">
        <v>1</v>
      </c>
      <c r="G499" s="7">
        <v>82</v>
      </c>
      <c r="H499" s="8">
        <v>58</v>
      </c>
      <c r="J499" t="s">
        <v>23</v>
      </c>
      <c r="K499" s="7">
        <v>1188</v>
      </c>
      <c r="L499" s="9">
        <v>1</v>
      </c>
      <c r="M499" t="s">
        <v>557</v>
      </c>
      <c r="N499" t="s">
        <v>272</v>
      </c>
      <c r="O499" s="27" t="str">
        <f>HYPERLINK("https://www.ncbi.nlm.nih.gov/nuccore/NZ_JOEY01000006.1?report=graph&amp;from=109894&amp;to=109898", "TTA_codon")</f>
        <v>TTA_codon</v>
      </c>
    </row>
    <row r="500" spans="1:15" x14ac:dyDescent="0.15">
      <c r="A500" t="s">
        <v>21</v>
      </c>
      <c r="B500">
        <v>1000293</v>
      </c>
      <c r="C500">
        <v>359919</v>
      </c>
      <c r="F500" s="7">
        <v>1</v>
      </c>
      <c r="G500" s="7">
        <v>82</v>
      </c>
      <c r="H500" s="8">
        <v>61</v>
      </c>
      <c r="J500" t="s">
        <v>23</v>
      </c>
      <c r="K500" s="7">
        <v>1191</v>
      </c>
      <c r="L500" s="9">
        <v>1</v>
      </c>
      <c r="M500" t="s">
        <v>558</v>
      </c>
      <c r="N500" t="s">
        <v>91</v>
      </c>
      <c r="O500" s="27" t="str">
        <f>HYPERLINK("https://www.ncbi.nlm.nih.gov/nuccore/NZ_KQ948318.1?report=graph&amp;from=72227&amp;to=72231", "TTA_codon")</f>
        <v>TTA_codon</v>
      </c>
    </row>
    <row r="501" spans="1:15" x14ac:dyDescent="0.15">
      <c r="A501" t="s">
        <v>21</v>
      </c>
      <c r="B501" t="s">
        <v>559</v>
      </c>
    </row>
    <row r="502" spans="1:15" x14ac:dyDescent="0.15">
      <c r="A502" t="s">
        <v>21</v>
      </c>
      <c r="B502">
        <v>1000969</v>
      </c>
      <c r="C502">
        <v>353718</v>
      </c>
      <c r="F502" s="7">
        <v>1</v>
      </c>
      <c r="G502" s="7">
        <v>37</v>
      </c>
      <c r="H502" s="8">
        <v>37</v>
      </c>
      <c r="J502" t="s">
        <v>23</v>
      </c>
      <c r="K502" s="7">
        <v>1446</v>
      </c>
      <c r="L502" s="9">
        <v>1</v>
      </c>
      <c r="M502" t="s">
        <v>560</v>
      </c>
      <c r="N502" t="s">
        <v>246</v>
      </c>
      <c r="O502" s="27" t="str">
        <f>HYPERLINK("https://www.ncbi.nlm.nih.gov/nuccore/NZ_JNYR01000013.1?report=graph&amp;from=67355&amp;to=67359", "TTA_codon")</f>
        <v>TTA_codon</v>
      </c>
    </row>
    <row r="503" spans="1:15" x14ac:dyDescent="0.15">
      <c r="A503" t="s">
        <v>21</v>
      </c>
      <c r="B503">
        <v>1000969</v>
      </c>
      <c r="C503">
        <v>354153</v>
      </c>
      <c r="F503" s="7">
        <v>1</v>
      </c>
      <c r="G503" s="7">
        <v>37</v>
      </c>
      <c r="H503" s="8">
        <v>37</v>
      </c>
      <c r="J503" t="s">
        <v>23</v>
      </c>
      <c r="K503" s="7">
        <v>1353</v>
      </c>
      <c r="L503" s="9">
        <v>1</v>
      </c>
      <c r="M503" t="s">
        <v>561</v>
      </c>
      <c r="N503" t="s">
        <v>361</v>
      </c>
      <c r="O503" s="27" t="str">
        <f>HYPERLINK("https://www.ncbi.nlm.nih.gov/nuccore/NZ_JODY01000003.1?report=graph&amp;from=5757&amp;to=5761", "TTA_codon")</f>
        <v>TTA_codon</v>
      </c>
    </row>
    <row r="504" spans="1:15" x14ac:dyDescent="0.15">
      <c r="A504" t="s">
        <v>195</v>
      </c>
      <c r="B504" t="s">
        <v>562</v>
      </c>
    </row>
    <row r="505" spans="1:15" x14ac:dyDescent="0.15">
      <c r="A505" t="s">
        <v>195</v>
      </c>
      <c r="B505">
        <v>1000565</v>
      </c>
      <c r="C505">
        <v>346698</v>
      </c>
      <c r="F505" s="7">
        <v>2</v>
      </c>
      <c r="G505" s="7" t="s">
        <v>563</v>
      </c>
      <c r="H505" s="8" t="s">
        <v>564</v>
      </c>
      <c r="J505" t="s">
        <v>23</v>
      </c>
      <c r="K505" s="7">
        <v>1359</v>
      </c>
      <c r="L505" s="9">
        <v>1</v>
      </c>
      <c r="M505" t="s">
        <v>565</v>
      </c>
      <c r="N505" t="s">
        <v>451</v>
      </c>
      <c r="O505" s="27" t="str">
        <f>HYPERLINK("https://www.ncbi.nlm.nih.gov/nuccore/NZ_LIQZ01000214.1?report=graph&amp;from=39924&amp;to=40261", "TTA_codon")</f>
        <v>TTA_codon</v>
      </c>
    </row>
    <row r="506" spans="1:15" x14ac:dyDescent="0.15">
      <c r="A506" t="s">
        <v>21</v>
      </c>
      <c r="B506">
        <v>1000565</v>
      </c>
      <c r="C506">
        <v>347247</v>
      </c>
      <c r="F506" s="7">
        <v>1</v>
      </c>
      <c r="G506" s="7">
        <v>1078</v>
      </c>
      <c r="H506" s="8">
        <v>778</v>
      </c>
      <c r="J506" t="s">
        <v>23</v>
      </c>
      <c r="K506" s="7">
        <v>1410</v>
      </c>
      <c r="L506" s="9">
        <v>1</v>
      </c>
      <c r="M506" t="s">
        <v>53</v>
      </c>
      <c r="N506" t="s">
        <v>54</v>
      </c>
      <c r="O506" s="27" t="str">
        <f>HYPERLINK("https://www.ncbi.nlm.nih.gov/nuccore/NC_003155.5?report=graph&amp;from=5044564&amp;to=5044568", "TTA_codon")</f>
        <v>TTA_codon</v>
      </c>
    </row>
    <row r="507" spans="1:15" x14ac:dyDescent="0.15">
      <c r="A507" t="s">
        <v>21</v>
      </c>
      <c r="B507">
        <v>1000565</v>
      </c>
      <c r="C507">
        <v>347753</v>
      </c>
      <c r="F507" s="7">
        <v>1</v>
      </c>
      <c r="G507" s="7">
        <v>982</v>
      </c>
      <c r="H507" s="8">
        <v>625</v>
      </c>
      <c r="J507" t="s">
        <v>23</v>
      </c>
      <c r="K507" s="7">
        <v>1362</v>
      </c>
      <c r="L507" s="9">
        <v>1</v>
      </c>
      <c r="M507" t="s">
        <v>57</v>
      </c>
      <c r="N507" t="s">
        <v>58</v>
      </c>
      <c r="O507" s="27" t="str">
        <f>HYPERLINK("https://www.ncbi.nlm.nih.gov/nuccore/NC_013929.1?report=graph&amp;from=5943204&amp;to=5943208", "TTA_codon")</f>
        <v>TTA_codon</v>
      </c>
    </row>
    <row r="508" spans="1:15" x14ac:dyDescent="0.15">
      <c r="A508" t="s">
        <v>21</v>
      </c>
      <c r="B508">
        <v>1000565</v>
      </c>
      <c r="C508">
        <v>349459</v>
      </c>
      <c r="F508" s="7">
        <v>2</v>
      </c>
      <c r="G508" s="7" t="s">
        <v>563</v>
      </c>
      <c r="H508" s="8" t="s">
        <v>564</v>
      </c>
      <c r="J508" t="s">
        <v>23</v>
      </c>
      <c r="K508" s="7">
        <v>1359</v>
      </c>
      <c r="L508" s="9">
        <v>1</v>
      </c>
      <c r="M508" t="s">
        <v>479</v>
      </c>
      <c r="N508" t="s">
        <v>64</v>
      </c>
      <c r="O508" s="27" t="str">
        <f>HYPERLINK("https://www.ncbi.nlm.nih.gov/nuccore/NZ_AEYX01000001.1?report=graph&amp;from=7752&amp;to=8089", "TTA_codon")</f>
        <v>TTA_codon</v>
      </c>
    </row>
    <row r="509" spans="1:15" x14ac:dyDescent="0.15">
      <c r="A509" t="s">
        <v>21</v>
      </c>
      <c r="B509">
        <v>1000565</v>
      </c>
      <c r="C509">
        <v>349588</v>
      </c>
      <c r="F509" s="7">
        <v>1</v>
      </c>
      <c r="G509" s="7">
        <v>919</v>
      </c>
      <c r="H509" s="8">
        <v>622</v>
      </c>
      <c r="J509" t="s">
        <v>23</v>
      </c>
      <c r="K509" s="7">
        <v>1413</v>
      </c>
      <c r="L509" s="9">
        <v>1</v>
      </c>
      <c r="M509" t="s">
        <v>534</v>
      </c>
      <c r="N509" t="s">
        <v>335</v>
      </c>
      <c r="O509" s="27" t="str">
        <f>HYPERLINK("https://www.ncbi.nlm.nih.gov/nuccore/NZ_AGBF01000018.1?report=graph&amp;from=8016&amp;to=8020", "TTA_codon")</f>
        <v>TTA_codon</v>
      </c>
    </row>
    <row r="510" spans="1:15" x14ac:dyDescent="0.15">
      <c r="A510" t="s">
        <v>21</v>
      </c>
      <c r="B510">
        <v>1000565</v>
      </c>
      <c r="C510">
        <v>349933</v>
      </c>
      <c r="F510" s="7">
        <v>1</v>
      </c>
      <c r="G510" s="7">
        <v>175</v>
      </c>
      <c r="H510" s="8">
        <v>97</v>
      </c>
      <c r="J510" t="s">
        <v>23</v>
      </c>
      <c r="K510" s="7">
        <v>1404</v>
      </c>
      <c r="L510" s="9">
        <v>1</v>
      </c>
      <c r="M510" t="s">
        <v>566</v>
      </c>
      <c r="N510" t="s">
        <v>249</v>
      </c>
      <c r="O510" s="27" t="str">
        <f>HYPERLINK("https://www.ncbi.nlm.nih.gov/nuccore/NZ_AHBF01000021.1?report=graph&amp;from=16471&amp;to=16475", "TTA_codon")</f>
        <v>TTA_codon</v>
      </c>
    </row>
    <row r="511" spans="1:15" x14ac:dyDescent="0.15">
      <c r="A511" t="s">
        <v>21</v>
      </c>
      <c r="B511">
        <v>1000565</v>
      </c>
      <c r="C511">
        <v>351021</v>
      </c>
      <c r="F511" s="7">
        <v>2</v>
      </c>
      <c r="G511" s="7" t="s">
        <v>567</v>
      </c>
      <c r="H511" s="8" t="s">
        <v>568</v>
      </c>
      <c r="J511" t="s">
        <v>23</v>
      </c>
      <c r="K511" s="7">
        <v>1437</v>
      </c>
      <c r="L511" s="9">
        <v>1</v>
      </c>
      <c r="M511" t="s">
        <v>569</v>
      </c>
      <c r="N511" t="s">
        <v>136</v>
      </c>
      <c r="O511" s="27" t="str">
        <f>HYPERLINK("https://www.ncbi.nlm.nih.gov/nuccore/NZ_AORZ01000134.1?report=graph&amp;from=13361&amp;to=14268", "TTA_codon")</f>
        <v>TTA_codon</v>
      </c>
    </row>
    <row r="512" spans="1:15" x14ac:dyDescent="0.15">
      <c r="A512" t="s">
        <v>21</v>
      </c>
      <c r="B512">
        <v>1000565</v>
      </c>
      <c r="C512">
        <v>352288</v>
      </c>
      <c r="F512" s="7">
        <v>1</v>
      </c>
      <c r="G512" s="7">
        <v>166</v>
      </c>
      <c r="H512" s="8">
        <v>91</v>
      </c>
      <c r="J512" t="s">
        <v>23</v>
      </c>
      <c r="K512" s="7">
        <v>1383</v>
      </c>
      <c r="L512" s="9">
        <v>1</v>
      </c>
      <c r="M512" t="s">
        <v>570</v>
      </c>
      <c r="N512" t="s">
        <v>72</v>
      </c>
      <c r="O512" s="27" t="str">
        <f>HYPERLINK("https://www.ncbi.nlm.nih.gov/nuccore/NZ_KB905814.1?report=graph&amp;from=274898&amp;to=274902", "TTA_codon")</f>
        <v>TTA_codon</v>
      </c>
    </row>
    <row r="513" spans="1:15" x14ac:dyDescent="0.15">
      <c r="A513" t="s">
        <v>21</v>
      </c>
      <c r="B513">
        <v>1000565</v>
      </c>
      <c r="C513">
        <v>352564</v>
      </c>
      <c r="F513" s="7">
        <v>1</v>
      </c>
      <c r="G513" s="7">
        <v>919</v>
      </c>
      <c r="H513" s="8">
        <v>631</v>
      </c>
      <c r="J513" t="s">
        <v>23</v>
      </c>
      <c r="K513" s="7">
        <v>1419</v>
      </c>
      <c r="L513" s="9">
        <v>1</v>
      </c>
      <c r="M513" t="s">
        <v>571</v>
      </c>
      <c r="N513" t="s">
        <v>436</v>
      </c>
      <c r="O513" s="27" t="str">
        <f>HYPERLINK("https://www.ncbi.nlm.nih.gov/nuccore/NZ_AUBE01000034.1?report=graph&amp;from=4454&amp;to=4458", "TTA_codon")</f>
        <v>TTA_codon</v>
      </c>
    </row>
    <row r="514" spans="1:15" x14ac:dyDescent="0.15">
      <c r="A514" t="s">
        <v>21</v>
      </c>
      <c r="B514">
        <v>1000565</v>
      </c>
      <c r="C514">
        <v>353989</v>
      </c>
      <c r="F514" s="7">
        <v>1</v>
      </c>
      <c r="G514" s="7">
        <v>940</v>
      </c>
      <c r="H514" s="8">
        <v>820</v>
      </c>
      <c r="J514" t="s">
        <v>23</v>
      </c>
      <c r="K514" s="7">
        <v>1587</v>
      </c>
      <c r="L514" s="9">
        <v>1</v>
      </c>
      <c r="M514" t="s">
        <v>572</v>
      </c>
      <c r="N514" t="s">
        <v>270</v>
      </c>
      <c r="O514" s="27" t="str">
        <f>HYPERLINK("https://www.ncbi.nlm.nih.gov/nuccore/NZ_JOBH01000010.1?report=graph&amp;from=13606&amp;to=13610", "TTA_codon")</f>
        <v>TTA_codon</v>
      </c>
    </row>
    <row r="515" spans="1:15" x14ac:dyDescent="0.15">
      <c r="A515" t="s">
        <v>21</v>
      </c>
      <c r="B515">
        <v>1000565</v>
      </c>
      <c r="C515">
        <v>355386</v>
      </c>
      <c r="F515" s="7">
        <v>1</v>
      </c>
      <c r="G515" s="7">
        <v>175</v>
      </c>
      <c r="H515" s="8">
        <v>103</v>
      </c>
      <c r="J515" t="s">
        <v>23</v>
      </c>
      <c r="K515" s="7">
        <v>1425</v>
      </c>
      <c r="L515" s="9">
        <v>1</v>
      </c>
      <c r="M515" t="s">
        <v>573</v>
      </c>
      <c r="N515" t="s">
        <v>198</v>
      </c>
      <c r="O515" s="27" t="str">
        <f>HYPERLINK("https://www.ncbi.nlm.nih.gov/nuccore/NZ_JOFL01000002.1?report=graph&amp;from=173661&amp;to=173665", "TTA_codon")</f>
        <v>TTA_codon</v>
      </c>
    </row>
    <row r="516" spans="1:15" x14ac:dyDescent="0.15">
      <c r="A516" t="s">
        <v>21</v>
      </c>
      <c r="B516">
        <v>1000565</v>
      </c>
      <c r="C516">
        <v>357683</v>
      </c>
      <c r="F516" s="7">
        <v>1</v>
      </c>
      <c r="G516" s="7">
        <v>919</v>
      </c>
      <c r="H516" s="8">
        <v>619</v>
      </c>
      <c r="J516" t="s">
        <v>23</v>
      </c>
      <c r="K516" s="7">
        <v>1407</v>
      </c>
      <c r="L516" s="9">
        <v>1</v>
      </c>
      <c r="M516" t="s">
        <v>574</v>
      </c>
      <c r="N516" t="s">
        <v>83</v>
      </c>
      <c r="O516" s="27" t="str">
        <f>HYPERLINK("https://www.ncbi.nlm.nih.gov/nuccore/NZ_DF968333.1?report=graph&amp;from=16094&amp;to=16098", "TTA_codon")</f>
        <v>TTA_codon</v>
      </c>
    </row>
    <row r="517" spans="1:15" x14ac:dyDescent="0.15">
      <c r="A517" t="s">
        <v>21</v>
      </c>
      <c r="B517">
        <v>1000565</v>
      </c>
      <c r="C517">
        <v>358336</v>
      </c>
      <c r="F517" s="7">
        <v>1</v>
      </c>
      <c r="G517" s="7">
        <v>310</v>
      </c>
      <c r="H517" s="8">
        <v>208</v>
      </c>
      <c r="J517" t="s">
        <v>23</v>
      </c>
      <c r="K517" s="7">
        <v>1359</v>
      </c>
      <c r="L517" s="9">
        <v>1</v>
      </c>
      <c r="M517" t="s">
        <v>575</v>
      </c>
      <c r="N517" t="s">
        <v>85</v>
      </c>
      <c r="O517" s="27" t="str">
        <f>HYPERLINK("https://www.ncbi.nlm.nih.gov/nuccore/NZ_LIQX01000120.1?report=graph&amp;from=19763&amp;to=19767", "TTA_codon")</f>
        <v>TTA_codon</v>
      </c>
    </row>
    <row r="518" spans="1:15" x14ac:dyDescent="0.15">
      <c r="A518" t="s">
        <v>21</v>
      </c>
      <c r="B518">
        <v>1000565</v>
      </c>
      <c r="C518">
        <v>358337</v>
      </c>
      <c r="F518" s="7">
        <v>1</v>
      </c>
      <c r="G518" s="7">
        <v>154</v>
      </c>
      <c r="H518" s="8">
        <v>64</v>
      </c>
      <c r="J518" t="s">
        <v>23</v>
      </c>
      <c r="K518" s="7">
        <v>1335</v>
      </c>
      <c r="L518" s="9">
        <v>1</v>
      </c>
      <c r="M518" t="s">
        <v>576</v>
      </c>
      <c r="N518" t="s">
        <v>85</v>
      </c>
      <c r="O518" s="27" t="str">
        <f>HYPERLINK("https://www.ncbi.nlm.nih.gov/nuccore/NZ_LIQX01000042.1?report=graph&amp;from=6970&amp;to=6974", "TTA_codon")</f>
        <v>TTA_codon</v>
      </c>
    </row>
    <row r="519" spans="1:15" x14ac:dyDescent="0.15">
      <c r="A519" t="s">
        <v>21</v>
      </c>
      <c r="B519">
        <v>1000565</v>
      </c>
      <c r="C519">
        <v>359025</v>
      </c>
      <c r="F519" s="7">
        <v>1</v>
      </c>
      <c r="G519" s="7">
        <v>919</v>
      </c>
      <c r="H519" s="8">
        <v>622</v>
      </c>
      <c r="J519" t="s">
        <v>23</v>
      </c>
      <c r="K519" s="7">
        <v>1410</v>
      </c>
      <c r="L519" s="9">
        <v>1</v>
      </c>
      <c r="M519" t="s">
        <v>577</v>
      </c>
      <c r="N519" t="s">
        <v>451</v>
      </c>
      <c r="O519" s="27" t="str">
        <f>HYPERLINK("https://www.ncbi.nlm.nih.gov/nuccore/NZ_LIQZ01000097.1?report=graph&amp;from=3470&amp;to=3474", "TTA_codon")</f>
        <v>TTA_codon</v>
      </c>
    </row>
    <row r="520" spans="1:15" x14ac:dyDescent="0.15">
      <c r="A520" t="s">
        <v>21</v>
      </c>
      <c r="B520">
        <v>1000565</v>
      </c>
      <c r="C520">
        <v>359278</v>
      </c>
      <c r="F520" s="7">
        <v>1</v>
      </c>
      <c r="G520" s="7">
        <v>904</v>
      </c>
      <c r="H520" s="8">
        <v>553</v>
      </c>
      <c r="J520" t="s">
        <v>23</v>
      </c>
      <c r="K520" s="7">
        <v>1362</v>
      </c>
      <c r="L520" s="9">
        <v>1</v>
      </c>
      <c r="M520" t="s">
        <v>578</v>
      </c>
      <c r="N520" t="s">
        <v>89</v>
      </c>
      <c r="O520" s="27" t="str">
        <f>HYPERLINK("https://www.ncbi.nlm.nih.gov/nuccore/NZ_LIRG01000031.1?report=graph&amp;from=9034&amp;to=9038", "TTA_codon")</f>
        <v>TTA_codon</v>
      </c>
    </row>
    <row r="521" spans="1:15" x14ac:dyDescent="0.15">
      <c r="A521" t="s">
        <v>21</v>
      </c>
      <c r="B521">
        <v>1000565</v>
      </c>
      <c r="C521">
        <v>360897</v>
      </c>
      <c r="F521" s="7">
        <v>1</v>
      </c>
      <c r="G521" s="7">
        <v>1078</v>
      </c>
      <c r="H521" s="8">
        <v>796</v>
      </c>
      <c r="J521" t="s">
        <v>23</v>
      </c>
      <c r="K521" s="7">
        <v>1428</v>
      </c>
      <c r="L521" s="9">
        <v>1</v>
      </c>
      <c r="M521" t="s">
        <v>579</v>
      </c>
      <c r="N521" t="s">
        <v>97</v>
      </c>
      <c r="O521" s="27" t="str">
        <f>HYPERLINK("https://www.ncbi.nlm.nih.gov/nuccore/NZ_LOHS01000052.1?report=graph&amp;from=15034&amp;to=15038", "TTA_codon")</f>
        <v>TTA_codon</v>
      </c>
    </row>
    <row r="522" spans="1:15" x14ac:dyDescent="0.15">
      <c r="A522" t="s">
        <v>21</v>
      </c>
      <c r="B522">
        <v>1000565</v>
      </c>
      <c r="C522">
        <v>361564</v>
      </c>
      <c r="F522" s="7">
        <v>1</v>
      </c>
      <c r="G522" s="7">
        <v>244</v>
      </c>
      <c r="H522" s="8">
        <v>163</v>
      </c>
      <c r="J522" t="s">
        <v>23</v>
      </c>
      <c r="K522" s="7">
        <v>1437</v>
      </c>
      <c r="L522" s="9">
        <v>1</v>
      </c>
      <c r="M522" t="s">
        <v>37</v>
      </c>
      <c r="N522" t="s">
        <v>38</v>
      </c>
      <c r="O522" s="27" t="str">
        <f>HYPERLINK("https://www.ncbi.nlm.nih.gov/nuccore/NZ_CP011533.1?report=graph&amp;from=9689718&amp;to=9689722", "TTA_codon")</f>
        <v>TTA_codon</v>
      </c>
    </row>
    <row r="523" spans="1:15" x14ac:dyDescent="0.15">
      <c r="A523" t="s">
        <v>21</v>
      </c>
      <c r="B523">
        <v>1000565</v>
      </c>
      <c r="C523">
        <v>362201</v>
      </c>
      <c r="F523" s="7">
        <v>1</v>
      </c>
      <c r="G523" s="7">
        <v>1078</v>
      </c>
      <c r="H523" s="8">
        <v>721</v>
      </c>
      <c r="J523" t="s">
        <v>23</v>
      </c>
      <c r="K523" s="7">
        <v>1356</v>
      </c>
      <c r="L523" s="9">
        <v>1</v>
      </c>
      <c r="M523" t="s">
        <v>39</v>
      </c>
      <c r="N523" t="s">
        <v>40</v>
      </c>
      <c r="O523" s="27" t="str">
        <f>HYPERLINK("https://www.ncbi.nlm.nih.gov/nuccore/NZ_CP017157.1?report=graph&amp;from=1730969&amp;to=1730973", "TTA_codon")</f>
        <v>TTA_codon</v>
      </c>
    </row>
    <row r="524" spans="1:15" x14ac:dyDescent="0.15">
      <c r="A524" t="s">
        <v>21</v>
      </c>
      <c r="B524">
        <v>1000565</v>
      </c>
      <c r="C524">
        <v>362809</v>
      </c>
      <c r="F524" s="7">
        <v>2</v>
      </c>
      <c r="G524" s="7" t="s">
        <v>580</v>
      </c>
      <c r="H524" s="8" t="s">
        <v>581</v>
      </c>
      <c r="J524" t="s">
        <v>23</v>
      </c>
      <c r="K524" s="7">
        <v>1386</v>
      </c>
      <c r="L524" s="9">
        <v>1</v>
      </c>
      <c r="M524" t="s">
        <v>582</v>
      </c>
      <c r="N524" t="s">
        <v>156</v>
      </c>
      <c r="O524" s="27" t="str">
        <f>HYPERLINK("https://www.ncbi.nlm.nih.gov/nuccore/NZ_LJGW01000377.1?report=graph&amp;from=38958&amp;to=40093", "TTA_codon")</f>
        <v>TTA_codon</v>
      </c>
    </row>
    <row r="525" spans="1:15" x14ac:dyDescent="0.15">
      <c r="A525" t="s">
        <v>21</v>
      </c>
      <c r="B525">
        <v>1000565</v>
      </c>
      <c r="C525">
        <v>363250</v>
      </c>
      <c r="F525" s="7">
        <v>2</v>
      </c>
      <c r="G525" s="7" t="s">
        <v>583</v>
      </c>
      <c r="H525" s="8" t="s">
        <v>584</v>
      </c>
      <c r="J525" t="s">
        <v>23</v>
      </c>
      <c r="K525" s="7">
        <v>1347</v>
      </c>
      <c r="L525" s="9">
        <v>1</v>
      </c>
      <c r="M525" t="s">
        <v>585</v>
      </c>
      <c r="N525" t="s">
        <v>28</v>
      </c>
      <c r="O525" s="27" t="str">
        <f>HYPERLINK("https://www.ncbi.nlm.nih.gov/nuccore/NZ_JUJA01000030.1?report=graph&amp;from=3527&amp;to=3861", "TTA_codon")</f>
        <v>TTA_codon</v>
      </c>
    </row>
    <row r="526" spans="1:15" x14ac:dyDescent="0.15">
      <c r="A526" t="s">
        <v>21</v>
      </c>
      <c r="B526">
        <v>1000565</v>
      </c>
      <c r="C526">
        <v>363585</v>
      </c>
      <c r="F526" s="7">
        <v>1</v>
      </c>
      <c r="G526" s="7">
        <v>187</v>
      </c>
      <c r="H526" s="8">
        <v>136</v>
      </c>
      <c r="J526" t="s">
        <v>23</v>
      </c>
      <c r="K526" s="7">
        <v>1500</v>
      </c>
      <c r="L526" s="9">
        <v>1</v>
      </c>
      <c r="M526" t="s">
        <v>101</v>
      </c>
      <c r="N526" t="s">
        <v>102</v>
      </c>
      <c r="O526" s="27" t="str">
        <f>HYPERLINK("https://www.ncbi.nlm.nih.gov/nuccore/NZ_CP019458.1?report=graph&amp;from=7637775&amp;to=7637779", "TTA_codon")</f>
        <v>TTA_codon</v>
      </c>
    </row>
    <row r="527" spans="1:15" x14ac:dyDescent="0.15">
      <c r="A527" t="s">
        <v>21</v>
      </c>
      <c r="B527">
        <v>1000565</v>
      </c>
      <c r="C527">
        <v>364659</v>
      </c>
      <c r="F527" s="7">
        <v>1</v>
      </c>
      <c r="G527" s="7">
        <v>445</v>
      </c>
      <c r="H527" s="8">
        <v>385</v>
      </c>
      <c r="J527" t="s">
        <v>23</v>
      </c>
      <c r="K527" s="7">
        <v>1479</v>
      </c>
      <c r="L527" s="9">
        <v>1</v>
      </c>
      <c r="M527" t="s">
        <v>586</v>
      </c>
      <c r="N527" t="s">
        <v>110</v>
      </c>
      <c r="O527" s="27" t="str">
        <f>HYPERLINK("https://www.ncbi.nlm.nih.gov/nuccore/NZ_MUME01000034.1?report=graph&amp;from=49489&amp;to=49493", "TTA_codon")</f>
        <v>TTA_codon</v>
      </c>
    </row>
    <row r="528" spans="1:15" x14ac:dyDescent="0.15">
      <c r="A528" t="s">
        <v>21</v>
      </c>
      <c r="B528">
        <v>1000565</v>
      </c>
      <c r="C528">
        <v>364989</v>
      </c>
      <c r="F528" s="7">
        <v>1</v>
      </c>
      <c r="G528" s="7">
        <v>175</v>
      </c>
      <c r="H528" s="8">
        <v>103</v>
      </c>
      <c r="J528" t="s">
        <v>23</v>
      </c>
      <c r="K528" s="7">
        <v>1437</v>
      </c>
      <c r="L528" s="9">
        <v>1</v>
      </c>
      <c r="M528" t="s">
        <v>111</v>
      </c>
      <c r="N528" t="s">
        <v>112</v>
      </c>
      <c r="O528" s="27" t="str">
        <f>HYPERLINK("https://www.ncbi.nlm.nih.gov/nuccore/NZ_CP021744.1?report=graph&amp;from=5560222&amp;to=5560226", "TTA_codon")</f>
        <v>TTA_codon</v>
      </c>
    </row>
    <row r="529" spans="1:15" x14ac:dyDescent="0.15">
      <c r="A529" t="s">
        <v>21</v>
      </c>
      <c r="B529">
        <v>1000565</v>
      </c>
      <c r="C529">
        <v>365210</v>
      </c>
      <c r="F529" s="7">
        <v>1</v>
      </c>
      <c r="G529" s="7">
        <v>484</v>
      </c>
      <c r="H529" s="8">
        <v>367</v>
      </c>
      <c r="J529" t="s">
        <v>23</v>
      </c>
      <c r="K529" s="7">
        <v>1425</v>
      </c>
      <c r="L529" s="9">
        <v>1</v>
      </c>
      <c r="M529" t="s">
        <v>587</v>
      </c>
      <c r="N529" t="s">
        <v>347</v>
      </c>
      <c r="O529" s="27" t="str">
        <f>HYPERLINK("https://www.ncbi.nlm.nih.gov/nuccore/NZ_FNFF01000004.1?report=graph&amp;from=214174&amp;to=214178", "TTA_codon")</f>
        <v>TTA_codon</v>
      </c>
    </row>
    <row r="530" spans="1:15" x14ac:dyDescent="0.15">
      <c r="A530" t="s">
        <v>21</v>
      </c>
      <c r="B530">
        <v>1000565</v>
      </c>
      <c r="C530">
        <v>365323</v>
      </c>
      <c r="F530" s="7">
        <v>1</v>
      </c>
      <c r="G530" s="7">
        <v>919</v>
      </c>
      <c r="H530" s="8">
        <v>679</v>
      </c>
      <c r="J530" t="s">
        <v>23</v>
      </c>
      <c r="K530" s="7">
        <v>1467</v>
      </c>
      <c r="L530" s="9">
        <v>1</v>
      </c>
      <c r="M530" t="s">
        <v>588</v>
      </c>
      <c r="N530" t="s">
        <v>129</v>
      </c>
      <c r="O530" s="27" t="str">
        <f>HYPERLINK("https://www.ncbi.nlm.nih.gov/nuccore/NZ_FNHI01000010.1?report=graph&amp;from=13124&amp;to=13128", "TTA_codon")</f>
        <v>TTA_codon</v>
      </c>
    </row>
    <row r="531" spans="1:15" x14ac:dyDescent="0.15">
      <c r="A531" t="s">
        <v>21</v>
      </c>
      <c r="B531">
        <v>1000565</v>
      </c>
      <c r="C531">
        <v>365559</v>
      </c>
      <c r="F531" s="7">
        <v>1</v>
      </c>
      <c r="G531" s="7">
        <v>187</v>
      </c>
      <c r="H531" s="8">
        <v>136</v>
      </c>
      <c r="J531" t="s">
        <v>23</v>
      </c>
      <c r="K531" s="7">
        <v>1500</v>
      </c>
      <c r="L531" s="9">
        <v>1</v>
      </c>
      <c r="M531" t="s">
        <v>213</v>
      </c>
      <c r="N531" t="s">
        <v>214</v>
      </c>
      <c r="O531" s="27" t="str">
        <f>HYPERLINK("https://www.ncbi.nlm.nih.gov/nuccore/NZ_FNST01000002.1?report=graph&amp;from=5087567&amp;to=5087571", "TTA_codon")</f>
        <v>TTA_codon</v>
      </c>
    </row>
    <row r="532" spans="1:15" x14ac:dyDescent="0.15">
      <c r="A532" t="s">
        <v>21</v>
      </c>
      <c r="B532" t="s">
        <v>589</v>
      </c>
    </row>
    <row r="533" spans="1:15" x14ac:dyDescent="0.15">
      <c r="A533" t="s">
        <v>21</v>
      </c>
      <c r="B533">
        <v>1000946</v>
      </c>
      <c r="C533">
        <v>353465</v>
      </c>
      <c r="F533" s="7">
        <v>1</v>
      </c>
      <c r="G533" s="7">
        <v>328</v>
      </c>
      <c r="H533" s="8">
        <v>205</v>
      </c>
      <c r="J533" t="s">
        <v>23</v>
      </c>
      <c r="K533" s="7">
        <v>366</v>
      </c>
      <c r="L533" s="9">
        <v>1</v>
      </c>
      <c r="M533" t="s">
        <v>590</v>
      </c>
      <c r="N533" t="s">
        <v>169</v>
      </c>
      <c r="O533" s="27" t="str">
        <f>HYPERLINK("https://www.ncbi.nlm.nih.gov/nuccore/NZ_JNWJ01000005.1?report=graph&amp;from=115845&amp;to=115849", "TTA_codon")</f>
        <v>TTA_codon</v>
      </c>
    </row>
    <row r="534" spans="1:15" x14ac:dyDescent="0.15">
      <c r="A534" t="s">
        <v>21</v>
      </c>
      <c r="B534">
        <v>1000946</v>
      </c>
      <c r="C534">
        <v>358897</v>
      </c>
      <c r="F534" s="7">
        <v>2</v>
      </c>
      <c r="G534" s="7" t="s">
        <v>591</v>
      </c>
      <c r="H534" s="8" t="s">
        <v>591</v>
      </c>
      <c r="J534" t="s">
        <v>23</v>
      </c>
      <c r="K534" s="7">
        <v>489</v>
      </c>
      <c r="L534" s="9">
        <v>1</v>
      </c>
      <c r="M534" t="s">
        <v>592</v>
      </c>
      <c r="N534" t="s">
        <v>87</v>
      </c>
      <c r="O534" s="27" t="str">
        <f>HYPERLINK("https://www.ncbi.nlm.nih.gov/nuccore/NZ_LIQS01000272.1?report=graph&amp;from=6321&amp;to=6388", "TTA_codon")</f>
        <v>TTA_codon</v>
      </c>
    </row>
    <row r="535" spans="1:15" x14ac:dyDescent="0.15">
      <c r="A535" t="s">
        <v>21</v>
      </c>
      <c r="B535" t="s">
        <v>593</v>
      </c>
    </row>
    <row r="536" spans="1:15" x14ac:dyDescent="0.15">
      <c r="A536" t="s">
        <v>21</v>
      </c>
      <c r="B536">
        <v>1000916</v>
      </c>
      <c r="C536">
        <v>353145</v>
      </c>
      <c r="F536" s="7">
        <v>1</v>
      </c>
      <c r="G536" s="7">
        <v>49</v>
      </c>
      <c r="H536" s="8">
        <v>43</v>
      </c>
      <c r="J536" t="s">
        <v>23</v>
      </c>
      <c r="K536" s="7">
        <v>774</v>
      </c>
      <c r="L536" s="9">
        <v>-1</v>
      </c>
      <c r="M536" t="s">
        <v>594</v>
      </c>
      <c r="N536" t="s">
        <v>169</v>
      </c>
      <c r="O536" s="27" t="str">
        <f>HYPERLINK("https://www.ncbi.nlm.nih.gov/nuccore/NZ_JNWJ01000108.1?report=graph&amp;from=9807&amp;to=9811", "TTA_codon")</f>
        <v>TTA_codon</v>
      </c>
    </row>
    <row r="537" spans="1:15" x14ac:dyDescent="0.15">
      <c r="A537" t="s">
        <v>21</v>
      </c>
      <c r="B537">
        <v>1000916</v>
      </c>
      <c r="C537">
        <v>359269</v>
      </c>
      <c r="F537" s="7">
        <v>1</v>
      </c>
      <c r="G537" s="7">
        <v>61</v>
      </c>
      <c r="H537" s="8">
        <v>61</v>
      </c>
      <c r="J537" t="s">
        <v>23</v>
      </c>
      <c r="K537" s="7">
        <v>804</v>
      </c>
      <c r="L537" s="9">
        <v>-1</v>
      </c>
      <c r="M537" t="s">
        <v>595</v>
      </c>
      <c r="N537" t="s">
        <v>89</v>
      </c>
      <c r="O537" s="27" t="str">
        <f>HYPERLINK("https://www.ncbi.nlm.nih.gov/nuccore/NZ_LIRG01000370.1?report=graph&amp;from=10336&amp;to=10340", "TTA_codon")</f>
        <v>TTA_codon</v>
      </c>
    </row>
    <row r="538" spans="1:15" x14ac:dyDescent="0.15">
      <c r="A538" t="s">
        <v>21</v>
      </c>
      <c r="B538" t="s">
        <v>596</v>
      </c>
    </row>
    <row r="539" spans="1:15" x14ac:dyDescent="0.15">
      <c r="A539" t="s">
        <v>21</v>
      </c>
      <c r="B539">
        <v>1001517</v>
      </c>
      <c r="C539">
        <v>347653</v>
      </c>
      <c r="F539" s="7">
        <v>1</v>
      </c>
      <c r="G539" s="7">
        <v>403</v>
      </c>
      <c r="H539" s="8">
        <v>385</v>
      </c>
      <c r="J539" t="s">
        <v>23</v>
      </c>
      <c r="K539" s="7">
        <v>840</v>
      </c>
      <c r="L539" s="9">
        <v>1</v>
      </c>
      <c r="M539" t="s">
        <v>55</v>
      </c>
      <c r="N539" t="s">
        <v>56</v>
      </c>
      <c r="O539" s="27" t="str">
        <f>HYPERLINK("https://www.ncbi.nlm.nih.gov/nuccore/NC_010572.1?report=graph&amp;from=2215223&amp;to=2215227", "TTA_codon")</f>
        <v>TTA_codon</v>
      </c>
    </row>
    <row r="540" spans="1:15" x14ac:dyDescent="0.15">
      <c r="A540" t="s">
        <v>21</v>
      </c>
      <c r="B540">
        <v>1001517</v>
      </c>
      <c r="C540">
        <v>361636</v>
      </c>
      <c r="F540" s="7">
        <v>2</v>
      </c>
      <c r="G540" s="7" t="s">
        <v>597</v>
      </c>
      <c r="H540" s="8" t="s">
        <v>598</v>
      </c>
      <c r="J540" t="s">
        <v>23</v>
      </c>
      <c r="K540" s="7">
        <v>849</v>
      </c>
      <c r="L540" s="9">
        <v>1</v>
      </c>
      <c r="M540" t="s">
        <v>37</v>
      </c>
      <c r="N540" t="s">
        <v>38</v>
      </c>
      <c r="O540" s="27" t="str">
        <f>HYPERLINK("https://www.ncbi.nlm.nih.gov/nuccore/NZ_CP011533.1?report=graph&amp;from=3119654&amp;to=3120060", "TTA_codon")</f>
        <v>TTA_codon</v>
      </c>
    </row>
    <row r="541" spans="1:15" x14ac:dyDescent="0.15">
      <c r="A541" t="s">
        <v>21</v>
      </c>
      <c r="B541">
        <v>1001517</v>
      </c>
      <c r="C541">
        <v>366416</v>
      </c>
      <c r="F541" s="7">
        <v>1</v>
      </c>
      <c r="G541" s="7">
        <v>460</v>
      </c>
      <c r="H541" s="8">
        <v>259</v>
      </c>
      <c r="J541" t="s">
        <v>23</v>
      </c>
      <c r="K541" s="7">
        <v>624</v>
      </c>
      <c r="L541" s="9">
        <v>1</v>
      </c>
      <c r="M541" t="s">
        <v>549</v>
      </c>
      <c r="N541" t="s">
        <v>375</v>
      </c>
      <c r="O541" s="27" t="str">
        <f>HYPERLINK("https://www.ncbi.nlm.nih.gov/nuccore/NZ_FONG01000021.1?report=graph&amp;from=86866&amp;to=86870", "TTA_codon")</f>
        <v>TTA_codon</v>
      </c>
    </row>
    <row r="542" spans="1:15" x14ac:dyDescent="0.15">
      <c r="A542" t="s">
        <v>21</v>
      </c>
      <c r="B542" t="s">
        <v>599</v>
      </c>
    </row>
    <row r="543" spans="1:15" x14ac:dyDescent="0.15">
      <c r="A543" t="s">
        <v>21</v>
      </c>
      <c r="B543">
        <v>1000501</v>
      </c>
      <c r="C543">
        <v>349341</v>
      </c>
      <c r="F543" s="7">
        <v>1</v>
      </c>
      <c r="G543" s="7">
        <v>97</v>
      </c>
      <c r="H543" s="8">
        <v>97</v>
      </c>
      <c r="J543" t="s">
        <v>23</v>
      </c>
      <c r="K543" s="7">
        <v>1005</v>
      </c>
      <c r="L543" s="9">
        <v>-1</v>
      </c>
      <c r="M543" t="s">
        <v>458</v>
      </c>
      <c r="N543" t="s">
        <v>315</v>
      </c>
      <c r="O543" s="27" t="str">
        <f>HYPERLINK("https://www.ncbi.nlm.nih.gov/nuccore/NC_003888.3?report=graph&amp;from=4355795&amp;to=4355799", "TTA_codon")</f>
        <v>TTA_codon</v>
      </c>
    </row>
    <row r="544" spans="1:15" x14ac:dyDescent="0.15">
      <c r="A544" t="s">
        <v>21</v>
      </c>
      <c r="B544">
        <v>1000501</v>
      </c>
      <c r="C544">
        <v>351832</v>
      </c>
      <c r="F544" s="7">
        <v>1</v>
      </c>
      <c r="G544" s="7">
        <v>97</v>
      </c>
      <c r="H544" s="8">
        <v>43</v>
      </c>
      <c r="J544" t="s">
        <v>23</v>
      </c>
      <c r="K544" s="7">
        <v>915</v>
      </c>
      <c r="L544" s="9">
        <v>-1</v>
      </c>
      <c r="M544" t="s">
        <v>600</v>
      </c>
      <c r="N544" t="s">
        <v>68</v>
      </c>
      <c r="O544" s="27" t="str">
        <f>HYPERLINK("https://www.ncbi.nlm.nih.gov/nuccore/NZ_BARG01000075.1?report=graph&amp;from=84856&amp;to=84860", "TTA_codon")</f>
        <v>TTA_codon</v>
      </c>
    </row>
    <row r="545" spans="1:15" x14ac:dyDescent="0.15">
      <c r="A545" t="s">
        <v>21</v>
      </c>
      <c r="B545">
        <v>1000501</v>
      </c>
      <c r="C545">
        <v>359481</v>
      </c>
      <c r="F545" s="7">
        <v>1</v>
      </c>
      <c r="G545" s="7">
        <v>97</v>
      </c>
      <c r="H545" s="8">
        <v>43</v>
      </c>
      <c r="J545" t="s">
        <v>23</v>
      </c>
      <c r="K545" s="7">
        <v>921</v>
      </c>
      <c r="L545" s="9">
        <v>-1</v>
      </c>
      <c r="M545" t="s">
        <v>151</v>
      </c>
      <c r="N545" t="s">
        <v>152</v>
      </c>
      <c r="O545" s="27" t="str">
        <f>HYPERLINK("https://www.ncbi.nlm.nih.gov/nuccore/NZ_CP013129.1?report=graph&amp;from=4588431&amp;to=4588435", "TTA_codon")</f>
        <v>TTA_codon</v>
      </c>
    </row>
    <row r="546" spans="1:15" x14ac:dyDescent="0.15">
      <c r="A546" t="s">
        <v>21</v>
      </c>
      <c r="B546" t="s">
        <v>601</v>
      </c>
    </row>
    <row r="547" spans="1:15" x14ac:dyDescent="0.15">
      <c r="A547" t="s">
        <v>21</v>
      </c>
      <c r="B547">
        <v>1001073</v>
      </c>
      <c r="C547">
        <v>347517</v>
      </c>
      <c r="F547" s="7">
        <v>1</v>
      </c>
      <c r="G547" s="7">
        <v>61</v>
      </c>
      <c r="H547" s="8">
        <v>61</v>
      </c>
      <c r="J547" t="s">
        <v>23</v>
      </c>
      <c r="K547" s="7">
        <v>2121</v>
      </c>
      <c r="L547" s="9">
        <v>1</v>
      </c>
      <c r="M547" t="s">
        <v>53</v>
      </c>
      <c r="N547" t="s">
        <v>54</v>
      </c>
      <c r="O547" s="27" t="str">
        <f>HYPERLINK("https://www.ncbi.nlm.nih.gov/nuccore/NC_003155.5?report=graph&amp;from=1274746&amp;to=1274750", "TTA_codon")</f>
        <v>TTA_codon</v>
      </c>
    </row>
    <row r="548" spans="1:15" x14ac:dyDescent="0.15">
      <c r="A548" t="s">
        <v>21</v>
      </c>
      <c r="B548">
        <v>1001073</v>
      </c>
      <c r="C548">
        <v>355242</v>
      </c>
      <c r="F548" s="7">
        <v>1</v>
      </c>
      <c r="G548" s="7">
        <v>109</v>
      </c>
      <c r="H548" s="8">
        <v>109</v>
      </c>
      <c r="J548" t="s">
        <v>23</v>
      </c>
      <c r="K548" s="7">
        <v>2160</v>
      </c>
      <c r="L548" s="9">
        <v>1</v>
      </c>
      <c r="M548" t="s">
        <v>602</v>
      </c>
      <c r="N548" t="s">
        <v>433</v>
      </c>
      <c r="O548" s="27" t="str">
        <f>HYPERLINK("https://www.ncbi.nlm.nih.gov/nuccore/NZ_JOBF01000012.1?report=graph&amp;from=226206&amp;to=226210", "TTA_codon")</f>
        <v>TTA_codon</v>
      </c>
    </row>
    <row r="549" spans="1:15" x14ac:dyDescent="0.15">
      <c r="A549" t="s">
        <v>21</v>
      </c>
      <c r="B549" t="s">
        <v>603</v>
      </c>
    </row>
    <row r="550" spans="1:15" x14ac:dyDescent="0.15">
      <c r="A550" t="s">
        <v>21</v>
      </c>
      <c r="B550">
        <v>1001175</v>
      </c>
      <c r="C550">
        <v>356565</v>
      </c>
      <c r="F550" s="7">
        <v>1</v>
      </c>
      <c r="G550" s="7">
        <v>586</v>
      </c>
      <c r="H550" s="8">
        <v>586</v>
      </c>
      <c r="J550" t="s">
        <v>23</v>
      </c>
      <c r="K550" s="7">
        <v>1770</v>
      </c>
      <c r="L550" s="9">
        <v>1</v>
      </c>
      <c r="M550" t="s">
        <v>508</v>
      </c>
      <c r="N550" t="s">
        <v>509</v>
      </c>
      <c r="O550" s="27" t="str">
        <f>HYPERLINK("https://www.ncbi.nlm.nih.gov/nuccore/NZ_CP009438.1?report=graph&amp;from=4789467&amp;to=4789471", "TTA_codon")</f>
        <v>TTA_codon</v>
      </c>
    </row>
    <row r="551" spans="1:15" x14ac:dyDescent="0.15">
      <c r="A551" t="s">
        <v>21</v>
      </c>
      <c r="B551">
        <v>1001175</v>
      </c>
      <c r="C551">
        <v>357795</v>
      </c>
      <c r="F551" s="7">
        <v>1</v>
      </c>
      <c r="G551" s="7">
        <v>586</v>
      </c>
      <c r="H551" s="8">
        <v>556</v>
      </c>
      <c r="J551" t="s">
        <v>23</v>
      </c>
      <c r="K551" s="7">
        <v>1740</v>
      </c>
      <c r="L551" s="9">
        <v>1</v>
      </c>
      <c r="M551" t="s">
        <v>604</v>
      </c>
      <c r="N551" t="s">
        <v>83</v>
      </c>
      <c r="O551" s="27" t="str">
        <f>HYPERLINK("https://www.ncbi.nlm.nih.gov/nuccore/NZ_DF968300.1?report=graph&amp;from=34837&amp;to=34841", "TTA_codon")</f>
        <v>TTA_codon</v>
      </c>
    </row>
    <row r="552" spans="1:15" x14ac:dyDescent="0.15">
      <c r="A552" t="s">
        <v>21</v>
      </c>
      <c r="B552" t="s">
        <v>605</v>
      </c>
    </row>
    <row r="553" spans="1:15" x14ac:dyDescent="0.15">
      <c r="A553" t="s">
        <v>21</v>
      </c>
      <c r="B553">
        <v>1000386</v>
      </c>
      <c r="C553">
        <v>348353</v>
      </c>
      <c r="F553" s="7">
        <v>1</v>
      </c>
      <c r="G553" s="7">
        <v>181</v>
      </c>
      <c r="H553" s="8">
        <v>181</v>
      </c>
      <c r="J553" t="s">
        <v>23</v>
      </c>
      <c r="K553" s="7">
        <v>1596</v>
      </c>
      <c r="L553" s="9">
        <v>1</v>
      </c>
      <c r="M553" t="s">
        <v>59</v>
      </c>
      <c r="N553" t="s">
        <v>60</v>
      </c>
      <c r="O553" s="27" t="str">
        <f>HYPERLINK("https://www.ncbi.nlm.nih.gov/nuccore/NC_016582.1?report=graph&amp;from=2426407&amp;to=2426411", "TTA_codon")</f>
        <v>TTA_codon</v>
      </c>
    </row>
    <row r="554" spans="1:15" x14ac:dyDescent="0.15">
      <c r="A554" t="s">
        <v>21</v>
      </c>
      <c r="B554">
        <v>1000386</v>
      </c>
      <c r="C554">
        <v>353325</v>
      </c>
      <c r="F554" s="7">
        <v>1</v>
      </c>
      <c r="G554" s="7">
        <v>52</v>
      </c>
      <c r="H554" s="8">
        <v>52</v>
      </c>
      <c r="J554" t="s">
        <v>23</v>
      </c>
      <c r="K554" s="7">
        <v>1602</v>
      </c>
      <c r="L554" s="9">
        <v>1</v>
      </c>
      <c r="M554" t="s">
        <v>606</v>
      </c>
      <c r="N554" t="s">
        <v>169</v>
      </c>
      <c r="O554" s="27" t="str">
        <f>HYPERLINK("https://www.ncbi.nlm.nih.gov/nuccore/NZ_JNWJ01000049.1?report=graph&amp;from=53393&amp;to=53397", "TTA_codon")</f>
        <v>TTA_codon</v>
      </c>
    </row>
    <row r="555" spans="1:15" x14ac:dyDescent="0.15">
      <c r="A555" t="s">
        <v>21</v>
      </c>
      <c r="B555" t="s">
        <v>607</v>
      </c>
    </row>
    <row r="556" spans="1:15" x14ac:dyDescent="0.15">
      <c r="A556" t="s">
        <v>21</v>
      </c>
      <c r="B556">
        <v>1000178</v>
      </c>
      <c r="C556">
        <v>347280</v>
      </c>
      <c r="F556" s="7">
        <v>1</v>
      </c>
      <c r="G556" s="7">
        <v>1162</v>
      </c>
      <c r="H556" s="8">
        <v>1144</v>
      </c>
      <c r="J556" t="s">
        <v>23</v>
      </c>
      <c r="K556" s="7">
        <v>1575</v>
      </c>
      <c r="L556" s="9">
        <v>1</v>
      </c>
      <c r="M556" t="s">
        <v>53</v>
      </c>
      <c r="N556" t="s">
        <v>54</v>
      </c>
      <c r="O556" s="27" t="str">
        <f>HYPERLINK("https://www.ncbi.nlm.nih.gov/nuccore/NC_003155.5?report=graph&amp;from=8579047&amp;to=8579051", "TTA_codon")</f>
        <v>TTA_codon</v>
      </c>
    </row>
    <row r="557" spans="1:15" x14ac:dyDescent="0.15">
      <c r="A557" t="s">
        <v>21</v>
      </c>
      <c r="B557">
        <v>1000178</v>
      </c>
      <c r="C557">
        <v>351789</v>
      </c>
      <c r="F557" s="7">
        <v>1</v>
      </c>
      <c r="G557" s="7">
        <v>1180</v>
      </c>
      <c r="H557" s="8">
        <v>970</v>
      </c>
      <c r="J557" t="s">
        <v>23</v>
      </c>
      <c r="K557" s="7">
        <v>1383</v>
      </c>
      <c r="L557" s="9">
        <v>1</v>
      </c>
      <c r="M557" t="s">
        <v>608</v>
      </c>
      <c r="N557" t="s">
        <v>68</v>
      </c>
      <c r="O557" s="27" t="str">
        <f>HYPERLINK("https://www.ncbi.nlm.nih.gov/nuccore/NZ_BARG01000032.1?report=graph&amp;from=11798&amp;to=11802", "TTA_codon")</f>
        <v>TTA_codon</v>
      </c>
    </row>
    <row r="558" spans="1:15" x14ac:dyDescent="0.15">
      <c r="A558" t="s">
        <v>21</v>
      </c>
      <c r="B558">
        <v>1000178</v>
      </c>
      <c r="C558">
        <v>358107</v>
      </c>
      <c r="F558" s="7">
        <v>1</v>
      </c>
      <c r="G558" s="7">
        <v>1171</v>
      </c>
      <c r="H558" s="8">
        <v>1033</v>
      </c>
      <c r="J558" t="s">
        <v>23</v>
      </c>
      <c r="K558" s="7">
        <v>1452</v>
      </c>
      <c r="L558" s="9">
        <v>1</v>
      </c>
      <c r="M558" t="s">
        <v>609</v>
      </c>
      <c r="N558" t="s">
        <v>119</v>
      </c>
      <c r="O558" s="27" t="str">
        <f>HYPERLINK("https://www.ncbi.nlm.nih.gov/nuccore/NZ_LIPP01000043.1?report=graph&amp;from=22361&amp;to=22365", "TTA_codon")</f>
        <v>TTA_codon</v>
      </c>
    </row>
    <row r="559" spans="1:15" x14ac:dyDescent="0.15">
      <c r="A559" t="s">
        <v>21</v>
      </c>
      <c r="B559" t="s">
        <v>610</v>
      </c>
    </row>
    <row r="560" spans="1:15" x14ac:dyDescent="0.15">
      <c r="A560" t="s">
        <v>21</v>
      </c>
      <c r="B560">
        <v>1000579</v>
      </c>
      <c r="C560">
        <v>350059</v>
      </c>
      <c r="F560" s="7">
        <v>1</v>
      </c>
      <c r="G560" s="7">
        <v>847</v>
      </c>
      <c r="H560" s="8">
        <v>739</v>
      </c>
      <c r="J560" t="s">
        <v>23</v>
      </c>
      <c r="K560" s="7">
        <v>2769</v>
      </c>
      <c r="L560" s="9">
        <v>-1</v>
      </c>
      <c r="M560" t="s">
        <v>611</v>
      </c>
      <c r="N560" t="s">
        <v>249</v>
      </c>
      <c r="O560" s="27" t="str">
        <f>HYPERLINK("https://www.ncbi.nlm.nih.gov/nuccore/NZ_AHBF01000022.1?report=graph&amp;from=20465&amp;to=20469", "TTA_codon")</f>
        <v>TTA_codon</v>
      </c>
    </row>
    <row r="561" spans="1:15" x14ac:dyDescent="0.15">
      <c r="A561" t="s">
        <v>21</v>
      </c>
      <c r="B561">
        <v>1000579</v>
      </c>
      <c r="C561">
        <v>356314</v>
      </c>
      <c r="F561" s="7">
        <v>1</v>
      </c>
      <c r="G561" s="7">
        <v>835</v>
      </c>
      <c r="H561" s="8">
        <v>727</v>
      </c>
      <c r="J561" t="s">
        <v>23</v>
      </c>
      <c r="K561" s="7">
        <v>2715</v>
      </c>
      <c r="L561" s="9">
        <v>-1</v>
      </c>
      <c r="M561" t="s">
        <v>612</v>
      </c>
      <c r="N561" t="s">
        <v>77</v>
      </c>
      <c r="O561" s="27" t="str">
        <f>HYPERLINK("https://www.ncbi.nlm.nih.gov/nuccore/NZ_JNXD01000007.1?report=graph&amp;from=277037&amp;to=277041", "TTA_codon")</f>
        <v>TTA_codon</v>
      </c>
    </row>
    <row r="562" spans="1:15" x14ac:dyDescent="0.15">
      <c r="A562" t="s">
        <v>21</v>
      </c>
      <c r="B562" t="s">
        <v>613</v>
      </c>
    </row>
    <row r="563" spans="1:15" x14ac:dyDescent="0.15">
      <c r="A563" t="s">
        <v>21</v>
      </c>
      <c r="B563">
        <v>1000449</v>
      </c>
      <c r="C563">
        <v>348781</v>
      </c>
      <c r="F563" s="7">
        <v>1</v>
      </c>
      <c r="G563" s="7">
        <v>745</v>
      </c>
      <c r="H563" s="8">
        <v>685</v>
      </c>
      <c r="J563" t="s">
        <v>23</v>
      </c>
      <c r="K563" s="7">
        <v>1059</v>
      </c>
      <c r="L563" s="9">
        <v>1</v>
      </c>
      <c r="M563" t="s">
        <v>211</v>
      </c>
      <c r="N563" t="s">
        <v>212</v>
      </c>
      <c r="O563" s="27" t="str">
        <f>HYPERLINK("https://www.ncbi.nlm.nih.gov/nuccore/NZ_GG657754.1?report=graph&amp;from=8004608&amp;to=8004612", "TTA_codon")</f>
        <v>TTA_codon</v>
      </c>
    </row>
    <row r="564" spans="1:15" x14ac:dyDescent="0.15">
      <c r="A564" t="s">
        <v>21</v>
      </c>
      <c r="B564">
        <v>1000449</v>
      </c>
      <c r="C564">
        <v>351210</v>
      </c>
      <c r="F564" s="7">
        <v>1</v>
      </c>
      <c r="G564" s="7">
        <v>628</v>
      </c>
      <c r="H564" s="8">
        <v>613</v>
      </c>
      <c r="J564" t="s">
        <v>23</v>
      </c>
      <c r="K564" s="7">
        <v>1092</v>
      </c>
      <c r="L564" s="9">
        <v>1</v>
      </c>
      <c r="M564" t="s">
        <v>65</v>
      </c>
      <c r="N564" t="s">
        <v>66</v>
      </c>
      <c r="O564" s="27" t="str">
        <f>HYPERLINK("https://www.ncbi.nlm.nih.gov/nuccore/NC_020504.1?report=graph&amp;from=7367531&amp;to=7367535", "TTA_codon")</f>
        <v>TTA_codon</v>
      </c>
    </row>
    <row r="565" spans="1:15" x14ac:dyDescent="0.15">
      <c r="A565" t="s">
        <v>21</v>
      </c>
      <c r="B565">
        <v>1000449</v>
      </c>
      <c r="C565">
        <v>355877</v>
      </c>
      <c r="F565" s="7">
        <v>1</v>
      </c>
      <c r="G565" s="7">
        <v>391</v>
      </c>
      <c r="H565" s="8">
        <v>385</v>
      </c>
      <c r="J565" t="s">
        <v>23</v>
      </c>
      <c r="K565" s="7">
        <v>1077</v>
      </c>
      <c r="L565" s="9">
        <v>1</v>
      </c>
      <c r="M565" t="s">
        <v>614</v>
      </c>
      <c r="N565" t="s">
        <v>384</v>
      </c>
      <c r="O565" s="27" t="str">
        <f>HYPERLINK("https://www.ncbi.nlm.nih.gov/nuccore/NZ_JOAK01000015.1?report=graph&amp;from=29020&amp;to=29024", "TTA_codon")</f>
        <v>TTA_codon</v>
      </c>
    </row>
    <row r="566" spans="1:15" x14ac:dyDescent="0.15">
      <c r="A566" t="s">
        <v>21</v>
      </c>
      <c r="B566">
        <v>1000449</v>
      </c>
      <c r="C566">
        <v>359041</v>
      </c>
      <c r="F566" s="7">
        <v>1</v>
      </c>
      <c r="G566" s="7">
        <v>508</v>
      </c>
      <c r="H566" s="8">
        <v>496</v>
      </c>
      <c r="J566" t="s">
        <v>23</v>
      </c>
      <c r="K566" s="7">
        <v>1092</v>
      </c>
      <c r="L566" s="9">
        <v>1</v>
      </c>
      <c r="M566" t="s">
        <v>615</v>
      </c>
      <c r="N566" t="s">
        <v>451</v>
      </c>
      <c r="O566" s="27" t="str">
        <f>HYPERLINK("https://www.ncbi.nlm.nih.gov/nuccore/NZ_LIQZ01000026.1?report=graph&amp;from=618&amp;to=622", "TTA_codon")</f>
        <v>TTA_codon</v>
      </c>
    </row>
    <row r="567" spans="1:15" x14ac:dyDescent="0.15">
      <c r="A567" t="s">
        <v>21</v>
      </c>
      <c r="B567">
        <v>1000449</v>
      </c>
      <c r="C567">
        <v>359823</v>
      </c>
      <c r="F567" s="7">
        <v>1</v>
      </c>
      <c r="G567" s="7">
        <v>628</v>
      </c>
      <c r="H567" s="8">
        <v>613</v>
      </c>
      <c r="J567" t="s">
        <v>23</v>
      </c>
      <c r="K567" s="7">
        <v>1092</v>
      </c>
      <c r="L567" s="9">
        <v>1</v>
      </c>
      <c r="M567" t="s">
        <v>616</v>
      </c>
      <c r="N567" t="s">
        <v>91</v>
      </c>
      <c r="O567" s="27" t="str">
        <f>HYPERLINK("https://www.ncbi.nlm.nih.gov/nuccore/NZ_KQ948305.1?report=graph&amp;from=569787&amp;to=569791", "TTA_codon")</f>
        <v>TTA_codon</v>
      </c>
    </row>
    <row r="568" spans="1:15" x14ac:dyDescent="0.15">
      <c r="A568" t="s">
        <v>21</v>
      </c>
      <c r="B568">
        <v>1000449</v>
      </c>
      <c r="C568">
        <v>360051</v>
      </c>
      <c r="F568" s="7">
        <v>1</v>
      </c>
      <c r="G568" s="7">
        <v>637</v>
      </c>
      <c r="H568" s="8">
        <v>622</v>
      </c>
      <c r="J568" t="s">
        <v>23</v>
      </c>
      <c r="K568" s="7">
        <v>1092</v>
      </c>
      <c r="L568" s="9">
        <v>1</v>
      </c>
      <c r="M568" t="s">
        <v>617</v>
      </c>
      <c r="N568" t="s">
        <v>125</v>
      </c>
      <c r="O568" s="27" t="str">
        <f>HYPERLINK("https://www.ncbi.nlm.nih.gov/nuccore/NZ_KQ948452.1?report=graph&amp;from=642135&amp;to=642139", "TTA_codon")</f>
        <v>TTA_codon</v>
      </c>
    </row>
    <row r="569" spans="1:15" x14ac:dyDescent="0.15">
      <c r="A569" t="s">
        <v>21</v>
      </c>
      <c r="B569">
        <v>1000449</v>
      </c>
      <c r="C569">
        <v>361355</v>
      </c>
      <c r="F569" s="7">
        <v>1</v>
      </c>
      <c r="G569" s="7">
        <v>628</v>
      </c>
      <c r="H569" s="8">
        <v>613</v>
      </c>
      <c r="J569" t="s">
        <v>23</v>
      </c>
      <c r="K569" s="7">
        <v>1065</v>
      </c>
      <c r="L569" s="9">
        <v>1</v>
      </c>
      <c r="M569" t="s">
        <v>200</v>
      </c>
      <c r="N569" t="s">
        <v>201</v>
      </c>
      <c r="O569" s="27" t="str">
        <f>HYPERLINK("https://www.ncbi.nlm.nih.gov/nuccore/NZ_CP016559.1?report=graph&amp;from=5514704&amp;to=5514708", "TTA_codon")</f>
        <v>TTA_codon</v>
      </c>
    </row>
    <row r="570" spans="1:15" x14ac:dyDescent="0.15">
      <c r="A570" t="s">
        <v>21</v>
      </c>
      <c r="B570" t="s">
        <v>618</v>
      </c>
    </row>
    <row r="571" spans="1:15" x14ac:dyDescent="0.15">
      <c r="A571" t="s">
        <v>21</v>
      </c>
      <c r="B571">
        <v>1001347</v>
      </c>
      <c r="C571">
        <v>360732</v>
      </c>
      <c r="F571" s="7">
        <v>1</v>
      </c>
      <c r="G571" s="7">
        <v>244</v>
      </c>
      <c r="H571" s="8">
        <v>244</v>
      </c>
      <c r="J571" t="s">
        <v>23</v>
      </c>
      <c r="K571" s="7">
        <v>954</v>
      </c>
      <c r="L571" s="9">
        <v>1</v>
      </c>
      <c r="M571" t="s">
        <v>94</v>
      </c>
      <c r="N571" t="s">
        <v>95</v>
      </c>
      <c r="O571" s="27" t="str">
        <f>HYPERLINK("https://www.ncbi.nlm.nih.gov/nuccore/NZ_JYIJ01000019.1?report=graph&amp;from=411462&amp;to=411466", "TTA_codon")</f>
        <v>TTA_codon</v>
      </c>
    </row>
    <row r="572" spans="1:15" x14ac:dyDescent="0.15">
      <c r="A572" t="s">
        <v>21</v>
      </c>
      <c r="B572">
        <v>1001347</v>
      </c>
      <c r="C572">
        <v>360839</v>
      </c>
      <c r="F572" s="7">
        <v>3</v>
      </c>
      <c r="G572" s="7" t="s">
        <v>619</v>
      </c>
      <c r="H572" s="8" t="s">
        <v>619</v>
      </c>
      <c r="J572" t="s">
        <v>23</v>
      </c>
      <c r="K572" s="7">
        <v>1119</v>
      </c>
      <c r="L572" s="9">
        <v>1</v>
      </c>
      <c r="M572" t="s">
        <v>94</v>
      </c>
      <c r="N572" t="s">
        <v>95</v>
      </c>
      <c r="O572" s="27" t="str">
        <f>HYPERLINK("https://www.ncbi.nlm.nih.gov/nuccore/NZ_JYIJ01000019.1?report=graph&amp;from=1131060&amp;to=1131460", "TTA_codon")</f>
        <v>TTA_codon</v>
      </c>
    </row>
    <row r="573" spans="1:15" x14ac:dyDescent="0.15">
      <c r="A573" t="s">
        <v>21</v>
      </c>
      <c r="B573" t="s">
        <v>620</v>
      </c>
    </row>
    <row r="574" spans="1:15" x14ac:dyDescent="0.15">
      <c r="A574" t="s">
        <v>21</v>
      </c>
      <c r="B574">
        <v>1000580</v>
      </c>
      <c r="C574">
        <v>347714</v>
      </c>
      <c r="F574" s="7">
        <v>2</v>
      </c>
      <c r="G574" s="7" t="s">
        <v>621</v>
      </c>
      <c r="H574" s="8" t="s">
        <v>622</v>
      </c>
      <c r="J574" t="s">
        <v>23</v>
      </c>
      <c r="K574" s="7">
        <v>1050</v>
      </c>
      <c r="L574" s="9">
        <v>1</v>
      </c>
      <c r="M574" t="s">
        <v>55</v>
      </c>
      <c r="N574" t="s">
        <v>56</v>
      </c>
      <c r="O574" s="27" t="str">
        <f>HYPERLINK("https://www.ncbi.nlm.nih.gov/nuccore/NC_010572.1?report=graph&amp;from=82206&amp;to=82759", "TTA_codon")</f>
        <v>TTA_codon</v>
      </c>
    </row>
    <row r="575" spans="1:15" x14ac:dyDescent="0.15">
      <c r="A575" t="s">
        <v>21</v>
      </c>
      <c r="B575">
        <v>1000580</v>
      </c>
      <c r="C575">
        <v>350103</v>
      </c>
      <c r="F575" s="7">
        <v>1</v>
      </c>
      <c r="G575" s="7">
        <v>529</v>
      </c>
      <c r="H575" s="8">
        <v>493</v>
      </c>
      <c r="J575" t="s">
        <v>23</v>
      </c>
      <c r="K575" s="7">
        <v>996</v>
      </c>
      <c r="L575" s="9">
        <v>1</v>
      </c>
      <c r="M575" t="s">
        <v>623</v>
      </c>
      <c r="N575" t="s">
        <v>249</v>
      </c>
      <c r="O575" s="27" t="str">
        <f>HYPERLINK("https://www.ncbi.nlm.nih.gov/nuccore/NZ_AHBF01000084.1?report=graph&amp;from=129855&amp;to=129859", "TTA_codon")</f>
        <v>TTA_codon</v>
      </c>
    </row>
    <row r="576" spans="1:15" x14ac:dyDescent="0.15">
      <c r="A576" t="s">
        <v>21</v>
      </c>
      <c r="B576">
        <v>1000580</v>
      </c>
      <c r="C576">
        <v>354571</v>
      </c>
      <c r="F576" s="7">
        <v>1</v>
      </c>
      <c r="G576" s="7">
        <v>514</v>
      </c>
      <c r="H576" s="8">
        <v>487</v>
      </c>
      <c r="J576" t="s">
        <v>23</v>
      </c>
      <c r="K576" s="7">
        <v>951</v>
      </c>
      <c r="L576" s="9">
        <v>1</v>
      </c>
      <c r="M576" t="s">
        <v>624</v>
      </c>
      <c r="N576" t="s">
        <v>272</v>
      </c>
      <c r="O576" s="27" t="str">
        <f>HYPERLINK("https://www.ncbi.nlm.nih.gov/nuccore/NZ_JOEY01000005.1?report=graph&amp;from=156585&amp;to=156589", "TTA_codon")</f>
        <v>TTA_codon</v>
      </c>
    </row>
    <row r="577" spans="1:15" x14ac:dyDescent="0.15">
      <c r="A577" t="s">
        <v>21</v>
      </c>
      <c r="B577">
        <v>1000580</v>
      </c>
      <c r="C577">
        <v>354572</v>
      </c>
      <c r="F577" s="7">
        <v>1</v>
      </c>
      <c r="G577" s="7">
        <v>322</v>
      </c>
      <c r="H577" s="8">
        <v>295</v>
      </c>
      <c r="J577" t="s">
        <v>23</v>
      </c>
      <c r="K577" s="7">
        <v>993</v>
      </c>
      <c r="L577" s="9">
        <v>1</v>
      </c>
      <c r="M577" t="s">
        <v>625</v>
      </c>
      <c r="N577" t="s">
        <v>272</v>
      </c>
      <c r="O577" s="27" t="str">
        <f>HYPERLINK("https://www.ncbi.nlm.nih.gov/nuccore/NZ_JOEY01000025.1?report=graph&amp;from=107148&amp;to=107152", "TTA_codon")</f>
        <v>TTA_codon</v>
      </c>
    </row>
    <row r="578" spans="1:15" x14ac:dyDescent="0.15">
      <c r="A578" t="s">
        <v>21</v>
      </c>
      <c r="B578">
        <v>1000580</v>
      </c>
      <c r="C578">
        <v>358369</v>
      </c>
      <c r="F578" s="7">
        <v>1</v>
      </c>
      <c r="G578" s="7">
        <v>637</v>
      </c>
      <c r="H578" s="8">
        <v>598</v>
      </c>
      <c r="J578" t="s">
        <v>23</v>
      </c>
      <c r="K578" s="7">
        <v>1020</v>
      </c>
      <c r="L578" s="9">
        <v>1</v>
      </c>
      <c r="M578" t="s">
        <v>626</v>
      </c>
      <c r="N578" t="s">
        <v>85</v>
      </c>
      <c r="O578" s="27" t="str">
        <f>HYPERLINK("https://www.ncbi.nlm.nih.gov/nuccore/NZ_LIQX01000075.1?report=graph&amp;from=6968&amp;to=6972", "TTA_codon")</f>
        <v>TTA_codon</v>
      </c>
    </row>
    <row r="579" spans="1:15" x14ac:dyDescent="0.15">
      <c r="A579" t="s">
        <v>21</v>
      </c>
      <c r="B579">
        <v>1000580</v>
      </c>
      <c r="C579">
        <v>359194</v>
      </c>
      <c r="F579" s="7">
        <v>1</v>
      </c>
      <c r="G579" s="7">
        <v>652</v>
      </c>
      <c r="H579" s="8">
        <v>622</v>
      </c>
      <c r="J579" t="s">
        <v>23</v>
      </c>
      <c r="K579" s="7">
        <v>1017</v>
      </c>
      <c r="L579" s="9">
        <v>1</v>
      </c>
      <c r="M579" t="s">
        <v>627</v>
      </c>
      <c r="N579" t="s">
        <v>451</v>
      </c>
      <c r="O579" s="27" t="str">
        <f>HYPERLINK("https://www.ncbi.nlm.nih.gov/nuccore/NZ_LIQZ01000372.1?report=graph&amp;from=4309&amp;to=4313", "TTA_codon")</f>
        <v>TTA_codon</v>
      </c>
    </row>
    <row r="580" spans="1:15" x14ac:dyDescent="0.15">
      <c r="A580" t="s">
        <v>21</v>
      </c>
      <c r="B580">
        <v>1000580</v>
      </c>
      <c r="C580">
        <v>366011</v>
      </c>
      <c r="F580" s="7">
        <v>1</v>
      </c>
      <c r="G580" s="7">
        <v>439</v>
      </c>
      <c r="H580" s="8">
        <v>412</v>
      </c>
      <c r="J580" t="s">
        <v>23</v>
      </c>
      <c r="K580" s="7">
        <v>969</v>
      </c>
      <c r="L580" s="9">
        <v>1</v>
      </c>
      <c r="M580" t="s">
        <v>628</v>
      </c>
      <c r="N580" t="s">
        <v>115</v>
      </c>
      <c r="O580" s="27" t="str">
        <f>HYPERLINK("https://www.ncbi.nlm.nih.gov/nuccore/NZ_FODD01000004.1?report=graph&amp;from=61681&amp;to=61685", "TTA_codon")</f>
        <v>TTA_codon</v>
      </c>
    </row>
    <row r="581" spans="1:15" x14ac:dyDescent="0.15">
      <c r="A581" t="s">
        <v>195</v>
      </c>
      <c r="B581" t="s">
        <v>629</v>
      </c>
    </row>
    <row r="582" spans="1:15" x14ac:dyDescent="0.15">
      <c r="A582" t="s">
        <v>195</v>
      </c>
      <c r="B582">
        <v>1000114</v>
      </c>
      <c r="C582">
        <v>346758</v>
      </c>
      <c r="F582" s="7">
        <v>1</v>
      </c>
      <c r="G582" s="7">
        <v>115</v>
      </c>
      <c r="H582" s="8">
        <v>115</v>
      </c>
      <c r="J582" t="s">
        <v>23</v>
      </c>
      <c r="K582" s="7">
        <v>429</v>
      </c>
      <c r="L582" s="9">
        <v>-1</v>
      </c>
      <c r="M582" t="s">
        <v>630</v>
      </c>
      <c r="N582" t="s">
        <v>125</v>
      </c>
      <c r="O582" s="27" t="str">
        <f>HYPERLINK("https://www.ncbi.nlm.nih.gov/nuccore/NZ_KQ948468.1?report=graph&amp;from=148173&amp;to=148177", "TTA_codon")</f>
        <v>TTA_codon</v>
      </c>
    </row>
    <row r="583" spans="1:15" x14ac:dyDescent="0.15">
      <c r="A583" t="s">
        <v>21</v>
      </c>
      <c r="B583">
        <v>1000114</v>
      </c>
      <c r="C583">
        <v>347381</v>
      </c>
      <c r="F583" s="7">
        <v>1</v>
      </c>
      <c r="G583" s="7">
        <v>115</v>
      </c>
      <c r="H583" s="8">
        <v>115</v>
      </c>
      <c r="J583" t="s">
        <v>23</v>
      </c>
      <c r="K583" s="7">
        <v>429</v>
      </c>
      <c r="L583" s="9">
        <v>-1</v>
      </c>
      <c r="M583" t="s">
        <v>217</v>
      </c>
      <c r="N583" t="s">
        <v>218</v>
      </c>
      <c r="O583" s="27" t="str">
        <f>HYPERLINK("https://www.ncbi.nlm.nih.gov/nuccore/NC_021985.1?report=graph&amp;from=1570598&amp;to=1570602", "TTA_codon")</f>
        <v>TTA_codon</v>
      </c>
    </row>
    <row r="584" spans="1:15" x14ac:dyDescent="0.15">
      <c r="A584" t="s">
        <v>21</v>
      </c>
      <c r="B584">
        <v>1000114</v>
      </c>
      <c r="C584">
        <v>351839</v>
      </c>
      <c r="F584" s="7">
        <v>1</v>
      </c>
      <c r="G584" s="7">
        <v>115</v>
      </c>
      <c r="H584" s="8">
        <v>115</v>
      </c>
      <c r="J584" t="s">
        <v>23</v>
      </c>
      <c r="K584" s="7">
        <v>429</v>
      </c>
      <c r="L584" s="9">
        <v>-1</v>
      </c>
      <c r="M584" t="s">
        <v>631</v>
      </c>
      <c r="N584" t="s">
        <v>68</v>
      </c>
      <c r="O584" s="27" t="str">
        <f>HYPERLINK("https://www.ncbi.nlm.nih.gov/nuccore/NZ_BARG01000046.1?report=graph&amp;from=14521&amp;to=14525", "TTA_codon")</f>
        <v>TTA_codon</v>
      </c>
    </row>
    <row r="585" spans="1:15" x14ac:dyDescent="0.15">
      <c r="A585" t="s">
        <v>21</v>
      </c>
      <c r="B585">
        <v>1000114</v>
      </c>
      <c r="C585">
        <v>352447</v>
      </c>
      <c r="F585" s="7">
        <v>1</v>
      </c>
      <c r="G585" s="7">
        <v>160</v>
      </c>
      <c r="H585" s="8">
        <v>160</v>
      </c>
      <c r="J585" t="s">
        <v>23</v>
      </c>
      <c r="K585" s="7">
        <v>423</v>
      </c>
      <c r="L585" s="9">
        <v>-1</v>
      </c>
      <c r="M585" t="s">
        <v>30</v>
      </c>
      <c r="N585" t="s">
        <v>31</v>
      </c>
      <c r="O585" s="27" t="str">
        <f>HYPERLINK("https://www.ncbi.nlm.nih.gov/nuccore/NZ_KB913030.1?report=graph&amp;from=676833&amp;to=676837", "TTA_codon")</f>
        <v>TTA_codon</v>
      </c>
    </row>
    <row r="586" spans="1:15" x14ac:dyDescent="0.15">
      <c r="A586" t="s">
        <v>21</v>
      </c>
      <c r="B586">
        <v>1000114</v>
      </c>
      <c r="C586">
        <v>356692</v>
      </c>
      <c r="F586" s="7">
        <v>1</v>
      </c>
      <c r="G586" s="7">
        <v>115</v>
      </c>
      <c r="H586" s="8">
        <v>115</v>
      </c>
      <c r="J586" t="s">
        <v>23</v>
      </c>
      <c r="K586" s="7">
        <v>426</v>
      </c>
      <c r="L586" s="9">
        <v>-1</v>
      </c>
      <c r="M586" t="s">
        <v>147</v>
      </c>
      <c r="N586" t="s">
        <v>148</v>
      </c>
      <c r="O586" s="27" t="str">
        <f>HYPERLINK("https://www.ncbi.nlm.nih.gov/nuccore/NZ_CP021080.1?report=graph&amp;from=664537&amp;to=664541", "TTA_codon")</f>
        <v>TTA_codon</v>
      </c>
    </row>
    <row r="587" spans="1:15" x14ac:dyDescent="0.15">
      <c r="A587" t="s">
        <v>21</v>
      </c>
      <c r="B587">
        <v>1000114</v>
      </c>
      <c r="C587">
        <v>359486</v>
      </c>
      <c r="F587" s="7">
        <v>1</v>
      </c>
      <c r="G587" s="7">
        <v>34</v>
      </c>
      <c r="H587" s="8">
        <v>34</v>
      </c>
      <c r="J587" t="s">
        <v>23</v>
      </c>
      <c r="K587" s="7">
        <v>396</v>
      </c>
      <c r="L587" s="9">
        <v>-1</v>
      </c>
      <c r="M587" t="s">
        <v>151</v>
      </c>
      <c r="N587" t="s">
        <v>152</v>
      </c>
      <c r="O587" s="27" t="str">
        <f>HYPERLINK("https://www.ncbi.nlm.nih.gov/nuccore/NZ_CP013129.1?report=graph&amp;from=1373741&amp;to=1373745", "TTA_codon")</f>
        <v>TTA_codon</v>
      </c>
    </row>
    <row r="588" spans="1:15" x14ac:dyDescent="0.15">
      <c r="A588" t="s">
        <v>21</v>
      </c>
      <c r="B588">
        <v>1000114</v>
      </c>
      <c r="C588">
        <v>360429</v>
      </c>
      <c r="F588" s="7">
        <v>1</v>
      </c>
      <c r="G588" s="7">
        <v>115</v>
      </c>
      <c r="H588" s="8">
        <v>115</v>
      </c>
      <c r="J588" t="s">
        <v>23</v>
      </c>
      <c r="K588" s="7">
        <v>429</v>
      </c>
      <c r="L588" s="9">
        <v>-1</v>
      </c>
      <c r="M588" t="s">
        <v>121</v>
      </c>
      <c r="N588" t="s">
        <v>122</v>
      </c>
      <c r="O588" s="27" t="str">
        <f>HYPERLINK("https://www.ncbi.nlm.nih.gov/nuccore/NZ_CP016279.1?report=graph&amp;from=7415496&amp;to=7415500", "TTA_codon")</f>
        <v>TTA_codon</v>
      </c>
    </row>
    <row r="589" spans="1:15" x14ac:dyDescent="0.15">
      <c r="A589" t="s">
        <v>195</v>
      </c>
      <c r="B589" t="s">
        <v>632</v>
      </c>
    </row>
    <row r="590" spans="1:15" x14ac:dyDescent="0.15">
      <c r="A590" t="s">
        <v>195</v>
      </c>
      <c r="B590">
        <v>1000075</v>
      </c>
      <c r="C590">
        <v>346451</v>
      </c>
      <c r="F590" s="7">
        <v>1</v>
      </c>
      <c r="G590" s="7">
        <v>43</v>
      </c>
      <c r="H590" s="8">
        <v>43</v>
      </c>
      <c r="J590" t="s">
        <v>23</v>
      </c>
      <c r="K590" s="7">
        <v>1491</v>
      </c>
      <c r="L590" s="9">
        <v>1</v>
      </c>
      <c r="M590" t="s">
        <v>633</v>
      </c>
      <c r="N590" t="s">
        <v>433</v>
      </c>
      <c r="O590" s="27" t="str">
        <f>HYPERLINK("https://www.ncbi.nlm.nih.gov/nuccore/NZ_JOBF01000028.1?report=graph&amp;from=37910&amp;to=37914", "TTA_codon")</f>
        <v>TTA_codon</v>
      </c>
    </row>
    <row r="591" spans="1:15" x14ac:dyDescent="0.15">
      <c r="A591" t="s">
        <v>21</v>
      </c>
      <c r="B591">
        <v>1000075</v>
      </c>
      <c r="C591">
        <v>349176</v>
      </c>
      <c r="F591" s="7">
        <v>1</v>
      </c>
      <c r="G591" s="7">
        <v>64</v>
      </c>
      <c r="H591" s="8">
        <v>64</v>
      </c>
      <c r="J591" t="s">
        <v>23</v>
      </c>
      <c r="K591" s="7">
        <v>1173</v>
      </c>
      <c r="L591" s="9">
        <v>1</v>
      </c>
      <c r="M591" t="s">
        <v>211</v>
      </c>
      <c r="N591" t="s">
        <v>212</v>
      </c>
      <c r="O591" s="27" t="str">
        <f>HYPERLINK("https://www.ncbi.nlm.nih.gov/nuccore/NZ_GG657754.1?report=graph&amp;from=5985449&amp;to=5985453", "TTA_codon")</f>
        <v>TTA_codon</v>
      </c>
    </row>
    <row r="592" spans="1:15" x14ac:dyDescent="0.15">
      <c r="A592" t="s">
        <v>195</v>
      </c>
      <c r="B592" t="s">
        <v>634</v>
      </c>
    </row>
    <row r="593" spans="1:15" x14ac:dyDescent="0.15">
      <c r="A593" t="s">
        <v>195</v>
      </c>
      <c r="B593">
        <v>1000135</v>
      </c>
      <c r="C593">
        <v>346950</v>
      </c>
      <c r="F593" s="7">
        <v>1</v>
      </c>
      <c r="G593" s="7">
        <v>334</v>
      </c>
      <c r="H593" s="8">
        <v>310</v>
      </c>
      <c r="J593" t="s">
        <v>23</v>
      </c>
      <c r="K593" s="7">
        <v>990</v>
      </c>
      <c r="L593" s="9">
        <v>1</v>
      </c>
      <c r="M593" t="s">
        <v>635</v>
      </c>
      <c r="N593" t="s">
        <v>401</v>
      </c>
      <c r="O593" s="27" t="str">
        <f>HYPERLINK("https://www.ncbi.nlm.nih.gov/nuccore/NZ_LFBV01000002.1?report=graph&amp;from=260967&amp;to=260971", "TTA_codon")</f>
        <v>TTA_codon</v>
      </c>
    </row>
    <row r="594" spans="1:15" x14ac:dyDescent="0.15">
      <c r="A594" t="s">
        <v>21</v>
      </c>
      <c r="B594">
        <v>1000135</v>
      </c>
      <c r="C594">
        <v>352198</v>
      </c>
      <c r="F594" s="7">
        <v>1</v>
      </c>
      <c r="G594" s="7">
        <v>115</v>
      </c>
      <c r="H594" s="8">
        <v>115</v>
      </c>
      <c r="J594" t="s">
        <v>23</v>
      </c>
      <c r="K594" s="7">
        <v>1143</v>
      </c>
      <c r="L594" s="9">
        <v>1</v>
      </c>
      <c r="M594" t="s">
        <v>69</v>
      </c>
      <c r="N594" t="s">
        <v>70</v>
      </c>
      <c r="O594" s="27" t="str">
        <f>HYPERLINK("https://www.ncbi.nlm.nih.gov/nuccore/NZ_KB904702.1?report=graph&amp;from=208426&amp;to=208430", "TTA_codon")</f>
        <v>TTA_codon</v>
      </c>
    </row>
    <row r="595" spans="1:15" x14ac:dyDescent="0.15">
      <c r="A595" t="s">
        <v>21</v>
      </c>
      <c r="B595">
        <v>1000135</v>
      </c>
      <c r="C595">
        <v>353965</v>
      </c>
      <c r="F595" s="7">
        <v>1</v>
      </c>
      <c r="G595" s="7">
        <v>226</v>
      </c>
      <c r="H595" s="8">
        <v>169</v>
      </c>
      <c r="J595" t="s">
        <v>23</v>
      </c>
      <c r="K595" s="7">
        <v>954</v>
      </c>
      <c r="L595" s="9">
        <v>1</v>
      </c>
      <c r="M595" t="s">
        <v>636</v>
      </c>
      <c r="N595" t="s">
        <v>246</v>
      </c>
      <c r="O595" s="27" t="str">
        <f>HYPERLINK("https://www.ncbi.nlm.nih.gov/nuccore/NZ_JNYR01000008.1?report=graph&amp;from=72087&amp;to=72091", "TTA_codon")</f>
        <v>TTA_codon</v>
      </c>
    </row>
    <row r="596" spans="1:15" x14ac:dyDescent="0.15">
      <c r="A596" t="s">
        <v>21</v>
      </c>
      <c r="B596">
        <v>1000135</v>
      </c>
      <c r="C596">
        <v>360612</v>
      </c>
      <c r="F596" s="7">
        <v>2</v>
      </c>
      <c r="G596" s="7" t="s">
        <v>637</v>
      </c>
      <c r="H596" s="8" t="s">
        <v>638</v>
      </c>
      <c r="J596" t="s">
        <v>23</v>
      </c>
      <c r="K596" s="7">
        <v>921</v>
      </c>
      <c r="L596" s="9">
        <v>1</v>
      </c>
      <c r="M596" t="s">
        <v>121</v>
      </c>
      <c r="N596" t="s">
        <v>122</v>
      </c>
      <c r="O596" s="27" t="str">
        <f>HYPERLINK("https://www.ncbi.nlm.nih.gov/nuccore/NZ_CP016279.1?report=graph&amp;from=2214335&amp;to=2214387", "TTA_codon")</f>
        <v>TTA_codon</v>
      </c>
    </row>
    <row r="597" spans="1:15" x14ac:dyDescent="0.15">
      <c r="A597" t="s">
        <v>21</v>
      </c>
      <c r="B597" t="s">
        <v>639</v>
      </c>
    </row>
    <row r="598" spans="1:15" x14ac:dyDescent="0.15">
      <c r="A598" t="s">
        <v>21</v>
      </c>
      <c r="B598">
        <v>1000837</v>
      </c>
      <c r="C598">
        <v>352409</v>
      </c>
      <c r="F598" s="7">
        <v>1</v>
      </c>
      <c r="G598" s="7">
        <v>874</v>
      </c>
      <c r="H598" s="8">
        <v>829</v>
      </c>
      <c r="J598" t="s">
        <v>23</v>
      </c>
      <c r="K598" s="7">
        <v>1038</v>
      </c>
      <c r="L598" s="9">
        <v>-1</v>
      </c>
      <c r="M598" t="s">
        <v>30</v>
      </c>
      <c r="N598" t="s">
        <v>31</v>
      </c>
      <c r="O598" s="27" t="str">
        <f>HYPERLINK("https://www.ncbi.nlm.nih.gov/nuccore/NZ_KB913030.1?report=graph&amp;from=2196407&amp;to=2196411", "TTA_codon")</f>
        <v>TTA_codon</v>
      </c>
    </row>
    <row r="599" spans="1:15" x14ac:dyDescent="0.15">
      <c r="A599" t="s">
        <v>21</v>
      </c>
      <c r="B599">
        <v>1000837</v>
      </c>
      <c r="C599">
        <v>354170</v>
      </c>
      <c r="F599" s="7">
        <v>1</v>
      </c>
      <c r="G599" s="7">
        <v>724</v>
      </c>
      <c r="H599" s="8">
        <v>358</v>
      </c>
      <c r="J599" t="s">
        <v>23</v>
      </c>
      <c r="K599" s="7">
        <v>759</v>
      </c>
      <c r="L599" s="9">
        <v>-1</v>
      </c>
      <c r="M599" t="s">
        <v>640</v>
      </c>
      <c r="N599" t="s">
        <v>361</v>
      </c>
      <c r="O599" s="27" t="str">
        <f>HYPERLINK("https://www.ncbi.nlm.nih.gov/nuccore/NZ_JODY01000015.1?report=graph&amp;from=32534&amp;to=32538", "TTA_codon")</f>
        <v>TTA_codon</v>
      </c>
    </row>
    <row r="600" spans="1:15" x14ac:dyDescent="0.15">
      <c r="A600" t="s">
        <v>21</v>
      </c>
      <c r="B600">
        <v>1000837</v>
      </c>
      <c r="C600">
        <v>359821</v>
      </c>
      <c r="F600" s="7">
        <v>1</v>
      </c>
      <c r="G600" s="7">
        <v>724</v>
      </c>
      <c r="H600" s="8">
        <v>580</v>
      </c>
      <c r="J600" t="s">
        <v>23</v>
      </c>
      <c r="K600" s="7">
        <v>933</v>
      </c>
      <c r="L600" s="9">
        <v>-1</v>
      </c>
      <c r="M600" t="s">
        <v>641</v>
      </c>
      <c r="N600" t="s">
        <v>91</v>
      </c>
      <c r="O600" s="27" t="str">
        <f>HYPERLINK("https://www.ncbi.nlm.nih.gov/nuccore/NZ_KQ948308.1?report=graph&amp;from=467849&amp;to=467853", "TTA_codon")</f>
        <v>TTA_codon</v>
      </c>
    </row>
    <row r="601" spans="1:15" x14ac:dyDescent="0.15">
      <c r="A601" t="s">
        <v>21</v>
      </c>
      <c r="B601" t="s">
        <v>642</v>
      </c>
    </row>
    <row r="602" spans="1:15" x14ac:dyDescent="0.15">
      <c r="A602" t="s">
        <v>21</v>
      </c>
      <c r="B602">
        <v>1000714</v>
      </c>
      <c r="C602">
        <v>351098</v>
      </c>
      <c r="F602" s="7">
        <v>1</v>
      </c>
      <c r="G602" s="7">
        <v>214</v>
      </c>
      <c r="H602" s="8">
        <v>214</v>
      </c>
      <c r="J602" t="s">
        <v>23</v>
      </c>
      <c r="K602" s="7">
        <v>825</v>
      </c>
      <c r="L602" s="9">
        <v>-1</v>
      </c>
      <c r="M602" t="s">
        <v>643</v>
      </c>
      <c r="N602" t="s">
        <v>136</v>
      </c>
      <c r="O602" s="27" t="str">
        <f>HYPERLINK("https://www.ncbi.nlm.nih.gov/nuccore/NZ_AORZ01000044.1?report=graph&amp;from=35883&amp;to=35887", "TTA_codon")</f>
        <v>TTA_codon</v>
      </c>
    </row>
    <row r="603" spans="1:15" x14ac:dyDescent="0.15">
      <c r="A603" t="s">
        <v>21</v>
      </c>
      <c r="B603">
        <v>1000714</v>
      </c>
      <c r="C603">
        <v>357658</v>
      </c>
      <c r="F603" s="7">
        <v>1</v>
      </c>
      <c r="G603" s="7">
        <v>214</v>
      </c>
      <c r="H603" s="8">
        <v>214</v>
      </c>
      <c r="J603" t="s">
        <v>23</v>
      </c>
      <c r="K603" s="7">
        <v>828</v>
      </c>
      <c r="L603" s="9">
        <v>-1</v>
      </c>
      <c r="M603" t="s">
        <v>492</v>
      </c>
      <c r="N603" t="s">
        <v>378</v>
      </c>
      <c r="O603" s="27" t="str">
        <f>HYPERLINK("https://www.ncbi.nlm.nih.gov/nuccore/NZ_LFXA01000018.1?report=graph&amp;from=353843&amp;to=353847", "TTA_codon")</f>
        <v>TTA_codon</v>
      </c>
    </row>
    <row r="604" spans="1:15" x14ac:dyDescent="0.15">
      <c r="A604" t="s">
        <v>21</v>
      </c>
      <c r="B604" t="s">
        <v>644</v>
      </c>
    </row>
    <row r="605" spans="1:15" x14ac:dyDescent="0.15">
      <c r="A605" t="s">
        <v>21</v>
      </c>
      <c r="B605">
        <v>1000776</v>
      </c>
      <c r="C605">
        <v>351791</v>
      </c>
      <c r="F605" s="7">
        <v>1</v>
      </c>
      <c r="G605" s="7">
        <v>103</v>
      </c>
      <c r="H605" s="8">
        <v>103</v>
      </c>
      <c r="J605" t="s">
        <v>23</v>
      </c>
      <c r="K605" s="7">
        <v>1923</v>
      </c>
      <c r="L605" s="9">
        <v>-1</v>
      </c>
      <c r="M605" t="s">
        <v>645</v>
      </c>
      <c r="N605" t="s">
        <v>68</v>
      </c>
      <c r="O605" s="27" t="str">
        <f>HYPERLINK("https://www.ncbi.nlm.nih.gov/nuccore/NZ_BARG01000016.1?report=graph&amp;from=2783&amp;to=2787", "TTA_codon")</f>
        <v>TTA_codon</v>
      </c>
    </row>
    <row r="606" spans="1:15" x14ac:dyDescent="0.15">
      <c r="A606" t="s">
        <v>21</v>
      </c>
      <c r="B606">
        <v>1000776</v>
      </c>
      <c r="C606">
        <v>362460</v>
      </c>
      <c r="F606" s="7">
        <v>1</v>
      </c>
      <c r="G606" s="7">
        <v>103</v>
      </c>
      <c r="H606" s="8">
        <v>103</v>
      </c>
      <c r="J606" t="s">
        <v>23</v>
      </c>
      <c r="K606" s="7">
        <v>1923</v>
      </c>
      <c r="L606" s="9">
        <v>-1</v>
      </c>
      <c r="M606" t="s">
        <v>32</v>
      </c>
      <c r="N606" t="s">
        <v>33</v>
      </c>
      <c r="O606" s="27" t="str">
        <f>HYPERLINK("https://www.ncbi.nlm.nih.gov/nuccore/NZ_CP017248.1?report=graph&amp;from=6661903&amp;to=6661907", "TTA_codon")</f>
        <v>TTA_codon</v>
      </c>
    </row>
    <row r="607" spans="1:15" x14ac:dyDescent="0.15">
      <c r="A607" t="s">
        <v>21</v>
      </c>
      <c r="B607" t="s">
        <v>646</v>
      </c>
    </row>
    <row r="608" spans="1:15" x14ac:dyDescent="0.15">
      <c r="A608" t="s">
        <v>21</v>
      </c>
      <c r="B608">
        <v>1001317</v>
      </c>
      <c r="C608">
        <v>349660</v>
      </c>
      <c r="F608" s="7">
        <v>2</v>
      </c>
      <c r="G608" s="7" t="s">
        <v>647</v>
      </c>
      <c r="H608" s="8" t="s">
        <v>648</v>
      </c>
      <c r="J608" t="s">
        <v>23</v>
      </c>
      <c r="K608" s="7">
        <v>729</v>
      </c>
      <c r="L608" s="9">
        <v>-1</v>
      </c>
      <c r="M608" t="s">
        <v>649</v>
      </c>
      <c r="N608" t="s">
        <v>335</v>
      </c>
      <c r="O608" s="27" t="str">
        <f>HYPERLINK("https://www.ncbi.nlm.nih.gov/nuccore/NZ_AGBF01000052.1?report=graph&amp;from=28802&amp;to=28992", "TTA_codon")</f>
        <v>TTA_codon</v>
      </c>
    </row>
    <row r="609" spans="1:15" x14ac:dyDescent="0.15">
      <c r="A609" t="s">
        <v>21</v>
      </c>
      <c r="B609">
        <v>1001317</v>
      </c>
      <c r="C609">
        <v>359720</v>
      </c>
      <c r="F609" s="7">
        <v>1</v>
      </c>
      <c r="G609" s="7">
        <v>91</v>
      </c>
      <c r="H609" s="8">
        <v>49</v>
      </c>
      <c r="J609" t="s">
        <v>23</v>
      </c>
      <c r="K609" s="7">
        <v>681</v>
      </c>
      <c r="L609" s="9">
        <v>-1</v>
      </c>
      <c r="M609" t="s">
        <v>650</v>
      </c>
      <c r="N609" t="s">
        <v>651</v>
      </c>
      <c r="O609" s="27" t="str">
        <f>HYPERLINK("https://www.ncbi.nlm.nih.gov/nuccore/NZ_LN929838.1?report=graph&amp;from=172630&amp;to=172634", "TTA_codon")</f>
        <v>TTA_codon</v>
      </c>
    </row>
    <row r="610" spans="1:15" x14ac:dyDescent="0.15">
      <c r="A610" t="s">
        <v>21</v>
      </c>
      <c r="B610" t="s">
        <v>652</v>
      </c>
    </row>
    <row r="611" spans="1:15" x14ac:dyDescent="0.15">
      <c r="A611" t="s">
        <v>21</v>
      </c>
      <c r="B611">
        <v>1000803</v>
      </c>
      <c r="C611">
        <v>352024</v>
      </c>
      <c r="F611" s="7">
        <v>1</v>
      </c>
      <c r="G611" s="7">
        <v>343</v>
      </c>
      <c r="H611" s="8">
        <v>244</v>
      </c>
      <c r="J611" t="s">
        <v>23</v>
      </c>
      <c r="K611" s="7">
        <v>1671</v>
      </c>
      <c r="L611" s="9">
        <v>1</v>
      </c>
      <c r="M611" t="s">
        <v>653</v>
      </c>
      <c r="N611" t="s">
        <v>68</v>
      </c>
      <c r="O611" s="27" t="str">
        <f>HYPERLINK("https://www.ncbi.nlm.nih.gov/nuccore/NZ_BARG01000158.1?report=graph&amp;from=873&amp;to=877", "TTA_codon")</f>
        <v>TTA_codon</v>
      </c>
    </row>
    <row r="612" spans="1:15" x14ac:dyDescent="0.15">
      <c r="A612" t="s">
        <v>21</v>
      </c>
      <c r="B612">
        <v>1000803</v>
      </c>
      <c r="C612">
        <v>361771</v>
      </c>
      <c r="F612" s="7">
        <v>1</v>
      </c>
      <c r="G612" s="7">
        <v>214</v>
      </c>
      <c r="H612" s="8">
        <v>118</v>
      </c>
      <c r="J612" t="s">
        <v>23</v>
      </c>
      <c r="K612" s="7">
        <v>1677</v>
      </c>
      <c r="L612" s="9">
        <v>1</v>
      </c>
      <c r="M612" t="s">
        <v>37</v>
      </c>
      <c r="N612" t="s">
        <v>38</v>
      </c>
      <c r="O612" s="27" t="str">
        <f>HYPERLINK("https://www.ncbi.nlm.nih.gov/nuccore/NZ_CP011533.1?report=graph&amp;from=9782083&amp;to=9782087", "TTA_codon")</f>
        <v>TTA_codon</v>
      </c>
    </row>
    <row r="613" spans="1:15" x14ac:dyDescent="0.15">
      <c r="A613" t="s">
        <v>21</v>
      </c>
      <c r="B613">
        <v>1000803</v>
      </c>
      <c r="C613">
        <v>363772</v>
      </c>
      <c r="F613" s="7">
        <v>3</v>
      </c>
      <c r="G613" s="7" t="s">
        <v>654</v>
      </c>
      <c r="H613" s="8" t="s">
        <v>654</v>
      </c>
      <c r="J613" t="s">
        <v>23</v>
      </c>
      <c r="K613" s="7">
        <v>1776</v>
      </c>
      <c r="L613" s="9">
        <v>1</v>
      </c>
      <c r="M613" t="s">
        <v>101</v>
      </c>
      <c r="N613" t="s">
        <v>102</v>
      </c>
      <c r="O613" s="27" t="str">
        <f>HYPERLINK("https://www.ncbi.nlm.nih.gov/nuccore/NZ_CP019458.1?report=graph&amp;from=8496832&amp;to=8497499", "TTA_codon")</f>
        <v>TTA_codon</v>
      </c>
    </row>
    <row r="614" spans="1:15" x14ac:dyDescent="0.15">
      <c r="A614" t="s">
        <v>21</v>
      </c>
      <c r="B614" t="s">
        <v>655</v>
      </c>
    </row>
    <row r="615" spans="1:15" x14ac:dyDescent="0.15">
      <c r="A615" t="s">
        <v>21</v>
      </c>
      <c r="B615">
        <v>1000515</v>
      </c>
      <c r="C615">
        <v>349461</v>
      </c>
      <c r="F615" s="7">
        <v>2</v>
      </c>
      <c r="G615" s="7" t="s">
        <v>656</v>
      </c>
      <c r="H615" s="8" t="s">
        <v>657</v>
      </c>
      <c r="J615" t="s">
        <v>23</v>
      </c>
      <c r="K615" s="7">
        <v>3885</v>
      </c>
      <c r="L615" s="9">
        <v>1</v>
      </c>
      <c r="M615" t="s">
        <v>658</v>
      </c>
      <c r="N615" t="s">
        <v>64</v>
      </c>
      <c r="O615" s="27" t="str">
        <f>HYPERLINK("https://www.ncbi.nlm.nih.gov/nuccore/NZ_AEYX01000042.1?report=graph&amp;from=213313&amp;to=216389", "TTA_codon")</f>
        <v>TTA_codon</v>
      </c>
    </row>
    <row r="616" spans="1:15" x14ac:dyDescent="0.15">
      <c r="A616" t="s">
        <v>21</v>
      </c>
      <c r="B616">
        <v>1000515</v>
      </c>
      <c r="C616">
        <v>352105</v>
      </c>
      <c r="F616" s="7">
        <v>1</v>
      </c>
      <c r="G616" s="7">
        <v>118</v>
      </c>
      <c r="H616" s="8">
        <v>34</v>
      </c>
      <c r="J616" t="s">
        <v>23</v>
      </c>
      <c r="K616" s="7">
        <v>3858</v>
      </c>
      <c r="L616" s="9">
        <v>1</v>
      </c>
      <c r="M616" t="s">
        <v>659</v>
      </c>
      <c r="N616" t="s">
        <v>70</v>
      </c>
      <c r="O616" s="27" t="str">
        <f>HYPERLINK("https://www.ncbi.nlm.nih.gov/nuccore/NZ_KB904684.1?report=graph&amp;from=22228&amp;to=22232", "TTA_codon")</f>
        <v>TTA_codon</v>
      </c>
    </row>
    <row r="617" spans="1:15" x14ac:dyDescent="0.15">
      <c r="A617" t="s">
        <v>21</v>
      </c>
      <c r="B617" t="s">
        <v>660</v>
      </c>
    </row>
    <row r="618" spans="1:15" x14ac:dyDescent="0.15">
      <c r="A618" t="s">
        <v>21</v>
      </c>
      <c r="B618">
        <v>1000227</v>
      </c>
      <c r="C618">
        <v>347538</v>
      </c>
      <c r="F618" s="7">
        <v>1</v>
      </c>
      <c r="G618" s="7">
        <v>595</v>
      </c>
      <c r="H618" s="8">
        <v>493</v>
      </c>
      <c r="J618" t="s">
        <v>23</v>
      </c>
      <c r="K618" s="7">
        <v>1155</v>
      </c>
      <c r="L618" s="9">
        <v>1</v>
      </c>
      <c r="M618" t="s">
        <v>53</v>
      </c>
      <c r="N618" t="s">
        <v>54</v>
      </c>
      <c r="O618" s="27" t="str">
        <f>HYPERLINK("https://www.ncbi.nlm.nih.gov/nuccore/NC_003155.5?report=graph&amp;from=6201383&amp;to=6201387", "TTA_codon")</f>
        <v>TTA_codon</v>
      </c>
    </row>
    <row r="619" spans="1:15" x14ac:dyDescent="0.15">
      <c r="A619" t="s">
        <v>21</v>
      </c>
      <c r="B619">
        <v>1000227</v>
      </c>
      <c r="C619">
        <v>347895</v>
      </c>
      <c r="F619" s="7">
        <v>1</v>
      </c>
      <c r="G619" s="7">
        <v>595</v>
      </c>
      <c r="H619" s="8">
        <v>550</v>
      </c>
      <c r="J619" t="s">
        <v>23</v>
      </c>
      <c r="K619" s="7">
        <v>1239</v>
      </c>
      <c r="L619" s="9">
        <v>1</v>
      </c>
      <c r="M619" t="s">
        <v>57</v>
      </c>
      <c r="N619" t="s">
        <v>58</v>
      </c>
      <c r="O619" s="27" t="str">
        <f>HYPERLINK("https://www.ncbi.nlm.nih.gov/nuccore/NC_013929.1?report=graph&amp;from=6218865&amp;to=6218869", "TTA_codon")</f>
        <v>TTA_codon</v>
      </c>
    </row>
    <row r="620" spans="1:15" x14ac:dyDescent="0.15">
      <c r="A620" t="s">
        <v>21</v>
      </c>
      <c r="B620">
        <v>1000227</v>
      </c>
      <c r="C620">
        <v>351251</v>
      </c>
      <c r="F620" s="7">
        <v>1</v>
      </c>
      <c r="G620" s="7">
        <v>595</v>
      </c>
      <c r="H620" s="8">
        <v>490</v>
      </c>
      <c r="J620" t="s">
        <v>23</v>
      </c>
      <c r="K620" s="7">
        <v>1149</v>
      </c>
      <c r="L620" s="9">
        <v>1</v>
      </c>
      <c r="M620" t="s">
        <v>65</v>
      </c>
      <c r="N620" t="s">
        <v>66</v>
      </c>
      <c r="O620" s="27" t="str">
        <f>HYPERLINK("https://www.ncbi.nlm.nih.gov/nuccore/NC_020504.1?report=graph&amp;from=5933208&amp;to=5933212", "TTA_codon")</f>
        <v>TTA_codon</v>
      </c>
    </row>
    <row r="621" spans="1:15" x14ac:dyDescent="0.15">
      <c r="A621" t="s">
        <v>21</v>
      </c>
      <c r="B621">
        <v>1000227</v>
      </c>
      <c r="C621">
        <v>353350</v>
      </c>
      <c r="F621" s="7">
        <v>1</v>
      </c>
      <c r="G621" s="7">
        <v>595</v>
      </c>
      <c r="H621" s="8">
        <v>529</v>
      </c>
      <c r="J621" t="s">
        <v>23</v>
      </c>
      <c r="K621" s="7">
        <v>1191</v>
      </c>
      <c r="L621" s="9">
        <v>1</v>
      </c>
      <c r="M621" t="s">
        <v>661</v>
      </c>
      <c r="N621" t="s">
        <v>169</v>
      </c>
      <c r="O621" s="27" t="str">
        <f>HYPERLINK("https://www.ncbi.nlm.nih.gov/nuccore/NZ_JNWJ01000069.1?report=graph&amp;from=5235&amp;to=5239", "TTA_codon")</f>
        <v>TTA_codon</v>
      </c>
    </row>
    <row r="622" spans="1:15" x14ac:dyDescent="0.15">
      <c r="A622" t="s">
        <v>21</v>
      </c>
      <c r="B622">
        <v>1000227</v>
      </c>
      <c r="C622">
        <v>356242</v>
      </c>
      <c r="F622" s="7">
        <v>1</v>
      </c>
      <c r="G622" s="7">
        <v>595</v>
      </c>
      <c r="H622" s="8">
        <v>493</v>
      </c>
      <c r="J622" t="s">
        <v>23</v>
      </c>
      <c r="K622" s="7">
        <v>1155</v>
      </c>
      <c r="L622" s="9">
        <v>1</v>
      </c>
      <c r="M622" t="s">
        <v>662</v>
      </c>
      <c r="N622" t="s">
        <v>77</v>
      </c>
      <c r="O622" s="27" t="str">
        <f>HYPERLINK("https://www.ncbi.nlm.nih.gov/nuccore/NZ_JNXD01000017.1?report=graph&amp;from=68396&amp;to=68400", "TTA_codon")</f>
        <v>TTA_codon</v>
      </c>
    </row>
    <row r="623" spans="1:15" x14ac:dyDescent="0.15">
      <c r="A623" t="s">
        <v>21</v>
      </c>
      <c r="B623">
        <v>1000227</v>
      </c>
      <c r="C623">
        <v>358428</v>
      </c>
      <c r="F623" s="7">
        <v>1</v>
      </c>
      <c r="G623" s="7">
        <v>595</v>
      </c>
      <c r="H623" s="8">
        <v>493</v>
      </c>
      <c r="J623" t="s">
        <v>23</v>
      </c>
      <c r="K623" s="7">
        <v>1179</v>
      </c>
      <c r="L623" s="9">
        <v>1</v>
      </c>
      <c r="M623" t="s">
        <v>663</v>
      </c>
      <c r="N623" t="s">
        <v>85</v>
      </c>
      <c r="O623" s="27" t="str">
        <f>HYPERLINK("https://www.ncbi.nlm.nih.gov/nuccore/NZ_LIQX01000249.1?report=graph&amp;from=5996&amp;to=6000", "TTA_codon")</f>
        <v>TTA_codon</v>
      </c>
    </row>
    <row r="624" spans="1:15" x14ac:dyDescent="0.15">
      <c r="A624" t="s">
        <v>21</v>
      </c>
      <c r="B624">
        <v>1000227</v>
      </c>
      <c r="C624">
        <v>359168</v>
      </c>
      <c r="F624" s="7">
        <v>1</v>
      </c>
      <c r="G624" s="7">
        <v>595</v>
      </c>
      <c r="H624" s="8">
        <v>490</v>
      </c>
      <c r="J624" t="s">
        <v>23</v>
      </c>
      <c r="K624" s="7">
        <v>1152</v>
      </c>
      <c r="L624" s="9">
        <v>1</v>
      </c>
      <c r="M624" t="s">
        <v>664</v>
      </c>
      <c r="N624" t="s">
        <v>451</v>
      </c>
      <c r="O624" s="27" t="str">
        <f>HYPERLINK("https://www.ncbi.nlm.nih.gov/nuccore/NZ_LIQZ01000256.1?report=graph&amp;from=25113&amp;to=25117", "TTA_codon")</f>
        <v>TTA_codon</v>
      </c>
    </row>
    <row r="625" spans="1:15" x14ac:dyDescent="0.15">
      <c r="A625" t="s">
        <v>21</v>
      </c>
      <c r="B625">
        <v>1000227</v>
      </c>
      <c r="C625">
        <v>359374</v>
      </c>
      <c r="F625" s="7">
        <v>1</v>
      </c>
      <c r="G625" s="7">
        <v>595</v>
      </c>
      <c r="H625" s="8">
        <v>433</v>
      </c>
      <c r="J625" t="s">
        <v>23</v>
      </c>
      <c r="K625" s="7">
        <v>1089</v>
      </c>
      <c r="L625" s="9">
        <v>1</v>
      </c>
      <c r="M625" t="s">
        <v>665</v>
      </c>
      <c r="N625" t="s">
        <v>89</v>
      </c>
      <c r="O625" s="27" t="str">
        <f>HYPERLINK("https://www.ncbi.nlm.nih.gov/nuccore/NZ_LIRG01000135.1?report=graph&amp;from=4441&amp;to=4445", "TTA_codon")</f>
        <v>TTA_codon</v>
      </c>
    </row>
    <row r="626" spans="1:15" x14ac:dyDescent="0.15">
      <c r="A626" t="s">
        <v>21</v>
      </c>
      <c r="B626">
        <v>1000227</v>
      </c>
      <c r="C626">
        <v>362606</v>
      </c>
      <c r="F626" s="7">
        <v>1</v>
      </c>
      <c r="G626" s="7">
        <v>595</v>
      </c>
      <c r="H626" s="8">
        <v>436</v>
      </c>
      <c r="J626" t="s">
        <v>23</v>
      </c>
      <c r="K626" s="7">
        <v>1098</v>
      </c>
      <c r="L626" s="9">
        <v>1</v>
      </c>
      <c r="M626" t="s">
        <v>32</v>
      </c>
      <c r="N626" t="s">
        <v>33</v>
      </c>
      <c r="O626" s="27" t="str">
        <f>HYPERLINK("https://www.ncbi.nlm.nih.gov/nuccore/NZ_CP017248.1?report=graph&amp;from=5984469&amp;to=5984473", "TTA_codon")</f>
        <v>TTA_codon</v>
      </c>
    </row>
    <row r="627" spans="1:15" x14ac:dyDescent="0.15">
      <c r="A627" t="s">
        <v>21</v>
      </c>
      <c r="B627" t="s">
        <v>666</v>
      </c>
    </row>
    <row r="628" spans="1:15" x14ac:dyDescent="0.15">
      <c r="A628" t="s">
        <v>21</v>
      </c>
      <c r="B628">
        <v>1000737</v>
      </c>
      <c r="C628">
        <v>351264</v>
      </c>
      <c r="F628" s="7">
        <v>1</v>
      </c>
      <c r="G628" s="7">
        <v>727</v>
      </c>
      <c r="H628" s="8">
        <v>709</v>
      </c>
      <c r="J628" t="s">
        <v>23</v>
      </c>
      <c r="K628" s="7">
        <v>1812</v>
      </c>
      <c r="L628" s="9">
        <v>-1</v>
      </c>
      <c r="M628" t="s">
        <v>667</v>
      </c>
      <c r="N628" t="s">
        <v>66</v>
      </c>
      <c r="O628" s="27" t="str">
        <f>HYPERLINK("https://www.ncbi.nlm.nih.gov/nuccore/NC_020545.1?report=graph&amp;from=70703&amp;to=70707", "TTA_codon")</f>
        <v>TTA_codon</v>
      </c>
    </row>
    <row r="629" spans="1:15" x14ac:dyDescent="0.15">
      <c r="A629" t="s">
        <v>21</v>
      </c>
      <c r="B629">
        <v>1000737</v>
      </c>
      <c r="C629">
        <v>352929</v>
      </c>
      <c r="F629" s="7">
        <v>1</v>
      </c>
      <c r="G629" s="7">
        <v>727</v>
      </c>
      <c r="H629" s="8">
        <v>721</v>
      </c>
      <c r="J629" t="s">
        <v>23</v>
      </c>
      <c r="K629" s="7">
        <v>1836</v>
      </c>
      <c r="L629" s="9">
        <v>-1</v>
      </c>
      <c r="M629" t="s">
        <v>668</v>
      </c>
      <c r="N629" t="s">
        <v>306</v>
      </c>
      <c r="O629" s="27" t="str">
        <f>HYPERLINK("https://www.ncbi.nlm.nih.gov/nuccore/NZ_KL571062.1?report=graph&amp;from=116640&amp;to=116644", "TTA_codon")</f>
        <v>TTA_codon</v>
      </c>
    </row>
    <row r="630" spans="1:15" x14ac:dyDescent="0.15">
      <c r="A630" t="s">
        <v>21</v>
      </c>
      <c r="B630">
        <v>1000737</v>
      </c>
      <c r="C630">
        <v>360426</v>
      </c>
      <c r="F630" s="7">
        <v>2</v>
      </c>
      <c r="G630" s="7" t="s">
        <v>669</v>
      </c>
      <c r="H630" s="8" t="s">
        <v>670</v>
      </c>
      <c r="J630" t="s">
        <v>23</v>
      </c>
      <c r="K630" s="7">
        <v>1779</v>
      </c>
      <c r="L630" s="9">
        <v>-1</v>
      </c>
      <c r="M630" t="s">
        <v>121</v>
      </c>
      <c r="N630" t="s">
        <v>122</v>
      </c>
      <c r="O630" s="27" t="str">
        <f>HYPERLINK("https://www.ncbi.nlm.nih.gov/nuccore/NZ_CP016279.1?report=graph&amp;from=5361640&amp;to=5362667", "TTA_codon")</f>
        <v>TTA_codon</v>
      </c>
    </row>
    <row r="631" spans="1:15" x14ac:dyDescent="0.15">
      <c r="A631" t="s">
        <v>195</v>
      </c>
      <c r="B631" t="s">
        <v>671</v>
      </c>
    </row>
    <row r="632" spans="1:15" x14ac:dyDescent="0.15">
      <c r="A632" t="s">
        <v>195</v>
      </c>
      <c r="B632">
        <v>1000065</v>
      </c>
      <c r="C632">
        <v>346332</v>
      </c>
      <c r="F632" s="7">
        <v>1</v>
      </c>
      <c r="G632" s="7">
        <v>1006</v>
      </c>
      <c r="H632" s="8">
        <v>1006</v>
      </c>
      <c r="J632" t="s">
        <v>23</v>
      </c>
      <c r="K632" s="7">
        <v>1908</v>
      </c>
      <c r="L632" s="9">
        <v>1</v>
      </c>
      <c r="M632" t="s">
        <v>672</v>
      </c>
      <c r="N632" t="s">
        <v>169</v>
      </c>
      <c r="O632" s="27" t="str">
        <f>HYPERLINK("https://www.ncbi.nlm.nih.gov/nuccore/NZ_JNWJ01000039.1?report=graph&amp;from=111289&amp;to=111293", "TTA_codon")</f>
        <v>TTA_codon</v>
      </c>
    </row>
    <row r="633" spans="1:15" x14ac:dyDescent="0.15">
      <c r="A633" t="s">
        <v>21</v>
      </c>
      <c r="B633">
        <v>1000065</v>
      </c>
      <c r="C633">
        <v>359875</v>
      </c>
      <c r="F633" s="7">
        <v>3</v>
      </c>
      <c r="G633" s="7" t="s">
        <v>673</v>
      </c>
      <c r="H633" s="8" t="s">
        <v>674</v>
      </c>
      <c r="J633" t="s">
        <v>23</v>
      </c>
      <c r="K633" s="7">
        <v>1746</v>
      </c>
      <c r="L633" s="9">
        <v>1</v>
      </c>
      <c r="M633" t="s">
        <v>675</v>
      </c>
      <c r="N633" t="s">
        <v>91</v>
      </c>
      <c r="O633" s="27" t="str">
        <f>HYPERLINK("https://www.ncbi.nlm.nih.gov/nuccore/NZ_KQ948306.1?report=graph&amp;from=398245&amp;to=399383", "TTA_codon")</f>
        <v>TTA_codon</v>
      </c>
    </row>
    <row r="634" spans="1:15" x14ac:dyDescent="0.15">
      <c r="A634" t="s">
        <v>21</v>
      </c>
      <c r="B634" t="s">
        <v>676</v>
      </c>
    </row>
    <row r="635" spans="1:15" x14ac:dyDescent="0.15">
      <c r="A635" t="s">
        <v>21</v>
      </c>
      <c r="B635">
        <v>1001046</v>
      </c>
      <c r="C635">
        <v>354783</v>
      </c>
      <c r="F635" s="7">
        <v>4</v>
      </c>
      <c r="G635" s="7" t="s">
        <v>677</v>
      </c>
      <c r="H635" s="8" t="s">
        <v>678</v>
      </c>
      <c r="J635" t="s">
        <v>23</v>
      </c>
      <c r="K635" s="7">
        <v>2304</v>
      </c>
      <c r="L635" s="9">
        <v>1</v>
      </c>
      <c r="M635" t="s">
        <v>679</v>
      </c>
      <c r="N635" t="s">
        <v>272</v>
      </c>
      <c r="O635" s="27" t="str">
        <f>HYPERLINK("https://www.ncbi.nlm.nih.gov/nuccore/NZ_JOEY01000024.1?report=graph&amp;from=288330&amp;to=289936", "TTA_codon")</f>
        <v>TTA_codon</v>
      </c>
    </row>
    <row r="636" spans="1:15" x14ac:dyDescent="0.15">
      <c r="A636" t="s">
        <v>21</v>
      </c>
      <c r="B636">
        <v>1001046</v>
      </c>
      <c r="C636">
        <v>360220</v>
      </c>
      <c r="F636" s="7">
        <v>1</v>
      </c>
      <c r="G636" s="7">
        <v>502</v>
      </c>
      <c r="H636" s="8">
        <v>499</v>
      </c>
      <c r="J636" t="s">
        <v>23</v>
      </c>
      <c r="K636" s="7">
        <v>2130</v>
      </c>
      <c r="L636" s="9">
        <v>1</v>
      </c>
      <c r="M636" t="s">
        <v>680</v>
      </c>
      <c r="N636" t="s">
        <v>125</v>
      </c>
      <c r="O636" s="27" t="str">
        <f>HYPERLINK("https://www.ncbi.nlm.nih.gov/nuccore/NZ_KQ948496.1?report=graph&amp;from=15096&amp;to=15100", "TTA_codon")</f>
        <v>TTA_codon</v>
      </c>
    </row>
    <row r="637" spans="1:15" x14ac:dyDescent="0.15">
      <c r="A637" t="s">
        <v>21</v>
      </c>
      <c r="B637" t="s">
        <v>681</v>
      </c>
    </row>
    <row r="638" spans="1:15" x14ac:dyDescent="0.15">
      <c r="A638" t="s">
        <v>21</v>
      </c>
      <c r="B638">
        <v>1000879</v>
      </c>
      <c r="C638">
        <v>352748</v>
      </c>
      <c r="F638" s="7">
        <v>1</v>
      </c>
      <c r="G638" s="7">
        <v>229</v>
      </c>
      <c r="H638" s="8">
        <v>229</v>
      </c>
      <c r="J638" t="s">
        <v>23</v>
      </c>
      <c r="K638" s="7">
        <v>357</v>
      </c>
      <c r="L638" s="9">
        <v>-1</v>
      </c>
      <c r="M638" t="s">
        <v>472</v>
      </c>
      <c r="N638" t="s">
        <v>473</v>
      </c>
      <c r="O638" s="27" t="str">
        <f>HYPERLINK("https://www.ncbi.nlm.nih.gov/nuccore/NZ_ASHX02000001.1?report=graph&amp;from=555474&amp;to=555478", "TTA_codon")</f>
        <v>TTA_codon</v>
      </c>
    </row>
    <row r="639" spans="1:15" x14ac:dyDescent="0.15">
      <c r="A639" t="s">
        <v>21</v>
      </c>
      <c r="B639">
        <v>1000879</v>
      </c>
      <c r="C639">
        <v>357930</v>
      </c>
      <c r="F639" s="7">
        <v>1</v>
      </c>
      <c r="G639" s="7">
        <v>223</v>
      </c>
      <c r="H639" s="8">
        <v>223</v>
      </c>
      <c r="J639" t="s">
        <v>23</v>
      </c>
      <c r="K639" s="7">
        <v>357</v>
      </c>
      <c r="L639" s="9">
        <v>-1</v>
      </c>
      <c r="M639" t="s">
        <v>261</v>
      </c>
      <c r="N639" t="s">
        <v>262</v>
      </c>
      <c r="O639" s="27" t="str">
        <f>HYPERLINK("https://www.ncbi.nlm.nih.gov/nuccore/NZ_CP011340.1?report=graph&amp;from=1154332&amp;to=1154336", "TTA_codon")</f>
        <v>TTA_codon</v>
      </c>
    </row>
    <row r="640" spans="1:15" x14ac:dyDescent="0.15">
      <c r="A640" t="s">
        <v>21</v>
      </c>
      <c r="B640">
        <v>1000879</v>
      </c>
      <c r="C640">
        <v>365326</v>
      </c>
      <c r="F640" s="7">
        <v>1</v>
      </c>
      <c r="G640" s="7">
        <v>223</v>
      </c>
      <c r="H640" s="8">
        <v>223</v>
      </c>
      <c r="J640" t="s">
        <v>23</v>
      </c>
      <c r="K640" s="7">
        <v>357</v>
      </c>
      <c r="L640" s="9">
        <v>-1</v>
      </c>
      <c r="M640" t="s">
        <v>682</v>
      </c>
      <c r="N640" t="s">
        <v>129</v>
      </c>
      <c r="O640" s="27" t="str">
        <f>HYPERLINK("https://www.ncbi.nlm.nih.gov/nuccore/NZ_FNHI01000029.1?report=graph&amp;from=120897&amp;to=120901", "TTA_codon")</f>
        <v>TTA_codon</v>
      </c>
    </row>
    <row r="641" spans="1:15" x14ac:dyDescent="0.15">
      <c r="A641" t="s">
        <v>21</v>
      </c>
      <c r="B641" t="s">
        <v>683</v>
      </c>
    </row>
    <row r="642" spans="1:15" x14ac:dyDescent="0.15">
      <c r="A642" t="s">
        <v>21</v>
      </c>
      <c r="B642">
        <v>1000875</v>
      </c>
      <c r="C642">
        <v>352670</v>
      </c>
      <c r="F642" s="7">
        <v>3</v>
      </c>
      <c r="G642" s="7" t="s">
        <v>684</v>
      </c>
      <c r="H642" s="8" t="s">
        <v>685</v>
      </c>
      <c r="J642" t="s">
        <v>23</v>
      </c>
      <c r="K642" s="7">
        <v>3324</v>
      </c>
      <c r="L642" s="9">
        <v>1</v>
      </c>
      <c r="M642" t="s">
        <v>686</v>
      </c>
      <c r="N642" t="s">
        <v>436</v>
      </c>
      <c r="O642" s="27" t="str">
        <f>HYPERLINK("https://www.ncbi.nlm.nih.gov/nuccore/NZ_KE386846.1?report=graph&amp;from=174863&amp;to=176751", "TTA_codon")</f>
        <v>TTA_codon</v>
      </c>
    </row>
    <row r="643" spans="1:15" x14ac:dyDescent="0.15">
      <c r="A643" t="s">
        <v>21</v>
      </c>
      <c r="B643">
        <v>1000875</v>
      </c>
      <c r="C643">
        <v>358028</v>
      </c>
      <c r="F643" s="7">
        <v>1</v>
      </c>
      <c r="G643" s="7">
        <v>427</v>
      </c>
      <c r="H643" s="8">
        <v>427</v>
      </c>
      <c r="J643" t="s">
        <v>23</v>
      </c>
      <c r="K643" s="7">
        <v>2937</v>
      </c>
      <c r="L643" s="9">
        <v>1</v>
      </c>
      <c r="M643" t="s">
        <v>261</v>
      </c>
      <c r="N643" t="s">
        <v>262</v>
      </c>
      <c r="O643" s="27" t="str">
        <f>HYPERLINK("https://www.ncbi.nlm.nih.gov/nuccore/NZ_CP011340.1?report=graph&amp;from=1059382&amp;to=1059386", "TTA_codon")</f>
        <v>TTA_codon</v>
      </c>
    </row>
    <row r="644" spans="1:15" x14ac:dyDescent="0.15">
      <c r="A644" t="s">
        <v>21</v>
      </c>
      <c r="B644" t="s">
        <v>687</v>
      </c>
    </row>
    <row r="645" spans="1:15" x14ac:dyDescent="0.15">
      <c r="A645" t="s">
        <v>21</v>
      </c>
      <c r="B645">
        <v>1001116</v>
      </c>
      <c r="C645">
        <v>355722</v>
      </c>
      <c r="F645" s="7">
        <v>1</v>
      </c>
      <c r="G645" s="7">
        <v>427</v>
      </c>
      <c r="H645" s="8">
        <v>427</v>
      </c>
      <c r="J645" t="s">
        <v>23</v>
      </c>
      <c r="K645" s="7">
        <v>813</v>
      </c>
      <c r="L645" s="9">
        <v>-1</v>
      </c>
      <c r="M645" t="s">
        <v>688</v>
      </c>
      <c r="N645" t="s">
        <v>278</v>
      </c>
      <c r="O645" s="27" t="str">
        <f>HYPERLINK("https://www.ncbi.nlm.nih.gov/nuccore/NZ_JOID01000009.1?report=graph&amp;from=156209&amp;to=156213", "TTA_codon")</f>
        <v>TTA_codon</v>
      </c>
    </row>
    <row r="646" spans="1:15" x14ac:dyDescent="0.15">
      <c r="A646" t="s">
        <v>21</v>
      </c>
      <c r="B646">
        <v>1001116</v>
      </c>
      <c r="C646">
        <v>366495</v>
      </c>
      <c r="F646" s="7">
        <v>1</v>
      </c>
      <c r="G646" s="7">
        <v>427</v>
      </c>
      <c r="H646" s="8">
        <v>418</v>
      </c>
      <c r="J646" t="s">
        <v>23</v>
      </c>
      <c r="K646" s="7">
        <v>843</v>
      </c>
      <c r="L646" s="9">
        <v>-1</v>
      </c>
      <c r="M646" t="s">
        <v>689</v>
      </c>
      <c r="N646" t="s">
        <v>375</v>
      </c>
      <c r="O646" s="27" t="str">
        <f>HYPERLINK("https://www.ncbi.nlm.nih.gov/nuccore/NZ_FONG01000008.1?report=graph&amp;from=135620&amp;to=135624", "TTA_codon")</f>
        <v>TTA_codon</v>
      </c>
    </row>
    <row r="647" spans="1:15" x14ac:dyDescent="0.15">
      <c r="A647" t="s">
        <v>21</v>
      </c>
      <c r="B647" t="s">
        <v>690</v>
      </c>
    </row>
    <row r="648" spans="1:15" x14ac:dyDescent="0.15">
      <c r="A648" t="s">
        <v>21</v>
      </c>
      <c r="B648">
        <v>1000589</v>
      </c>
      <c r="C648">
        <v>350232</v>
      </c>
      <c r="F648" s="7">
        <v>1</v>
      </c>
      <c r="G648" s="7">
        <v>46</v>
      </c>
      <c r="H648" s="8">
        <v>46</v>
      </c>
      <c r="J648" t="s">
        <v>23</v>
      </c>
      <c r="K648" s="7">
        <v>366</v>
      </c>
      <c r="L648" s="9">
        <v>-1</v>
      </c>
      <c r="M648" t="s">
        <v>35</v>
      </c>
      <c r="N648" t="s">
        <v>36</v>
      </c>
      <c r="O648" s="27" t="str">
        <f>HYPERLINK("https://www.ncbi.nlm.nih.gov/nuccore/NZ_JH725387.1?report=graph&amp;from=67679&amp;to=67683", "TTA_codon")</f>
        <v>TTA_codon</v>
      </c>
    </row>
    <row r="649" spans="1:15" x14ac:dyDescent="0.15">
      <c r="A649" t="s">
        <v>21</v>
      </c>
      <c r="B649">
        <v>1000589</v>
      </c>
      <c r="C649">
        <v>361526</v>
      </c>
      <c r="F649" s="7">
        <v>1</v>
      </c>
      <c r="G649" s="7">
        <v>46</v>
      </c>
      <c r="H649" s="8">
        <v>46</v>
      </c>
      <c r="J649" t="s">
        <v>23</v>
      </c>
      <c r="K649" s="7">
        <v>366</v>
      </c>
      <c r="L649" s="9">
        <v>-1</v>
      </c>
      <c r="M649" t="s">
        <v>37</v>
      </c>
      <c r="N649" t="s">
        <v>38</v>
      </c>
      <c r="O649" s="27" t="str">
        <f>HYPERLINK("https://www.ncbi.nlm.nih.gov/nuccore/NZ_CP011533.1?report=graph&amp;from=1405406&amp;to=1405410", "TTA_codon")</f>
        <v>TTA_codon</v>
      </c>
    </row>
    <row r="650" spans="1:15" x14ac:dyDescent="0.15">
      <c r="A650" t="s">
        <v>21</v>
      </c>
      <c r="B650" t="s">
        <v>691</v>
      </c>
    </row>
    <row r="651" spans="1:15" x14ac:dyDescent="0.15">
      <c r="A651" t="s">
        <v>21</v>
      </c>
      <c r="B651">
        <v>1000324</v>
      </c>
      <c r="C651">
        <v>348032</v>
      </c>
      <c r="F651" s="7">
        <v>1</v>
      </c>
      <c r="G651" s="7">
        <v>64</v>
      </c>
      <c r="H651" s="8">
        <v>64</v>
      </c>
      <c r="J651" t="s">
        <v>23</v>
      </c>
      <c r="K651" s="7">
        <v>462</v>
      </c>
      <c r="L651" s="9">
        <v>1</v>
      </c>
      <c r="M651" t="s">
        <v>59</v>
      </c>
      <c r="N651" t="s">
        <v>60</v>
      </c>
      <c r="O651" s="27" t="str">
        <f>HYPERLINK("https://www.ncbi.nlm.nih.gov/nuccore/NC_016582.1?report=graph&amp;from=3417551&amp;to=3417555", "TTA_codon")</f>
        <v>TTA_codon</v>
      </c>
    </row>
    <row r="652" spans="1:15" x14ac:dyDescent="0.15">
      <c r="A652" t="s">
        <v>21</v>
      </c>
      <c r="B652">
        <v>1000324</v>
      </c>
      <c r="C652">
        <v>348760</v>
      </c>
      <c r="F652" s="7">
        <v>1</v>
      </c>
      <c r="G652" s="7">
        <v>64</v>
      </c>
      <c r="H652" s="8">
        <v>49</v>
      </c>
      <c r="J652" t="s">
        <v>23</v>
      </c>
      <c r="K652" s="7">
        <v>450</v>
      </c>
      <c r="L652" s="9">
        <v>1</v>
      </c>
      <c r="M652" t="s">
        <v>211</v>
      </c>
      <c r="N652" t="s">
        <v>212</v>
      </c>
      <c r="O652" s="27" t="str">
        <f>HYPERLINK("https://www.ncbi.nlm.nih.gov/nuccore/NZ_GG657754.1?report=graph&amp;from=2223580&amp;to=2223584", "TTA_codon")</f>
        <v>TTA_codon</v>
      </c>
    </row>
    <row r="653" spans="1:15" x14ac:dyDescent="0.15">
      <c r="A653" t="s">
        <v>21</v>
      </c>
      <c r="B653" t="s">
        <v>692</v>
      </c>
    </row>
    <row r="654" spans="1:15" x14ac:dyDescent="0.15">
      <c r="A654" t="s">
        <v>21</v>
      </c>
      <c r="B654">
        <v>1000799</v>
      </c>
      <c r="C654">
        <v>351967</v>
      </c>
      <c r="F654" s="7">
        <v>1</v>
      </c>
      <c r="G654" s="7">
        <v>343</v>
      </c>
      <c r="H654" s="8">
        <v>343</v>
      </c>
      <c r="J654" t="s">
        <v>23</v>
      </c>
      <c r="K654" s="7">
        <v>516</v>
      </c>
      <c r="L654" s="9">
        <v>1</v>
      </c>
      <c r="M654" t="s">
        <v>693</v>
      </c>
      <c r="N654" t="s">
        <v>68</v>
      </c>
      <c r="O654" s="27" t="str">
        <f>HYPERLINK("https://www.ncbi.nlm.nih.gov/nuccore/NZ_BARG01000090.1?report=graph&amp;from=62957&amp;to=62961", "TTA_codon")</f>
        <v>TTA_codon</v>
      </c>
    </row>
    <row r="655" spans="1:15" x14ac:dyDescent="0.15">
      <c r="A655" t="s">
        <v>21</v>
      </c>
      <c r="B655">
        <v>1000799</v>
      </c>
      <c r="C655">
        <v>354931</v>
      </c>
      <c r="F655" s="7">
        <v>1</v>
      </c>
      <c r="G655" s="7">
        <v>343</v>
      </c>
      <c r="H655" s="8">
        <v>343</v>
      </c>
      <c r="J655" t="s">
        <v>23</v>
      </c>
      <c r="K655" s="7">
        <v>510</v>
      </c>
      <c r="L655" s="9">
        <v>1</v>
      </c>
      <c r="M655" t="s">
        <v>694</v>
      </c>
      <c r="N655" t="s">
        <v>25</v>
      </c>
      <c r="O655" s="27" t="str">
        <f>HYPERLINK("https://www.ncbi.nlm.nih.gov/nuccore/NZ_JOFU01000042.1?report=graph&amp;from=35983&amp;to=35987", "TTA_codon")</f>
        <v>TTA_codon</v>
      </c>
    </row>
    <row r="656" spans="1:15" x14ac:dyDescent="0.15">
      <c r="A656" t="s">
        <v>195</v>
      </c>
      <c r="B656" t="s">
        <v>695</v>
      </c>
    </row>
    <row r="657" spans="1:15" x14ac:dyDescent="0.15">
      <c r="A657" t="s">
        <v>195</v>
      </c>
      <c r="B657">
        <v>1000877</v>
      </c>
      <c r="C657">
        <v>346085</v>
      </c>
      <c r="F657" s="7">
        <v>2</v>
      </c>
      <c r="G657" s="7" t="s">
        <v>696</v>
      </c>
      <c r="H657" s="8" t="s">
        <v>697</v>
      </c>
      <c r="J657" t="s">
        <v>23</v>
      </c>
      <c r="K657" s="7">
        <v>3594</v>
      </c>
      <c r="L657" s="9">
        <v>1</v>
      </c>
      <c r="M657" t="s">
        <v>59</v>
      </c>
      <c r="N657" t="s">
        <v>60</v>
      </c>
      <c r="O657" s="27" t="str">
        <f>HYPERLINK("https://www.ncbi.nlm.nih.gov/nuccore/NC_016582.1?report=graph&amp;from=9559243&amp;to=9561503", "TTA_codon")</f>
        <v>TTA_codon</v>
      </c>
    </row>
    <row r="658" spans="1:15" x14ac:dyDescent="0.15">
      <c r="A658" t="s">
        <v>21</v>
      </c>
      <c r="B658">
        <v>1000877</v>
      </c>
      <c r="C658">
        <v>352713</v>
      </c>
      <c r="F658" s="7">
        <v>1</v>
      </c>
      <c r="G658" s="7">
        <v>712</v>
      </c>
      <c r="H658" s="8">
        <v>613</v>
      </c>
      <c r="J658" t="s">
        <v>23</v>
      </c>
      <c r="K658" s="7">
        <v>3381</v>
      </c>
      <c r="L658" s="9">
        <v>1</v>
      </c>
      <c r="M658" t="s">
        <v>698</v>
      </c>
      <c r="N658" t="s">
        <v>436</v>
      </c>
      <c r="O658" s="27" t="str">
        <f>HYPERLINK("https://www.ncbi.nlm.nih.gov/nuccore/NZ_AUBE01000039.1?report=graph&amp;from=9044&amp;to=9048", "TTA_codon")</f>
        <v>TTA_codon</v>
      </c>
    </row>
    <row r="659" spans="1:15" x14ac:dyDescent="0.15">
      <c r="A659" t="s">
        <v>21</v>
      </c>
      <c r="B659">
        <v>1000877</v>
      </c>
      <c r="C659">
        <v>358042</v>
      </c>
      <c r="F659" s="7">
        <v>1</v>
      </c>
      <c r="G659" s="7">
        <v>595</v>
      </c>
      <c r="H659" s="8">
        <v>520</v>
      </c>
      <c r="J659" t="s">
        <v>23</v>
      </c>
      <c r="K659" s="7">
        <v>3207</v>
      </c>
      <c r="L659" s="9">
        <v>1</v>
      </c>
      <c r="M659" t="s">
        <v>261</v>
      </c>
      <c r="N659" t="s">
        <v>262</v>
      </c>
      <c r="O659" s="27" t="str">
        <f>HYPERLINK("https://www.ncbi.nlm.nih.gov/nuccore/NZ_CP011340.1?report=graph&amp;from=6128774&amp;to=6128778", "TTA_codon")</f>
        <v>TTA_codon</v>
      </c>
    </row>
    <row r="660" spans="1:15" x14ac:dyDescent="0.15">
      <c r="A660" t="s">
        <v>195</v>
      </c>
      <c r="B660" t="s">
        <v>699</v>
      </c>
    </row>
    <row r="661" spans="1:15" x14ac:dyDescent="0.15">
      <c r="A661" t="s">
        <v>195</v>
      </c>
      <c r="B661">
        <v>1000041</v>
      </c>
      <c r="C661">
        <v>346204</v>
      </c>
      <c r="F661" s="7">
        <v>1</v>
      </c>
      <c r="G661" s="7">
        <v>868</v>
      </c>
      <c r="H661" s="8">
        <v>856</v>
      </c>
      <c r="J661" t="s">
        <v>23</v>
      </c>
      <c r="K661" s="7">
        <v>4332</v>
      </c>
      <c r="L661" s="9">
        <v>1</v>
      </c>
      <c r="M661" t="s">
        <v>700</v>
      </c>
      <c r="N661" t="s">
        <v>136</v>
      </c>
      <c r="O661" s="27" t="str">
        <f>HYPERLINK("https://www.ncbi.nlm.nih.gov/nuccore/NZ_AORZ01000003.1?report=graph&amp;from=141555&amp;to=141559", "TTA_codon")</f>
        <v>TTA_codon</v>
      </c>
    </row>
    <row r="662" spans="1:15" x14ac:dyDescent="0.15">
      <c r="A662" t="s">
        <v>21</v>
      </c>
      <c r="B662">
        <v>1000041</v>
      </c>
      <c r="C662">
        <v>363636</v>
      </c>
      <c r="F662" s="7">
        <v>1</v>
      </c>
      <c r="G662" s="7">
        <v>868</v>
      </c>
      <c r="H662" s="8">
        <v>847</v>
      </c>
      <c r="J662" t="s">
        <v>23</v>
      </c>
      <c r="K662" s="7">
        <v>4299</v>
      </c>
      <c r="L662" s="9">
        <v>1</v>
      </c>
      <c r="M662" t="s">
        <v>101</v>
      </c>
      <c r="N662" t="s">
        <v>102</v>
      </c>
      <c r="O662" s="27" t="str">
        <f>HYPERLINK("https://www.ncbi.nlm.nih.gov/nuccore/NZ_CP019458.1?report=graph&amp;from=704782&amp;to=704786", "TTA_codon")</f>
        <v>TTA_codon</v>
      </c>
    </row>
    <row r="663" spans="1:15" x14ac:dyDescent="0.15">
      <c r="A663" t="s">
        <v>21</v>
      </c>
      <c r="B663" t="s">
        <v>701</v>
      </c>
    </row>
    <row r="664" spans="1:15" x14ac:dyDescent="0.15">
      <c r="A664" t="s">
        <v>21</v>
      </c>
      <c r="B664">
        <v>1001071</v>
      </c>
      <c r="C664">
        <v>355203</v>
      </c>
      <c r="F664" s="7">
        <v>1</v>
      </c>
      <c r="G664" s="7">
        <v>139</v>
      </c>
      <c r="H664" s="8">
        <v>139</v>
      </c>
      <c r="J664" t="s">
        <v>23</v>
      </c>
      <c r="K664" s="7">
        <v>948</v>
      </c>
      <c r="L664" s="9">
        <v>-1</v>
      </c>
      <c r="M664" t="s">
        <v>702</v>
      </c>
      <c r="N664" t="s">
        <v>433</v>
      </c>
      <c r="O664" s="27" t="str">
        <f>HYPERLINK("https://www.ncbi.nlm.nih.gov/nuccore/NZ_JOBF01000003.1?report=graph&amp;from=27124&amp;to=27128", "TTA_codon")</f>
        <v>TTA_codon</v>
      </c>
    </row>
    <row r="665" spans="1:15" x14ac:dyDescent="0.15">
      <c r="A665" t="s">
        <v>21</v>
      </c>
      <c r="B665">
        <v>1001071</v>
      </c>
      <c r="C665">
        <v>364481</v>
      </c>
      <c r="F665" s="7">
        <v>1</v>
      </c>
      <c r="G665" s="7">
        <v>184</v>
      </c>
      <c r="H665" s="8">
        <v>184</v>
      </c>
      <c r="J665" t="s">
        <v>23</v>
      </c>
      <c r="K665" s="7">
        <v>948</v>
      </c>
      <c r="L665" s="9">
        <v>-1</v>
      </c>
      <c r="M665" t="s">
        <v>703</v>
      </c>
      <c r="N665" t="s">
        <v>326</v>
      </c>
      <c r="O665" s="27" t="str">
        <f>HYPERLINK("https://www.ncbi.nlm.nih.gov/nuccore/NZ_MUBL01000403.1?report=graph&amp;from=5195&amp;to=5199", "TTA_codon")</f>
        <v>TTA_codon</v>
      </c>
    </row>
    <row r="666" spans="1:15" x14ac:dyDescent="0.15">
      <c r="A666" t="s">
        <v>21</v>
      </c>
      <c r="B666" t="s">
        <v>704</v>
      </c>
    </row>
    <row r="667" spans="1:15" x14ac:dyDescent="0.15">
      <c r="A667" t="s">
        <v>21</v>
      </c>
      <c r="B667">
        <v>1001431</v>
      </c>
      <c r="C667">
        <v>363077</v>
      </c>
      <c r="F667" s="7">
        <v>1</v>
      </c>
      <c r="G667" s="7">
        <v>67</v>
      </c>
      <c r="H667" s="8">
        <v>67</v>
      </c>
      <c r="J667" t="s">
        <v>23</v>
      </c>
      <c r="K667" s="7">
        <v>840</v>
      </c>
      <c r="L667" s="9">
        <v>-1</v>
      </c>
      <c r="M667" t="s">
        <v>705</v>
      </c>
      <c r="N667" t="s">
        <v>401</v>
      </c>
      <c r="O667" s="27" t="str">
        <f>HYPERLINK("https://www.ncbi.nlm.nih.gov/nuccore/NZ_LFBV01000008.1?report=graph&amp;from=192746&amp;to=192750", "TTA_codon")</f>
        <v>TTA_codon</v>
      </c>
    </row>
    <row r="668" spans="1:15" x14ac:dyDescent="0.15">
      <c r="A668" t="s">
        <v>21</v>
      </c>
      <c r="B668">
        <v>1001431</v>
      </c>
      <c r="C668">
        <v>366363</v>
      </c>
      <c r="F668" s="7">
        <v>1</v>
      </c>
      <c r="G668" s="7">
        <v>58</v>
      </c>
      <c r="H668" s="8">
        <v>52</v>
      </c>
      <c r="J668" t="s">
        <v>23</v>
      </c>
      <c r="K668" s="7">
        <v>834</v>
      </c>
      <c r="L668" s="9">
        <v>-1</v>
      </c>
      <c r="M668" t="s">
        <v>706</v>
      </c>
      <c r="N668" t="s">
        <v>375</v>
      </c>
      <c r="O668" s="27" t="str">
        <f>HYPERLINK("https://www.ncbi.nlm.nih.gov/nuccore/NZ_FONG01000003.1?report=graph&amp;from=286763&amp;to=286767", "TTA_codon")</f>
        <v>TTA_codon</v>
      </c>
    </row>
    <row r="669" spans="1:15" x14ac:dyDescent="0.15">
      <c r="A669" t="s">
        <v>21</v>
      </c>
      <c r="B669" t="s">
        <v>707</v>
      </c>
    </row>
    <row r="670" spans="1:15" x14ac:dyDescent="0.15">
      <c r="A670" t="s">
        <v>21</v>
      </c>
      <c r="B670">
        <v>1001463</v>
      </c>
      <c r="C670">
        <v>363776</v>
      </c>
      <c r="F670" s="7">
        <v>1</v>
      </c>
      <c r="G670" s="7">
        <v>442</v>
      </c>
      <c r="H670" s="8">
        <v>442</v>
      </c>
      <c r="J670" t="s">
        <v>23</v>
      </c>
      <c r="K670" s="7">
        <v>816</v>
      </c>
      <c r="L670" s="9">
        <v>-1</v>
      </c>
      <c r="M670" t="s">
        <v>101</v>
      </c>
      <c r="N670" t="s">
        <v>102</v>
      </c>
      <c r="O670" s="27" t="str">
        <f>HYPERLINK("https://www.ncbi.nlm.nih.gov/nuccore/NZ_CP019458.1?report=graph&amp;from=4635063&amp;to=4635067", "TTA_codon")</f>
        <v>TTA_codon</v>
      </c>
    </row>
    <row r="671" spans="1:15" x14ac:dyDescent="0.15">
      <c r="A671" t="s">
        <v>21</v>
      </c>
      <c r="B671">
        <v>1001463</v>
      </c>
      <c r="C671">
        <v>365727</v>
      </c>
      <c r="F671" s="7">
        <v>1</v>
      </c>
      <c r="G671" s="7">
        <v>442</v>
      </c>
      <c r="H671" s="8">
        <v>433</v>
      </c>
      <c r="J671" t="s">
        <v>23</v>
      </c>
      <c r="K671" s="7">
        <v>807</v>
      </c>
      <c r="L671" s="9">
        <v>-1</v>
      </c>
      <c r="M671" t="s">
        <v>213</v>
      </c>
      <c r="N671" t="s">
        <v>214</v>
      </c>
      <c r="O671" s="27" t="str">
        <f>HYPERLINK("https://www.ncbi.nlm.nih.gov/nuccore/NZ_FNST01000002.1?report=graph&amp;from=2202926&amp;to=2202930", "TTA_codon")</f>
        <v>TTA_codon</v>
      </c>
    </row>
    <row r="672" spans="1:15" x14ac:dyDescent="0.15">
      <c r="A672" t="s">
        <v>21</v>
      </c>
      <c r="B672" t="s">
        <v>708</v>
      </c>
    </row>
    <row r="673" spans="1:15" x14ac:dyDescent="0.15">
      <c r="A673" t="s">
        <v>21</v>
      </c>
      <c r="B673">
        <v>1000468</v>
      </c>
      <c r="C673">
        <v>347417</v>
      </c>
      <c r="F673" s="7">
        <v>3</v>
      </c>
      <c r="G673" s="7" t="s">
        <v>709</v>
      </c>
      <c r="H673" s="8" t="s">
        <v>710</v>
      </c>
      <c r="J673" t="s">
        <v>23</v>
      </c>
      <c r="K673" s="7">
        <v>2193</v>
      </c>
      <c r="L673" s="9">
        <v>-1</v>
      </c>
      <c r="M673" t="s">
        <v>217</v>
      </c>
      <c r="N673" t="s">
        <v>218</v>
      </c>
      <c r="O673" s="27" t="str">
        <f>HYPERLINK("https://www.ncbi.nlm.nih.gov/nuccore/NC_021985.1?report=graph&amp;from=6625955&amp;to=6626871", "TTA_codon")</f>
        <v>TTA_codon</v>
      </c>
    </row>
    <row r="674" spans="1:15" x14ac:dyDescent="0.15">
      <c r="A674" t="s">
        <v>21</v>
      </c>
      <c r="B674">
        <v>1000468</v>
      </c>
      <c r="C674">
        <v>348930</v>
      </c>
      <c r="F674" s="7">
        <v>1</v>
      </c>
      <c r="G674" s="7">
        <v>55</v>
      </c>
      <c r="H674" s="8">
        <v>52</v>
      </c>
      <c r="J674" t="s">
        <v>23</v>
      </c>
      <c r="K674" s="7">
        <v>2214</v>
      </c>
      <c r="L674" s="9">
        <v>-1</v>
      </c>
      <c r="M674" t="s">
        <v>211</v>
      </c>
      <c r="N674" t="s">
        <v>212</v>
      </c>
      <c r="O674" s="27" t="str">
        <f>HYPERLINK("https://www.ncbi.nlm.nih.gov/nuccore/NZ_GG657754.1?report=graph&amp;from=9518271&amp;to=9518275", "TTA_codon")</f>
        <v>TTA_codon</v>
      </c>
    </row>
    <row r="675" spans="1:15" x14ac:dyDescent="0.15">
      <c r="A675" t="s">
        <v>21</v>
      </c>
      <c r="B675">
        <v>1000468</v>
      </c>
      <c r="C675">
        <v>351907</v>
      </c>
      <c r="F675" s="7">
        <v>1</v>
      </c>
      <c r="G675" s="7">
        <v>118</v>
      </c>
      <c r="H675" s="8">
        <v>118</v>
      </c>
      <c r="J675" t="s">
        <v>23</v>
      </c>
      <c r="K675" s="7">
        <v>2151</v>
      </c>
      <c r="L675" s="9">
        <v>-1</v>
      </c>
      <c r="M675" t="s">
        <v>440</v>
      </c>
      <c r="N675" t="s">
        <v>68</v>
      </c>
      <c r="O675" s="27" t="str">
        <f>HYPERLINK("https://www.ncbi.nlm.nih.gov/nuccore/NZ_BARG01000050.1?report=graph&amp;from=76204&amp;to=76208", "TTA_codon")</f>
        <v>TTA_codon</v>
      </c>
    </row>
    <row r="676" spans="1:15" x14ac:dyDescent="0.15">
      <c r="A676" t="s">
        <v>21</v>
      </c>
      <c r="B676" t="s">
        <v>711</v>
      </c>
    </row>
    <row r="677" spans="1:15" x14ac:dyDescent="0.15">
      <c r="A677" t="s">
        <v>21</v>
      </c>
      <c r="B677">
        <v>1000847</v>
      </c>
      <c r="C677">
        <v>352452</v>
      </c>
      <c r="F677" s="7">
        <v>1</v>
      </c>
      <c r="G677" s="7">
        <v>796</v>
      </c>
      <c r="H677" s="8">
        <v>796</v>
      </c>
      <c r="J677" t="s">
        <v>23</v>
      </c>
      <c r="K677" s="7">
        <v>879</v>
      </c>
      <c r="L677" s="9">
        <v>-1</v>
      </c>
      <c r="M677" t="s">
        <v>30</v>
      </c>
      <c r="N677" t="s">
        <v>31</v>
      </c>
      <c r="O677" s="27" t="str">
        <f>HYPERLINK("https://www.ncbi.nlm.nih.gov/nuccore/NZ_KB913030.1?report=graph&amp;from=595742&amp;to=595746", "TTA_codon")</f>
        <v>TTA_codon</v>
      </c>
    </row>
    <row r="678" spans="1:15" x14ac:dyDescent="0.15">
      <c r="A678" t="s">
        <v>21</v>
      </c>
      <c r="B678">
        <v>1000847</v>
      </c>
      <c r="C678">
        <v>359487</v>
      </c>
      <c r="F678" s="7">
        <v>1</v>
      </c>
      <c r="G678" s="7">
        <v>796</v>
      </c>
      <c r="H678" s="8">
        <v>796</v>
      </c>
      <c r="J678" t="s">
        <v>23</v>
      </c>
      <c r="K678" s="7">
        <v>885</v>
      </c>
      <c r="L678" s="9">
        <v>-1</v>
      </c>
      <c r="M678" t="s">
        <v>151</v>
      </c>
      <c r="N678" t="s">
        <v>152</v>
      </c>
      <c r="O678" s="27" t="str">
        <f>HYPERLINK("https://www.ncbi.nlm.nih.gov/nuccore/NZ_CP013129.1?report=graph&amp;from=8420332&amp;to=8420336", "TTA_codon")</f>
        <v>TTA_codon</v>
      </c>
    </row>
    <row r="679" spans="1:15" x14ac:dyDescent="0.15">
      <c r="A679" t="s">
        <v>21</v>
      </c>
      <c r="B679" t="s">
        <v>712</v>
      </c>
    </row>
    <row r="680" spans="1:15" x14ac:dyDescent="0.15">
      <c r="A680" t="s">
        <v>21</v>
      </c>
      <c r="B680">
        <v>1001492</v>
      </c>
      <c r="C680">
        <v>363518</v>
      </c>
      <c r="F680" s="7">
        <v>1</v>
      </c>
      <c r="G680" s="7">
        <v>343</v>
      </c>
      <c r="H680" s="8">
        <v>313</v>
      </c>
      <c r="J680" t="s">
        <v>23</v>
      </c>
      <c r="K680" s="7">
        <v>669</v>
      </c>
      <c r="L680" s="9">
        <v>-1</v>
      </c>
      <c r="M680" t="s">
        <v>157</v>
      </c>
      <c r="N680" t="s">
        <v>158</v>
      </c>
      <c r="O680" s="27" t="str">
        <f>HYPERLINK("https://www.ncbi.nlm.nih.gov/nuccore/NZ_CP015588.1?report=graph&amp;from=333410&amp;to=333414", "TTA_codon")</f>
        <v>TTA_codon</v>
      </c>
    </row>
    <row r="681" spans="1:15" x14ac:dyDescent="0.15">
      <c r="A681" t="s">
        <v>21</v>
      </c>
      <c r="B681">
        <v>1001492</v>
      </c>
      <c r="C681">
        <v>364935</v>
      </c>
      <c r="F681" s="7">
        <v>1</v>
      </c>
      <c r="G681" s="7">
        <v>175</v>
      </c>
      <c r="H681" s="8">
        <v>142</v>
      </c>
      <c r="J681" t="s">
        <v>23</v>
      </c>
      <c r="K681" s="7">
        <v>648</v>
      </c>
      <c r="L681" s="9">
        <v>-1</v>
      </c>
      <c r="M681" t="s">
        <v>126</v>
      </c>
      <c r="N681" t="s">
        <v>127</v>
      </c>
      <c r="O681" s="27" t="str">
        <f>HYPERLINK("https://www.ncbi.nlm.nih.gov/nuccore/NZ_CP021748.1?report=graph&amp;from=5103240&amp;to=5103244", "TTA_codon")</f>
        <v>TTA_codon</v>
      </c>
    </row>
    <row r="682" spans="1:15" x14ac:dyDescent="0.15">
      <c r="A682" t="s">
        <v>21</v>
      </c>
      <c r="B682" t="s">
        <v>713</v>
      </c>
    </row>
    <row r="683" spans="1:15" x14ac:dyDescent="0.15">
      <c r="A683" t="s">
        <v>21</v>
      </c>
      <c r="B683">
        <v>1000194</v>
      </c>
      <c r="C683">
        <v>347331</v>
      </c>
      <c r="F683" s="7">
        <v>1</v>
      </c>
      <c r="G683" s="7">
        <v>316</v>
      </c>
      <c r="H683" s="8">
        <v>313</v>
      </c>
      <c r="J683" t="s">
        <v>23</v>
      </c>
      <c r="K683" s="7">
        <v>756</v>
      </c>
      <c r="L683" s="9">
        <v>-1</v>
      </c>
      <c r="M683" t="s">
        <v>217</v>
      </c>
      <c r="N683" t="s">
        <v>218</v>
      </c>
      <c r="O683" s="27" t="str">
        <f>HYPERLINK("https://www.ncbi.nlm.nih.gov/nuccore/NC_021985.1?report=graph&amp;from=47961&amp;to=47965", "TTA_codon")</f>
        <v>TTA_codon</v>
      </c>
    </row>
    <row r="684" spans="1:15" x14ac:dyDescent="0.15">
      <c r="A684" t="s">
        <v>21</v>
      </c>
      <c r="B684">
        <v>1000194</v>
      </c>
      <c r="C684">
        <v>365897</v>
      </c>
      <c r="F684" s="7">
        <v>1</v>
      </c>
      <c r="G684" s="7">
        <v>337</v>
      </c>
      <c r="H684" s="8">
        <v>331</v>
      </c>
      <c r="J684" t="s">
        <v>23</v>
      </c>
      <c r="K684" s="7">
        <v>753</v>
      </c>
      <c r="L684" s="9">
        <v>-1</v>
      </c>
      <c r="M684" t="s">
        <v>714</v>
      </c>
      <c r="N684" t="s">
        <v>115</v>
      </c>
      <c r="O684" s="27" t="str">
        <f>HYPERLINK("https://www.ncbi.nlm.nih.gov/nuccore/NZ_FODD01000057.1?report=graph&amp;from=3331&amp;to=3335", "TTA_codon")</f>
        <v>TTA_codon</v>
      </c>
    </row>
    <row r="685" spans="1:15" x14ac:dyDescent="0.15">
      <c r="A685" t="s">
        <v>21</v>
      </c>
      <c r="B685" t="s">
        <v>715</v>
      </c>
    </row>
    <row r="686" spans="1:15" x14ac:dyDescent="0.15">
      <c r="A686" t="s">
        <v>21</v>
      </c>
      <c r="B686">
        <v>1000680</v>
      </c>
      <c r="C686">
        <v>350812</v>
      </c>
      <c r="F686" s="7">
        <v>1</v>
      </c>
      <c r="G686" s="7">
        <v>1384</v>
      </c>
      <c r="H686" s="8">
        <v>1384</v>
      </c>
      <c r="J686" t="s">
        <v>23</v>
      </c>
      <c r="K686" s="7">
        <v>2058</v>
      </c>
      <c r="L686" s="9">
        <v>-1</v>
      </c>
      <c r="M686" t="s">
        <v>716</v>
      </c>
      <c r="N686" t="s">
        <v>51</v>
      </c>
      <c r="O686" s="27" t="str">
        <f>HYPERLINK("https://www.ncbi.nlm.nih.gov/nuccore/NZ_AEJB01000093.1?report=graph&amp;from=7785&amp;to=7789", "TTA_codon")</f>
        <v>TTA_codon</v>
      </c>
    </row>
    <row r="687" spans="1:15" x14ac:dyDescent="0.15">
      <c r="A687" t="s">
        <v>21</v>
      </c>
      <c r="B687">
        <v>1000680</v>
      </c>
      <c r="C687">
        <v>350813</v>
      </c>
      <c r="F687" s="7">
        <v>1</v>
      </c>
      <c r="G687" s="7">
        <v>1384</v>
      </c>
      <c r="H687" s="8">
        <v>1384</v>
      </c>
      <c r="J687" t="s">
        <v>23</v>
      </c>
      <c r="K687" s="7">
        <v>2058</v>
      </c>
      <c r="L687" s="9">
        <v>-1</v>
      </c>
      <c r="M687" t="s">
        <v>352</v>
      </c>
      <c r="N687" t="s">
        <v>51</v>
      </c>
      <c r="O687" s="27" t="str">
        <f>HYPERLINK("https://www.ncbi.nlm.nih.gov/nuccore/NZ_AEJB01000361.1?report=graph&amp;from=551755&amp;to=551759", "TTA_codon")</f>
        <v>TTA_codon</v>
      </c>
    </row>
    <row r="688" spans="1:15" x14ac:dyDescent="0.15">
      <c r="A688" t="s">
        <v>21</v>
      </c>
      <c r="B688" t="s">
        <v>717</v>
      </c>
    </row>
    <row r="689" spans="1:15" x14ac:dyDescent="0.15">
      <c r="A689" t="s">
        <v>21</v>
      </c>
      <c r="B689">
        <v>1001381</v>
      </c>
      <c r="C689">
        <v>358410</v>
      </c>
      <c r="F689" s="7">
        <v>1</v>
      </c>
      <c r="G689" s="7">
        <v>175</v>
      </c>
      <c r="H689" s="8">
        <v>94</v>
      </c>
      <c r="J689" t="s">
        <v>23</v>
      </c>
      <c r="K689" s="7">
        <v>411</v>
      </c>
      <c r="L689" s="9">
        <v>-1</v>
      </c>
      <c r="M689" t="s">
        <v>718</v>
      </c>
      <c r="N689" t="s">
        <v>85</v>
      </c>
      <c r="O689" s="27" t="str">
        <f>HYPERLINK("https://www.ncbi.nlm.nih.gov/nuccore/NZ_LIQX01000031.1?report=graph&amp;from=2565&amp;to=2569", "TTA_codon")</f>
        <v>TTA_codon</v>
      </c>
    </row>
    <row r="690" spans="1:15" x14ac:dyDescent="0.15">
      <c r="A690" t="s">
        <v>21</v>
      </c>
      <c r="B690">
        <v>1001381</v>
      </c>
      <c r="C690">
        <v>361656</v>
      </c>
      <c r="F690" s="7">
        <v>1</v>
      </c>
      <c r="G690" s="7">
        <v>175</v>
      </c>
      <c r="H690" s="8">
        <v>175</v>
      </c>
      <c r="J690" t="s">
        <v>23</v>
      </c>
      <c r="K690" s="7">
        <v>498</v>
      </c>
      <c r="L690" s="9">
        <v>-1</v>
      </c>
      <c r="M690" t="s">
        <v>37</v>
      </c>
      <c r="N690" t="s">
        <v>38</v>
      </c>
      <c r="O690" s="27" t="str">
        <f>HYPERLINK("https://www.ncbi.nlm.nih.gov/nuccore/NZ_CP011533.1?report=graph&amp;from=415549&amp;to=415553", "TTA_codon")</f>
        <v>TTA_codon</v>
      </c>
    </row>
    <row r="691" spans="1:15" x14ac:dyDescent="0.15">
      <c r="A691" t="s">
        <v>21</v>
      </c>
      <c r="B691" t="s">
        <v>719</v>
      </c>
    </row>
    <row r="692" spans="1:15" x14ac:dyDescent="0.15">
      <c r="A692" t="s">
        <v>21</v>
      </c>
      <c r="B692">
        <v>1000994</v>
      </c>
      <c r="C692">
        <v>349719</v>
      </c>
      <c r="F692" s="7">
        <v>1</v>
      </c>
      <c r="G692" s="7">
        <v>592</v>
      </c>
      <c r="H692" s="8">
        <v>472</v>
      </c>
      <c r="J692" t="s">
        <v>23</v>
      </c>
      <c r="K692" s="7">
        <v>2859</v>
      </c>
      <c r="L692" s="9">
        <v>-1</v>
      </c>
      <c r="M692" t="s">
        <v>720</v>
      </c>
      <c r="N692" t="s">
        <v>335</v>
      </c>
      <c r="O692" s="27" t="str">
        <f>HYPERLINK("https://www.ncbi.nlm.nih.gov/nuccore/NZ_AGBF01000064.1?report=graph&amp;from=28308&amp;to=28312", "TTA_codon")</f>
        <v>TTA_codon</v>
      </c>
    </row>
    <row r="693" spans="1:15" x14ac:dyDescent="0.15">
      <c r="A693" t="s">
        <v>21</v>
      </c>
      <c r="B693">
        <v>1000994</v>
      </c>
      <c r="C693">
        <v>351097</v>
      </c>
      <c r="F693" s="7">
        <v>1</v>
      </c>
      <c r="G693" s="7">
        <v>658</v>
      </c>
      <c r="H693" s="8">
        <v>595</v>
      </c>
      <c r="J693" t="s">
        <v>23</v>
      </c>
      <c r="K693" s="7">
        <v>2850</v>
      </c>
      <c r="L693" s="9">
        <v>-1</v>
      </c>
      <c r="M693" t="s">
        <v>721</v>
      </c>
      <c r="N693" t="s">
        <v>136</v>
      </c>
      <c r="O693" s="27" t="str">
        <f>HYPERLINK("https://www.ncbi.nlm.nih.gov/nuccore/NZ_AORZ01000005.1?report=graph&amp;from=104291&amp;to=104295", "TTA_codon")</f>
        <v>TTA_codon</v>
      </c>
    </row>
    <row r="694" spans="1:15" x14ac:dyDescent="0.15">
      <c r="A694" t="s">
        <v>21</v>
      </c>
      <c r="B694">
        <v>1000994</v>
      </c>
      <c r="C694">
        <v>353021</v>
      </c>
      <c r="F694" s="7">
        <v>2</v>
      </c>
      <c r="G694" s="7" t="s">
        <v>722</v>
      </c>
      <c r="H694" s="8" t="s">
        <v>723</v>
      </c>
      <c r="J694" t="s">
        <v>23</v>
      </c>
      <c r="K694" s="7">
        <v>4755</v>
      </c>
      <c r="L694" s="9">
        <v>-1</v>
      </c>
      <c r="M694" t="s">
        <v>516</v>
      </c>
      <c r="N694" t="s">
        <v>306</v>
      </c>
      <c r="O694" s="27" t="str">
        <f>HYPERLINK("https://www.ncbi.nlm.nih.gov/nuccore/NZ_KL571112.1?report=graph&amp;from=5227&amp;to=9458", "TTA_codon")</f>
        <v>TTA_codon</v>
      </c>
    </row>
    <row r="695" spans="1:15" x14ac:dyDescent="0.15">
      <c r="A695" t="s">
        <v>21</v>
      </c>
      <c r="B695">
        <v>1000994</v>
      </c>
      <c r="C695">
        <v>354121</v>
      </c>
      <c r="F695" s="7">
        <v>1</v>
      </c>
      <c r="G695" s="7">
        <v>196</v>
      </c>
      <c r="H695" s="8">
        <v>190</v>
      </c>
      <c r="J695" t="s">
        <v>23</v>
      </c>
      <c r="K695" s="7">
        <v>2865</v>
      </c>
      <c r="L695" s="9">
        <v>-1</v>
      </c>
      <c r="M695" t="s">
        <v>724</v>
      </c>
      <c r="N695" t="s">
        <v>270</v>
      </c>
      <c r="O695" s="27" t="str">
        <f>HYPERLINK("https://www.ncbi.nlm.nih.gov/nuccore/NZ_JOBH01000032.1?report=graph&amp;from=18359&amp;to=18363", "TTA_codon")</f>
        <v>TTA_codon</v>
      </c>
    </row>
    <row r="696" spans="1:15" x14ac:dyDescent="0.15">
      <c r="A696" t="s">
        <v>21</v>
      </c>
      <c r="B696">
        <v>1000994</v>
      </c>
      <c r="C696">
        <v>362041</v>
      </c>
      <c r="F696" s="7">
        <v>3</v>
      </c>
      <c r="G696" s="7" t="s">
        <v>725</v>
      </c>
      <c r="H696" s="8" t="s">
        <v>726</v>
      </c>
      <c r="J696" t="s">
        <v>23</v>
      </c>
      <c r="K696" s="7">
        <v>4404</v>
      </c>
      <c r="L696" s="9">
        <v>-1</v>
      </c>
      <c r="M696" t="s">
        <v>727</v>
      </c>
      <c r="N696" t="s">
        <v>187</v>
      </c>
      <c r="O696" s="27" t="str">
        <f>HYPERLINK("https://www.ncbi.nlm.nih.gov/nuccore/NZ_MAXF01000020.1?report=graph&amp;from=116291&amp;to=119151", "TTA_codon")</f>
        <v>TTA_codon</v>
      </c>
    </row>
    <row r="697" spans="1:15" x14ac:dyDescent="0.15">
      <c r="A697" t="s">
        <v>21</v>
      </c>
      <c r="B697">
        <v>1000994</v>
      </c>
      <c r="C697">
        <v>365263</v>
      </c>
      <c r="F697" s="7">
        <v>1</v>
      </c>
      <c r="G697" s="7">
        <v>3613</v>
      </c>
      <c r="H697" s="8">
        <v>157</v>
      </c>
      <c r="J697" t="s">
        <v>23</v>
      </c>
      <c r="K697" s="7">
        <v>1653</v>
      </c>
      <c r="L697" s="9">
        <v>-1</v>
      </c>
      <c r="M697" t="s">
        <v>346</v>
      </c>
      <c r="N697" t="s">
        <v>347</v>
      </c>
      <c r="O697" s="27" t="str">
        <f>HYPERLINK("https://www.ncbi.nlm.nih.gov/nuccore/NZ_FNFF01000007.1?report=graph&amp;from=13992&amp;to=13996", "TTA_codon")</f>
        <v>TTA_codon</v>
      </c>
    </row>
    <row r="698" spans="1:15" x14ac:dyDescent="0.15">
      <c r="A698" t="s">
        <v>21</v>
      </c>
      <c r="B698" t="s">
        <v>728</v>
      </c>
    </row>
    <row r="699" spans="1:15" x14ac:dyDescent="0.15">
      <c r="A699" t="s">
        <v>21</v>
      </c>
      <c r="B699">
        <v>1000451</v>
      </c>
      <c r="C699">
        <v>348787</v>
      </c>
      <c r="F699" s="7">
        <v>1</v>
      </c>
      <c r="G699" s="7">
        <v>544</v>
      </c>
      <c r="H699" s="8">
        <v>544</v>
      </c>
      <c r="J699" t="s">
        <v>23</v>
      </c>
      <c r="K699" s="7">
        <v>750</v>
      </c>
      <c r="L699" s="9">
        <v>-1</v>
      </c>
      <c r="M699" t="s">
        <v>211</v>
      </c>
      <c r="N699" t="s">
        <v>212</v>
      </c>
      <c r="O699" s="27" t="str">
        <f>HYPERLINK("https://www.ncbi.nlm.nih.gov/nuccore/NZ_GG657754.1?report=graph&amp;from=10377753&amp;to=10377757", "TTA_codon")</f>
        <v>TTA_codon</v>
      </c>
    </row>
    <row r="700" spans="1:15" x14ac:dyDescent="0.15">
      <c r="A700" t="s">
        <v>21</v>
      </c>
      <c r="B700">
        <v>1000451</v>
      </c>
      <c r="C700">
        <v>354867</v>
      </c>
      <c r="F700" s="7">
        <v>1</v>
      </c>
      <c r="G700" s="7">
        <v>544</v>
      </c>
      <c r="H700" s="8">
        <v>541</v>
      </c>
      <c r="J700" t="s">
        <v>23</v>
      </c>
      <c r="K700" s="7">
        <v>738</v>
      </c>
      <c r="L700" s="9">
        <v>-1</v>
      </c>
      <c r="M700" t="s">
        <v>729</v>
      </c>
      <c r="N700" t="s">
        <v>25</v>
      </c>
      <c r="O700" s="27" t="str">
        <f>HYPERLINK("https://www.ncbi.nlm.nih.gov/nuccore/NZ_JOFU01000006.1?report=graph&amp;from=243221&amp;to=243225", "TTA_codon")</f>
        <v>TTA_codon</v>
      </c>
    </row>
    <row r="701" spans="1:15" x14ac:dyDescent="0.15">
      <c r="A701" t="s">
        <v>21</v>
      </c>
      <c r="B701" t="s">
        <v>730</v>
      </c>
    </row>
    <row r="702" spans="1:15" x14ac:dyDescent="0.15">
      <c r="A702" t="s">
        <v>21</v>
      </c>
      <c r="B702">
        <v>1001513</v>
      </c>
      <c r="C702">
        <v>348752</v>
      </c>
      <c r="F702" s="7">
        <v>2</v>
      </c>
      <c r="G702" s="7" t="s">
        <v>731</v>
      </c>
      <c r="H702" s="8" t="s">
        <v>732</v>
      </c>
      <c r="J702" t="s">
        <v>23</v>
      </c>
      <c r="K702" s="7">
        <v>2034</v>
      </c>
      <c r="L702" s="9">
        <v>1</v>
      </c>
      <c r="M702" t="s">
        <v>211</v>
      </c>
      <c r="N702" t="s">
        <v>212</v>
      </c>
      <c r="O702" s="27" t="str">
        <f>HYPERLINK("https://www.ncbi.nlm.nih.gov/nuccore/NZ_GG657754.1?report=graph&amp;from=1798935&amp;to=1799266", "TTA_codon")</f>
        <v>TTA_codon</v>
      </c>
    </row>
    <row r="703" spans="1:15" x14ac:dyDescent="0.15">
      <c r="A703" t="s">
        <v>21</v>
      </c>
      <c r="B703">
        <v>1001513</v>
      </c>
      <c r="C703">
        <v>349937</v>
      </c>
      <c r="F703" s="7">
        <v>1</v>
      </c>
      <c r="G703" s="7">
        <v>160</v>
      </c>
      <c r="H703" s="8">
        <v>112</v>
      </c>
      <c r="J703" t="s">
        <v>23</v>
      </c>
      <c r="K703" s="7">
        <v>1005</v>
      </c>
      <c r="L703" s="9">
        <v>1</v>
      </c>
      <c r="M703" t="s">
        <v>733</v>
      </c>
      <c r="N703" t="s">
        <v>249</v>
      </c>
      <c r="O703" s="27" t="str">
        <f>HYPERLINK("https://www.ncbi.nlm.nih.gov/nuccore/NZ_AHBF01000125.1?report=graph&amp;from=146911&amp;to=146915", "TTA_codon")</f>
        <v>TTA_codon</v>
      </c>
    </row>
    <row r="704" spans="1:15" x14ac:dyDescent="0.15">
      <c r="A704" t="s">
        <v>21</v>
      </c>
      <c r="B704">
        <v>1001513</v>
      </c>
      <c r="C704">
        <v>359812</v>
      </c>
      <c r="F704" s="7">
        <v>1</v>
      </c>
      <c r="G704" s="7">
        <v>46</v>
      </c>
      <c r="H704" s="8">
        <v>43</v>
      </c>
      <c r="J704" t="s">
        <v>23</v>
      </c>
      <c r="K704" s="7">
        <v>2004</v>
      </c>
      <c r="L704" s="9">
        <v>1</v>
      </c>
      <c r="M704" t="s">
        <v>675</v>
      </c>
      <c r="N704" t="s">
        <v>91</v>
      </c>
      <c r="O704" s="27" t="str">
        <f>HYPERLINK("https://www.ncbi.nlm.nih.gov/nuccore/NZ_KQ948306.1?report=graph&amp;from=386088&amp;to=386092", "TTA_codon")</f>
        <v>TTA_codon</v>
      </c>
    </row>
    <row r="705" spans="1:15" x14ac:dyDescent="0.15">
      <c r="A705" t="s">
        <v>21</v>
      </c>
      <c r="B705">
        <v>1001513</v>
      </c>
      <c r="C705">
        <v>361920</v>
      </c>
      <c r="F705" s="7">
        <v>1</v>
      </c>
      <c r="G705" s="7">
        <v>46</v>
      </c>
      <c r="H705" s="8">
        <v>43</v>
      </c>
      <c r="J705" t="s">
        <v>23</v>
      </c>
      <c r="K705" s="7">
        <v>2109</v>
      </c>
      <c r="L705" s="9">
        <v>1</v>
      </c>
      <c r="M705" t="s">
        <v>734</v>
      </c>
      <c r="N705" t="s">
        <v>187</v>
      </c>
      <c r="O705" s="27" t="str">
        <f>HYPERLINK("https://www.ncbi.nlm.nih.gov/nuccore/NZ_MAXF01000157.1?report=graph&amp;from=4682&amp;to=4686", "TTA_codon")</f>
        <v>TTA_codon</v>
      </c>
    </row>
    <row r="706" spans="1:15" x14ac:dyDescent="0.15">
      <c r="A706" t="s">
        <v>21</v>
      </c>
      <c r="B706">
        <v>1001513</v>
      </c>
      <c r="C706">
        <v>366104</v>
      </c>
      <c r="F706" s="7">
        <v>1</v>
      </c>
      <c r="G706" s="7">
        <v>61</v>
      </c>
      <c r="H706" s="8">
        <v>58</v>
      </c>
      <c r="J706" t="s">
        <v>23</v>
      </c>
      <c r="K706" s="7">
        <v>1380</v>
      </c>
      <c r="L706" s="9">
        <v>1</v>
      </c>
      <c r="M706" t="s">
        <v>735</v>
      </c>
      <c r="N706" t="s">
        <v>257</v>
      </c>
      <c r="O706" s="27" t="str">
        <f>HYPERLINK("https://www.ncbi.nlm.nih.gov/nuccore/NZ_FOET01000019.1?report=graph&amp;from=96249&amp;to=96253", "TTA_codon")</f>
        <v>TTA_codon</v>
      </c>
    </row>
    <row r="707" spans="1:15" x14ac:dyDescent="0.15">
      <c r="A707" t="s">
        <v>195</v>
      </c>
      <c r="B707" t="s">
        <v>736</v>
      </c>
    </row>
    <row r="708" spans="1:15" x14ac:dyDescent="0.15">
      <c r="A708" t="s">
        <v>195</v>
      </c>
      <c r="B708">
        <v>1000077</v>
      </c>
      <c r="C708">
        <v>346458</v>
      </c>
      <c r="F708" s="7">
        <v>1</v>
      </c>
      <c r="G708" s="7">
        <v>85</v>
      </c>
      <c r="H708" s="8">
        <v>40</v>
      </c>
      <c r="J708" t="s">
        <v>23</v>
      </c>
      <c r="K708" s="7">
        <v>471</v>
      </c>
      <c r="L708" s="9">
        <v>1</v>
      </c>
      <c r="M708" t="s">
        <v>737</v>
      </c>
      <c r="N708" t="s">
        <v>198</v>
      </c>
      <c r="O708" s="27" t="str">
        <f>HYPERLINK("https://www.ncbi.nlm.nih.gov/nuccore/NZ_JOFL01000020.1?report=graph&amp;from=22062&amp;to=22066", "TTA_codon")</f>
        <v>TTA_codon</v>
      </c>
    </row>
    <row r="709" spans="1:15" x14ac:dyDescent="0.15">
      <c r="A709" t="s">
        <v>21</v>
      </c>
      <c r="B709">
        <v>1000077</v>
      </c>
      <c r="C709">
        <v>351062</v>
      </c>
      <c r="F709" s="7">
        <v>2</v>
      </c>
      <c r="G709" s="7" t="s">
        <v>738</v>
      </c>
      <c r="H709" s="8" t="s">
        <v>738</v>
      </c>
      <c r="J709" t="s">
        <v>23</v>
      </c>
      <c r="K709" s="7">
        <v>423</v>
      </c>
      <c r="L709" s="9">
        <v>1</v>
      </c>
      <c r="M709" t="s">
        <v>739</v>
      </c>
      <c r="N709" t="s">
        <v>136</v>
      </c>
      <c r="O709" s="27" t="str">
        <f>HYPERLINK("https://www.ncbi.nlm.nih.gov/nuccore/NZ_AORZ01000015.1?report=graph&amp;from=19350&amp;to=19363", "TTA_codon")</f>
        <v>TTA_codon</v>
      </c>
    </row>
    <row r="710" spans="1:15" x14ac:dyDescent="0.15">
      <c r="A710" t="s">
        <v>21</v>
      </c>
      <c r="B710" t="s">
        <v>740</v>
      </c>
    </row>
    <row r="711" spans="1:15" x14ac:dyDescent="0.15">
      <c r="A711" t="s">
        <v>21</v>
      </c>
      <c r="B711">
        <v>1000363</v>
      </c>
      <c r="C711">
        <v>348209</v>
      </c>
      <c r="F711" s="7">
        <v>1</v>
      </c>
      <c r="G711" s="7">
        <v>70</v>
      </c>
      <c r="H711" s="8">
        <v>70</v>
      </c>
      <c r="J711" t="s">
        <v>23</v>
      </c>
      <c r="K711" s="7">
        <v>426</v>
      </c>
      <c r="L711" s="9">
        <v>1</v>
      </c>
      <c r="M711" t="s">
        <v>59</v>
      </c>
      <c r="N711" t="s">
        <v>60</v>
      </c>
      <c r="O711" s="27" t="str">
        <f>HYPERLINK("https://www.ncbi.nlm.nih.gov/nuccore/NC_016582.1?report=graph&amp;from=3278495&amp;to=3278499", "TTA_codon")</f>
        <v>TTA_codon</v>
      </c>
    </row>
    <row r="712" spans="1:15" x14ac:dyDescent="0.15">
      <c r="A712" t="s">
        <v>21</v>
      </c>
      <c r="B712">
        <v>1000363</v>
      </c>
      <c r="C712">
        <v>367390</v>
      </c>
      <c r="F712" s="7">
        <v>1</v>
      </c>
      <c r="G712" s="7">
        <v>70</v>
      </c>
      <c r="H712" s="8">
        <v>70</v>
      </c>
      <c r="J712" t="s">
        <v>23</v>
      </c>
      <c r="K712" s="7">
        <v>429</v>
      </c>
      <c r="L712" s="9">
        <v>1</v>
      </c>
      <c r="M712" t="s">
        <v>741</v>
      </c>
      <c r="N712" t="s">
        <v>742</v>
      </c>
      <c r="O712" s="27" t="str">
        <f>HYPERLINK("https://www.ncbi.nlm.nih.gov/nuccore/NC_048072.1?report=graph&amp;from=21649&amp;to=21653", "TTA_codon")</f>
        <v>TTA_codon</v>
      </c>
    </row>
    <row r="713" spans="1:15" x14ac:dyDescent="0.15">
      <c r="A713" t="s">
        <v>21</v>
      </c>
      <c r="B713" t="s">
        <v>743</v>
      </c>
    </row>
    <row r="714" spans="1:15" x14ac:dyDescent="0.15">
      <c r="A714" t="s">
        <v>21</v>
      </c>
      <c r="B714">
        <v>1000294</v>
      </c>
      <c r="C714">
        <v>347867</v>
      </c>
      <c r="F714" s="7">
        <v>1</v>
      </c>
      <c r="G714" s="7">
        <v>340</v>
      </c>
      <c r="H714" s="8">
        <v>334</v>
      </c>
      <c r="J714" t="s">
        <v>23</v>
      </c>
      <c r="K714" s="7">
        <v>2439</v>
      </c>
      <c r="L714" s="9">
        <v>1</v>
      </c>
      <c r="M714" t="s">
        <v>57</v>
      </c>
      <c r="N714" t="s">
        <v>58</v>
      </c>
      <c r="O714" s="27" t="str">
        <f>HYPERLINK("https://www.ncbi.nlm.nih.gov/nuccore/NC_013929.1?report=graph&amp;from=9200388&amp;to=9200392", "TTA_codon")</f>
        <v>TTA_codon</v>
      </c>
    </row>
    <row r="715" spans="1:15" x14ac:dyDescent="0.15">
      <c r="A715" t="s">
        <v>21</v>
      </c>
      <c r="B715">
        <v>1000294</v>
      </c>
      <c r="C715">
        <v>365362</v>
      </c>
      <c r="F715" s="7">
        <v>1</v>
      </c>
      <c r="G715" s="7">
        <v>412</v>
      </c>
      <c r="H715" s="8">
        <v>349</v>
      </c>
      <c r="J715" t="s">
        <v>23</v>
      </c>
      <c r="K715" s="7">
        <v>2433</v>
      </c>
      <c r="L715" s="9">
        <v>1</v>
      </c>
      <c r="M715" t="s">
        <v>744</v>
      </c>
      <c r="N715" t="s">
        <v>129</v>
      </c>
      <c r="O715" s="27" t="str">
        <f>HYPERLINK("https://www.ncbi.nlm.nih.gov/nuccore/NZ_FNHI01000008.1?report=graph&amp;from=207555&amp;to=207559", "TTA_codon")</f>
        <v>TTA_codon</v>
      </c>
    </row>
    <row r="716" spans="1:15" x14ac:dyDescent="0.15">
      <c r="A716" t="s">
        <v>21</v>
      </c>
      <c r="B716" t="s">
        <v>745</v>
      </c>
    </row>
    <row r="717" spans="1:15" x14ac:dyDescent="0.15">
      <c r="A717" t="s">
        <v>21</v>
      </c>
      <c r="B717">
        <v>1001052</v>
      </c>
      <c r="C717">
        <v>354858</v>
      </c>
      <c r="F717" s="7">
        <v>1</v>
      </c>
      <c r="G717" s="7">
        <v>394</v>
      </c>
      <c r="H717" s="8">
        <v>361</v>
      </c>
      <c r="J717" t="s">
        <v>23</v>
      </c>
      <c r="K717" s="7">
        <v>981</v>
      </c>
      <c r="L717" s="9">
        <v>1</v>
      </c>
      <c r="M717" t="s">
        <v>746</v>
      </c>
      <c r="N717" t="s">
        <v>25</v>
      </c>
      <c r="O717" s="27" t="str">
        <f>HYPERLINK("https://www.ncbi.nlm.nih.gov/nuccore/NZ_JOFU01000021.1?report=graph&amp;from=67968&amp;to=67972", "TTA_codon")</f>
        <v>TTA_codon</v>
      </c>
    </row>
    <row r="718" spans="1:15" x14ac:dyDescent="0.15">
      <c r="A718" t="s">
        <v>21</v>
      </c>
      <c r="B718">
        <v>1001052</v>
      </c>
      <c r="C718">
        <v>358122</v>
      </c>
      <c r="F718" s="7">
        <v>1</v>
      </c>
      <c r="G718" s="7">
        <v>520</v>
      </c>
      <c r="H718" s="8">
        <v>520</v>
      </c>
      <c r="J718" t="s">
        <v>23</v>
      </c>
      <c r="K718" s="7">
        <v>1020</v>
      </c>
      <c r="L718" s="9">
        <v>1</v>
      </c>
      <c r="M718" t="s">
        <v>747</v>
      </c>
      <c r="N718" t="s">
        <v>119</v>
      </c>
      <c r="O718" s="27" t="str">
        <f>HYPERLINK("https://www.ncbi.nlm.nih.gov/nuccore/NZ_LIPP01000253.1?report=graph&amp;from=19913&amp;to=19917", "TTA_codon")</f>
        <v>TTA_codon</v>
      </c>
    </row>
    <row r="719" spans="1:15" x14ac:dyDescent="0.15">
      <c r="A719" t="s">
        <v>21</v>
      </c>
      <c r="B719" t="s">
        <v>748</v>
      </c>
    </row>
    <row r="720" spans="1:15" x14ac:dyDescent="0.15">
      <c r="A720" t="s">
        <v>21</v>
      </c>
      <c r="B720">
        <v>1000691</v>
      </c>
      <c r="C720">
        <v>350978</v>
      </c>
      <c r="F720" s="7">
        <v>1</v>
      </c>
      <c r="G720" s="7">
        <v>403</v>
      </c>
      <c r="H720" s="8">
        <v>385</v>
      </c>
      <c r="J720" t="s">
        <v>23</v>
      </c>
      <c r="K720" s="7">
        <v>1527</v>
      </c>
      <c r="L720" s="9">
        <v>-1</v>
      </c>
      <c r="M720" t="s">
        <v>749</v>
      </c>
      <c r="N720" t="s">
        <v>51</v>
      </c>
      <c r="O720" s="27" t="str">
        <f>HYPERLINK("https://www.ncbi.nlm.nih.gov/nuccore/NZ_AEJB01000525.1?report=graph&amp;from=10226&amp;to=10230", "TTA_codon")</f>
        <v>TTA_codon</v>
      </c>
    </row>
    <row r="721" spans="1:15" x14ac:dyDescent="0.15">
      <c r="A721" t="s">
        <v>21</v>
      </c>
      <c r="B721">
        <v>1000691</v>
      </c>
      <c r="C721">
        <v>353372</v>
      </c>
      <c r="F721" s="7">
        <v>1</v>
      </c>
      <c r="G721" s="7">
        <v>277</v>
      </c>
      <c r="H721" s="8">
        <v>277</v>
      </c>
      <c r="J721" t="s">
        <v>23</v>
      </c>
      <c r="K721" s="7">
        <v>1539</v>
      </c>
      <c r="L721" s="9">
        <v>-1</v>
      </c>
      <c r="M721" t="s">
        <v>750</v>
      </c>
      <c r="N721" t="s">
        <v>169</v>
      </c>
      <c r="O721" s="27" t="str">
        <f>HYPERLINK("https://www.ncbi.nlm.nih.gov/nuccore/NZ_JNWJ01000001.1?report=graph&amp;from=116997&amp;to=117001", "TTA_codon")</f>
        <v>TTA_codon</v>
      </c>
    </row>
    <row r="722" spans="1:15" x14ac:dyDescent="0.15">
      <c r="A722" t="s">
        <v>21</v>
      </c>
      <c r="B722">
        <v>1000691</v>
      </c>
      <c r="C722">
        <v>359236</v>
      </c>
      <c r="F722" s="7">
        <v>2</v>
      </c>
      <c r="G722" s="7" t="s">
        <v>751</v>
      </c>
      <c r="H722" s="8" t="s">
        <v>752</v>
      </c>
      <c r="J722" t="s">
        <v>23</v>
      </c>
      <c r="K722" s="7">
        <v>1536</v>
      </c>
      <c r="L722" s="9">
        <v>-1</v>
      </c>
      <c r="M722" t="s">
        <v>753</v>
      </c>
      <c r="N722" t="s">
        <v>451</v>
      </c>
      <c r="O722" s="27" t="str">
        <f>HYPERLINK("https://www.ncbi.nlm.nih.gov/nuccore/NZ_LIQZ01000303.1?report=graph&amp;from=36092&amp;to=36987", "TTA_codon")</f>
        <v>TTA_codon</v>
      </c>
    </row>
    <row r="723" spans="1:15" x14ac:dyDescent="0.15">
      <c r="A723" t="s">
        <v>21</v>
      </c>
      <c r="B723">
        <v>1000691</v>
      </c>
      <c r="C723">
        <v>365745</v>
      </c>
      <c r="F723" s="7">
        <v>1</v>
      </c>
      <c r="G723" s="7">
        <v>1153</v>
      </c>
      <c r="H723" s="8">
        <v>1105</v>
      </c>
      <c r="J723" t="s">
        <v>23</v>
      </c>
      <c r="K723" s="7">
        <v>1521</v>
      </c>
      <c r="L723" s="9">
        <v>-1</v>
      </c>
      <c r="M723" t="s">
        <v>213</v>
      </c>
      <c r="N723" t="s">
        <v>214</v>
      </c>
      <c r="O723" s="27" t="str">
        <f>HYPERLINK("https://www.ncbi.nlm.nih.gov/nuccore/NZ_FNST01000002.1?report=graph&amp;from=9448093&amp;to=9448097", "TTA_codon")</f>
        <v>TTA_codon</v>
      </c>
    </row>
    <row r="724" spans="1:15" x14ac:dyDescent="0.15">
      <c r="A724" t="s">
        <v>21</v>
      </c>
      <c r="B724" t="s">
        <v>754</v>
      </c>
    </row>
    <row r="725" spans="1:15" x14ac:dyDescent="0.15">
      <c r="A725" t="s">
        <v>21</v>
      </c>
      <c r="B725">
        <v>1001298</v>
      </c>
      <c r="C725">
        <v>355255</v>
      </c>
      <c r="F725" s="7">
        <v>1</v>
      </c>
      <c r="G725" s="7">
        <v>142</v>
      </c>
      <c r="H725" s="8">
        <v>43</v>
      </c>
      <c r="J725" t="s">
        <v>23</v>
      </c>
      <c r="K725" s="7">
        <v>711</v>
      </c>
      <c r="L725" s="9">
        <v>1</v>
      </c>
      <c r="M725" t="s">
        <v>755</v>
      </c>
      <c r="N725" t="s">
        <v>295</v>
      </c>
      <c r="O725" s="27" t="str">
        <f>HYPERLINK("https://www.ncbi.nlm.nih.gov/nuccore/NZ_JODL01000001.1?report=graph&amp;from=223985&amp;to=223989", "TTA_codon")</f>
        <v>TTA_codon</v>
      </c>
    </row>
    <row r="726" spans="1:15" x14ac:dyDescent="0.15">
      <c r="A726" t="s">
        <v>21</v>
      </c>
      <c r="B726">
        <v>1001298</v>
      </c>
      <c r="C726">
        <v>358674</v>
      </c>
      <c r="F726" s="7">
        <v>1</v>
      </c>
      <c r="G726" s="7">
        <v>160</v>
      </c>
      <c r="H726" s="8">
        <v>157</v>
      </c>
      <c r="J726" t="s">
        <v>23</v>
      </c>
      <c r="K726" s="7">
        <v>1395</v>
      </c>
      <c r="L726" s="9">
        <v>1</v>
      </c>
      <c r="M726" t="s">
        <v>756</v>
      </c>
      <c r="N726" t="s">
        <v>757</v>
      </c>
      <c r="O726" s="27" t="str">
        <f>HYPERLINK("https://www.ncbi.nlm.nih.gov/nuccore/NZ_LIQR01000366.1?report=graph&amp;from=23942&amp;to=23946", "TTA_codon")</f>
        <v>TTA_codon</v>
      </c>
    </row>
    <row r="727" spans="1:15" x14ac:dyDescent="0.15">
      <c r="A727" t="s">
        <v>21</v>
      </c>
      <c r="B727">
        <v>1001298</v>
      </c>
      <c r="C727">
        <v>358779</v>
      </c>
      <c r="F727" s="7">
        <v>1</v>
      </c>
      <c r="G727" s="7">
        <v>136</v>
      </c>
      <c r="H727" s="8">
        <v>37</v>
      </c>
      <c r="J727" t="s">
        <v>23</v>
      </c>
      <c r="K727" s="7">
        <v>1059</v>
      </c>
      <c r="L727" s="9">
        <v>1</v>
      </c>
      <c r="M727" t="s">
        <v>758</v>
      </c>
      <c r="N727" t="s">
        <v>87</v>
      </c>
      <c r="O727" s="27" t="str">
        <f>HYPERLINK("https://www.ncbi.nlm.nih.gov/nuccore/NZ_LIQS01000107.1?report=graph&amp;from=26258&amp;to=26262", "TTA_codon")</f>
        <v>TTA_codon</v>
      </c>
    </row>
    <row r="728" spans="1:15" x14ac:dyDescent="0.15">
      <c r="A728" t="s">
        <v>21</v>
      </c>
      <c r="B728">
        <v>1001298</v>
      </c>
      <c r="C728">
        <v>359020</v>
      </c>
      <c r="F728" s="7">
        <v>1</v>
      </c>
      <c r="G728" s="7">
        <v>124</v>
      </c>
      <c r="H728" s="8">
        <v>52</v>
      </c>
      <c r="J728" t="s">
        <v>23</v>
      </c>
      <c r="K728" s="7">
        <v>1086</v>
      </c>
      <c r="L728" s="9">
        <v>1</v>
      </c>
      <c r="M728" t="s">
        <v>759</v>
      </c>
      <c r="N728" t="s">
        <v>451</v>
      </c>
      <c r="O728" s="27" t="str">
        <f>HYPERLINK("https://www.ncbi.nlm.nih.gov/nuccore/NZ_LIQZ01000162.1?report=graph&amp;from=24582&amp;to=24586", "TTA_codon")</f>
        <v>TTA_codon</v>
      </c>
    </row>
    <row r="729" spans="1:15" x14ac:dyDescent="0.15">
      <c r="A729" t="s">
        <v>21</v>
      </c>
      <c r="B729">
        <v>1001298</v>
      </c>
      <c r="C729">
        <v>366066</v>
      </c>
      <c r="F729" s="7">
        <v>1</v>
      </c>
      <c r="G729" s="7">
        <v>154</v>
      </c>
      <c r="H729" s="8">
        <v>55</v>
      </c>
      <c r="J729" t="s">
        <v>23</v>
      </c>
      <c r="K729" s="7">
        <v>708</v>
      </c>
      <c r="L729" s="9">
        <v>1</v>
      </c>
      <c r="M729" t="s">
        <v>760</v>
      </c>
      <c r="N729" t="s">
        <v>257</v>
      </c>
      <c r="O729" s="27" t="str">
        <f>HYPERLINK("https://www.ncbi.nlm.nih.gov/nuccore/NZ_FOET01000013.1?report=graph&amp;from=142098&amp;to=142102", "TTA_codon")</f>
        <v>TTA_codon</v>
      </c>
    </row>
    <row r="730" spans="1:15" x14ac:dyDescent="0.15">
      <c r="A730" t="s">
        <v>21</v>
      </c>
      <c r="B730" t="s">
        <v>761</v>
      </c>
    </row>
    <row r="731" spans="1:15" x14ac:dyDescent="0.15">
      <c r="A731" t="s">
        <v>21</v>
      </c>
      <c r="B731">
        <v>1001119</v>
      </c>
      <c r="C731">
        <v>355788</v>
      </c>
      <c r="F731" s="7">
        <v>1</v>
      </c>
      <c r="G731" s="7">
        <v>583</v>
      </c>
      <c r="H731" s="8">
        <v>583</v>
      </c>
      <c r="J731" t="s">
        <v>23</v>
      </c>
      <c r="K731" s="7">
        <v>933</v>
      </c>
      <c r="L731" s="9">
        <v>1</v>
      </c>
      <c r="M731" t="s">
        <v>762</v>
      </c>
      <c r="N731" t="s">
        <v>75</v>
      </c>
      <c r="O731" s="27" t="str">
        <f>HYPERLINK("https://www.ncbi.nlm.nih.gov/nuccore/NZ_JOII01000014.1?report=graph&amp;from=81019&amp;to=81023", "TTA_codon")</f>
        <v>TTA_codon</v>
      </c>
    </row>
    <row r="732" spans="1:15" x14ac:dyDescent="0.15">
      <c r="A732" t="s">
        <v>21</v>
      </c>
      <c r="B732">
        <v>1001119</v>
      </c>
      <c r="C732">
        <v>364100</v>
      </c>
      <c r="F732" s="7">
        <v>1</v>
      </c>
      <c r="G732" s="7">
        <v>583</v>
      </c>
      <c r="H732" s="8">
        <v>583</v>
      </c>
      <c r="J732" t="s">
        <v>23</v>
      </c>
      <c r="K732" s="7">
        <v>933</v>
      </c>
      <c r="L732" s="9">
        <v>1</v>
      </c>
      <c r="M732" t="s">
        <v>254</v>
      </c>
      <c r="N732" t="s">
        <v>255</v>
      </c>
      <c r="O732" s="27" t="str">
        <f>HYPERLINK("https://www.ncbi.nlm.nih.gov/nuccore/NZ_CP018047.1?report=graph&amp;from=6381868&amp;to=6381872", "TTA_codon")</f>
        <v>TTA_codon</v>
      </c>
    </row>
    <row r="733" spans="1:15" x14ac:dyDescent="0.15">
      <c r="A733" t="s">
        <v>21</v>
      </c>
      <c r="B733" t="s">
        <v>763</v>
      </c>
    </row>
    <row r="734" spans="1:15" x14ac:dyDescent="0.15">
      <c r="A734" t="s">
        <v>21</v>
      </c>
      <c r="B734">
        <v>1001012</v>
      </c>
      <c r="C734">
        <v>354344</v>
      </c>
      <c r="F734" s="7">
        <v>1</v>
      </c>
      <c r="G734" s="7">
        <v>40</v>
      </c>
      <c r="H734" s="8">
        <v>40</v>
      </c>
      <c r="J734" t="s">
        <v>23</v>
      </c>
      <c r="K734" s="7">
        <v>1455</v>
      </c>
      <c r="L734" s="9">
        <v>-1</v>
      </c>
      <c r="M734" t="s">
        <v>764</v>
      </c>
      <c r="N734" t="s">
        <v>142</v>
      </c>
      <c r="O734" s="27" t="str">
        <f>HYPERLINK("https://www.ncbi.nlm.nih.gov/nuccore/NZ_JOEI01000001.1?report=graph&amp;from=63004&amp;to=63008", "TTA_codon")</f>
        <v>TTA_codon</v>
      </c>
    </row>
    <row r="735" spans="1:15" x14ac:dyDescent="0.15">
      <c r="A735" t="s">
        <v>21</v>
      </c>
      <c r="B735">
        <v>1001012</v>
      </c>
      <c r="C735">
        <v>361628</v>
      </c>
      <c r="F735" s="7">
        <v>1</v>
      </c>
      <c r="G735" s="7">
        <v>40</v>
      </c>
      <c r="H735" s="8">
        <v>40</v>
      </c>
      <c r="J735" t="s">
        <v>23</v>
      </c>
      <c r="K735" s="7">
        <v>1434</v>
      </c>
      <c r="L735" s="9">
        <v>-1</v>
      </c>
      <c r="M735" t="s">
        <v>37</v>
      </c>
      <c r="N735" t="s">
        <v>38</v>
      </c>
      <c r="O735" s="27" t="str">
        <f>HYPERLINK("https://www.ncbi.nlm.nih.gov/nuccore/NZ_CP011533.1?report=graph&amp;from=634543&amp;to=634547", "TTA_codon")</f>
        <v>TTA_codon</v>
      </c>
    </row>
    <row r="736" spans="1:15" x14ac:dyDescent="0.15">
      <c r="A736" t="s">
        <v>21</v>
      </c>
      <c r="B736">
        <v>1001012</v>
      </c>
      <c r="C736">
        <v>366410</v>
      </c>
      <c r="F736" s="7">
        <v>1</v>
      </c>
      <c r="G736" s="7">
        <v>64</v>
      </c>
      <c r="H736" s="8">
        <v>64</v>
      </c>
      <c r="J736" t="s">
        <v>23</v>
      </c>
      <c r="K736" s="7">
        <v>1488</v>
      </c>
      <c r="L736" s="9">
        <v>-1</v>
      </c>
      <c r="M736" t="s">
        <v>765</v>
      </c>
      <c r="N736" t="s">
        <v>375</v>
      </c>
      <c r="O736" s="27" t="str">
        <f>HYPERLINK("https://www.ncbi.nlm.nih.gov/nuccore/NZ_FONG01000004.1?report=graph&amp;from=350976&amp;to=350980", "TTA_codon")</f>
        <v>TTA_codon</v>
      </c>
    </row>
    <row r="737" spans="1:15" x14ac:dyDescent="0.15">
      <c r="A737" t="s">
        <v>21</v>
      </c>
      <c r="B737" t="s">
        <v>766</v>
      </c>
    </row>
    <row r="738" spans="1:15" x14ac:dyDescent="0.15">
      <c r="A738" t="s">
        <v>21</v>
      </c>
      <c r="B738">
        <v>1000235</v>
      </c>
      <c r="C738">
        <v>347610</v>
      </c>
      <c r="F738" s="7">
        <v>1</v>
      </c>
      <c r="G738" s="7">
        <v>106</v>
      </c>
      <c r="H738" s="8">
        <v>67</v>
      </c>
      <c r="J738" t="s">
        <v>23</v>
      </c>
      <c r="K738" s="7">
        <v>1275</v>
      </c>
      <c r="L738" s="9">
        <v>1</v>
      </c>
      <c r="M738" t="s">
        <v>55</v>
      </c>
      <c r="N738" t="s">
        <v>56</v>
      </c>
      <c r="O738" s="27" t="str">
        <f>HYPERLINK("https://www.ncbi.nlm.nih.gov/nuccore/NC_010572.1?report=graph&amp;from=659737&amp;to=659741", "TTA_codon")</f>
        <v>TTA_codon</v>
      </c>
    </row>
    <row r="739" spans="1:15" x14ac:dyDescent="0.15">
      <c r="A739" t="s">
        <v>21</v>
      </c>
      <c r="B739">
        <v>1000235</v>
      </c>
      <c r="C739">
        <v>356220</v>
      </c>
      <c r="F739" s="7">
        <v>1</v>
      </c>
      <c r="G739" s="7">
        <v>82</v>
      </c>
      <c r="H739" s="8">
        <v>67</v>
      </c>
      <c r="J739" t="s">
        <v>23</v>
      </c>
      <c r="K739" s="7">
        <v>1275</v>
      </c>
      <c r="L739" s="9">
        <v>1</v>
      </c>
      <c r="M739" t="s">
        <v>767</v>
      </c>
      <c r="N739" t="s">
        <v>77</v>
      </c>
      <c r="O739" s="27" t="str">
        <f>HYPERLINK("https://www.ncbi.nlm.nih.gov/nuccore/NZ_JNXD01000004.1?report=graph&amp;from=115624&amp;to=115628", "TTA_codon")</f>
        <v>TTA_codon</v>
      </c>
    </row>
    <row r="740" spans="1:15" x14ac:dyDescent="0.15">
      <c r="A740" t="s">
        <v>21</v>
      </c>
      <c r="B740">
        <v>1000235</v>
      </c>
      <c r="C740">
        <v>357676</v>
      </c>
      <c r="F740" s="7">
        <v>1</v>
      </c>
      <c r="G740" s="7">
        <v>82</v>
      </c>
      <c r="H740" s="8">
        <v>46</v>
      </c>
      <c r="J740" t="s">
        <v>23</v>
      </c>
      <c r="K740" s="7">
        <v>1266</v>
      </c>
      <c r="L740" s="9">
        <v>1</v>
      </c>
      <c r="M740" t="s">
        <v>768</v>
      </c>
      <c r="N740" t="s">
        <v>83</v>
      </c>
      <c r="O740" s="27" t="str">
        <f>HYPERLINK("https://www.ncbi.nlm.nih.gov/nuccore/NZ_DF968291.1?report=graph&amp;from=32790&amp;to=32794", "TTA_codon")</f>
        <v>TTA_codon</v>
      </c>
    </row>
    <row r="741" spans="1:15" x14ac:dyDescent="0.15">
      <c r="A741" t="s">
        <v>21</v>
      </c>
      <c r="B741" t="s">
        <v>769</v>
      </c>
    </row>
    <row r="742" spans="1:15" x14ac:dyDescent="0.15">
      <c r="A742" t="s">
        <v>21</v>
      </c>
      <c r="B742">
        <v>1000587</v>
      </c>
      <c r="C742">
        <v>350227</v>
      </c>
      <c r="F742" s="7">
        <v>1</v>
      </c>
      <c r="G742" s="7">
        <v>526</v>
      </c>
      <c r="H742" s="8">
        <v>490</v>
      </c>
      <c r="J742" t="s">
        <v>23</v>
      </c>
      <c r="K742" s="7">
        <v>1134</v>
      </c>
      <c r="L742" s="9">
        <v>1</v>
      </c>
      <c r="M742" t="s">
        <v>770</v>
      </c>
      <c r="N742" t="s">
        <v>36</v>
      </c>
      <c r="O742" s="27" t="str">
        <f>HYPERLINK("https://www.ncbi.nlm.nih.gov/nuccore/NZ_JH725391.1?report=graph&amp;from=112843&amp;to=112847", "TTA_codon")</f>
        <v>TTA_codon</v>
      </c>
    </row>
    <row r="743" spans="1:15" x14ac:dyDescent="0.15">
      <c r="A743" t="s">
        <v>21</v>
      </c>
      <c r="B743">
        <v>1000587</v>
      </c>
      <c r="C743">
        <v>355040</v>
      </c>
      <c r="F743" s="7">
        <v>1</v>
      </c>
      <c r="G743" s="7">
        <v>526</v>
      </c>
      <c r="H743" s="8">
        <v>526</v>
      </c>
      <c r="J743" t="s">
        <v>23</v>
      </c>
      <c r="K743" s="7">
        <v>1185</v>
      </c>
      <c r="L743" s="9">
        <v>1</v>
      </c>
      <c r="M743" t="s">
        <v>771</v>
      </c>
      <c r="N743" t="s">
        <v>433</v>
      </c>
      <c r="O743" s="27" t="str">
        <f>HYPERLINK("https://www.ncbi.nlm.nih.gov/nuccore/NZ_JOBF01000036.1?report=graph&amp;from=12849&amp;to=12853", "TTA_codon")</f>
        <v>TTA_codon</v>
      </c>
    </row>
    <row r="744" spans="1:15" x14ac:dyDescent="0.15">
      <c r="A744" t="s">
        <v>21</v>
      </c>
      <c r="B744">
        <v>1000587</v>
      </c>
      <c r="C744">
        <v>358544</v>
      </c>
      <c r="F744" s="7">
        <v>1</v>
      </c>
      <c r="G744" s="7">
        <v>526</v>
      </c>
      <c r="H744" s="8">
        <v>496</v>
      </c>
      <c r="J744" t="s">
        <v>23</v>
      </c>
      <c r="K744" s="7">
        <v>1143</v>
      </c>
      <c r="L744" s="9">
        <v>1</v>
      </c>
      <c r="M744" t="s">
        <v>772</v>
      </c>
      <c r="N744" t="s">
        <v>299</v>
      </c>
      <c r="O744" s="27" t="str">
        <f>HYPERLINK("https://www.ncbi.nlm.nih.gov/nuccore/NZ_LIQY01000003.1?report=graph&amp;from=2646&amp;to=2650", "TTA_codon")</f>
        <v>TTA_codon</v>
      </c>
    </row>
    <row r="745" spans="1:15" x14ac:dyDescent="0.15">
      <c r="A745" t="s">
        <v>21</v>
      </c>
      <c r="B745">
        <v>1000587</v>
      </c>
      <c r="C745">
        <v>362171</v>
      </c>
      <c r="F745" s="7">
        <v>1</v>
      </c>
      <c r="G745" s="7">
        <v>526</v>
      </c>
      <c r="H745" s="8">
        <v>496</v>
      </c>
      <c r="J745" t="s">
        <v>23</v>
      </c>
      <c r="K745" s="7">
        <v>1143</v>
      </c>
      <c r="L745" s="9">
        <v>1</v>
      </c>
      <c r="M745" t="s">
        <v>39</v>
      </c>
      <c r="N745" t="s">
        <v>40</v>
      </c>
      <c r="O745" s="27" t="str">
        <f>HYPERLINK("https://www.ncbi.nlm.nih.gov/nuccore/NZ_CP017157.1?report=graph&amp;from=3927518&amp;to=3927522", "TTA_codon")</f>
        <v>TTA_codon</v>
      </c>
    </row>
    <row r="746" spans="1:15" x14ac:dyDescent="0.15">
      <c r="A746" t="s">
        <v>21</v>
      </c>
      <c r="B746" t="s">
        <v>773</v>
      </c>
    </row>
    <row r="747" spans="1:15" x14ac:dyDescent="0.15">
      <c r="A747" t="s">
        <v>21</v>
      </c>
      <c r="B747">
        <v>1000351</v>
      </c>
      <c r="C747">
        <v>348159</v>
      </c>
      <c r="F747" s="7">
        <v>2</v>
      </c>
      <c r="G747" s="7" t="s">
        <v>774</v>
      </c>
      <c r="H747" s="8" t="s">
        <v>774</v>
      </c>
      <c r="J747" t="s">
        <v>23</v>
      </c>
      <c r="K747" s="7">
        <v>1887</v>
      </c>
      <c r="L747" s="9">
        <v>1</v>
      </c>
      <c r="M747" t="s">
        <v>59</v>
      </c>
      <c r="N747" t="s">
        <v>60</v>
      </c>
      <c r="O747" s="27" t="str">
        <f>HYPERLINK("https://www.ncbi.nlm.nih.gov/nuccore/NC_016582.1?report=graph&amp;from=3152586&amp;to=3152680", "TTA_codon")</f>
        <v>TTA_codon</v>
      </c>
    </row>
    <row r="748" spans="1:15" x14ac:dyDescent="0.15">
      <c r="A748" t="s">
        <v>21</v>
      </c>
      <c r="B748">
        <v>1000351</v>
      </c>
      <c r="C748">
        <v>349340</v>
      </c>
      <c r="F748" s="7">
        <v>1</v>
      </c>
      <c r="G748" s="7">
        <v>496</v>
      </c>
      <c r="H748" s="8">
        <v>496</v>
      </c>
      <c r="J748" t="s">
        <v>23</v>
      </c>
      <c r="K748" s="7">
        <v>1842</v>
      </c>
      <c r="L748" s="9">
        <v>1</v>
      </c>
      <c r="M748" t="s">
        <v>458</v>
      </c>
      <c r="N748" t="s">
        <v>315</v>
      </c>
      <c r="O748" s="27" t="str">
        <f>HYPERLINK("https://www.ncbi.nlm.nih.gov/nuccore/NC_003888.3?report=graph&amp;from=1530244&amp;to=1530248", "TTA_codon")</f>
        <v>TTA_codon</v>
      </c>
    </row>
    <row r="749" spans="1:15" x14ac:dyDescent="0.15">
      <c r="A749" t="s">
        <v>21</v>
      </c>
      <c r="B749">
        <v>1000351</v>
      </c>
      <c r="C749">
        <v>351052</v>
      </c>
      <c r="F749" s="7">
        <v>1</v>
      </c>
      <c r="G749" s="7">
        <v>481</v>
      </c>
      <c r="H749" s="8">
        <v>481</v>
      </c>
      <c r="J749" t="s">
        <v>23</v>
      </c>
      <c r="K749" s="7">
        <v>1827</v>
      </c>
      <c r="L749" s="9">
        <v>1</v>
      </c>
      <c r="M749" t="s">
        <v>775</v>
      </c>
      <c r="N749" t="s">
        <v>136</v>
      </c>
      <c r="O749" s="27" t="str">
        <f>HYPERLINK("https://www.ncbi.nlm.nih.gov/nuccore/NZ_AORZ01000150.1?report=graph&amp;from=7529&amp;to=7533", "TTA_codon")</f>
        <v>TTA_codon</v>
      </c>
    </row>
    <row r="750" spans="1:15" x14ac:dyDescent="0.15">
      <c r="A750" t="s">
        <v>21</v>
      </c>
      <c r="B750" t="s">
        <v>776</v>
      </c>
    </row>
    <row r="751" spans="1:15" x14ac:dyDescent="0.15">
      <c r="A751" t="s">
        <v>21</v>
      </c>
      <c r="B751">
        <v>1000825</v>
      </c>
      <c r="C751">
        <v>352317</v>
      </c>
      <c r="F751" s="7">
        <v>2</v>
      </c>
      <c r="G751" s="7" t="s">
        <v>777</v>
      </c>
      <c r="H751" s="8" t="s">
        <v>778</v>
      </c>
      <c r="J751" t="s">
        <v>23</v>
      </c>
      <c r="K751" s="7">
        <v>2664</v>
      </c>
      <c r="L751" s="9">
        <v>1</v>
      </c>
      <c r="M751" t="s">
        <v>570</v>
      </c>
      <c r="N751" t="s">
        <v>72</v>
      </c>
      <c r="O751" s="27" t="str">
        <f>HYPERLINK("https://www.ncbi.nlm.nih.gov/nuccore/NZ_KB905814.1?report=graph&amp;from=82817&amp;to=82920", "TTA_codon")</f>
        <v>TTA_codon</v>
      </c>
    </row>
    <row r="752" spans="1:15" x14ac:dyDescent="0.15">
      <c r="A752" t="s">
        <v>21</v>
      </c>
      <c r="B752">
        <v>1000825</v>
      </c>
      <c r="C752">
        <v>362198</v>
      </c>
      <c r="F752" s="7">
        <v>1</v>
      </c>
      <c r="G752" s="7">
        <v>1756</v>
      </c>
      <c r="H752" s="8">
        <v>1723</v>
      </c>
      <c r="J752" t="s">
        <v>23</v>
      </c>
      <c r="K752" s="7">
        <v>2667</v>
      </c>
      <c r="L752" s="9">
        <v>1</v>
      </c>
      <c r="M752" t="s">
        <v>39</v>
      </c>
      <c r="N752" t="s">
        <v>40</v>
      </c>
      <c r="O752" s="27" t="str">
        <f>HYPERLINK("https://www.ncbi.nlm.nih.gov/nuccore/NZ_CP017157.1?report=graph&amp;from=165207&amp;to=165211", "TTA_codon")</f>
        <v>TTA_codon</v>
      </c>
    </row>
    <row r="753" spans="1:15" x14ac:dyDescent="0.15">
      <c r="A753" t="s">
        <v>21</v>
      </c>
      <c r="B753" t="s">
        <v>779</v>
      </c>
    </row>
    <row r="754" spans="1:15" x14ac:dyDescent="0.15">
      <c r="A754" t="s">
        <v>21</v>
      </c>
      <c r="B754">
        <v>1000465</v>
      </c>
      <c r="C754">
        <v>348887</v>
      </c>
      <c r="F754" s="7">
        <v>1</v>
      </c>
      <c r="G754" s="7">
        <v>592</v>
      </c>
      <c r="H754" s="8">
        <v>592</v>
      </c>
      <c r="J754" t="s">
        <v>23</v>
      </c>
      <c r="K754" s="7">
        <v>810</v>
      </c>
      <c r="L754" s="9">
        <v>-1</v>
      </c>
      <c r="M754" t="s">
        <v>211</v>
      </c>
      <c r="N754" t="s">
        <v>212</v>
      </c>
      <c r="O754" s="27" t="str">
        <f>HYPERLINK("https://www.ncbi.nlm.nih.gov/nuccore/NZ_GG657754.1?report=graph&amp;from=4355530&amp;to=4355534", "TTA_codon")</f>
        <v>TTA_codon</v>
      </c>
    </row>
    <row r="755" spans="1:15" x14ac:dyDescent="0.15">
      <c r="A755" t="s">
        <v>21</v>
      </c>
      <c r="B755">
        <v>1000465</v>
      </c>
      <c r="C755">
        <v>349734</v>
      </c>
      <c r="F755" s="7">
        <v>1</v>
      </c>
      <c r="G755" s="7">
        <v>265</v>
      </c>
      <c r="H755" s="8">
        <v>151</v>
      </c>
      <c r="J755" t="s">
        <v>23</v>
      </c>
      <c r="K755" s="7">
        <v>693</v>
      </c>
      <c r="L755" s="9">
        <v>-1</v>
      </c>
      <c r="M755" t="s">
        <v>420</v>
      </c>
      <c r="N755" t="s">
        <v>266</v>
      </c>
      <c r="O755" s="27" t="str">
        <f>HYPERLINK("https://www.ncbi.nlm.nih.gov/nuccore/NC_017585.1?report=graph&amp;from=1376646&amp;to=1376650", "TTA_codon")</f>
        <v>TTA_codon</v>
      </c>
    </row>
    <row r="756" spans="1:15" x14ac:dyDescent="0.15">
      <c r="A756" t="s">
        <v>21</v>
      </c>
      <c r="B756">
        <v>1000465</v>
      </c>
      <c r="C756">
        <v>356042</v>
      </c>
      <c r="F756" s="7">
        <v>1</v>
      </c>
      <c r="G756" s="7">
        <v>391</v>
      </c>
      <c r="H756" s="8">
        <v>193</v>
      </c>
      <c r="J756" t="s">
        <v>23</v>
      </c>
      <c r="K756" s="7">
        <v>609</v>
      </c>
      <c r="L756" s="9">
        <v>-1</v>
      </c>
      <c r="M756" t="s">
        <v>780</v>
      </c>
      <c r="N756" t="s">
        <v>146</v>
      </c>
      <c r="O756" s="27" t="str">
        <f>HYPERLINK("https://www.ncbi.nlm.nih.gov/nuccore/NZ_JOFH01000027.1?report=graph&amp;from=167125&amp;to=167129", "TTA_codon")</f>
        <v>TTA_codon</v>
      </c>
    </row>
    <row r="757" spans="1:15" x14ac:dyDescent="0.15">
      <c r="A757" t="s">
        <v>21</v>
      </c>
      <c r="B757">
        <v>1000465</v>
      </c>
      <c r="C757">
        <v>356498</v>
      </c>
      <c r="F757" s="7">
        <v>1</v>
      </c>
      <c r="G757" s="7">
        <v>571</v>
      </c>
      <c r="H757" s="8">
        <v>442</v>
      </c>
      <c r="J757" t="s">
        <v>23</v>
      </c>
      <c r="K757" s="7">
        <v>678</v>
      </c>
      <c r="L757" s="9">
        <v>-1</v>
      </c>
      <c r="M757" t="s">
        <v>508</v>
      </c>
      <c r="N757" t="s">
        <v>509</v>
      </c>
      <c r="O757" s="27" t="str">
        <f>HYPERLINK("https://www.ncbi.nlm.nih.gov/nuccore/NZ_CP009438.1?report=graph&amp;from=3393435&amp;to=3393439", "TTA_codon")</f>
        <v>TTA_codon</v>
      </c>
    </row>
    <row r="758" spans="1:15" x14ac:dyDescent="0.15">
      <c r="A758" t="s">
        <v>21</v>
      </c>
      <c r="B758">
        <v>1000465</v>
      </c>
      <c r="C758">
        <v>356836</v>
      </c>
      <c r="F758" s="7">
        <v>1</v>
      </c>
      <c r="G758" s="7">
        <v>361</v>
      </c>
      <c r="H758" s="8">
        <v>178</v>
      </c>
      <c r="J758" t="s">
        <v>23</v>
      </c>
      <c r="K758" s="7">
        <v>624</v>
      </c>
      <c r="L758" s="9">
        <v>-1</v>
      </c>
      <c r="M758" t="s">
        <v>78</v>
      </c>
      <c r="N758" t="s">
        <v>79</v>
      </c>
      <c r="O758" s="27" t="str">
        <f>HYPERLINK("https://www.ncbi.nlm.nih.gov/nuccore/NZ_CP009313.1?report=graph&amp;from=6835079&amp;to=6835083", "TTA_codon")</f>
        <v>TTA_codon</v>
      </c>
    </row>
    <row r="759" spans="1:15" x14ac:dyDescent="0.15">
      <c r="A759" t="s">
        <v>21</v>
      </c>
      <c r="B759">
        <v>1000465</v>
      </c>
      <c r="C759">
        <v>363247</v>
      </c>
      <c r="F759" s="7">
        <v>2</v>
      </c>
      <c r="G759" s="7" t="s">
        <v>781</v>
      </c>
      <c r="H759" s="8" t="s">
        <v>782</v>
      </c>
      <c r="J759" t="s">
        <v>23</v>
      </c>
      <c r="K759" s="7">
        <v>672</v>
      </c>
      <c r="L759" s="9">
        <v>-1</v>
      </c>
      <c r="M759" t="s">
        <v>783</v>
      </c>
      <c r="N759" t="s">
        <v>28</v>
      </c>
      <c r="O759" s="27" t="str">
        <f>HYPERLINK("https://www.ncbi.nlm.nih.gov/nuccore/NZ_JUJA01000157.1?report=graph&amp;from=269682&amp;to=269920", "TTA_codon")</f>
        <v>TTA_codon</v>
      </c>
    </row>
    <row r="760" spans="1:15" x14ac:dyDescent="0.15">
      <c r="A760" t="s">
        <v>21</v>
      </c>
      <c r="B760">
        <v>1000465</v>
      </c>
      <c r="C760">
        <v>363641</v>
      </c>
      <c r="F760" s="7">
        <v>1</v>
      </c>
      <c r="G760" s="7">
        <v>505</v>
      </c>
      <c r="H760" s="8">
        <v>322</v>
      </c>
      <c r="J760" t="s">
        <v>23</v>
      </c>
      <c r="K760" s="7">
        <v>624</v>
      </c>
      <c r="L760" s="9">
        <v>-1</v>
      </c>
      <c r="M760" t="s">
        <v>101</v>
      </c>
      <c r="N760" t="s">
        <v>102</v>
      </c>
      <c r="O760" s="27" t="str">
        <f>HYPERLINK("https://www.ncbi.nlm.nih.gov/nuccore/NZ_CP019458.1?report=graph&amp;from=9854178&amp;to=9854182", "TTA_codon")</f>
        <v>TTA_codon</v>
      </c>
    </row>
    <row r="761" spans="1:15" x14ac:dyDescent="0.15">
      <c r="A761" t="s">
        <v>21</v>
      </c>
      <c r="B761" t="s">
        <v>784</v>
      </c>
    </row>
    <row r="762" spans="1:15" x14ac:dyDescent="0.15">
      <c r="A762" t="s">
        <v>21</v>
      </c>
      <c r="B762">
        <v>1000909</v>
      </c>
      <c r="C762">
        <v>353069</v>
      </c>
      <c r="F762" s="7">
        <v>1</v>
      </c>
      <c r="G762" s="7">
        <v>373</v>
      </c>
      <c r="H762" s="8">
        <v>373</v>
      </c>
      <c r="J762" t="s">
        <v>23</v>
      </c>
      <c r="K762" s="7">
        <v>1485</v>
      </c>
      <c r="L762" s="9">
        <v>1</v>
      </c>
      <c r="M762" t="s">
        <v>785</v>
      </c>
      <c r="N762" t="s">
        <v>306</v>
      </c>
      <c r="O762" s="27" t="str">
        <f>HYPERLINK("https://www.ncbi.nlm.nih.gov/nuccore/NZ_KL571056.1?report=graph&amp;from=294818&amp;to=294822", "TTA_codon")</f>
        <v>TTA_codon</v>
      </c>
    </row>
    <row r="763" spans="1:15" x14ac:dyDescent="0.15">
      <c r="A763" t="s">
        <v>21</v>
      </c>
      <c r="B763">
        <v>1000909</v>
      </c>
      <c r="C763">
        <v>353960</v>
      </c>
      <c r="F763" s="7">
        <v>1</v>
      </c>
      <c r="G763" s="7">
        <v>373</v>
      </c>
      <c r="H763" s="8">
        <v>355</v>
      </c>
      <c r="J763" t="s">
        <v>23</v>
      </c>
      <c r="K763" s="7">
        <v>1467</v>
      </c>
      <c r="L763" s="9">
        <v>1</v>
      </c>
      <c r="M763" t="s">
        <v>538</v>
      </c>
      <c r="N763" t="s">
        <v>246</v>
      </c>
      <c r="O763" s="27" t="str">
        <f>HYPERLINK("https://www.ncbi.nlm.nih.gov/nuccore/NZ_JNYR01000003.1?report=graph&amp;from=15907&amp;to=15911", "TTA_codon")</f>
        <v>TTA_codon</v>
      </c>
    </row>
    <row r="764" spans="1:15" x14ac:dyDescent="0.15">
      <c r="A764" t="s">
        <v>21</v>
      </c>
      <c r="B764" t="s">
        <v>786</v>
      </c>
    </row>
    <row r="765" spans="1:15" x14ac:dyDescent="0.15">
      <c r="A765" t="s">
        <v>21</v>
      </c>
      <c r="B765">
        <v>1001484</v>
      </c>
      <c r="C765">
        <v>353801</v>
      </c>
      <c r="F765" s="7">
        <v>1</v>
      </c>
      <c r="G765" s="7">
        <v>10504</v>
      </c>
      <c r="H765" s="8">
        <v>490</v>
      </c>
      <c r="J765" t="s">
        <v>23</v>
      </c>
      <c r="K765" s="7">
        <v>6393</v>
      </c>
      <c r="L765" s="9">
        <v>1</v>
      </c>
      <c r="M765" t="s">
        <v>787</v>
      </c>
      <c r="N765" t="s">
        <v>246</v>
      </c>
      <c r="O765" s="27" t="str">
        <f>HYPERLINK("https://www.ncbi.nlm.nih.gov/nuccore/NZ_JNYR01000029.1?report=graph&amp;from=80798&amp;to=80802", "TTA_codon")</f>
        <v>TTA_codon</v>
      </c>
    </row>
    <row r="766" spans="1:15" x14ac:dyDescent="0.15">
      <c r="A766" t="s">
        <v>21</v>
      </c>
      <c r="B766">
        <v>1001484</v>
      </c>
      <c r="C766">
        <v>361663</v>
      </c>
      <c r="F766" s="7">
        <v>1</v>
      </c>
      <c r="G766" s="7">
        <v>4753</v>
      </c>
      <c r="H766" s="8">
        <v>4753</v>
      </c>
      <c r="J766" t="s">
        <v>23</v>
      </c>
      <c r="K766" s="7">
        <v>28446</v>
      </c>
      <c r="L766" s="9">
        <v>1</v>
      </c>
      <c r="M766" t="s">
        <v>37</v>
      </c>
      <c r="N766" t="s">
        <v>38</v>
      </c>
      <c r="O766" s="27" t="str">
        <f>HYPERLINK("https://www.ncbi.nlm.nih.gov/nuccore/NZ_CP011533.1?report=graph&amp;from=9271815&amp;to=9271819", "TTA_codon")</f>
        <v>TTA_codon</v>
      </c>
    </row>
    <row r="767" spans="1:15" x14ac:dyDescent="0.15">
      <c r="A767" t="s">
        <v>21</v>
      </c>
      <c r="B767">
        <v>1001484</v>
      </c>
      <c r="C767">
        <v>364561</v>
      </c>
      <c r="F767" s="7">
        <v>1</v>
      </c>
      <c r="G767" s="7">
        <v>18934</v>
      </c>
      <c r="H767" s="8">
        <v>751</v>
      </c>
      <c r="J767" t="s">
        <v>23</v>
      </c>
      <c r="K767" s="7">
        <v>2142</v>
      </c>
      <c r="L767" s="9">
        <v>1</v>
      </c>
      <c r="M767" t="s">
        <v>788</v>
      </c>
      <c r="N767" t="s">
        <v>108</v>
      </c>
      <c r="O767" s="27" t="str">
        <f>HYPERLINK("https://www.ncbi.nlm.nih.gov/nuccore/NZ_MUMD01000603.1?report=graph&amp;from=763&amp;to=767", "TTA_codon")</f>
        <v>TTA_codon</v>
      </c>
    </row>
    <row r="768" spans="1:15" x14ac:dyDescent="0.15">
      <c r="A768" t="s">
        <v>21</v>
      </c>
      <c r="B768">
        <v>1001484</v>
      </c>
      <c r="C768">
        <v>365654</v>
      </c>
      <c r="F768" s="7">
        <v>2</v>
      </c>
      <c r="G768" s="7" t="s">
        <v>789</v>
      </c>
      <c r="H768" s="8" t="s">
        <v>790</v>
      </c>
      <c r="J768" t="s">
        <v>23</v>
      </c>
      <c r="K768" s="7">
        <v>8364</v>
      </c>
      <c r="L768" s="9">
        <v>1</v>
      </c>
      <c r="M768" t="s">
        <v>213</v>
      </c>
      <c r="N768" t="s">
        <v>214</v>
      </c>
      <c r="O768" s="27" t="str">
        <f>HYPERLINK("https://www.ncbi.nlm.nih.gov/nuccore/NZ_FNST01000002.1?report=graph&amp;from=9504266&amp;to=9510810", "TTA_codon")</f>
        <v>TTA_codon</v>
      </c>
    </row>
    <row r="769" spans="1:15" x14ac:dyDescent="0.15">
      <c r="A769" t="s">
        <v>21</v>
      </c>
      <c r="B769">
        <v>1001484</v>
      </c>
      <c r="C769">
        <v>365655</v>
      </c>
      <c r="F769" s="7">
        <v>2</v>
      </c>
      <c r="G769" s="7" t="s">
        <v>791</v>
      </c>
      <c r="H769" s="8" t="s">
        <v>792</v>
      </c>
      <c r="J769" t="s">
        <v>23</v>
      </c>
      <c r="K769" s="7">
        <v>5577</v>
      </c>
      <c r="L769" s="9">
        <v>1</v>
      </c>
      <c r="M769" t="s">
        <v>213</v>
      </c>
      <c r="N769" t="s">
        <v>214</v>
      </c>
      <c r="O769" s="27" t="str">
        <f>HYPERLINK("https://www.ncbi.nlm.nih.gov/nuccore/NZ_FNST01000002.1?report=graph&amp;from=9495597&amp;to=9496276", "TTA_codon")</f>
        <v>TTA_codon</v>
      </c>
    </row>
    <row r="770" spans="1:15" x14ac:dyDescent="0.15">
      <c r="A770" t="s">
        <v>21</v>
      </c>
      <c r="B770" t="s">
        <v>793</v>
      </c>
    </row>
    <row r="771" spans="1:15" x14ac:dyDescent="0.15">
      <c r="A771" t="s">
        <v>21</v>
      </c>
      <c r="B771">
        <v>1000959</v>
      </c>
      <c r="C771">
        <v>353595</v>
      </c>
      <c r="F771" s="7">
        <v>1</v>
      </c>
      <c r="G771" s="7">
        <v>241</v>
      </c>
      <c r="H771" s="8">
        <v>238</v>
      </c>
      <c r="J771" t="s">
        <v>23</v>
      </c>
      <c r="K771" s="7">
        <v>1941</v>
      </c>
      <c r="L771" s="9">
        <v>1</v>
      </c>
      <c r="M771" t="s">
        <v>794</v>
      </c>
      <c r="N771" t="s">
        <v>140</v>
      </c>
      <c r="O771" s="27" t="str">
        <f>HYPERLINK("https://www.ncbi.nlm.nih.gov/nuccore/NZ_JNXG01000017.1?report=graph&amp;from=57112&amp;to=57116", "TTA_codon")</f>
        <v>TTA_codon</v>
      </c>
    </row>
    <row r="772" spans="1:15" x14ac:dyDescent="0.15">
      <c r="A772" t="s">
        <v>21</v>
      </c>
      <c r="B772">
        <v>1000959</v>
      </c>
      <c r="C772">
        <v>364325</v>
      </c>
      <c r="F772" s="7">
        <v>1</v>
      </c>
      <c r="G772" s="7">
        <v>238</v>
      </c>
      <c r="H772" s="8">
        <v>190</v>
      </c>
      <c r="J772" t="s">
        <v>23</v>
      </c>
      <c r="K772" s="7">
        <v>1953</v>
      </c>
      <c r="L772" s="9">
        <v>1</v>
      </c>
      <c r="M772" t="s">
        <v>105</v>
      </c>
      <c r="N772" t="s">
        <v>106</v>
      </c>
      <c r="O772" s="27" t="str">
        <f>HYPERLINK("https://www.ncbi.nlm.nih.gov/nuccore/NZ_CP020042.1?report=graph&amp;from=1460855&amp;to=1460859", "TTA_codon")</f>
        <v>TTA_codon</v>
      </c>
    </row>
    <row r="773" spans="1:15" x14ac:dyDescent="0.15">
      <c r="A773" t="s">
        <v>195</v>
      </c>
      <c r="B773" t="s">
        <v>795</v>
      </c>
    </row>
    <row r="774" spans="1:15" x14ac:dyDescent="0.15">
      <c r="A774" t="s">
        <v>195</v>
      </c>
      <c r="B774">
        <v>1000019</v>
      </c>
      <c r="C774">
        <v>346075</v>
      </c>
      <c r="F774" s="7">
        <v>1</v>
      </c>
      <c r="G774" s="7">
        <v>55</v>
      </c>
      <c r="H774" s="8">
        <v>55</v>
      </c>
      <c r="J774" t="s">
        <v>23</v>
      </c>
      <c r="K774" s="7">
        <v>456</v>
      </c>
      <c r="L774" s="9">
        <v>1</v>
      </c>
      <c r="M774" t="s">
        <v>59</v>
      </c>
      <c r="N774" t="s">
        <v>60</v>
      </c>
      <c r="O774" s="27" t="str">
        <f>HYPERLINK("https://www.ncbi.nlm.nih.gov/nuccore/NC_016582.1?report=graph&amp;from=3773797&amp;to=3773801", "TTA_codon")</f>
        <v>TTA_codon</v>
      </c>
    </row>
    <row r="775" spans="1:15" x14ac:dyDescent="0.15">
      <c r="A775" t="s">
        <v>21</v>
      </c>
      <c r="B775">
        <v>1000019</v>
      </c>
      <c r="C775">
        <v>358561</v>
      </c>
      <c r="F775" s="7">
        <v>1</v>
      </c>
      <c r="G775" s="7">
        <v>55</v>
      </c>
      <c r="H775" s="8">
        <v>55</v>
      </c>
      <c r="J775" t="s">
        <v>23</v>
      </c>
      <c r="K775" s="7">
        <v>411</v>
      </c>
      <c r="L775" s="9">
        <v>1</v>
      </c>
      <c r="M775" t="s">
        <v>796</v>
      </c>
      <c r="N775" t="s">
        <v>299</v>
      </c>
      <c r="O775" s="27" t="str">
        <f>HYPERLINK("https://www.ncbi.nlm.nih.gov/nuccore/NZ_LIQY01000109.1?report=graph&amp;from=4919&amp;to=4923", "TTA_codon")</f>
        <v>TTA_codon</v>
      </c>
    </row>
    <row r="776" spans="1:15" x14ac:dyDescent="0.15">
      <c r="A776" t="s">
        <v>21</v>
      </c>
      <c r="B776" t="s">
        <v>797</v>
      </c>
    </row>
    <row r="777" spans="1:15" x14ac:dyDescent="0.15">
      <c r="A777" t="s">
        <v>21</v>
      </c>
      <c r="B777">
        <v>1001405</v>
      </c>
      <c r="C777">
        <v>362102</v>
      </c>
      <c r="F777" s="7">
        <v>1</v>
      </c>
      <c r="G777" s="7">
        <v>145</v>
      </c>
      <c r="H777" s="8">
        <v>139</v>
      </c>
      <c r="J777" t="s">
        <v>23</v>
      </c>
      <c r="K777" s="7">
        <v>687</v>
      </c>
      <c r="L777" s="9">
        <v>1</v>
      </c>
      <c r="M777" t="s">
        <v>798</v>
      </c>
      <c r="N777" t="s">
        <v>187</v>
      </c>
      <c r="O777" s="27" t="str">
        <f>HYPERLINK("https://www.ncbi.nlm.nih.gov/nuccore/NZ_MAXF01000174.1?report=graph&amp;from=45702&amp;to=45706", "TTA_codon")</f>
        <v>TTA_codon</v>
      </c>
    </row>
    <row r="778" spans="1:15" x14ac:dyDescent="0.15">
      <c r="A778" t="s">
        <v>21</v>
      </c>
      <c r="B778">
        <v>1001405</v>
      </c>
      <c r="C778">
        <v>366864</v>
      </c>
      <c r="F778" s="7">
        <v>1</v>
      </c>
      <c r="G778" s="7">
        <v>145</v>
      </c>
      <c r="H778" s="8">
        <v>142</v>
      </c>
      <c r="J778" t="s">
        <v>23</v>
      </c>
      <c r="K778" s="7">
        <v>690</v>
      </c>
      <c r="L778" s="9">
        <v>1</v>
      </c>
      <c r="M778" t="s">
        <v>799</v>
      </c>
      <c r="N778" t="s">
        <v>209</v>
      </c>
      <c r="O778" s="27" t="str">
        <f>HYPERLINK("https://www.ncbi.nlm.nih.gov/nuccore/NZ_FZOF01000020.1?report=graph&amp;from=75379&amp;to=75383", "TTA_codon")</f>
        <v>TTA_codon</v>
      </c>
    </row>
    <row r="779" spans="1:15" x14ac:dyDescent="0.15">
      <c r="A779" t="s">
        <v>21</v>
      </c>
      <c r="B779" t="s">
        <v>800</v>
      </c>
    </row>
    <row r="780" spans="1:15" x14ac:dyDescent="0.15">
      <c r="A780" t="s">
        <v>21</v>
      </c>
      <c r="B780">
        <v>1001560</v>
      </c>
      <c r="C780">
        <v>367111</v>
      </c>
      <c r="F780" s="7">
        <v>1</v>
      </c>
      <c r="G780" s="7">
        <v>208</v>
      </c>
      <c r="H780" s="8">
        <v>208</v>
      </c>
      <c r="J780" t="s">
        <v>23</v>
      </c>
      <c r="K780" s="7">
        <v>477</v>
      </c>
      <c r="L780" s="9">
        <v>1</v>
      </c>
      <c r="M780" t="s">
        <v>801</v>
      </c>
      <c r="N780" t="s">
        <v>802</v>
      </c>
      <c r="O780" s="27" t="str">
        <f>HYPERLINK("https://www.ncbi.nlm.nih.gov/nuccore/MN369754.1?report=graph&amp;from=57109&amp;to=57113", "TTA_codon")</f>
        <v>TTA_codon</v>
      </c>
    </row>
    <row r="781" spans="1:15" x14ac:dyDescent="0.15">
      <c r="A781" t="s">
        <v>21</v>
      </c>
      <c r="B781">
        <v>1001560</v>
      </c>
      <c r="C781">
        <v>367315</v>
      </c>
      <c r="F781" s="7">
        <v>1</v>
      </c>
      <c r="G781" s="7">
        <v>208</v>
      </c>
      <c r="H781" s="8">
        <v>208</v>
      </c>
      <c r="J781" t="s">
        <v>23</v>
      </c>
      <c r="K781" s="7">
        <v>477</v>
      </c>
      <c r="L781" s="9">
        <v>1</v>
      </c>
      <c r="M781" t="s">
        <v>803</v>
      </c>
      <c r="N781" t="s">
        <v>804</v>
      </c>
      <c r="O781" s="27" t="str">
        <f>HYPERLINK("https://www.ncbi.nlm.nih.gov/nuccore/NC_048719.1?report=graph&amp;from=57110&amp;to=57114", "TTA_codon")</f>
        <v>TTA_codon</v>
      </c>
    </row>
    <row r="782" spans="1:15" x14ac:dyDescent="0.15">
      <c r="A782" t="s">
        <v>21</v>
      </c>
      <c r="B782" t="s">
        <v>805</v>
      </c>
    </row>
    <row r="783" spans="1:15" x14ac:dyDescent="0.15">
      <c r="A783" t="s">
        <v>21</v>
      </c>
      <c r="B783">
        <v>1000955</v>
      </c>
      <c r="C783">
        <v>353534</v>
      </c>
      <c r="F783" s="7">
        <v>1</v>
      </c>
      <c r="G783" s="7">
        <v>100</v>
      </c>
      <c r="H783" s="8">
        <v>97</v>
      </c>
      <c r="J783" t="s">
        <v>23</v>
      </c>
      <c r="K783" s="7">
        <v>639</v>
      </c>
      <c r="L783" s="9">
        <v>1</v>
      </c>
      <c r="M783" t="s">
        <v>806</v>
      </c>
      <c r="N783" t="s">
        <v>169</v>
      </c>
      <c r="O783" s="27" t="str">
        <f>HYPERLINK("https://www.ncbi.nlm.nih.gov/nuccore/NZ_JNWJ01000019.1?report=graph&amp;from=62466&amp;to=62470", "TTA_codon")</f>
        <v>TTA_codon</v>
      </c>
    </row>
    <row r="784" spans="1:15" x14ac:dyDescent="0.15">
      <c r="A784" t="s">
        <v>21</v>
      </c>
      <c r="B784">
        <v>1000955</v>
      </c>
      <c r="C784">
        <v>359171</v>
      </c>
      <c r="F784" s="7">
        <v>1</v>
      </c>
      <c r="G784" s="7">
        <v>61</v>
      </c>
      <c r="H784" s="8">
        <v>61</v>
      </c>
      <c r="J784" t="s">
        <v>23</v>
      </c>
      <c r="K784" s="7">
        <v>645</v>
      </c>
      <c r="L784" s="9">
        <v>1</v>
      </c>
      <c r="M784" t="s">
        <v>807</v>
      </c>
      <c r="N784" t="s">
        <v>451</v>
      </c>
      <c r="O784" s="27" t="str">
        <f>HYPERLINK("https://www.ncbi.nlm.nih.gov/nuccore/NZ_LIQZ01000250.1?report=graph&amp;from=25400&amp;to=25404", "TTA_codon")</f>
        <v>TTA_codon</v>
      </c>
    </row>
    <row r="785" spans="1:15" x14ac:dyDescent="0.15">
      <c r="A785" t="s">
        <v>21</v>
      </c>
      <c r="B785" t="s">
        <v>808</v>
      </c>
    </row>
    <row r="786" spans="1:15" x14ac:dyDescent="0.15">
      <c r="A786" t="s">
        <v>21</v>
      </c>
      <c r="B786">
        <v>1001096</v>
      </c>
      <c r="C786">
        <v>347575</v>
      </c>
      <c r="F786" s="7">
        <v>1</v>
      </c>
      <c r="G786" s="7">
        <v>130</v>
      </c>
      <c r="H786" s="8">
        <v>100</v>
      </c>
      <c r="J786" t="s">
        <v>23</v>
      </c>
      <c r="K786" s="7">
        <v>2898</v>
      </c>
      <c r="L786" s="9">
        <v>1</v>
      </c>
      <c r="M786" t="s">
        <v>53</v>
      </c>
      <c r="N786" t="s">
        <v>54</v>
      </c>
      <c r="O786" s="27" t="str">
        <f>HYPERLINK("https://www.ncbi.nlm.nih.gov/nuccore/NC_003155.5?report=graph&amp;from=1681011&amp;to=1681015", "TTA_codon")</f>
        <v>TTA_codon</v>
      </c>
    </row>
    <row r="787" spans="1:15" x14ac:dyDescent="0.15">
      <c r="A787" t="s">
        <v>21</v>
      </c>
      <c r="B787">
        <v>1001096</v>
      </c>
      <c r="C787">
        <v>355526</v>
      </c>
      <c r="F787" s="7">
        <v>1</v>
      </c>
      <c r="G787" s="7">
        <v>100</v>
      </c>
      <c r="H787" s="8">
        <v>88</v>
      </c>
      <c r="J787" t="s">
        <v>23</v>
      </c>
      <c r="K787" s="7">
        <v>2925</v>
      </c>
      <c r="L787" s="9">
        <v>1</v>
      </c>
      <c r="M787" t="s">
        <v>809</v>
      </c>
      <c r="N787" t="s">
        <v>198</v>
      </c>
      <c r="O787" s="27" t="str">
        <f>HYPERLINK("https://www.ncbi.nlm.nih.gov/nuccore/NZ_JOFL01000001.1?report=graph&amp;from=163065&amp;to=163069", "TTA_codon")</f>
        <v>TTA_codon</v>
      </c>
    </row>
    <row r="788" spans="1:15" x14ac:dyDescent="0.15">
      <c r="A788" t="s">
        <v>21</v>
      </c>
      <c r="B788" t="s">
        <v>810</v>
      </c>
    </row>
    <row r="789" spans="1:15" x14ac:dyDescent="0.15">
      <c r="A789" t="s">
        <v>21</v>
      </c>
      <c r="B789">
        <v>1000584</v>
      </c>
      <c r="C789">
        <v>350197</v>
      </c>
      <c r="F789" s="7">
        <v>1</v>
      </c>
      <c r="G789" s="7">
        <v>37</v>
      </c>
      <c r="H789" s="8">
        <v>37</v>
      </c>
      <c r="J789" t="s">
        <v>23</v>
      </c>
      <c r="K789" s="7">
        <v>879</v>
      </c>
      <c r="L789" s="9">
        <v>-1</v>
      </c>
      <c r="M789" t="s">
        <v>623</v>
      </c>
      <c r="N789" t="s">
        <v>249</v>
      </c>
      <c r="O789" s="27" t="str">
        <f>HYPERLINK("https://www.ncbi.nlm.nih.gov/nuccore/NZ_AHBF01000084.1?report=graph&amp;from=70250&amp;to=70254", "TTA_codon")</f>
        <v>TTA_codon</v>
      </c>
    </row>
    <row r="790" spans="1:15" x14ac:dyDescent="0.15">
      <c r="A790" t="s">
        <v>21</v>
      </c>
      <c r="B790">
        <v>1000584</v>
      </c>
      <c r="C790">
        <v>359996</v>
      </c>
      <c r="F790" s="7">
        <v>1</v>
      </c>
      <c r="G790" s="7">
        <v>37</v>
      </c>
      <c r="H790" s="8">
        <v>37</v>
      </c>
      <c r="J790" t="s">
        <v>23</v>
      </c>
      <c r="K790" s="7">
        <v>864</v>
      </c>
      <c r="L790" s="9">
        <v>-1</v>
      </c>
      <c r="M790" t="s">
        <v>641</v>
      </c>
      <c r="N790" t="s">
        <v>91</v>
      </c>
      <c r="O790" s="27" t="str">
        <f>HYPERLINK("https://www.ncbi.nlm.nih.gov/nuccore/NZ_KQ948308.1?report=graph&amp;from=240578&amp;to=240582", "TTA_codon")</f>
        <v>TTA_codon</v>
      </c>
    </row>
    <row r="791" spans="1:15" x14ac:dyDescent="0.15">
      <c r="A791" t="s">
        <v>21</v>
      </c>
      <c r="B791">
        <v>1000584</v>
      </c>
      <c r="C791">
        <v>361224</v>
      </c>
      <c r="F791" s="7">
        <v>1</v>
      </c>
      <c r="G791" s="7">
        <v>37</v>
      </c>
      <c r="H791" s="8">
        <v>37</v>
      </c>
      <c r="J791" t="s">
        <v>23</v>
      </c>
      <c r="K791" s="7">
        <v>867</v>
      </c>
      <c r="L791" s="9">
        <v>-1</v>
      </c>
      <c r="M791" t="s">
        <v>98</v>
      </c>
      <c r="N791" t="s">
        <v>99</v>
      </c>
      <c r="O791" s="27" t="str">
        <f>HYPERLINK("https://www.ncbi.nlm.nih.gov/nuccore/NZ_CP016438.1?report=graph&amp;from=3330153&amp;to=3330157", "TTA_codon")</f>
        <v>TTA_codon</v>
      </c>
    </row>
    <row r="792" spans="1:15" x14ac:dyDescent="0.15">
      <c r="A792" t="s">
        <v>21</v>
      </c>
      <c r="B792" t="s">
        <v>811</v>
      </c>
    </row>
    <row r="793" spans="1:15" x14ac:dyDescent="0.15">
      <c r="A793" t="s">
        <v>21</v>
      </c>
      <c r="B793">
        <v>1000523</v>
      </c>
      <c r="C793">
        <v>349541</v>
      </c>
      <c r="F793" s="7">
        <v>1</v>
      </c>
      <c r="G793" s="7">
        <v>298</v>
      </c>
      <c r="H793" s="8">
        <v>292</v>
      </c>
      <c r="J793" t="s">
        <v>23</v>
      </c>
      <c r="K793" s="7">
        <v>747</v>
      </c>
      <c r="L793" s="9">
        <v>-1</v>
      </c>
      <c r="M793" t="s">
        <v>812</v>
      </c>
      <c r="N793" t="s">
        <v>64</v>
      </c>
      <c r="O793" s="27" t="str">
        <f>HYPERLINK("https://www.ncbi.nlm.nih.gov/nuccore/NZ_AEYX01000017.1?report=graph&amp;from=26236&amp;to=26240", "TTA_codon")</f>
        <v>TTA_codon</v>
      </c>
    </row>
    <row r="794" spans="1:15" x14ac:dyDescent="0.15">
      <c r="A794" t="s">
        <v>21</v>
      </c>
      <c r="B794">
        <v>1000523</v>
      </c>
      <c r="C794">
        <v>364422</v>
      </c>
      <c r="F794" s="7">
        <v>1</v>
      </c>
      <c r="G794" s="7">
        <v>415</v>
      </c>
      <c r="H794" s="8">
        <v>367</v>
      </c>
      <c r="J794" t="s">
        <v>23</v>
      </c>
      <c r="K794" s="7">
        <v>705</v>
      </c>
      <c r="L794" s="9">
        <v>-1</v>
      </c>
      <c r="M794" t="s">
        <v>105</v>
      </c>
      <c r="N794" t="s">
        <v>106</v>
      </c>
      <c r="O794" s="27" t="str">
        <f>HYPERLINK("https://www.ncbi.nlm.nih.gov/nuccore/NZ_CP020042.1?report=graph&amp;from=4811681&amp;to=4811685", "TTA_codon")</f>
        <v>TTA_codon</v>
      </c>
    </row>
    <row r="795" spans="1:15" x14ac:dyDescent="0.15">
      <c r="A795" t="s">
        <v>21</v>
      </c>
      <c r="B795" t="s">
        <v>813</v>
      </c>
    </row>
    <row r="796" spans="1:15" x14ac:dyDescent="0.15">
      <c r="A796" t="s">
        <v>21</v>
      </c>
      <c r="B796">
        <v>1001239</v>
      </c>
      <c r="C796">
        <v>357561</v>
      </c>
      <c r="F796" s="7">
        <v>1</v>
      </c>
      <c r="G796" s="7">
        <v>139</v>
      </c>
      <c r="H796" s="8">
        <v>139</v>
      </c>
      <c r="J796" t="s">
        <v>23</v>
      </c>
      <c r="K796" s="7">
        <v>1173</v>
      </c>
      <c r="L796" s="9">
        <v>1</v>
      </c>
      <c r="M796" t="s">
        <v>814</v>
      </c>
      <c r="N796" t="s">
        <v>378</v>
      </c>
      <c r="O796" s="27" t="str">
        <f>HYPERLINK("https://www.ncbi.nlm.nih.gov/nuccore/NZ_LFXA01000002.1?report=graph&amp;from=42186&amp;to=42190", "TTA_codon")</f>
        <v>TTA_codon</v>
      </c>
    </row>
    <row r="797" spans="1:15" x14ac:dyDescent="0.15">
      <c r="A797" t="s">
        <v>21</v>
      </c>
      <c r="B797">
        <v>1001239</v>
      </c>
      <c r="C797">
        <v>363940</v>
      </c>
      <c r="F797" s="7">
        <v>1</v>
      </c>
      <c r="G797" s="7">
        <v>226</v>
      </c>
      <c r="H797" s="8">
        <v>169</v>
      </c>
      <c r="J797" t="s">
        <v>23</v>
      </c>
      <c r="K797" s="7">
        <v>1146</v>
      </c>
      <c r="L797" s="9">
        <v>1</v>
      </c>
      <c r="M797" t="s">
        <v>815</v>
      </c>
      <c r="N797" t="s">
        <v>104</v>
      </c>
      <c r="O797" s="27" t="str">
        <f>HYPERLINK("https://www.ncbi.nlm.nih.gov/nuccore/NZ_MVFC01000007.1?report=graph&amp;from=101562&amp;to=101566", "TTA_codon")</f>
        <v>TTA_codon</v>
      </c>
    </row>
    <row r="798" spans="1:15" x14ac:dyDescent="0.15">
      <c r="A798" t="s">
        <v>21</v>
      </c>
      <c r="B798" t="s">
        <v>816</v>
      </c>
    </row>
    <row r="799" spans="1:15" x14ac:dyDescent="0.15">
      <c r="A799" t="s">
        <v>21</v>
      </c>
      <c r="B799">
        <v>1001033</v>
      </c>
      <c r="C799">
        <v>354627</v>
      </c>
      <c r="F799" s="7">
        <v>2</v>
      </c>
      <c r="G799" s="7" t="s">
        <v>817</v>
      </c>
      <c r="H799" s="8" t="s">
        <v>818</v>
      </c>
      <c r="J799" t="s">
        <v>23</v>
      </c>
      <c r="K799" s="7">
        <v>1629</v>
      </c>
      <c r="L799" s="9">
        <v>1</v>
      </c>
      <c r="M799" t="s">
        <v>512</v>
      </c>
      <c r="N799" t="s">
        <v>272</v>
      </c>
      <c r="O799" s="27" t="str">
        <f>HYPERLINK("https://www.ncbi.nlm.nih.gov/nuccore/NZ_JOEY01000012.1?report=graph&amp;from=128371&amp;to=128900", "TTA_codon")</f>
        <v>TTA_codon</v>
      </c>
    </row>
    <row r="800" spans="1:15" x14ac:dyDescent="0.15">
      <c r="A800" t="s">
        <v>21</v>
      </c>
      <c r="B800">
        <v>1001033</v>
      </c>
      <c r="C800">
        <v>358865</v>
      </c>
      <c r="F800" s="7">
        <v>1</v>
      </c>
      <c r="G800" s="7">
        <v>178</v>
      </c>
      <c r="H800" s="8">
        <v>178</v>
      </c>
      <c r="J800" t="s">
        <v>23</v>
      </c>
      <c r="K800" s="7">
        <v>1512</v>
      </c>
      <c r="L800" s="9">
        <v>1</v>
      </c>
      <c r="M800" t="s">
        <v>819</v>
      </c>
      <c r="N800" t="s">
        <v>87</v>
      </c>
      <c r="O800" s="27" t="str">
        <f>HYPERLINK("https://www.ncbi.nlm.nih.gov/nuccore/NZ_LIQS01000054.1?report=graph&amp;from=22477&amp;to=22481", "TTA_codon")</f>
        <v>TTA_codon</v>
      </c>
    </row>
    <row r="801" spans="1:15" x14ac:dyDescent="0.15">
      <c r="A801" t="s">
        <v>21</v>
      </c>
      <c r="B801" t="s">
        <v>820</v>
      </c>
    </row>
    <row r="802" spans="1:15" x14ac:dyDescent="0.15">
      <c r="A802" t="s">
        <v>21</v>
      </c>
      <c r="B802">
        <v>1000810</v>
      </c>
      <c r="C802">
        <v>347264</v>
      </c>
      <c r="F802" s="7">
        <v>1</v>
      </c>
      <c r="G802" s="7">
        <v>496</v>
      </c>
      <c r="H802" s="8">
        <v>484</v>
      </c>
      <c r="J802" t="s">
        <v>23</v>
      </c>
      <c r="K802" s="7">
        <v>1098</v>
      </c>
      <c r="L802" s="9">
        <v>1</v>
      </c>
      <c r="M802" t="s">
        <v>53</v>
      </c>
      <c r="N802" t="s">
        <v>54</v>
      </c>
      <c r="O802" s="27" t="str">
        <f>HYPERLINK("https://www.ncbi.nlm.nih.gov/nuccore/NC_003155.5?report=graph&amp;from=5228679&amp;to=5228683", "TTA_codon")</f>
        <v>TTA_codon</v>
      </c>
    </row>
    <row r="803" spans="1:15" x14ac:dyDescent="0.15">
      <c r="A803" t="s">
        <v>21</v>
      </c>
      <c r="B803">
        <v>1000810</v>
      </c>
      <c r="C803">
        <v>348058</v>
      </c>
      <c r="F803" s="7">
        <v>1</v>
      </c>
      <c r="G803" s="7">
        <v>349</v>
      </c>
      <c r="H803" s="8">
        <v>334</v>
      </c>
      <c r="J803" t="s">
        <v>23</v>
      </c>
      <c r="K803" s="7">
        <v>1086</v>
      </c>
      <c r="L803" s="9">
        <v>1</v>
      </c>
      <c r="M803" t="s">
        <v>59</v>
      </c>
      <c r="N803" t="s">
        <v>60</v>
      </c>
      <c r="O803" s="27" t="str">
        <f>HYPERLINK("https://www.ncbi.nlm.nih.gov/nuccore/NC_016582.1?report=graph&amp;from=6536805&amp;to=6536809", "TTA_codon")</f>
        <v>TTA_codon</v>
      </c>
    </row>
    <row r="804" spans="1:15" x14ac:dyDescent="0.15">
      <c r="A804" t="s">
        <v>21</v>
      </c>
      <c r="B804">
        <v>1000810</v>
      </c>
      <c r="C804">
        <v>352073</v>
      </c>
      <c r="F804" s="7">
        <v>1</v>
      </c>
      <c r="G804" s="7">
        <v>769</v>
      </c>
      <c r="H804" s="8">
        <v>742</v>
      </c>
      <c r="J804" t="s">
        <v>23</v>
      </c>
      <c r="K804" s="7">
        <v>1083</v>
      </c>
      <c r="L804" s="9">
        <v>1</v>
      </c>
      <c r="M804" t="s">
        <v>821</v>
      </c>
      <c r="N804" t="s">
        <v>70</v>
      </c>
      <c r="O804" s="27" t="str">
        <f>HYPERLINK("https://www.ncbi.nlm.nih.gov/nuccore/NZ_KB904669.1?report=graph&amp;from=60808&amp;to=60812", "TTA_codon")</f>
        <v>TTA_codon</v>
      </c>
    </row>
    <row r="805" spans="1:15" x14ac:dyDescent="0.15">
      <c r="A805" t="s">
        <v>21</v>
      </c>
      <c r="B805">
        <v>1000810</v>
      </c>
      <c r="C805">
        <v>353195</v>
      </c>
      <c r="F805" s="7">
        <v>1</v>
      </c>
      <c r="G805" s="7">
        <v>496</v>
      </c>
      <c r="H805" s="8">
        <v>484</v>
      </c>
      <c r="J805" t="s">
        <v>23</v>
      </c>
      <c r="K805" s="7">
        <v>1098</v>
      </c>
      <c r="L805" s="9">
        <v>1</v>
      </c>
      <c r="M805" t="s">
        <v>189</v>
      </c>
      <c r="N805" t="s">
        <v>169</v>
      </c>
      <c r="O805" s="27" t="str">
        <f>HYPERLINK("https://www.ncbi.nlm.nih.gov/nuccore/NZ_JNWJ01000015.1?report=graph&amp;from=77838&amp;to=77842", "TTA_codon")</f>
        <v>TTA_codon</v>
      </c>
    </row>
    <row r="806" spans="1:15" x14ac:dyDescent="0.15">
      <c r="A806" t="s">
        <v>21</v>
      </c>
      <c r="B806">
        <v>1000810</v>
      </c>
      <c r="C806">
        <v>356509</v>
      </c>
      <c r="F806" s="7">
        <v>1</v>
      </c>
      <c r="G806" s="7">
        <v>496</v>
      </c>
      <c r="H806" s="8">
        <v>484</v>
      </c>
      <c r="J806" t="s">
        <v>23</v>
      </c>
      <c r="K806" s="7">
        <v>1098</v>
      </c>
      <c r="L806" s="9">
        <v>1</v>
      </c>
      <c r="M806" t="s">
        <v>508</v>
      </c>
      <c r="N806" t="s">
        <v>509</v>
      </c>
      <c r="O806" s="27" t="str">
        <f>HYPERLINK("https://www.ncbi.nlm.nih.gov/nuccore/NZ_CP009438.1?report=graph&amp;from=3825296&amp;to=3825300", "TTA_codon")</f>
        <v>TTA_codon</v>
      </c>
    </row>
    <row r="807" spans="1:15" x14ac:dyDescent="0.15">
      <c r="A807" t="s">
        <v>21</v>
      </c>
      <c r="B807">
        <v>1000810</v>
      </c>
      <c r="C807">
        <v>356851</v>
      </c>
      <c r="F807" s="7">
        <v>1</v>
      </c>
      <c r="G807" s="7">
        <v>496</v>
      </c>
      <c r="H807" s="8">
        <v>484</v>
      </c>
      <c r="J807" t="s">
        <v>23</v>
      </c>
      <c r="K807" s="7">
        <v>1098</v>
      </c>
      <c r="L807" s="9">
        <v>1</v>
      </c>
      <c r="M807" t="s">
        <v>78</v>
      </c>
      <c r="N807" t="s">
        <v>79</v>
      </c>
      <c r="O807" s="27" t="str">
        <f>HYPERLINK("https://www.ncbi.nlm.nih.gov/nuccore/NZ_CP009313.1?report=graph&amp;from=3729201&amp;to=3729205", "TTA_codon")</f>
        <v>TTA_codon</v>
      </c>
    </row>
    <row r="808" spans="1:15" x14ac:dyDescent="0.15">
      <c r="A808" t="s">
        <v>21</v>
      </c>
      <c r="B808">
        <v>1000810</v>
      </c>
      <c r="C808">
        <v>358801</v>
      </c>
      <c r="F808" s="7">
        <v>1</v>
      </c>
      <c r="G808" s="7">
        <v>496</v>
      </c>
      <c r="H808" s="8">
        <v>484</v>
      </c>
      <c r="J808" t="s">
        <v>23</v>
      </c>
      <c r="K808" s="7">
        <v>1098</v>
      </c>
      <c r="L808" s="9">
        <v>1</v>
      </c>
      <c r="M808" t="s">
        <v>822</v>
      </c>
      <c r="N808" t="s">
        <v>87</v>
      </c>
      <c r="O808" s="27" t="str">
        <f>HYPERLINK("https://www.ncbi.nlm.nih.gov/nuccore/NZ_LIQS01000053.1?report=graph&amp;from=36167&amp;to=36171", "TTA_codon")</f>
        <v>TTA_codon</v>
      </c>
    </row>
    <row r="809" spans="1:15" x14ac:dyDescent="0.15">
      <c r="A809" t="s">
        <v>21</v>
      </c>
      <c r="B809">
        <v>1000810</v>
      </c>
      <c r="C809">
        <v>359289</v>
      </c>
      <c r="F809" s="7">
        <v>1</v>
      </c>
      <c r="G809" s="7">
        <v>496</v>
      </c>
      <c r="H809" s="8">
        <v>484</v>
      </c>
      <c r="J809" t="s">
        <v>23</v>
      </c>
      <c r="K809" s="7">
        <v>1098</v>
      </c>
      <c r="L809" s="9">
        <v>1</v>
      </c>
      <c r="M809" t="s">
        <v>823</v>
      </c>
      <c r="N809" t="s">
        <v>89</v>
      </c>
      <c r="O809" s="27" t="str">
        <f>HYPERLINK("https://www.ncbi.nlm.nih.gov/nuccore/NZ_LIRG01000027.1?report=graph&amp;from=38859&amp;to=38863", "TTA_codon")</f>
        <v>TTA_codon</v>
      </c>
    </row>
    <row r="810" spans="1:15" x14ac:dyDescent="0.15">
      <c r="A810" t="s">
        <v>21</v>
      </c>
      <c r="B810">
        <v>1000810</v>
      </c>
      <c r="C810">
        <v>360369</v>
      </c>
      <c r="F810" s="7">
        <v>1</v>
      </c>
      <c r="G810" s="7">
        <v>496</v>
      </c>
      <c r="H810" s="8">
        <v>484</v>
      </c>
      <c r="J810" t="s">
        <v>23</v>
      </c>
      <c r="K810" s="7">
        <v>1098</v>
      </c>
      <c r="L810" s="9">
        <v>1</v>
      </c>
      <c r="M810" t="s">
        <v>121</v>
      </c>
      <c r="N810" t="s">
        <v>122</v>
      </c>
      <c r="O810" s="27" t="str">
        <f>HYPERLINK("https://www.ncbi.nlm.nih.gov/nuccore/NZ_CP016279.1?report=graph&amp;from=10705925&amp;to=10705929", "TTA_codon")</f>
        <v>TTA_codon</v>
      </c>
    </row>
    <row r="811" spans="1:15" x14ac:dyDescent="0.15">
      <c r="A811" t="s">
        <v>21</v>
      </c>
      <c r="B811">
        <v>1000810</v>
      </c>
      <c r="C811">
        <v>361106</v>
      </c>
      <c r="F811" s="7">
        <v>1</v>
      </c>
      <c r="G811" s="7">
        <v>496</v>
      </c>
      <c r="H811" s="8">
        <v>484</v>
      </c>
      <c r="J811" t="s">
        <v>23</v>
      </c>
      <c r="K811" s="7">
        <v>1098</v>
      </c>
      <c r="L811" s="9">
        <v>1</v>
      </c>
      <c r="M811" t="s">
        <v>98</v>
      </c>
      <c r="N811" t="s">
        <v>99</v>
      </c>
      <c r="O811" s="27" t="str">
        <f>HYPERLINK("https://www.ncbi.nlm.nih.gov/nuccore/NZ_CP016438.1?report=graph&amp;from=5031683&amp;to=5031687", "TTA_codon")</f>
        <v>TTA_codon</v>
      </c>
    </row>
    <row r="812" spans="1:15" x14ac:dyDescent="0.15">
      <c r="A812" t="s">
        <v>21</v>
      </c>
      <c r="B812">
        <v>1000810</v>
      </c>
      <c r="C812">
        <v>361586</v>
      </c>
      <c r="F812" s="7">
        <v>1</v>
      </c>
      <c r="G812" s="7">
        <v>859</v>
      </c>
      <c r="H812" s="8">
        <v>835</v>
      </c>
      <c r="J812" t="s">
        <v>23</v>
      </c>
      <c r="K812" s="7">
        <v>1086</v>
      </c>
      <c r="L812" s="9">
        <v>1</v>
      </c>
      <c r="M812" t="s">
        <v>37</v>
      </c>
      <c r="N812" t="s">
        <v>38</v>
      </c>
      <c r="O812" s="27" t="str">
        <f>HYPERLINK("https://www.ncbi.nlm.nih.gov/nuccore/NZ_CP011533.1?report=graph&amp;from=4707556&amp;to=4707560", "TTA_codon")</f>
        <v>TTA_codon</v>
      </c>
    </row>
    <row r="813" spans="1:15" x14ac:dyDescent="0.15">
      <c r="A813" t="s">
        <v>21</v>
      </c>
      <c r="B813">
        <v>1000810</v>
      </c>
      <c r="C813">
        <v>363258</v>
      </c>
      <c r="F813" s="7">
        <v>1</v>
      </c>
      <c r="G813" s="7">
        <v>496</v>
      </c>
      <c r="H813" s="8">
        <v>484</v>
      </c>
      <c r="J813" t="s">
        <v>23</v>
      </c>
      <c r="K813" s="7">
        <v>1098</v>
      </c>
      <c r="L813" s="9">
        <v>1</v>
      </c>
      <c r="M813" t="s">
        <v>824</v>
      </c>
      <c r="N813" t="s">
        <v>28</v>
      </c>
      <c r="O813" s="27" t="str">
        <f>HYPERLINK("https://www.ncbi.nlm.nih.gov/nuccore/NZ_JUJA01000161.1?report=graph&amp;from=40811&amp;to=40815", "TTA_codon")</f>
        <v>TTA_codon</v>
      </c>
    </row>
    <row r="814" spans="1:15" x14ac:dyDescent="0.15">
      <c r="A814" t="s">
        <v>21</v>
      </c>
      <c r="B814">
        <v>1000810</v>
      </c>
      <c r="C814">
        <v>363604</v>
      </c>
      <c r="F814" s="7">
        <v>2</v>
      </c>
      <c r="G814" s="7" t="s">
        <v>825</v>
      </c>
      <c r="H814" s="8" t="s">
        <v>826</v>
      </c>
      <c r="J814" t="s">
        <v>23</v>
      </c>
      <c r="K814" s="7">
        <v>1086</v>
      </c>
      <c r="L814" s="9">
        <v>1</v>
      </c>
      <c r="M814" t="s">
        <v>101</v>
      </c>
      <c r="N814" t="s">
        <v>102</v>
      </c>
      <c r="O814" s="27" t="str">
        <f>HYPERLINK("https://www.ncbi.nlm.nih.gov/nuccore/NZ_CP019458.1?report=graph&amp;from=5685563&amp;to=5686476", "TTA_codon")</f>
        <v>TTA_codon</v>
      </c>
    </row>
    <row r="815" spans="1:15" x14ac:dyDescent="0.15">
      <c r="A815" t="s">
        <v>21</v>
      </c>
      <c r="B815">
        <v>1000810</v>
      </c>
      <c r="C815">
        <v>363929</v>
      </c>
      <c r="F815" s="7">
        <v>1</v>
      </c>
      <c r="G815" s="7">
        <v>769</v>
      </c>
      <c r="H815" s="8">
        <v>766</v>
      </c>
      <c r="J815" t="s">
        <v>23</v>
      </c>
      <c r="K815" s="7">
        <v>1113</v>
      </c>
      <c r="L815" s="9">
        <v>1</v>
      </c>
      <c r="M815" t="s">
        <v>190</v>
      </c>
      <c r="N815" t="s">
        <v>104</v>
      </c>
      <c r="O815" s="27" t="str">
        <f>HYPERLINK("https://www.ncbi.nlm.nih.gov/nuccore/NZ_MVFC01000010.1?report=graph&amp;from=114510&amp;to=114514", "TTA_codon")</f>
        <v>TTA_codon</v>
      </c>
    </row>
    <row r="816" spans="1:15" x14ac:dyDescent="0.15">
      <c r="A816" t="s">
        <v>21</v>
      </c>
      <c r="B816">
        <v>1000810</v>
      </c>
      <c r="C816">
        <v>364548</v>
      </c>
      <c r="F816" s="7">
        <v>1</v>
      </c>
      <c r="G816" s="7">
        <v>496</v>
      </c>
      <c r="H816" s="8">
        <v>484</v>
      </c>
      <c r="J816" t="s">
        <v>23</v>
      </c>
      <c r="K816" s="7">
        <v>1098</v>
      </c>
      <c r="L816" s="9">
        <v>1</v>
      </c>
      <c r="M816" t="s">
        <v>827</v>
      </c>
      <c r="N816" t="s">
        <v>108</v>
      </c>
      <c r="O816" s="27" t="str">
        <f>HYPERLINK("https://www.ncbi.nlm.nih.gov/nuccore/NZ_MUMD01000159.1?report=graph&amp;from=41628&amp;to=41632", "TTA_codon")</f>
        <v>TTA_codon</v>
      </c>
    </row>
    <row r="817" spans="1:15" x14ac:dyDescent="0.15">
      <c r="A817" t="s">
        <v>21</v>
      </c>
      <c r="B817">
        <v>1000810</v>
      </c>
      <c r="C817">
        <v>364676</v>
      </c>
      <c r="F817" s="7">
        <v>1</v>
      </c>
      <c r="G817" s="7">
        <v>496</v>
      </c>
      <c r="H817" s="8">
        <v>484</v>
      </c>
      <c r="J817" t="s">
        <v>23</v>
      </c>
      <c r="K817" s="7">
        <v>1098</v>
      </c>
      <c r="L817" s="9">
        <v>1</v>
      </c>
      <c r="M817" t="s">
        <v>828</v>
      </c>
      <c r="N817" t="s">
        <v>110</v>
      </c>
      <c r="O817" s="27" t="str">
        <f>HYPERLINK("https://www.ncbi.nlm.nih.gov/nuccore/NZ_MUME01000229.1?report=graph&amp;from=17546&amp;to=17550", "TTA_codon")</f>
        <v>TTA_codon</v>
      </c>
    </row>
    <row r="818" spans="1:15" x14ac:dyDescent="0.15">
      <c r="A818" t="s">
        <v>21</v>
      </c>
      <c r="B818">
        <v>1000810</v>
      </c>
      <c r="C818">
        <v>365217</v>
      </c>
      <c r="F818" s="7">
        <v>1</v>
      </c>
      <c r="G818" s="7">
        <v>859</v>
      </c>
      <c r="H818" s="8">
        <v>850</v>
      </c>
      <c r="J818" t="s">
        <v>23</v>
      </c>
      <c r="K818" s="7">
        <v>1098</v>
      </c>
      <c r="L818" s="9">
        <v>1</v>
      </c>
      <c r="M818" t="s">
        <v>829</v>
      </c>
      <c r="N818" t="s">
        <v>347</v>
      </c>
      <c r="O818" s="27" t="str">
        <f>HYPERLINK("https://www.ncbi.nlm.nih.gov/nuccore/NZ_FNFF01000012.1?report=graph&amp;from=110649&amp;to=110653", "TTA_codon")</f>
        <v>TTA_codon</v>
      </c>
    </row>
    <row r="819" spans="1:15" x14ac:dyDescent="0.15">
      <c r="A819" t="s">
        <v>21</v>
      </c>
      <c r="B819">
        <v>1000810</v>
      </c>
      <c r="C819">
        <v>365575</v>
      </c>
      <c r="F819" s="7">
        <v>2</v>
      </c>
      <c r="G819" s="7" t="s">
        <v>830</v>
      </c>
      <c r="H819" s="8" t="s">
        <v>831</v>
      </c>
      <c r="J819" t="s">
        <v>23</v>
      </c>
      <c r="K819" s="7">
        <v>1086</v>
      </c>
      <c r="L819" s="9">
        <v>1</v>
      </c>
      <c r="M819" t="s">
        <v>213</v>
      </c>
      <c r="N819" t="s">
        <v>214</v>
      </c>
      <c r="O819" s="27" t="str">
        <f>HYPERLINK("https://www.ncbi.nlm.nih.gov/nuccore/NZ_FNST01000002.1?report=graph&amp;from=3274430&amp;to=3274845", "TTA_codon")</f>
        <v>TTA_codon</v>
      </c>
    </row>
    <row r="820" spans="1:15" x14ac:dyDescent="0.15">
      <c r="A820" t="s">
        <v>21</v>
      </c>
      <c r="B820">
        <v>1000810</v>
      </c>
      <c r="C820">
        <v>365930</v>
      </c>
      <c r="F820" s="7">
        <v>2</v>
      </c>
      <c r="G820" s="7" t="s">
        <v>832</v>
      </c>
      <c r="H820" s="8" t="s">
        <v>833</v>
      </c>
      <c r="J820" t="s">
        <v>23</v>
      </c>
      <c r="K820" s="7">
        <v>1098</v>
      </c>
      <c r="L820" s="9">
        <v>1</v>
      </c>
      <c r="M820" t="s">
        <v>834</v>
      </c>
      <c r="N820" t="s">
        <v>115</v>
      </c>
      <c r="O820" s="27" t="str">
        <f>HYPERLINK("https://www.ncbi.nlm.nih.gov/nuccore/NZ_FODD01000005.1?report=graph&amp;from=54283&amp;to=54377", "TTA_codon")</f>
        <v>TTA_codon</v>
      </c>
    </row>
    <row r="821" spans="1:15" x14ac:dyDescent="0.15">
      <c r="A821" t="s">
        <v>21</v>
      </c>
      <c r="B821" t="s">
        <v>835</v>
      </c>
    </row>
    <row r="822" spans="1:15" x14ac:dyDescent="0.15">
      <c r="A822" t="s">
        <v>21</v>
      </c>
      <c r="B822">
        <v>1000986</v>
      </c>
      <c r="C822">
        <v>353991</v>
      </c>
      <c r="F822" s="7">
        <v>1</v>
      </c>
      <c r="G822" s="7">
        <v>103</v>
      </c>
      <c r="H822" s="8">
        <v>94</v>
      </c>
      <c r="J822" t="s">
        <v>23</v>
      </c>
      <c r="K822" s="7">
        <v>4641</v>
      </c>
      <c r="L822" s="9">
        <v>-1</v>
      </c>
      <c r="M822" t="s">
        <v>836</v>
      </c>
      <c r="N822" t="s">
        <v>270</v>
      </c>
      <c r="O822" s="27" t="str">
        <f>HYPERLINK("https://www.ncbi.nlm.nih.gov/nuccore/NZ_JOBH01000019.1?report=graph&amp;from=94896&amp;to=94900", "TTA_codon")</f>
        <v>TTA_codon</v>
      </c>
    </row>
    <row r="823" spans="1:15" x14ac:dyDescent="0.15">
      <c r="A823" t="s">
        <v>21</v>
      </c>
      <c r="B823">
        <v>1000986</v>
      </c>
      <c r="C823">
        <v>359633</v>
      </c>
      <c r="F823" s="7">
        <v>1</v>
      </c>
      <c r="G823" s="7">
        <v>250</v>
      </c>
      <c r="H823" s="8">
        <v>226</v>
      </c>
      <c r="J823" t="s">
        <v>23</v>
      </c>
      <c r="K823" s="7">
        <v>4134</v>
      </c>
      <c r="L823" s="9">
        <v>-1</v>
      </c>
      <c r="M823" t="s">
        <v>837</v>
      </c>
      <c r="N823" t="s">
        <v>651</v>
      </c>
      <c r="O823" s="27" t="str">
        <f>HYPERLINK("https://www.ncbi.nlm.nih.gov/nuccore/NZ_LN929896.1?report=graph&amp;from=55070&amp;to=55074", "TTA_codon")</f>
        <v>TTA_codon</v>
      </c>
    </row>
    <row r="824" spans="1:15" x14ac:dyDescent="0.15">
      <c r="A824" t="s">
        <v>21</v>
      </c>
      <c r="B824">
        <v>1000986</v>
      </c>
      <c r="C824">
        <v>359764</v>
      </c>
      <c r="F824" s="7">
        <v>1</v>
      </c>
      <c r="G824" s="7">
        <v>103</v>
      </c>
      <c r="H824" s="8">
        <v>58</v>
      </c>
      <c r="J824" t="s">
        <v>23</v>
      </c>
      <c r="K824" s="7">
        <v>1524</v>
      </c>
      <c r="L824" s="9">
        <v>-1</v>
      </c>
      <c r="M824" t="s">
        <v>838</v>
      </c>
      <c r="N824" t="s">
        <v>651</v>
      </c>
      <c r="O824" s="27" t="str">
        <f>HYPERLINK("https://www.ncbi.nlm.nih.gov/nuccore/NZ_LN929895.1?report=graph&amp;from=502772&amp;to=502776", "TTA_codon")</f>
        <v>TTA_codon</v>
      </c>
    </row>
    <row r="825" spans="1:15" x14ac:dyDescent="0.15">
      <c r="A825" t="s">
        <v>21</v>
      </c>
      <c r="B825" t="s">
        <v>839</v>
      </c>
    </row>
    <row r="826" spans="1:15" x14ac:dyDescent="0.15">
      <c r="A826" t="s">
        <v>21</v>
      </c>
      <c r="B826">
        <v>1001424</v>
      </c>
      <c r="C826">
        <v>349670</v>
      </c>
      <c r="F826" s="7">
        <v>1</v>
      </c>
      <c r="G826" s="7">
        <v>499</v>
      </c>
      <c r="H826" s="8">
        <v>499</v>
      </c>
      <c r="J826" t="s">
        <v>23</v>
      </c>
      <c r="K826" s="7">
        <v>531</v>
      </c>
      <c r="L826" s="9">
        <v>1</v>
      </c>
      <c r="M826" t="s">
        <v>840</v>
      </c>
      <c r="N826" t="s">
        <v>335</v>
      </c>
      <c r="O826" s="27" t="str">
        <f>HYPERLINK("https://www.ncbi.nlm.nih.gov/nuccore/NZ_AGBF01000036.1?report=graph&amp;from=14720&amp;to=14724", "TTA_codon")</f>
        <v>TTA_codon</v>
      </c>
    </row>
    <row r="827" spans="1:15" x14ac:dyDescent="0.15">
      <c r="A827" t="s">
        <v>21</v>
      </c>
      <c r="B827">
        <v>1001424</v>
      </c>
      <c r="C827">
        <v>351454</v>
      </c>
      <c r="F827" s="7">
        <v>1</v>
      </c>
      <c r="G827" s="7">
        <v>499</v>
      </c>
      <c r="H827" s="8">
        <v>499</v>
      </c>
      <c r="J827" t="s">
        <v>23</v>
      </c>
      <c r="K827" s="7">
        <v>528</v>
      </c>
      <c r="L827" s="9">
        <v>1</v>
      </c>
      <c r="M827" t="s">
        <v>65</v>
      </c>
      <c r="N827" t="s">
        <v>66</v>
      </c>
      <c r="O827" s="27" t="str">
        <f>HYPERLINK("https://www.ncbi.nlm.nih.gov/nuccore/NC_020504.1?report=graph&amp;from=7837718&amp;to=7837722", "TTA_codon")</f>
        <v>TTA_codon</v>
      </c>
    </row>
    <row r="828" spans="1:15" x14ac:dyDescent="0.15">
      <c r="A828" t="s">
        <v>21</v>
      </c>
      <c r="B828">
        <v>1001424</v>
      </c>
      <c r="C828">
        <v>351975</v>
      </c>
      <c r="F828" s="7">
        <v>1</v>
      </c>
      <c r="G828" s="7">
        <v>499</v>
      </c>
      <c r="H828" s="8">
        <v>499</v>
      </c>
      <c r="J828" t="s">
        <v>23</v>
      </c>
      <c r="K828" s="7">
        <v>555</v>
      </c>
      <c r="L828" s="9">
        <v>1</v>
      </c>
      <c r="M828" t="s">
        <v>841</v>
      </c>
      <c r="N828" t="s">
        <v>68</v>
      </c>
      <c r="O828" s="27" t="str">
        <f>HYPERLINK("https://www.ncbi.nlm.nih.gov/nuccore/NZ_BARG01000010.1?report=graph&amp;from=9297&amp;to=9301", "TTA_codon")</f>
        <v>TTA_codon</v>
      </c>
    </row>
    <row r="829" spans="1:15" x14ac:dyDescent="0.15">
      <c r="A829" t="s">
        <v>21</v>
      </c>
      <c r="B829">
        <v>1001424</v>
      </c>
      <c r="C829">
        <v>354782</v>
      </c>
      <c r="F829" s="7">
        <v>1</v>
      </c>
      <c r="G829" s="7">
        <v>499</v>
      </c>
      <c r="H829" s="8">
        <v>499</v>
      </c>
      <c r="J829" t="s">
        <v>23</v>
      </c>
      <c r="K829" s="7">
        <v>531</v>
      </c>
      <c r="L829" s="9">
        <v>1</v>
      </c>
      <c r="M829" t="s">
        <v>679</v>
      </c>
      <c r="N829" t="s">
        <v>272</v>
      </c>
      <c r="O829" s="27" t="str">
        <f>HYPERLINK("https://www.ncbi.nlm.nih.gov/nuccore/NZ_JOEY01000024.1?report=graph&amp;from=112105&amp;to=112109", "TTA_codon")</f>
        <v>TTA_codon</v>
      </c>
    </row>
    <row r="830" spans="1:15" x14ac:dyDescent="0.15">
      <c r="A830" t="s">
        <v>21</v>
      </c>
      <c r="B830">
        <v>1001424</v>
      </c>
      <c r="C830">
        <v>356130</v>
      </c>
      <c r="F830" s="7">
        <v>1</v>
      </c>
      <c r="G830" s="7">
        <v>499</v>
      </c>
      <c r="H830" s="8">
        <v>499</v>
      </c>
      <c r="J830" t="s">
        <v>23</v>
      </c>
      <c r="K830" s="7">
        <v>543</v>
      </c>
      <c r="L830" s="9">
        <v>1</v>
      </c>
      <c r="M830" t="s">
        <v>842</v>
      </c>
      <c r="N830" t="s">
        <v>146</v>
      </c>
      <c r="O830" s="27" t="str">
        <f>HYPERLINK("https://www.ncbi.nlm.nih.gov/nuccore/NZ_JOFH01000012.1?report=graph&amp;from=15810&amp;to=15814", "TTA_codon")</f>
        <v>TTA_codon</v>
      </c>
    </row>
    <row r="831" spans="1:15" x14ac:dyDescent="0.15">
      <c r="A831" t="s">
        <v>21</v>
      </c>
      <c r="B831">
        <v>1001424</v>
      </c>
      <c r="C831">
        <v>356235</v>
      </c>
      <c r="F831" s="7">
        <v>1</v>
      </c>
      <c r="G831" s="7">
        <v>499</v>
      </c>
      <c r="H831" s="8">
        <v>499</v>
      </c>
      <c r="J831" t="s">
        <v>23</v>
      </c>
      <c r="K831" s="7">
        <v>531</v>
      </c>
      <c r="L831" s="9">
        <v>1</v>
      </c>
      <c r="M831" t="s">
        <v>843</v>
      </c>
      <c r="N831" t="s">
        <v>77</v>
      </c>
      <c r="O831" s="27" t="str">
        <f>HYPERLINK("https://www.ncbi.nlm.nih.gov/nuccore/NZ_JNXD01000023.1?report=graph&amp;from=110154&amp;to=110158", "TTA_codon")</f>
        <v>TTA_codon</v>
      </c>
    </row>
    <row r="832" spans="1:15" x14ac:dyDescent="0.15">
      <c r="A832" t="s">
        <v>21</v>
      </c>
      <c r="B832">
        <v>1001424</v>
      </c>
      <c r="C832">
        <v>357490</v>
      </c>
      <c r="F832" s="7">
        <v>1</v>
      </c>
      <c r="G832" s="7">
        <v>499</v>
      </c>
      <c r="H832" s="8">
        <v>499</v>
      </c>
      <c r="J832" t="s">
        <v>23</v>
      </c>
      <c r="K832" s="7">
        <v>531</v>
      </c>
      <c r="L832" s="9">
        <v>1</v>
      </c>
      <c r="M832" t="s">
        <v>80</v>
      </c>
      <c r="N832" t="s">
        <v>81</v>
      </c>
      <c r="O832" s="27" t="str">
        <f>HYPERLINK("https://www.ncbi.nlm.nih.gov/nuccore/NZ_LN831790.1?report=graph&amp;from=6467215&amp;to=6467219", "TTA_codon")</f>
        <v>TTA_codon</v>
      </c>
    </row>
    <row r="833" spans="1:15" x14ac:dyDescent="0.15">
      <c r="A833" t="s">
        <v>21</v>
      </c>
      <c r="B833">
        <v>1001424</v>
      </c>
      <c r="C833">
        <v>362640</v>
      </c>
      <c r="F833" s="7">
        <v>1</v>
      </c>
      <c r="G833" s="7">
        <v>499</v>
      </c>
      <c r="H833" s="8">
        <v>469</v>
      </c>
      <c r="J833" t="s">
        <v>23</v>
      </c>
      <c r="K833" s="7">
        <v>492</v>
      </c>
      <c r="L833" s="9">
        <v>1</v>
      </c>
      <c r="M833" t="s">
        <v>32</v>
      </c>
      <c r="N833" t="s">
        <v>33</v>
      </c>
      <c r="O833" s="27" t="str">
        <f>HYPERLINK("https://www.ncbi.nlm.nih.gov/nuccore/NZ_CP017248.1?report=graph&amp;from=7776785&amp;to=7776789", "TTA_codon")</f>
        <v>TTA_codon</v>
      </c>
    </row>
    <row r="834" spans="1:15" x14ac:dyDescent="0.15">
      <c r="A834" t="s">
        <v>21</v>
      </c>
      <c r="B834" t="s">
        <v>844</v>
      </c>
    </row>
    <row r="835" spans="1:15" x14ac:dyDescent="0.15">
      <c r="A835" t="s">
        <v>21</v>
      </c>
      <c r="B835">
        <v>1001095</v>
      </c>
      <c r="C835">
        <v>355524</v>
      </c>
      <c r="F835" s="7">
        <v>1</v>
      </c>
      <c r="G835" s="7">
        <v>580</v>
      </c>
      <c r="H835" s="8">
        <v>562</v>
      </c>
      <c r="J835" t="s">
        <v>23</v>
      </c>
      <c r="K835" s="7">
        <v>738</v>
      </c>
      <c r="L835" s="9">
        <v>-1</v>
      </c>
      <c r="M835" t="s">
        <v>845</v>
      </c>
      <c r="N835" t="s">
        <v>198</v>
      </c>
      <c r="O835" s="27" t="str">
        <f>HYPERLINK("https://www.ncbi.nlm.nih.gov/nuccore/NZ_JOFL01000008.1?report=graph&amp;from=262246&amp;to=262250", "TTA_codon")</f>
        <v>TTA_codon</v>
      </c>
    </row>
    <row r="836" spans="1:15" x14ac:dyDescent="0.15">
      <c r="A836" t="s">
        <v>21</v>
      </c>
      <c r="B836">
        <v>1001095</v>
      </c>
      <c r="C836">
        <v>358169</v>
      </c>
      <c r="F836" s="7">
        <v>1</v>
      </c>
      <c r="G836" s="7">
        <v>670</v>
      </c>
      <c r="H836" s="8">
        <v>667</v>
      </c>
      <c r="J836" t="s">
        <v>23</v>
      </c>
      <c r="K836" s="7">
        <v>759</v>
      </c>
      <c r="L836" s="9">
        <v>-1</v>
      </c>
      <c r="M836" t="s">
        <v>846</v>
      </c>
      <c r="N836" t="s">
        <v>119</v>
      </c>
      <c r="O836" s="27" t="str">
        <f>HYPERLINK("https://www.ncbi.nlm.nih.gov/nuccore/NZ_LIPP01000064.1?report=graph&amp;from=12414&amp;to=12418", "TTA_codon")</f>
        <v>TTA_codon</v>
      </c>
    </row>
    <row r="837" spans="1:15" x14ac:dyDescent="0.15">
      <c r="A837" t="s">
        <v>21</v>
      </c>
      <c r="B837" t="s">
        <v>847</v>
      </c>
    </row>
    <row r="838" spans="1:15" x14ac:dyDescent="0.15">
      <c r="A838" t="s">
        <v>21</v>
      </c>
      <c r="B838">
        <v>1001251</v>
      </c>
      <c r="C838">
        <v>357819</v>
      </c>
      <c r="F838" s="7">
        <v>2</v>
      </c>
      <c r="G838" s="7" t="s">
        <v>848</v>
      </c>
      <c r="H838" s="8" t="s">
        <v>848</v>
      </c>
      <c r="J838" t="s">
        <v>23</v>
      </c>
      <c r="K838" s="7">
        <v>372</v>
      </c>
      <c r="L838" s="9">
        <v>-1</v>
      </c>
      <c r="M838" t="s">
        <v>849</v>
      </c>
      <c r="N838" t="s">
        <v>83</v>
      </c>
      <c r="O838" s="27" t="str">
        <f>HYPERLINK("https://www.ncbi.nlm.nih.gov/nuccore/NZ_DF968294.1?report=graph&amp;from=6295&amp;to=6461", "TTA_codon")</f>
        <v>TTA_codon</v>
      </c>
    </row>
    <row r="839" spans="1:15" x14ac:dyDescent="0.15">
      <c r="A839" t="s">
        <v>21</v>
      </c>
      <c r="B839">
        <v>1001251</v>
      </c>
      <c r="C839">
        <v>361233</v>
      </c>
      <c r="F839" s="7">
        <v>1</v>
      </c>
      <c r="G839" s="7">
        <v>313</v>
      </c>
      <c r="H839" s="8">
        <v>310</v>
      </c>
      <c r="J839" t="s">
        <v>23</v>
      </c>
      <c r="K839" s="7">
        <v>378</v>
      </c>
      <c r="L839" s="9">
        <v>-1</v>
      </c>
      <c r="M839" t="s">
        <v>98</v>
      </c>
      <c r="N839" t="s">
        <v>99</v>
      </c>
      <c r="O839" s="27" t="str">
        <f>HYPERLINK("https://www.ncbi.nlm.nih.gov/nuccore/NZ_CP016438.1?report=graph&amp;from=5300459&amp;to=5300463", "TTA_codon")</f>
        <v>TTA_codon</v>
      </c>
    </row>
    <row r="840" spans="1:15" x14ac:dyDescent="0.15">
      <c r="A840" t="s">
        <v>21</v>
      </c>
      <c r="B840" t="s">
        <v>850</v>
      </c>
    </row>
    <row r="841" spans="1:15" x14ac:dyDescent="0.15">
      <c r="A841" t="s">
        <v>21</v>
      </c>
      <c r="B841">
        <v>1000426</v>
      </c>
      <c r="C841">
        <v>348674</v>
      </c>
      <c r="F841" s="7">
        <v>1</v>
      </c>
      <c r="G841" s="7">
        <v>961</v>
      </c>
      <c r="H841" s="8">
        <v>928</v>
      </c>
      <c r="J841" t="s">
        <v>23</v>
      </c>
      <c r="K841" s="7">
        <v>1074</v>
      </c>
      <c r="L841" s="9">
        <v>1</v>
      </c>
      <c r="M841" t="s">
        <v>61</v>
      </c>
      <c r="N841" t="s">
        <v>62</v>
      </c>
      <c r="O841" s="27" t="str">
        <f>HYPERLINK("https://www.ncbi.nlm.nih.gov/nuccore/NZ_DS999641.1?report=graph&amp;from=7510150&amp;to=7510154", "TTA_codon")</f>
        <v>TTA_codon</v>
      </c>
    </row>
    <row r="842" spans="1:15" x14ac:dyDescent="0.15">
      <c r="A842" t="s">
        <v>21</v>
      </c>
      <c r="B842">
        <v>1000426</v>
      </c>
      <c r="C842">
        <v>353007</v>
      </c>
      <c r="F842" s="7">
        <v>1</v>
      </c>
      <c r="G842" s="7">
        <v>931</v>
      </c>
      <c r="H842" s="8">
        <v>793</v>
      </c>
      <c r="J842" t="s">
        <v>23</v>
      </c>
      <c r="K842" s="7">
        <v>960</v>
      </c>
      <c r="L842" s="9">
        <v>1</v>
      </c>
      <c r="M842" t="s">
        <v>851</v>
      </c>
      <c r="N842" t="s">
        <v>306</v>
      </c>
      <c r="O842" s="27" t="str">
        <f>HYPERLINK("https://www.ncbi.nlm.nih.gov/nuccore/NZ_KL571064.1?report=graph&amp;from=46083&amp;to=46087", "TTA_codon")</f>
        <v>TTA_codon</v>
      </c>
    </row>
    <row r="843" spans="1:15" x14ac:dyDescent="0.15">
      <c r="A843" t="s">
        <v>21</v>
      </c>
      <c r="B843">
        <v>1000426</v>
      </c>
      <c r="C843">
        <v>357169</v>
      </c>
      <c r="F843" s="7">
        <v>1</v>
      </c>
      <c r="G843" s="7">
        <v>973</v>
      </c>
      <c r="H843" s="8">
        <v>784</v>
      </c>
      <c r="J843" t="s">
        <v>23</v>
      </c>
      <c r="K843" s="7">
        <v>912</v>
      </c>
      <c r="L843" s="9">
        <v>1</v>
      </c>
      <c r="M843" t="s">
        <v>205</v>
      </c>
      <c r="N843" t="s">
        <v>206</v>
      </c>
      <c r="O843" s="27" t="str">
        <f>HYPERLINK("https://www.ncbi.nlm.nih.gov/nuccore/NZ_CP010407.1?report=graph&amp;from=7210467&amp;to=7210471", "TTA_codon")</f>
        <v>TTA_codon</v>
      </c>
    </row>
    <row r="844" spans="1:15" x14ac:dyDescent="0.15">
      <c r="A844" t="s">
        <v>21</v>
      </c>
      <c r="B844" t="s">
        <v>852</v>
      </c>
    </row>
    <row r="845" spans="1:15" x14ac:dyDescent="0.15">
      <c r="A845" t="s">
        <v>21</v>
      </c>
      <c r="B845">
        <v>1000574</v>
      </c>
      <c r="C845">
        <v>350021</v>
      </c>
      <c r="F845" s="7">
        <v>1</v>
      </c>
      <c r="G845" s="7">
        <v>52</v>
      </c>
      <c r="H845" s="8">
        <v>43</v>
      </c>
      <c r="J845" t="s">
        <v>23</v>
      </c>
      <c r="K845" s="7">
        <v>1101</v>
      </c>
      <c r="L845" s="9">
        <v>-1</v>
      </c>
      <c r="M845" t="s">
        <v>853</v>
      </c>
      <c r="N845" t="s">
        <v>249</v>
      </c>
      <c r="O845" s="27" t="str">
        <f>HYPERLINK("https://www.ncbi.nlm.nih.gov/nuccore/NZ_AHBF01000080.1?report=graph&amp;from=60881&amp;to=60885", "TTA_codon")</f>
        <v>TTA_codon</v>
      </c>
    </row>
    <row r="846" spans="1:15" x14ac:dyDescent="0.15">
      <c r="A846" t="s">
        <v>21</v>
      </c>
      <c r="B846">
        <v>1000574</v>
      </c>
      <c r="C846">
        <v>357426</v>
      </c>
      <c r="F846" s="7">
        <v>1</v>
      </c>
      <c r="G846" s="7">
        <v>40</v>
      </c>
      <c r="H846" s="8">
        <v>40</v>
      </c>
      <c r="J846" t="s">
        <v>23</v>
      </c>
      <c r="K846" s="7">
        <v>1122</v>
      </c>
      <c r="L846" s="9">
        <v>-1</v>
      </c>
      <c r="M846" t="s">
        <v>80</v>
      </c>
      <c r="N846" t="s">
        <v>81</v>
      </c>
      <c r="O846" s="27" t="str">
        <f>HYPERLINK("https://www.ncbi.nlm.nih.gov/nuccore/NZ_LN831790.1?report=graph&amp;from=6895733&amp;to=6895737", "TTA_codon")</f>
        <v>TTA_codon</v>
      </c>
    </row>
    <row r="847" spans="1:15" x14ac:dyDescent="0.15">
      <c r="A847" t="s">
        <v>21</v>
      </c>
      <c r="B847" t="s">
        <v>854</v>
      </c>
    </row>
    <row r="848" spans="1:15" x14ac:dyDescent="0.15">
      <c r="A848" t="s">
        <v>21</v>
      </c>
      <c r="B848">
        <v>1001051</v>
      </c>
      <c r="C848">
        <v>354853</v>
      </c>
      <c r="F848" s="7">
        <v>1</v>
      </c>
      <c r="G848" s="7">
        <v>2902</v>
      </c>
      <c r="H848" s="8">
        <v>2491</v>
      </c>
      <c r="J848" t="s">
        <v>23</v>
      </c>
      <c r="K848" s="7">
        <v>2808</v>
      </c>
      <c r="L848" s="9">
        <v>1</v>
      </c>
      <c r="M848" t="s">
        <v>855</v>
      </c>
      <c r="N848" t="s">
        <v>25</v>
      </c>
      <c r="O848" s="27" t="str">
        <f>HYPERLINK("https://www.ncbi.nlm.nih.gov/nuccore/NZ_JOFU01000013.1?report=graph&amp;from=22925&amp;to=22929", "TTA_codon")</f>
        <v>TTA_codon</v>
      </c>
    </row>
    <row r="849" spans="1:15" x14ac:dyDescent="0.15">
      <c r="A849" t="s">
        <v>21</v>
      </c>
      <c r="B849">
        <v>1001051</v>
      </c>
      <c r="C849">
        <v>357935</v>
      </c>
      <c r="F849" s="7">
        <v>1</v>
      </c>
      <c r="G849" s="7">
        <v>1150</v>
      </c>
      <c r="H849" s="8">
        <v>802</v>
      </c>
      <c r="J849" t="s">
        <v>23</v>
      </c>
      <c r="K849" s="7">
        <v>2628</v>
      </c>
      <c r="L849" s="9">
        <v>1</v>
      </c>
      <c r="M849" t="s">
        <v>261</v>
      </c>
      <c r="N849" t="s">
        <v>262</v>
      </c>
      <c r="O849" s="27" t="str">
        <f>HYPERLINK("https://www.ncbi.nlm.nih.gov/nuccore/NZ_CP011340.1?report=graph&amp;from=5787659&amp;to=5787663", "TTA_codon")</f>
        <v>TTA_codon</v>
      </c>
    </row>
    <row r="850" spans="1:15" x14ac:dyDescent="0.15">
      <c r="A850" t="s">
        <v>21</v>
      </c>
      <c r="B850">
        <v>1001051</v>
      </c>
      <c r="C850">
        <v>363942</v>
      </c>
      <c r="F850" s="7">
        <v>3</v>
      </c>
      <c r="G850" s="7" t="s">
        <v>856</v>
      </c>
      <c r="H850" s="8" t="s">
        <v>857</v>
      </c>
      <c r="J850" t="s">
        <v>23</v>
      </c>
      <c r="K850" s="7">
        <v>3111</v>
      </c>
      <c r="L850" s="9">
        <v>1</v>
      </c>
      <c r="M850" t="s">
        <v>858</v>
      </c>
      <c r="N850" t="s">
        <v>104</v>
      </c>
      <c r="O850" s="27" t="str">
        <f>HYPERLINK("https://www.ncbi.nlm.nih.gov/nuccore/NZ_MVFC01000006.1?report=graph&amp;from=135898&amp;to=137690", "TTA_codon")</f>
        <v>TTA_codon</v>
      </c>
    </row>
    <row r="851" spans="1:15" x14ac:dyDescent="0.15">
      <c r="A851" t="s">
        <v>21</v>
      </c>
      <c r="B851" t="s">
        <v>859</v>
      </c>
    </row>
    <row r="852" spans="1:15" x14ac:dyDescent="0.15">
      <c r="A852" t="s">
        <v>21</v>
      </c>
      <c r="B852">
        <v>1000923</v>
      </c>
      <c r="C852">
        <v>348853</v>
      </c>
      <c r="F852" s="7">
        <v>1</v>
      </c>
      <c r="G852" s="7">
        <v>1288</v>
      </c>
      <c r="H852" s="8">
        <v>1270</v>
      </c>
      <c r="J852" t="s">
        <v>23</v>
      </c>
      <c r="K852" s="7">
        <v>1632</v>
      </c>
      <c r="L852" s="9">
        <v>-1</v>
      </c>
      <c r="M852" t="s">
        <v>211</v>
      </c>
      <c r="N852" t="s">
        <v>212</v>
      </c>
      <c r="O852" s="27" t="str">
        <f>HYPERLINK("https://www.ncbi.nlm.nih.gov/nuccore/NZ_GG657754.1?report=graph&amp;from=3084104&amp;to=3084108", "TTA_codon")</f>
        <v>TTA_codon</v>
      </c>
    </row>
    <row r="853" spans="1:15" x14ac:dyDescent="0.15">
      <c r="A853" t="s">
        <v>21</v>
      </c>
      <c r="B853">
        <v>1000923</v>
      </c>
      <c r="C853">
        <v>353174</v>
      </c>
      <c r="F853" s="7">
        <v>1</v>
      </c>
      <c r="G853" s="7">
        <v>520</v>
      </c>
      <c r="H853" s="8">
        <v>520</v>
      </c>
      <c r="J853" t="s">
        <v>23</v>
      </c>
      <c r="K853" s="7">
        <v>1623</v>
      </c>
      <c r="L853" s="9">
        <v>-1</v>
      </c>
      <c r="M853" t="s">
        <v>860</v>
      </c>
      <c r="N853" t="s">
        <v>169</v>
      </c>
      <c r="O853" s="27" t="str">
        <f>HYPERLINK("https://www.ncbi.nlm.nih.gov/nuccore/NZ_JNWJ01000133.1?report=graph&amp;from=3506&amp;to=3510", "TTA_codon")</f>
        <v>TTA_codon</v>
      </c>
    </row>
    <row r="854" spans="1:15" x14ac:dyDescent="0.15">
      <c r="A854" t="s">
        <v>21</v>
      </c>
      <c r="B854">
        <v>1000923</v>
      </c>
      <c r="C854">
        <v>356839</v>
      </c>
      <c r="F854" s="7">
        <v>3</v>
      </c>
      <c r="G854" s="7" t="s">
        <v>861</v>
      </c>
      <c r="H854" s="8" t="s">
        <v>861</v>
      </c>
      <c r="J854" t="s">
        <v>23</v>
      </c>
      <c r="K854" s="7">
        <v>1623</v>
      </c>
      <c r="L854" s="9">
        <v>-1</v>
      </c>
      <c r="M854" t="s">
        <v>78</v>
      </c>
      <c r="N854" t="s">
        <v>79</v>
      </c>
      <c r="O854" s="27" t="str">
        <f>HYPERLINK("https://www.ncbi.nlm.nih.gov/nuccore/NZ_CP009313.1?report=graph&amp;from=7183616&amp;to=7184703", "TTA_codon")</f>
        <v>TTA_codon</v>
      </c>
    </row>
    <row r="855" spans="1:15" x14ac:dyDescent="0.15">
      <c r="A855" t="s">
        <v>21</v>
      </c>
      <c r="B855" t="s">
        <v>862</v>
      </c>
    </row>
    <row r="856" spans="1:15" x14ac:dyDescent="0.15">
      <c r="A856" t="s">
        <v>21</v>
      </c>
      <c r="B856">
        <v>1000276</v>
      </c>
      <c r="C856">
        <v>347785</v>
      </c>
      <c r="F856" s="7">
        <v>1</v>
      </c>
      <c r="G856" s="7">
        <v>148</v>
      </c>
      <c r="H856" s="8">
        <v>94</v>
      </c>
      <c r="J856" t="s">
        <v>23</v>
      </c>
      <c r="K856" s="7">
        <v>582</v>
      </c>
      <c r="L856" s="9">
        <v>-1</v>
      </c>
      <c r="M856" t="s">
        <v>57</v>
      </c>
      <c r="N856" t="s">
        <v>58</v>
      </c>
      <c r="O856" s="27" t="str">
        <f>HYPERLINK("https://www.ncbi.nlm.nih.gov/nuccore/NC_013929.1?report=graph&amp;from=2147202&amp;to=2147206", "TTA_codon")</f>
        <v>TTA_codon</v>
      </c>
    </row>
    <row r="857" spans="1:15" x14ac:dyDescent="0.15">
      <c r="A857" t="s">
        <v>21</v>
      </c>
      <c r="B857">
        <v>1000276</v>
      </c>
      <c r="C857">
        <v>358363</v>
      </c>
      <c r="F857" s="7">
        <v>1</v>
      </c>
      <c r="G857" s="7">
        <v>148</v>
      </c>
      <c r="H857" s="8">
        <v>148</v>
      </c>
      <c r="J857" t="s">
        <v>23</v>
      </c>
      <c r="K857" s="7">
        <v>642</v>
      </c>
      <c r="L857" s="9">
        <v>-1</v>
      </c>
      <c r="M857" t="s">
        <v>863</v>
      </c>
      <c r="N857" t="s">
        <v>85</v>
      </c>
      <c r="O857" s="27" t="str">
        <f>HYPERLINK("https://www.ncbi.nlm.nih.gov/nuccore/NZ_LIQX01000306.1?report=graph&amp;from=10710&amp;to=10714", "TTA_codon")</f>
        <v>TTA_codon</v>
      </c>
    </row>
    <row r="858" spans="1:15" x14ac:dyDescent="0.15">
      <c r="A858" t="s">
        <v>21</v>
      </c>
      <c r="B858" t="s">
        <v>864</v>
      </c>
    </row>
    <row r="859" spans="1:15" x14ac:dyDescent="0.15">
      <c r="A859" t="s">
        <v>21</v>
      </c>
      <c r="B859">
        <v>1000440</v>
      </c>
      <c r="C859">
        <v>348738</v>
      </c>
      <c r="F859" s="7">
        <v>1</v>
      </c>
      <c r="G859" s="7">
        <v>85</v>
      </c>
      <c r="H859" s="8">
        <v>85</v>
      </c>
      <c r="J859" t="s">
        <v>23</v>
      </c>
      <c r="K859" s="7">
        <v>1023</v>
      </c>
      <c r="L859" s="9">
        <v>-1</v>
      </c>
      <c r="M859" t="s">
        <v>211</v>
      </c>
      <c r="N859" t="s">
        <v>212</v>
      </c>
      <c r="O859" s="27" t="str">
        <f>HYPERLINK("https://www.ncbi.nlm.nih.gov/nuccore/NZ_GG657754.1?report=graph&amp;from=4488179&amp;to=4488183", "TTA_codon")</f>
        <v>TTA_codon</v>
      </c>
    </row>
    <row r="860" spans="1:15" x14ac:dyDescent="0.15">
      <c r="A860" t="s">
        <v>21</v>
      </c>
      <c r="B860">
        <v>1000440</v>
      </c>
      <c r="C860">
        <v>354533</v>
      </c>
      <c r="F860" s="7">
        <v>1</v>
      </c>
      <c r="G860" s="7">
        <v>46</v>
      </c>
      <c r="H860" s="8">
        <v>46</v>
      </c>
      <c r="J860" t="s">
        <v>23</v>
      </c>
      <c r="K860" s="7">
        <v>858</v>
      </c>
      <c r="L860" s="9">
        <v>-1</v>
      </c>
      <c r="M860" t="s">
        <v>865</v>
      </c>
      <c r="N860" t="s">
        <v>272</v>
      </c>
      <c r="O860" s="27" t="str">
        <f>HYPERLINK("https://www.ncbi.nlm.nih.gov/nuccore/NZ_JOEY01000002.1?report=graph&amp;from=86789&amp;to=86793", "TTA_codon")</f>
        <v>TTA_codon</v>
      </c>
    </row>
    <row r="861" spans="1:15" x14ac:dyDescent="0.15">
      <c r="A861" t="s">
        <v>21</v>
      </c>
      <c r="B861" t="s">
        <v>866</v>
      </c>
    </row>
    <row r="862" spans="1:15" x14ac:dyDescent="0.15">
      <c r="A862" t="s">
        <v>21</v>
      </c>
      <c r="B862">
        <v>1000704</v>
      </c>
      <c r="C862">
        <v>351035</v>
      </c>
      <c r="F862" s="7">
        <v>1</v>
      </c>
      <c r="G862" s="7">
        <v>220</v>
      </c>
      <c r="H862" s="8">
        <v>217</v>
      </c>
      <c r="J862" t="s">
        <v>23</v>
      </c>
      <c r="K862" s="7">
        <v>1275</v>
      </c>
      <c r="L862" s="9">
        <v>-1</v>
      </c>
      <c r="M862" t="s">
        <v>700</v>
      </c>
      <c r="N862" t="s">
        <v>136</v>
      </c>
      <c r="O862" s="27" t="str">
        <f>HYPERLINK("https://www.ncbi.nlm.nih.gov/nuccore/NZ_AORZ01000003.1?report=graph&amp;from=80164&amp;to=80168", "TTA_codon")</f>
        <v>TTA_codon</v>
      </c>
    </row>
    <row r="863" spans="1:15" x14ac:dyDescent="0.15">
      <c r="A863" t="s">
        <v>21</v>
      </c>
      <c r="B863">
        <v>1000704</v>
      </c>
      <c r="C863">
        <v>353756</v>
      </c>
      <c r="F863" s="7">
        <v>1</v>
      </c>
      <c r="G863" s="7">
        <v>253</v>
      </c>
      <c r="H863" s="8">
        <v>253</v>
      </c>
      <c r="J863" t="s">
        <v>23</v>
      </c>
      <c r="K863" s="7">
        <v>1290</v>
      </c>
      <c r="L863" s="9">
        <v>-1</v>
      </c>
      <c r="M863" t="s">
        <v>867</v>
      </c>
      <c r="N863" t="s">
        <v>246</v>
      </c>
      <c r="O863" s="27" t="str">
        <f>HYPERLINK("https://www.ncbi.nlm.nih.gov/nuccore/NZ_JNYR01000032.1?report=graph&amp;from=75095&amp;to=75099", "TTA_codon")</f>
        <v>TTA_codon</v>
      </c>
    </row>
    <row r="864" spans="1:15" x14ac:dyDescent="0.15">
      <c r="A864" t="s">
        <v>21</v>
      </c>
      <c r="B864">
        <v>1000704</v>
      </c>
      <c r="C864">
        <v>361947</v>
      </c>
      <c r="F864" s="7">
        <v>1</v>
      </c>
      <c r="G864" s="7">
        <v>253</v>
      </c>
      <c r="H864" s="8">
        <v>253</v>
      </c>
      <c r="J864" t="s">
        <v>23</v>
      </c>
      <c r="K864" s="7">
        <v>1269</v>
      </c>
      <c r="L864" s="9">
        <v>-1</v>
      </c>
      <c r="M864" t="s">
        <v>868</v>
      </c>
      <c r="N864" t="s">
        <v>187</v>
      </c>
      <c r="O864" s="27" t="str">
        <f>HYPERLINK("https://www.ncbi.nlm.nih.gov/nuccore/NZ_MAXF01000025.1?report=graph&amp;from=40398&amp;to=40402", "TTA_codon")</f>
        <v>TTA_codon</v>
      </c>
    </row>
    <row r="865" spans="1:15" x14ac:dyDescent="0.15">
      <c r="A865" t="s">
        <v>21</v>
      </c>
      <c r="B865" t="s">
        <v>869</v>
      </c>
    </row>
    <row r="866" spans="1:15" x14ac:dyDescent="0.15">
      <c r="A866" t="s">
        <v>21</v>
      </c>
      <c r="B866">
        <v>1001466</v>
      </c>
      <c r="C866">
        <v>362092</v>
      </c>
      <c r="F866" s="7">
        <v>2</v>
      </c>
      <c r="G866" s="7" t="s">
        <v>870</v>
      </c>
      <c r="H866" s="8" t="s">
        <v>871</v>
      </c>
      <c r="J866" t="s">
        <v>23</v>
      </c>
      <c r="K866" s="7">
        <v>1104</v>
      </c>
      <c r="L866" s="9">
        <v>-1</v>
      </c>
      <c r="M866" t="s">
        <v>727</v>
      </c>
      <c r="N866" t="s">
        <v>187</v>
      </c>
      <c r="O866" s="27" t="str">
        <f>HYPERLINK("https://www.ncbi.nlm.nih.gov/nuccore/NZ_MAXF01000020.1?report=graph&amp;from=71959&amp;to=72242", "TTA_codon")</f>
        <v>TTA_codon</v>
      </c>
    </row>
    <row r="867" spans="1:15" x14ac:dyDescent="0.15">
      <c r="A867" t="s">
        <v>21</v>
      </c>
      <c r="B867">
        <v>1001466</v>
      </c>
      <c r="C867">
        <v>363807</v>
      </c>
      <c r="F867" s="7">
        <v>1</v>
      </c>
      <c r="G867" s="7">
        <v>220</v>
      </c>
      <c r="H867" s="8">
        <v>220</v>
      </c>
      <c r="J867" t="s">
        <v>23</v>
      </c>
      <c r="K867" s="7">
        <v>1113</v>
      </c>
      <c r="L867" s="9">
        <v>-1</v>
      </c>
      <c r="M867" t="s">
        <v>101</v>
      </c>
      <c r="N867" t="s">
        <v>102</v>
      </c>
      <c r="O867" s="27" t="str">
        <f>HYPERLINK("https://www.ncbi.nlm.nih.gov/nuccore/NZ_CP019458.1?report=graph&amp;from=3639776&amp;to=3639780", "TTA_codon")</f>
        <v>TTA_codon</v>
      </c>
    </row>
    <row r="868" spans="1:15" x14ac:dyDescent="0.15">
      <c r="A868" t="s">
        <v>21</v>
      </c>
      <c r="B868">
        <v>1001466</v>
      </c>
      <c r="C868">
        <v>365840</v>
      </c>
      <c r="F868" s="7">
        <v>1</v>
      </c>
      <c r="G868" s="7">
        <v>220</v>
      </c>
      <c r="H868" s="8">
        <v>220</v>
      </c>
      <c r="J868" t="s">
        <v>23</v>
      </c>
      <c r="K868" s="7">
        <v>1113</v>
      </c>
      <c r="L868" s="9">
        <v>-1</v>
      </c>
      <c r="M868" t="s">
        <v>213</v>
      </c>
      <c r="N868" t="s">
        <v>214</v>
      </c>
      <c r="O868" s="27" t="str">
        <f>HYPERLINK("https://www.ncbi.nlm.nih.gov/nuccore/NZ_FNST01000002.1?report=graph&amp;from=1268715&amp;to=1268719", "TTA_codon")</f>
        <v>TTA_codon</v>
      </c>
    </row>
    <row r="869" spans="1:15" x14ac:dyDescent="0.15">
      <c r="A869" t="s">
        <v>21</v>
      </c>
      <c r="B869" t="s">
        <v>872</v>
      </c>
    </row>
    <row r="870" spans="1:15" x14ac:dyDescent="0.15">
      <c r="A870" t="s">
        <v>21</v>
      </c>
      <c r="B870">
        <v>1001084</v>
      </c>
      <c r="C870">
        <v>355365</v>
      </c>
      <c r="F870" s="7">
        <v>1</v>
      </c>
      <c r="G870" s="7">
        <v>424</v>
      </c>
      <c r="H870" s="8">
        <v>424</v>
      </c>
      <c r="J870" t="s">
        <v>23</v>
      </c>
      <c r="K870" s="7">
        <v>600</v>
      </c>
      <c r="L870" s="9">
        <v>-1</v>
      </c>
      <c r="M870" t="s">
        <v>573</v>
      </c>
      <c r="N870" t="s">
        <v>198</v>
      </c>
      <c r="O870" s="27" t="str">
        <f>HYPERLINK("https://www.ncbi.nlm.nih.gov/nuccore/NZ_JOFL01000002.1?report=graph&amp;from=260715&amp;to=260719", "TTA_codon")</f>
        <v>TTA_codon</v>
      </c>
    </row>
    <row r="871" spans="1:15" x14ac:dyDescent="0.15">
      <c r="A871" t="s">
        <v>21</v>
      </c>
      <c r="B871">
        <v>1001084</v>
      </c>
      <c r="C871">
        <v>359647</v>
      </c>
      <c r="F871" s="7">
        <v>1</v>
      </c>
      <c r="G871" s="7">
        <v>550</v>
      </c>
      <c r="H871" s="8">
        <v>550</v>
      </c>
      <c r="J871" t="s">
        <v>23</v>
      </c>
      <c r="K871" s="7">
        <v>600</v>
      </c>
      <c r="L871" s="9">
        <v>-1</v>
      </c>
      <c r="M871" t="s">
        <v>873</v>
      </c>
      <c r="N871" t="s">
        <v>651</v>
      </c>
      <c r="O871" s="27" t="str">
        <f>HYPERLINK("https://www.ncbi.nlm.nih.gov/nuccore/NZ_LN929894.1?report=graph&amp;from=205203&amp;to=205207", "TTA_codon")</f>
        <v>TTA_codon</v>
      </c>
    </row>
    <row r="872" spans="1:15" x14ac:dyDescent="0.15">
      <c r="A872" t="s">
        <v>21</v>
      </c>
      <c r="B872" t="s">
        <v>874</v>
      </c>
    </row>
    <row r="873" spans="1:15" x14ac:dyDescent="0.15">
      <c r="A873" t="s">
        <v>21</v>
      </c>
      <c r="B873">
        <v>1000982</v>
      </c>
      <c r="C873">
        <v>353875</v>
      </c>
      <c r="F873" s="7">
        <v>1</v>
      </c>
      <c r="G873" s="7">
        <v>136</v>
      </c>
      <c r="H873" s="8">
        <v>94</v>
      </c>
      <c r="J873" t="s">
        <v>23</v>
      </c>
      <c r="K873" s="7">
        <v>753</v>
      </c>
      <c r="L873" s="9">
        <v>-1</v>
      </c>
      <c r="M873" t="s">
        <v>875</v>
      </c>
      <c r="N873" t="s">
        <v>246</v>
      </c>
      <c r="O873" s="27" t="str">
        <f>HYPERLINK("https://www.ncbi.nlm.nih.gov/nuccore/NZ_JNYR01000014.1?report=graph&amp;from=147015&amp;to=147019", "TTA_codon")</f>
        <v>TTA_codon</v>
      </c>
    </row>
    <row r="874" spans="1:15" x14ac:dyDescent="0.15">
      <c r="A874" t="s">
        <v>21</v>
      </c>
      <c r="B874">
        <v>1000982</v>
      </c>
      <c r="C874">
        <v>354205</v>
      </c>
      <c r="F874" s="7">
        <v>1</v>
      </c>
      <c r="G874" s="7">
        <v>136</v>
      </c>
      <c r="H874" s="8">
        <v>136</v>
      </c>
      <c r="J874" t="s">
        <v>23</v>
      </c>
      <c r="K874" s="7">
        <v>879</v>
      </c>
      <c r="L874" s="9">
        <v>-1</v>
      </c>
      <c r="M874" t="s">
        <v>876</v>
      </c>
      <c r="N874" t="s">
        <v>361</v>
      </c>
      <c r="O874" s="27" t="str">
        <f>HYPERLINK("https://www.ncbi.nlm.nih.gov/nuccore/NZ_JODY01000018.1?report=graph&amp;from=64620&amp;to=64624", "TTA_codon")</f>
        <v>TTA_codon</v>
      </c>
    </row>
    <row r="875" spans="1:15" x14ac:dyDescent="0.15">
      <c r="A875" t="s">
        <v>21</v>
      </c>
      <c r="B875" t="s">
        <v>877</v>
      </c>
    </row>
    <row r="876" spans="1:15" x14ac:dyDescent="0.15">
      <c r="A876" t="s">
        <v>21</v>
      </c>
      <c r="B876">
        <v>1000830</v>
      </c>
      <c r="C876">
        <v>352383</v>
      </c>
      <c r="F876" s="7">
        <v>1</v>
      </c>
      <c r="G876" s="7">
        <v>121</v>
      </c>
      <c r="H876" s="8">
        <v>121</v>
      </c>
      <c r="J876" t="s">
        <v>23</v>
      </c>
      <c r="K876" s="7">
        <v>501</v>
      </c>
      <c r="L876" s="9">
        <v>1</v>
      </c>
      <c r="M876" t="s">
        <v>30</v>
      </c>
      <c r="N876" t="s">
        <v>31</v>
      </c>
      <c r="O876" s="27" t="str">
        <f>HYPERLINK("https://www.ncbi.nlm.nih.gov/nuccore/NZ_KB913030.1?report=graph&amp;from=7363310&amp;to=7363314", "TTA_codon")</f>
        <v>TTA_codon</v>
      </c>
    </row>
    <row r="877" spans="1:15" x14ac:dyDescent="0.15">
      <c r="A877" t="s">
        <v>21</v>
      </c>
      <c r="B877">
        <v>1000830</v>
      </c>
      <c r="C877">
        <v>352384</v>
      </c>
      <c r="F877" s="7">
        <v>1</v>
      </c>
      <c r="G877" s="7">
        <v>121</v>
      </c>
      <c r="H877" s="8">
        <v>121</v>
      </c>
      <c r="J877" t="s">
        <v>23</v>
      </c>
      <c r="K877" s="7">
        <v>501</v>
      </c>
      <c r="L877" s="9">
        <v>1</v>
      </c>
      <c r="M877" t="s">
        <v>30</v>
      </c>
      <c r="N877" t="s">
        <v>31</v>
      </c>
      <c r="O877" s="27" t="str">
        <f>HYPERLINK("https://www.ncbi.nlm.nih.gov/nuccore/NZ_KB913030.1?report=graph&amp;from=7360980&amp;to=7360984", "TTA_codon")</f>
        <v>TTA_codon</v>
      </c>
    </row>
    <row r="878" spans="1:15" x14ac:dyDescent="0.15">
      <c r="A878" t="s">
        <v>195</v>
      </c>
      <c r="B878" t="s">
        <v>878</v>
      </c>
    </row>
    <row r="879" spans="1:15" x14ac:dyDescent="0.15">
      <c r="A879" t="s">
        <v>195</v>
      </c>
      <c r="B879">
        <v>1000070</v>
      </c>
      <c r="C879">
        <v>346383</v>
      </c>
      <c r="F879" s="7">
        <v>1</v>
      </c>
      <c r="G879" s="7">
        <v>109</v>
      </c>
      <c r="H879" s="8">
        <v>109</v>
      </c>
      <c r="J879" t="s">
        <v>23</v>
      </c>
      <c r="K879" s="7">
        <v>1137</v>
      </c>
      <c r="L879" s="9">
        <v>1</v>
      </c>
      <c r="M879" t="s">
        <v>879</v>
      </c>
      <c r="N879" t="s">
        <v>270</v>
      </c>
      <c r="O879" s="27" t="str">
        <f>HYPERLINK("https://www.ncbi.nlm.nih.gov/nuccore/NZ_JOBH01000006.1?report=graph&amp;from=208539&amp;to=208543", "TTA_codon")</f>
        <v>TTA_codon</v>
      </c>
    </row>
    <row r="880" spans="1:15" x14ac:dyDescent="0.15">
      <c r="A880" t="s">
        <v>21</v>
      </c>
      <c r="B880">
        <v>1000070</v>
      </c>
      <c r="C880">
        <v>352233</v>
      </c>
      <c r="F880" s="7">
        <v>2</v>
      </c>
      <c r="G880" s="7" t="s">
        <v>880</v>
      </c>
      <c r="H880" s="8" t="s">
        <v>881</v>
      </c>
      <c r="J880" t="s">
        <v>23</v>
      </c>
      <c r="K880" s="7">
        <v>1080</v>
      </c>
      <c r="L880" s="9">
        <v>1</v>
      </c>
      <c r="M880" t="s">
        <v>882</v>
      </c>
      <c r="N880" t="s">
        <v>70</v>
      </c>
      <c r="O880" s="27" t="str">
        <f>HYPERLINK("https://www.ncbi.nlm.nih.gov/nuccore/NZ_KB904661.1?report=graph&amp;from=36794&amp;to=36834", "TTA_codon")</f>
        <v>TTA_codon</v>
      </c>
    </row>
    <row r="881" spans="1:15" x14ac:dyDescent="0.15">
      <c r="A881" t="s">
        <v>21</v>
      </c>
      <c r="B881" t="s">
        <v>883</v>
      </c>
    </row>
    <row r="882" spans="1:15" x14ac:dyDescent="0.15">
      <c r="A882" t="s">
        <v>21</v>
      </c>
      <c r="B882">
        <v>1000418</v>
      </c>
      <c r="C882">
        <v>348620</v>
      </c>
      <c r="F882" s="7">
        <v>1</v>
      </c>
      <c r="G882" s="7">
        <v>481</v>
      </c>
      <c r="H882" s="8">
        <v>481</v>
      </c>
      <c r="J882" t="s">
        <v>23</v>
      </c>
      <c r="K882" s="7">
        <v>588</v>
      </c>
      <c r="L882" s="9">
        <v>-1</v>
      </c>
      <c r="M882" t="s">
        <v>61</v>
      </c>
      <c r="N882" t="s">
        <v>62</v>
      </c>
      <c r="O882" s="27" t="str">
        <f>HYPERLINK("https://www.ncbi.nlm.nih.gov/nuccore/NZ_DS999641.1?report=graph&amp;from=4960783&amp;to=4960787", "TTA_codon")</f>
        <v>TTA_codon</v>
      </c>
    </row>
    <row r="883" spans="1:15" x14ac:dyDescent="0.15">
      <c r="A883" t="s">
        <v>21</v>
      </c>
      <c r="B883">
        <v>1000418</v>
      </c>
      <c r="C883">
        <v>351314</v>
      </c>
      <c r="F883" s="7">
        <v>1</v>
      </c>
      <c r="G883" s="7">
        <v>451</v>
      </c>
      <c r="H883" s="8">
        <v>418</v>
      </c>
      <c r="J883" t="s">
        <v>23</v>
      </c>
      <c r="K883" s="7">
        <v>555</v>
      </c>
      <c r="L883" s="9">
        <v>-1</v>
      </c>
      <c r="M883" t="s">
        <v>65</v>
      </c>
      <c r="N883" t="s">
        <v>66</v>
      </c>
      <c r="O883" s="27" t="str">
        <f>HYPERLINK("https://www.ncbi.nlm.nih.gov/nuccore/NC_020504.1?report=graph&amp;from=6075740&amp;to=6075744", "TTA_codon")</f>
        <v>TTA_codon</v>
      </c>
    </row>
    <row r="884" spans="1:15" x14ac:dyDescent="0.15">
      <c r="A884" t="s">
        <v>195</v>
      </c>
      <c r="B884" t="s">
        <v>884</v>
      </c>
    </row>
    <row r="885" spans="1:15" x14ac:dyDescent="0.15">
      <c r="A885" t="s">
        <v>195</v>
      </c>
      <c r="B885">
        <v>1000150</v>
      </c>
      <c r="C885">
        <v>347127</v>
      </c>
      <c r="F885" s="7">
        <v>1</v>
      </c>
      <c r="G885" s="7">
        <v>379</v>
      </c>
      <c r="H885" s="8">
        <v>379</v>
      </c>
      <c r="J885" t="s">
        <v>23</v>
      </c>
      <c r="K885" s="7">
        <v>435</v>
      </c>
      <c r="L885" s="9">
        <v>1</v>
      </c>
      <c r="M885" t="s">
        <v>213</v>
      </c>
      <c r="N885" t="s">
        <v>214</v>
      </c>
      <c r="O885" s="27" t="str">
        <f>HYPERLINK("https://www.ncbi.nlm.nih.gov/nuccore/NZ_FNST01000002.1?report=graph&amp;from=1551092&amp;to=1551096", "TTA_codon")</f>
        <v>TTA_codon</v>
      </c>
    </row>
    <row r="886" spans="1:15" x14ac:dyDescent="0.15">
      <c r="A886" t="s">
        <v>21</v>
      </c>
      <c r="B886">
        <v>1000150</v>
      </c>
      <c r="C886">
        <v>361985</v>
      </c>
      <c r="F886" s="7">
        <v>1</v>
      </c>
      <c r="G886" s="7">
        <v>232</v>
      </c>
      <c r="H886" s="8">
        <v>232</v>
      </c>
      <c r="J886" t="s">
        <v>23</v>
      </c>
      <c r="K886" s="7">
        <v>432</v>
      </c>
      <c r="L886" s="9">
        <v>1</v>
      </c>
      <c r="M886" t="s">
        <v>885</v>
      </c>
      <c r="N886" t="s">
        <v>187</v>
      </c>
      <c r="O886" s="27" t="str">
        <f>HYPERLINK("https://www.ncbi.nlm.nih.gov/nuccore/NZ_MAXF01000024.1?report=graph&amp;from=27891&amp;to=27895", "TTA_codon")</f>
        <v>TTA_codon</v>
      </c>
    </row>
    <row r="887" spans="1:15" x14ac:dyDescent="0.15">
      <c r="A887" t="s">
        <v>21</v>
      </c>
      <c r="B887">
        <v>1000150</v>
      </c>
      <c r="C887">
        <v>363663</v>
      </c>
      <c r="F887" s="7">
        <v>1</v>
      </c>
      <c r="G887" s="7">
        <v>379</v>
      </c>
      <c r="H887" s="8">
        <v>379</v>
      </c>
      <c r="J887" t="s">
        <v>23</v>
      </c>
      <c r="K887" s="7">
        <v>429</v>
      </c>
      <c r="L887" s="9">
        <v>1</v>
      </c>
      <c r="M887" t="s">
        <v>101</v>
      </c>
      <c r="N887" t="s">
        <v>102</v>
      </c>
      <c r="O887" s="27" t="str">
        <f>HYPERLINK("https://www.ncbi.nlm.nih.gov/nuccore/NZ_CP019458.1?report=graph&amp;from=3959932&amp;to=3959936", "TTA_codon")</f>
        <v>TTA_codon</v>
      </c>
    </row>
    <row r="888" spans="1:15" x14ac:dyDescent="0.15">
      <c r="A888" t="s">
        <v>21</v>
      </c>
      <c r="B888" t="s">
        <v>886</v>
      </c>
    </row>
    <row r="889" spans="1:15" x14ac:dyDescent="0.15">
      <c r="A889" t="s">
        <v>21</v>
      </c>
      <c r="B889">
        <v>1000635</v>
      </c>
      <c r="C889">
        <v>350480</v>
      </c>
      <c r="F889" s="7">
        <v>1</v>
      </c>
      <c r="G889" s="7">
        <v>298</v>
      </c>
      <c r="H889" s="8">
        <v>295</v>
      </c>
      <c r="J889" t="s">
        <v>23</v>
      </c>
      <c r="K889" s="7">
        <v>1803</v>
      </c>
      <c r="L889" s="9">
        <v>1</v>
      </c>
      <c r="M889" t="s">
        <v>887</v>
      </c>
      <c r="N889" t="s">
        <v>134</v>
      </c>
      <c r="O889" s="27" t="str">
        <f>HYPERLINK("https://www.ncbi.nlm.nih.gov/nuccore/NZ_AJSZ01000545.1?report=graph&amp;from=6534&amp;to=6538", "TTA_codon")</f>
        <v>TTA_codon</v>
      </c>
    </row>
    <row r="890" spans="1:15" x14ac:dyDescent="0.15">
      <c r="A890" t="s">
        <v>21</v>
      </c>
      <c r="B890">
        <v>1000635</v>
      </c>
      <c r="C890">
        <v>350481</v>
      </c>
      <c r="F890" s="7">
        <v>1</v>
      </c>
      <c r="G890" s="7">
        <v>193</v>
      </c>
      <c r="H890" s="8">
        <v>178</v>
      </c>
      <c r="J890" t="s">
        <v>23</v>
      </c>
      <c r="K890" s="7">
        <v>1785</v>
      </c>
      <c r="L890" s="9">
        <v>1</v>
      </c>
      <c r="M890" t="s">
        <v>888</v>
      </c>
      <c r="N890" t="s">
        <v>134</v>
      </c>
      <c r="O890" s="27" t="str">
        <f>HYPERLINK("https://www.ncbi.nlm.nih.gov/nuccore/NZ_AJSZ01000362.1?report=graph&amp;from=7644&amp;to=7648", "TTA_codon")</f>
        <v>TTA_codon</v>
      </c>
    </row>
    <row r="891" spans="1:15" x14ac:dyDescent="0.15">
      <c r="A891" t="s">
        <v>21</v>
      </c>
      <c r="B891">
        <v>1000635</v>
      </c>
      <c r="C891">
        <v>360638</v>
      </c>
      <c r="F891" s="7">
        <v>2</v>
      </c>
      <c r="G891" s="7" t="s">
        <v>889</v>
      </c>
      <c r="H891" s="8" t="s">
        <v>890</v>
      </c>
      <c r="J891" t="s">
        <v>23</v>
      </c>
      <c r="K891" s="7">
        <v>1584</v>
      </c>
      <c r="L891" s="9">
        <v>1</v>
      </c>
      <c r="M891" t="s">
        <v>891</v>
      </c>
      <c r="N891" t="s">
        <v>95</v>
      </c>
      <c r="O891" s="27" t="str">
        <f>HYPERLINK("https://www.ncbi.nlm.nih.gov/nuccore/NZ_JYIJ01000014.1?report=graph&amp;from=192159&amp;to=192406", "TTA_codon")</f>
        <v>TTA_codon</v>
      </c>
    </row>
    <row r="892" spans="1:15" x14ac:dyDescent="0.15">
      <c r="A892" t="s">
        <v>21</v>
      </c>
      <c r="B892">
        <v>1000635</v>
      </c>
      <c r="C892">
        <v>362182</v>
      </c>
      <c r="F892" s="7">
        <v>1</v>
      </c>
      <c r="G892" s="7">
        <v>298</v>
      </c>
      <c r="H892" s="8">
        <v>286</v>
      </c>
      <c r="J892" t="s">
        <v>23</v>
      </c>
      <c r="K892" s="7">
        <v>1581</v>
      </c>
      <c r="L892" s="9">
        <v>1</v>
      </c>
      <c r="M892" t="s">
        <v>39</v>
      </c>
      <c r="N892" t="s">
        <v>40</v>
      </c>
      <c r="O892" s="27" t="str">
        <f>HYPERLINK("https://www.ncbi.nlm.nih.gov/nuccore/NZ_CP017157.1?report=graph&amp;from=7630576&amp;to=7630580", "TTA_codon")</f>
        <v>TTA_codon</v>
      </c>
    </row>
    <row r="893" spans="1:15" x14ac:dyDescent="0.15">
      <c r="A893" t="s">
        <v>21</v>
      </c>
      <c r="B893">
        <v>1000635</v>
      </c>
      <c r="C893">
        <v>363238</v>
      </c>
      <c r="F893" s="7">
        <v>1</v>
      </c>
      <c r="G893" s="7">
        <v>334</v>
      </c>
      <c r="H893" s="8">
        <v>316</v>
      </c>
      <c r="J893" t="s">
        <v>23</v>
      </c>
      <c r="K893" s="7">
        <v>1809</v>
      </c>
      <c r="L893" s="9">
        <v>1</v>
      </c>
      <c r="M893" t="s">
        <v>892</v>
      </c>
      <c r="N893" t="s">
        <v>28</v>
      </c>
      <c r="O893" s="27" t="str">
        <f>HYPERLINK("https://www.ncbi.nlm.nih.gov/nuccore/NZ_JUJA01000167.1?report=graph&amp;from=434980&amp;to=434984", "TTA_codon")</f>
        <v>TTA_codon</v>
      </c>
    </row>
    <row r="894" spans="1:15" x14ac:dyDescent="0.15">
      <c r="A894" t="s">
        <v>21</v>
      </c>
      <c r="B894">
        <v>1000635</v>
      </c>
      <c r="C894">
        <v>363570</v>
      </c>
      <c r="F894" s="7">
        <v>1</v>
      </c>
      <c r="G894" s="7">
        <v>277</v>
      </c>
      <c r="H894" s="8">
        <v>259</v>
      </c>
      <c r="J894" t="s">
        <v>23</v>
      </c>
      <c r="K894" s="7">
        <v>1842</v>
      </c>
      <c r="L894" s="9">
        <v>1</v>
      </c>
      <c r="M894" t="s">
        <v>101</v>
      </c>
      <c r="N894" t="s">
        <v>102</v>
      </c>
      <c r="O894" s="27" t="str">
        <f>HYPERLINK("https://www.ncbi.nlm.nih.gov/nuccore/NZ_CP019458.1?report=graph&amp;from=7743213&amp;to=7743217", "TTA_codon")</f>
        <v>TTA_codon</v>
      </c>
    </row>
    <row r="895" spans="1:15" x14ac:dyDescent="0.15">
      <c r="A895" t="s">
        <v>21</v>
      </c>
      <c r="B895">
        <v>1000635</v>
      </c>
      <c r="C895">
        <v>363571</v>
      </c>
      <c r="F895" s="7">
        <v>1</v>
      </c>
      <c r="G895" s="7">
        <v>193</v>
      </c>
      <c r="H895" s="8">
        <v>97</v>
      </c>
      <c r="J895" t="s">
        <v>23</v>
      </c>
      <c r="K895" s="7">
        <v>1767</v>
      </c>
      <c r="L895" s="9">
        <v>1</v>
      </c>
      <c r="M895" t="s">
        <v>101</v>
      </c>
      <c r="N895" t="s">
        <v>102</v>
      </c>
      <c r="O895" s="27" t="str">
        <f>HYPERLINK("https://www.ncbi.nlm.nih.gov/nuccore/NZ_CP019458.1?report=graph&amp;from=5948383&amp;to=5948387", "TTA_codon")</f>
        <v>TTA_codon</v>
      </c>
    </row>
    <row r="896" spans="1:15" x14ac:dyDescent="0.15">
      <c r="A896" t="s">
        <v>21</v>
      </c>
      <c r="B896" t="s">
        <v>893</v>
      </c>
    </row>
    <row r="897" spans="1:15" x14ac:dyDescent="0.15">
      <c r="A897" t="s">
        <v>21</v>
      </c>
      <c r="B897">
        <v>1001011</v>
      </c>
      <c r="C897">
        <v>354319</v>
      </c>
      <c r="F897" s="7">
        <v>1</v>
      </c>
      <c r="G897" s="7">
        <v>85</v>
      </c>
      <c r="H897" s="8">
        <v>70</v>
      </c>
      <c r="J897" t="s">
        <v>23</v>
      </c>
      <c r="K897" s="7">
        <v>2421</v>
      </c>
      <c r="L897" s="9">
        <v>1</v>
      </c>
      <c r="M897" t="s">
        <v>894</v>
      </c>
      <c r="N897" t="s">
        <v>142</v>
      </c>
      <c r="O897" s="27" t="str">
        <f>HYPERLINK("https://www.ncbi.nlm.nih.gov/nuccore/NZ_JOEI01000019.1?report=graph&amp;from=271033&amp;to=271037", "TTA_codon")</f>
        <v>TTA_codon</v>
      </c>
    </row>
    <row r="898" spans="1:15" x14ac:dyDescent="0.15">
      <c r="A898" t="s">
        <v>21</v>
      </c>
      <c r="B898">
        <v>1001011</v>
      </c>
      <c r="C898">
        <v>364827</v>
      </c>
      <c r="F898" s="7">
        <v>1</v>
      </c>
      <c r="G898" s="7">
        <v>208</v>
      </c>
      <c r="H898" s="8">
        <v>205</v>
      </c>
      <c r="J898" t="s">
        <v>23</v>
      </c>
      <c r="K898" s="7">
        <v>2415</v>
      </c>
      <c r="L898" s="9">
        <v>1</v>
      </c>
      <c r="M898" t="s">
        <v>126</v>
      </c>
      <c r="N898" t="s">
        <v>127</v>
      </c>
      <c r="O898" s="27" t="str">
        <f>HYPERLINK("https://www.ncbi.nlm.nih.gov/nuccore/NZ_CP021748.1?report=graph&amp;from=454594&amp;to=454598", "TTA_codon")</f>
        <v>TTA_codon</v>
      </c>
    </row>
    <row r="899" spans="1:15" x14ac:dyDescent="0.15">
      <c r="A899" t="s">
        <v>21</v>
      </c>
      <c r="B899" t="s">
        <v>895</v>
      </c>
    </row>
    <row r="900" spans="1:15" x14ac:dyDescent="0.15">
      <c r="A900" t="s">
        <v>21</v>
      </c>
      <c r="B900">
        <v>1001335</v>
      </c>
      <c r="C900">
        <v>351878</v>
      </c>
      <c r="F900" s="7">
        <v>1</v>
      </c>
      <c r="G900" s="7">
        <v>49</v>
      </c>
      <c r="H900" s="8">
        <v>40</v>
      </c>
      <c r="J900" t="s">
        <v>23</v>
      </c>
      <c r="K900" s="7">
        <v>933</v>
      </c>
      <c r="L900" s="9">
        <v>1</v>
      </c>
      <c r="M900" t="s">
        <v>896</v>
      </c>
      <c r="N900" t="s">
        <v>68</v>
      </c>
      <c r="O900" s="27" t="str">
        <f>HYPERLINK("https://www.ncbi.nlm.nih.gov/nuccore/NZ_BARG01000025.1?report=graph&amp;from=179783&amp;to=179787", "TTA_codon")</f>
        <v>TTA_codon</v>
      </c>
    </row>
    <row r="901" spans="1:15" x14ac:dyDescent="0.15">
      <c r="A901" t="s">
        <v>21</v>
      </c>
      <c r="B901">
        <v>1001335</v>
      </c>
      <c r="C901">
        <v>360264</v>
      </c>
      <c r="F901" s="7">
        <v>1</v>
      </c>
      <c r="G901" s="7">
        <v>130</v>
      </c>
      <c r="H901" s="8">
        <v>130</v>
      </c>
      <c r="J901" t="s">
        <v>23</v>
      </c>
      <c r="K901" s="7">
        <v>960</v>
      </c>
      <c r="L901" s="9">
        <v>1</v>
      </c>
      <c r="M901" t="s">
        <v>292</v>
      </c>
      <c r="N901" t="s">
        <v>125</v>
      </c>
      <c r="O901" s="27" t="str">
        <f>HYPERLINK("https://www.ncbi.nlm.nih.gov/nuccore/NZ_KQ948453.1?report=graph&amp;from=183555&amp;to=183559", "TTA_codon")</f>
        <v>TTA_codon</v>
      </c>
    </row>
    <row r="902" spans="1:15" x14ac:dyDescent="0.15">
      <c r="A902" t="s">
        <v>21</v>
      </c>
      <c r="B902" t="s">
        <v>897</v>
      </c>
    </row>
    <row r="903" spans="1:15" x14ac:dyDescent="0.15">
      <c r="A903" t="s">
        <v>21</v>
      </c>
      <c r="B903">
        <v>1001207</v>
      </c>
      <c r="C903">
        <v>357015</v>
      </c>
      <c r="F903" s="7">
        <v>1</v>
      </c>
      <c r="G903" s="7">
        <v>799</v>
      </c>
      <c r="H903" s="8">
        <v>796</v>
      </c>
      <c r="J903" t="s">
        <v>23</v>
      </c>
      <c r="K903" s="7">
        <v>1641</v>
      </c>
      <c r="L903" s="9">
        <v>-1</v>
      </c>
      <c r="M903" t="s">
        <v>162</v>
      </c>
      <c r="N903" t="s">
        <v>163</v>
      </c>
      <c r="O903" s="27" t="str">
        <f>HYPERLINK("https://www.ncbi.nlm.nih.gov/nuccore/NZ_CP010519.1?report=graph&amp;from=3721528&amp;to=3721532", "TTA_codon")</f>
        <v>TTA_codon</v>
      </c>
    </row>
    <row r="904" spans="1:15" x14ac:dyDescent="0.15">
      <c r="A904" t="s">
        <v>21</v>
      </c>
      <c r="B904">
        <v>1001207</v>
      </c>
      <c r="C904">
        <v>357403</v>
      </c>
      <c r="F904" s="7">
        <v>1</v>
      </c>
      <c r="G904" s="7">
        <v>799</v>
      </c>
      <c r="H904" s="8">
        <v>748</v>
      </c>
      <c r="J904" t="s">
        <v>23</v>
      </c>
      <c r="K904" s="7">
        <v>1248</v>
      </c>
      <c r="L904" s="9">
        <v>-1</v>
      </c>
      <c r="M904" t="s">
        <v>80</v>
      </c>
      <c r="N904" t="s">
        <v>81</v>
      </c>
      <c r="O904" s="27" t="str">
        <f>HYPERLINK("https://www.ncbi.nlm.nih.gov/nuccore/NZ_LN831790.1?report=graph&amp;from=899068&amp;to=899072", "TTA_codon")</f>
        <v>TTA_codon</v>
      </c>
    </row>
    <row r="905" spans="1:15" x14ac:dyDescent="0.15">
      <c r="A905" t="s">
        <v>195</v>
      </c>
      <c r="B905" t="s">
        <v>898</v>
      </c>
    </row>
    <row r="906" spans="1:15" x14ac:dyDescent="0.15">
      <c r="A906" t="s">
        <v>195</v>
      </c>
      <c r="B906">
        <v>1001491</v>
      </c>
      <c r="C906">
        <v>346408</v>
      </c>
      <c r="F906" s="7">
        <v>1</v>
      </c>
      <c r="G906" s="7">
        <v>5821</v>
      </c>
      <c r="H906" s="8">
        <v>2692</v>
      </c>
      <c r="J906" t="s">
        <v>23</v>
      </c>
      <c r="K906" s="7">
        <v>2934</v>
      </c>
      <c r="L906" s="9">
        <v>1</v>
      </c>
      <c r="M906" t="s">
        <v>899</v>
      </c>
      <c r="N906" t="s">
        <v>142</v>
      </c>
      <c r="O906" s="27" t="str">
        <f>HYPERLINK("https://www.ncbi.nlm.nih.gov/nuccore/NZ_JOEI01000046.1?report=graph&amp;from=4216&amp;to=4220", "TTA_codon")</f>
        <v>TTA_codon</v>
      </c>
    </row>
    <row r="907" spans="1:15" x14ac:dyDescent="0.15">
      <c r="A907" t="s">
        <v>195</v>
      </c>
      <c r="B907">
        <v>1001491</v>
      </c>
      <c r="C907">
        <v>346945</v>
      </c>
      <c r="F907" s="7">
        <v>1</v>
      </c>
      <c r="G907" s="7">
        <v>2656</v>
      </c>
      <c r="H907" s="8">
        <v>523</v>
      </c>
      <c r="J907" t="s">
        <v>23</v>
      </c>
      <c r="K907" s="7">
        <v>2469</v>
      </c>
      <c r="L907" s="9">
        <v>1</v>
      </c>
      <c r="M907" t="s">
        <v>582</v>
      </c>
      <c r="N907" t="s">
        <v>156</v>
      </c>
      <c r="O907" s="27" t="str">
        <f>HYPERLINK("https://www.ncbi.nlm.nih.gov/nuccore/NZ_LJGW01000377.1?report=graph&amp;from=117771&amp;to=117775", "TTA_codon")</f>
        <v>TTA_codon</v>
      </c>
    </row>
    <row r="908" spans="1:15" x14ac:dyDescent="0.15">
      <c r="A908" t="s">
        <v>195</v>
      </c>
      <c r="B908">
        <v>1001491</v>
      </c>
      <c r="C908">
        <v>346954</v>
      </c>
      <c r="F908" s="7">
        <v>1</v>
      </c>
      <c r="G908" s="7">
        <v>1285</v>
      </c>
      <c r="H908" s="8">
        <v>325</v>
      </c>
      <c r="J908" t="s">
        <v>23</v>
      </c>
      <c r="K908" s="7">
        <v>1875</v>
      </c>
      <c r="L908" s="9">
        <v>1</v>
      </c>
      <c r="M908" t="s">
        <v>900</v>
      </c>
      <c r="N908" t="s">
        <v>401</v>
      </c>
      <c r="O908" s="27" t="str">
        <f>HYPERLINK("https://www.ncbi.nlm.nih.gov/nuccore/NZ_LFBV01000007.1?report=graph&amp;from=12838&amp;to=12842", "TTA_codon")</f>
        <v>TTA_codon</v>
      </c>
    </row>
    <row r="909" spans="1:15" x14ac:dyDescent="0.15">
      <c r="A909" t="s">
        <v>195</v>
      </c>
      <c r="B909">
        <v>1001491</v>
      </c>
      <c r="C909">
        <v>347181</v>
      </c>
      <c r="F909" s="7">
        <v>1</v>
      </c>
      <c r="G909" s="7">
        <v>3484</v>
      </c>
      <c r="H909" s="8">
        <v>1738</v>
      </c>
      <c r="J909" t="s">
        <v>23</v>
      </c>
      <c r="K909" s="7">
        <v>3447</v>
      </c>
      <c r="L909" s="9">
        <v>1</v>
      </c>
      <c r="M909" t="s">
        <v>901</v>
      </c>
      <c r="N909" t="s">
        <v>375</v>
      </c>
      <c r="O909" s="27" t="str">
        <f>HYPERLINK("https://www.ncbi.nlm.nih.gov/nuccore/NZ_FONG01000006.1?report=graph&amp;from=127646&amp;to=127650", "TTA_codon")</f>
        <v>TTA_codon</v>
      </c>
    </row>
    <row r="910" spans="1:15" x14ac:dyDescent="0.15">
      <c r="A910" t="s">
        <v>195</v>
      </c>
      <c r="B910">
        <v>1001491</v>
      </c>
      <c r="C910">
        <v>347195</v>
      </c>
      <c r="F910" s="7">
        <v>2</v>
      </c>
      <c r="G910" s="7" t="s">
        <v>902</v>
      </c>
      <c r="H910" s="8" t="s">
        <v>903</v>
      </c>
      <c r="J910" t="s">
        <v>23</v>
      </c>
      <c r="K910" s="7">
        <v>1932</v>
      </c>
      <c r="L910" s="9">
        <v>1</v>
      </c>
      <c r="M910" t="s">
        <v>904</v>
      </c>
      <c r="N910" t="s">
        <v>180</v>
      </c>
      <c r="O910" s="27" t="str">
        <f>HYPERLINK("https://www.ncbi.nlm.nih.gov/nuccore/NZ_FRBI01000021.1?report=graph&amp;from=120846&amp;to=121612", "TTA_codon")</f>
        <v>TTA_codon</v>
      </c>
    </row>
    <row r="911" spans="1:15" x14ac:dyDescent="0.15">
      <c r="A911" t="s">
        <v>21</v>
      </c>
      <c r="B911">
        <v>1001491</v>
      </c>
      <c r="C911">
        <v>347289</v>
      </c>
      <c r="F911" s="7">
        <v>1</v>
      </c>
      <c r="G911" s="7">
        <v>1396</v>
      </c>
      <c r="H911" s="8">
        <v>388</v>
      </c>
      <c r="J911" t="s">
        <v>23</v>
      </c>
      <c r="K911" s="7">
        <v>798</v>
      </c>
      <c r="L911" s="9">
        <v>1</v>
      </c>
      <c r="M911" t="s">
        <v>53</v>
      </c>
      <c r="N911" t="s">
        <v>54</v>
      </c>
      <c r="O911" s="27" t="str">
        <f>HYPERLINK("https://www.ncbi.nlm.nih.gov/nuccore/NC_003155.5?report=graph&amp;from=2893986&amp;to=2893990", "TTA_codon")</f>
        <v>TTA_codon</v>
      </c>
    </row>
    <row r="912" spans="1:15" x14ac:dyDescent="0.15">
      <c r="A912" t="s">
        <v>21</v>
      </c>
      <c r="B912">
        <v>1001491</v>
      </c>
      <c r="C912">
        <v>347360</v>
      </c>
      <c r="F912" s="7">
        <v>1</v>
      </c>
      <c r="G912" s="7">
        <v>2662</v>
      </c>
      <c r="H912" s="8">
        <v>874</v>
      </c>
      <c r="J912" t="s">
        <v>23</v>
      </c>
      <c r="K912" s="7">
        <v>2982</v>
      </c>
      <c r="L912" s="9">
        <v>1</v>
      </c>
      <c r="M912" t="s">
        <v>217</v>
      </c>
      <c r="N912" t="s">
        <v>218</v>
      </c>
      <c r="O912" s="27" t="str">
        <f>HYPERLINK("https://www.ncbi.nlm.nih.gov/nuccore/NC_021985.1?report=graph&amp;from=5433006&amp;to=5433010", "TTA_codon")</f>
        <v>TTA_codon</v>
      </c>
    </row>
    <row r="913" spans="1:15" x14ac:dyDescent="0.15">
      <c r="A913" t="s">
        <v>21</v>
      </c>
      <c r="B913">
        <v>1001491</v>
      </c>
      <c r="C913">
        <v>347642</v>
      </c>
      <c r="F913" s="7">
        <v>1</v>
      </c>
      <c r="G913" s="7">
        <v>1186</v>
      </c>
      <c r="H913" s="8">
        <v>256</v>
      </c>
      <c r="J913" t="s">
        <v>23</v>
      </c>
      <c r="K913" s="7">
        <v>828</v>
      </c>
      <c r="L913" s="9">
        <v>1</v>
      </c>
      <c r="M913" t="s">
        <v>55</v>
      </c>
      <c r="N913" t="s">
        <v>56</v>
      </c>
      <c r="O913" s="27" t="str">
        <f>HYPERLINK("https://www.ncbi.nlm.nih.gov/nuccore/NC_010572.1?report=graph&amp;from=7632722&amp;to=7632726", "TTA_codon")</f>
        <v>TTA_codon</v>
      </c>
    </row>
    <row r="914" spans="1:15" x14ac:dyDescent="0.15">
      <c r="A914" t="s">
        <v>21</v>
      </c>
      <c r="B914">
        <v>1001491</v>
      </c>
      <c r="C914">
        <v>347643</v>
      </c>
      <c r="F914" s="7">
        <v>1</v>
      </c>
      <c r="G914" s="7">
        <v>3748</v>
      </c>
      <c r="H914" s="8">
        <v>1636</v>
      </c>
      <c r="J914" t="s">
        <v>23</v>
      </c>
      <c r="K914" s="7">
        <v>3210</v>
      </c>
      <c r="L914" s="9">
        <v>1</v>
      </c>
      <c r="M914" t="s">
        <v>55</v>
      </c>
      <c r="N914" t="s">
        <v>56</v>
      </c>
      <c r="O914" s="27" t="str">
        <f>HYPERLINK("https://www.ncbi.nlm.nih.gov/nuccore/NC_010572.1?report=graph&amp;from=2598491&amp;to=2598495", "TTA_codon")</f>
        <v>TTA_codon</v>
      </c>
    </row>
    <row r="915" spans="1:15" x14ac:dyDescent="0.15">
      <c r="A915" t="s">
        <v>21</v>
      </c>
      <c r="B915">
        <v>1001491</v>
      </c>
      <c r="C915">
        <v>347790</v>
      </c>
      <c r="F915" s="7">
        <v>1</v>
      </c>
      <c r="G915" s="7">
        <v>3505</v>
      </c>
      <c r="H915" s="8">
        <v>706</v>
      </c>
      <c r="J915" t="s">
        <v>23</v>
      </c>
      <c r="K915" s="7">
        <v>2067</v>
      </c>
      <c r="L915" s="9">
        <v>1</v>
      </c>
      <c r="M915" t="s">
        <v>57</v>
      </c>
      <c r="N915" t="s">
        <v>58</v>
      </c>
      <c r="O915" s="27" t="str">
        <f>HYPERLINK("https://www.ncbi.nlm.nih.gov/nuccore/NC_013929.1?report=graph&amp;from=3220121&amp;to=3220125", "TTA_codon")</f>
        <v>TTA_codon</v>
      </c>
    </row>
    <row r="916" spans="1:15" x14ac:dyDescent="0.15">
      <c r="A916" t="s">
        <v>21</v>
      </c>
      <c r="B916">
        <v>1001491</v>
      </c>
      <c r="C916">
        <v>347804</v>
      </c>
      <c r="F916" s="7">
        <v>1</v>
      </c>
      <c r="G916" s="7">
        <v>1102</v>
      </c>
      <c r="H916" s="8">
        <v>205</v>
      </c>
      <c r="J916" t="s">
        <v>23</v>
      </c>
      <c r="K916" s="7">
        <v>2091</v>
      </c>
      <c r="L916" s="9">
        <v>1</v>
      </c>
      <c r="M916" t="s">
        <v>57</v>
      </c>
      <c r="N916" t="s">
        <v>58</v>
      </c>
      <c r="O916" s="27" t="str">
        <f>HYPERLINK("https://www.ncbi.nlm.nih.gov/nuccore/NC_013929.1?report=graph&amp;from=9397047&amp;to=9397051", "TTA_codon")</f>
        <v>TTA_codon</v>
      </c>
    </row>
    <row r="917" spans="1:15" x14ac:dyDescent="0.15">
      <c r="A917" t="s">
        <v>21</v>
      </c>
      <c r="B917">
        <v>1001491</v>
      </c>
      <c r="C917">
        <v>348099</v>
      </c>
      <c r="F917" s="7">
        <v>1</v>
      </c>
      <c r="G917" s="7">
        <v>3769</v>
      </c>
      <c r="H917" s="8">
        <v>1729</v>
      </c>
      <c r="J917" t="s">
        <v>23</v>
      </c>
      <c r="K917" s="7">
        <v>2805</v>
      </c>
      <c r="L917" s="9">
        <v>1</v>
      </c>
      <c r="M917" t="s">
        <v>59</v>
      </c>
      <c r="N917" t="s">
        <v>60</v>
      </c>
      <c r="O917" s="27" t="str">
        <f>HYPERLINK("https://www.ncbi.nlm.nih.gov/nuccore/NC_016582.1?report=graph&amp;from=1518144&amp;to=1518148", "TTA_codon")</f>
        <v>TTA_codon</v>
      </c>
    </row>
    <row r="918" spans="1:15" x14ac:dyDescent="0.15">
      <c r="A918" t="s">
        <v>21</v>
      </c>
      <c r="B918">
        <v>1001491</v>
      </c>
      <c r="C918">
        <v>348103</v>
      </c>
      <c r="F918" s="7">
        <v>1</v>
      </c>
      <c r="G918" s="7">
        <v>3148</v>
      </c>
      <c r="H918" s="8">
        <v>1276</v>
      </c>
      <c r="J918" t="s">
        <v>23</v>
      </c>
      <c r="K918" s="7">
        <v>2856</v>
      </c>
      <c r="L918" s="9">
        <v>1</v>
      </c>
      <c r="M918" t="s">
        <v>59</v>
      </c>
      <c r="N918" t="s">
        <v>60</v>
      </c>
      <c r="O918" s="27" t="str">
        <f>HYPERLINK("https://www.ncbi.nlm.nih.gov/nuccore/NC_016582.1?report=graph&amp;from=1509036&amp;to=1509040", "TTA_codon")</f>
        <v>TTA_codon</v>
      </c>
    </row>
    <row r="919" spans="1:15" x14ac:dyDescent="0.15">
      <c r="A919" t="s">
        <v>21</v>
      </c>
      <c r="B919">
        <v>1001491</v>
      </c>
      <c r="C919">
        <v>348184</v>
      </c>
      <c r="F919" s="7">
        <v>1</v>
      </c>
      <c r="G919" s="7">
        <v>3151</v>
      </c>
      <c r="H919" s="8">
        <v>550</v>
      </c>
      <c r="J919" t="s">
        <v>23</v>
      </c>
      <c r="K919" s="7">
        <v>2136</v>
      </c>
      <c r="L919" s="9">
        <v>1</v>
      </c>
      <c r="M919" t="s">
        <v>59</v>
      </c>
      <c r="N919" t="s">
        <v>60</v>
      </c>
      <c r="O919" s="27" t="str">
        <f>HYPERLINK("https://www.ncbi.nlm.nih.gov/nuccore/NC_016582.1?report=graph&amp;from=3075777&amp;to=3075781", "TTA_codon")</f>
        <v>TTA_codon</v>
      </c>
    </row>
    <row r="920" spans="1:15" x14ac:dyDescent="0.15">
      <c r="A920" t="s">
        <v>21</v>
      </c>
      <c r="B920">
        <v>1001491</v>
      </c>
      <c r="C920">
        <v>348186</v>
      </c>
      <c r="F920" s="7">
        <v>2</v>
      </c>
      <c r="G920" s="7" t="s">
        <v>905</v>
      </c>
      <c r="H920" s="8" t="s">
        <v>906</v>
      </c>
      <c r="J920" t="s">
        <v>23</v>
      </c>
      <c r="K920" s="7">
        <v>1902</v>
      </c>
      <c r="L920" s="9">
        <v>1</v>
      </c>
      <c r="M920" t="s">
        <v>59</v>
      </c>
      <c r="N920" t="s">
        <v>60</v>
      </c>
      <c r="O920" s="27" t="str">
        <f>HYPERLINK("https://www.ncbi.nlm.nih.gov/nuccore/NC_016582.1?report=graph&amp;from=8641512&amp;to=8641609", "TTA_codon")</f>
        <v>TTA_codon</v>
      </c>
    </row>
    <row r="921" spans="1:15" x14ac:dyDescent="0.15">
      <c r="A921" t="s">
        <v>21</v>
      </c>
      <c r="B921">
        <v>1001491</v>
      </c>
      <c r="C921">
        <v>348188</v>
      </c>
      <c r="F921" s="7">
        <v>1</v>
      </c>
      <c r="G921" s="7">
        <v>4492</v>
      </c>
      <c r="H921" s="8">
        <v>2134</v>
      </c>
      <c r="J921" t="s">
        <v>23</v>
      </c>
      <c r="K921" s="7">
        <v>3513</v>
      </c>
      <c r="L921" s="9">
        <v>1</v>
      </c>
      <c r="M921" t="s">
        <v>59</v>
      </c>
      <c r="N921" t="s">
        <v>60</v>
      </c>
      <c r="O921" s="27" t="str">
        <f>HYPERLINK("https://www.ncbi.nlm.nih.gov/nuccore/NC_016582.1?report=graph&amp;from=9848239&amp;to=9848243", "TTA_codon")</f>
        <v>TTA_codon</v>
      </c>
    </row>
    <row r="922" spans="1:15" x14ac:dyDescent="0.15">
      <c r="A922" t="s">
        <v>21</v>
      </c>
      <c r="B922">
        <v>1001491</v>
      </c>
      <c r="C922">
        <v>348189</v>
      </c>
      <c r="F922" s="7">
        <v>1</v>
      </c>
      <c r="G922" s="7">
        <v>1519</v>
      </c>
      <c r="H922" s="8">
        <v>397</v>
      </c>
      <c r="J922" t="s">
        <v>23</v>
      </c>
      <c r="K922" s="7">
        <v>2751</v>
      </c>
      <c r="L922" s="9">
        <v>1</v>
      </c>
      <c r="M922" t="s">
        <v>59</v>
      </c>
      <c r="N922" t="s">
        <v>60</v>
      </c>
      <c r="O922" s="27" t="str">
        <f>HYPERLINK("https://www.ncbi.nlm.nih.gov/nuccore/NC_016582.1?report=graph&amp;from=6850971&amp;to=6850975", "TTA_codon")</f>
        <v>TTA_codon</v>
      </c>
    </row>
    <row r="923" spans="1:15" x14ac:dyDescent="0.15">
      <c r="A923" t="s">
        <v>21</v>
      </c>
      <c r="B923">
        <v>1001491</v>
      </c>
      <c r="C923">
        <v>348818</v>
      </c>
      <c r="F923" s="7">
        <v>2</v>
      </c>
      <c r="G923" s="7" t="s">
        <v>907</v>
      </c>
      <c r="H923" s="8" t="s">
        <v>908</v>
      </c>
      <c r="J923" t="s">
        <v>23</v>
      </c>
      <c r="K923" s="7">
        <v>3054</v>
      </c>
      <c r="L923" s="9">
        <v>1</v>
      </c>
      <c r="M923" t="s">
        <v>211</v>
      </c>
      <c r="N923" t="s">
        <v>212</v>
      </c>
      <c r="O923" s="27" t="str">
        <f>HYPERLINK("https://www.ncbi.nlm.nih.gov/nuccore/NZ_GG657754.1?report=graph&amp;from=10857110&amp;to=10857219", "TTA_codon")</f>
        <v>TTA_codon</v>
      </c>
    </row>
    <row r="924" spans="1:15" x14ac:dyDescent="0.15">
      <c r="A924" t="s">
        <v>21</v>
      </c>
      <c r="B924">
        <v>1001491</v>
      </c>
      <c r="C924">
        <v>348824</v>
      </c>
      <c r="F924" s="7">
        <v>2</v>
      </c>
      <c r="G924" s="7" t="s">
        <v>909</v>
      </c>
      <c r="H924" s="8" t="s">
        <v>910</v>
      </c>
      <c r="J924" t="s">
        <v>23</v>
      </c>
      <c r="K924" s="7">
        <v>768</v>
      </c>
      <c r="L924" s="9">
        <v>1</v>
      </c>
      <c r="M924" t="s">
        <v>211</v>
      </c>
      <c r="N924" t="s">
        <v>212</v>
      </c>
      <c r="O924" s="27" t="str">
        <f>HYPERLINK("https://www.ncbi.nlm.nih.gov/nuccore/NZ_GG657754.1?report=graph&amp;from=2981801&amp;to=2981811", "TTA_codon")</f>
        <v>TTA_codon</v>
      </c>
    </row>
    <row r="925" spans="1:15" x14ac:dyDescent="0.15">
      <c r="A925" t="s">
        <v>21</v>
      </c>
      <c r="B925">
        <v>1001491</v>
      </c>
      <c r="C925">
        <v>349980</v>
      </c>
      <c r="F925" s="7">
        <v>2</v>
      </c>
      <c r="G925" s="7" t="s">
        <v>911</v>
      </c>
      <c r="H925" s="8" t="s">
        <v>912</v>
      </c>
      <c r="J925" t="s">
        <v>23</v>
      </c>
      <c r="K925" s="7">
        <v>2958</v>
      </c>
      <c r="L925" s="9">
        <v>1</v>
      </c>
      <c r="M925" t="s">
        <v>913</v>
      </c>
      <c r="N925" t="s">
        <v>249</v>
      </c>
      <c r="O925" s="27" t="str">
        <f>HYPERLINK("https://www.ncbi.nlm.nih.gov/nuccore/NZ_AHBF01000019.1?report=graph&amp;from=68382&amp;to=69124", "TTA_codon")</f>
        <v>TTA_codon</v>
      </c>
    </row>
    <row r="926" spans="1:15" x14ac:dyDescent="0.15">
      <c r="A926" t="s">
        <v>21</v>
      </c>
      <c r="B926">
        <v>1001491</v>
      </c>
      <c r="C926">
        <v>349985</v>
      </c>
      <c r="F926" s="7">
        <v>1</v>
      </c>
      <c r="G926" s="7">
        <v>1396</v>
      </c>
      <c r="H926" s="8">
        <v>403</v>
      </c>
      <c r="J926" t="s">
        <v>23</v>
      </c>
      <c r="K926" s="7">
        <v>828</v>
      </c>
      <c r="L926" s="9">
        <v>1</v>
      </c>
      <c r="M926" t="s">
        <v>914</v>
      </c>
      <c r="N926" t="s">
        <v>249</v>
      </c>
      <c r="O926" s="27" t="str">
        <f>HYPERLINK("https://www.ncbi.nlm.nih.gov/nuccore/NZ_AHBF01000039.1?report=graph&amp;from=95023&amp;to=95027", "TTA_codon")</f>
        <v>TTA_codon</v>
      </c>
    </row>
    <row r="927" spans="1:15" x14ac:dyDescent="0.15">
      <c r="A927" t="s">
        <v>21</v>
      </c>
      <c r="B927">
        <v>1001491</v>
      </c>
      <c r="C927">
        <v>350033</v>
      </c>
      <c r="F927" s="7">
        <v>2</v>
      </c>
      <c r="G927" s="7" t="s">
        <v>915</v>
      </c>
      <c r="H927" s="8" t="s">
        <v>916</v>
      </c>
      <c r="J927" t="s">
        <v>23</v>
      </c>
      <c r="K927" s="7">
        <v>2313</v>
      </c>
      <c r="L927" s="9">
        <v>1</v>
      </c>
      <c r="M927" t="s">
        <v>917</v>
      </c>
      <c r="N927" t="s">
        <v>249</v>
      </c>
      <c r="O927" s="27" t="str">
        <f>HYPERLINK("https://www.ncbi.nlm.nih.gov/nuccore/NZ_AHBF01000033.1?report=graph&amp;from=236221&amp;to=236954", "TTA_codon")</f>
        <v>TTA_codon</v>
      </c>
    </row>
    <row r="928" spans="1:15" x14ac:dyDescent="0.15">
      <c r="A928" t="s">
        <v>21</v>
      </c>
      <c r="B928">
        <v>1001491</v>
      </c>
      <c r="C928">
        <v>350034</v>
      </c>
      <c r="F928" s="7">
        <v>4</v>
      </c>
      <c r="G928" s="7" t="s">
        <v>918</v>
      </c>
      <c r="H928" s="8" t="s">
        <v>919</v>
      </c>
      <c r="J928" t="s">
        <v>23</v>
      </c>
      <c r="K928" s="7">
        <v>3549</v>
      </c>
      <c r="L928" s="9">
        <v>1</v>
      </c>
      <c r="M928" t="s">
        <v>920</v>
      </c>
      <c r="N928" t="s">
        <v>249</v>
      </c>
      <c r="O928" s="27" t="str">
        <f>HYPERLINK("https://www.ncbi.nlm.nih.gov/nuccore/NZ_AHBF01000010.1?report=graph&amp;from=2349&amp;to=2455", "TTA_codon")</f>
        <v>TTA_codon</v>
      </c>
    </row>
    <row r="929" spans="1:15" x14ac:dyDescent="0.15">
      <c r="A929" t="s">
        <v>21</v>
      </c>
      <c r="B929">
        <v>1001491</v>
      </c>
      <c r="C929">
        <v>350697</v>
      </c>
      <c r="F929" s="7">
        <v>1</v>
      </c>
      <c r="G929" s="7">
        <v>1957</v>
      </c>
      <c r="H929" s="8">
        <v>703</v>
      </c>
      <c r="J929" t="s">
        <v>23</v>
      </c>
      <c r="K929" s="7">
        <v>3342</v>
      </c>
      <c r="L929" s="9">
        <v>1</v>
      </c>
      <c r="M929" t="s">
        <v>921</v>
      </c>
      <c r="N929" t="s">
        <v>51</v>
      </c>
      <c r="O929" s="27" t="str">
        <f>HYPERLINK("https://www.ncbi.nlm.nih.gov/nuccore/NZ_AEJB01000173.1?report=graph&amp;from=10636&amp;to=10640", "TTA_codon")</f>
        <v>TTA_codon</v>
      </c>
    </row>
    <row r="930" spans="1:15" x14ac:dyDescent="0.15">
      <c r="A930" t="s">
        <v>21</v>
      </c>
      <c r="B930">
        <v>1001491</v>
      </c>
      <c r="C930">
        <v>350753</v>
      </c>
      <c r="F930" s="7">
        <v>2</v>
      </c>
      <c r="G930" s="7" t="s">
        <v>922</v>
      </c>
      <c r="H930" s="8" t="s">
        <v>923</v>
      </c>
      <c r="J930" t="s">
        <v>23</v>
      </c>
      <c r="K930" s="7">
        <v>1974</v>
      </c>
      <c r="L930" s="9">
        <v>1</v>
      </c>
      <c r="M930" t="s">
        <v>924</v>
      </c>
      <c r="N930" t="s">
        <v>51</v>
      </c>
      <c r="O930" s="27" t="str">
        <f>HYPERLINK("https://www.ncbi.nlm.nih.gov/nuccore/NZ_AEJB01000182.1?report=graph&amp;from=12689&amp;to=12891", "TTA_codon")</f>
        <v>TTA_codon</v>
      </c>
    </row>
    <row r="931" spans="1:15" x14ac:dyDescent="0.15">
      <c r="A931" t="s">
        <v>21</v>
      </c>
      <c r="B931">
        <v>1001491</v>
      </c>
      <c r="C931">
        <v>350761</v>
      </c>
      <c r="F931" s="7">
        <v>1</v>
      </c>
      <c r="G931" s="7">
        <v>2662</v>
      </c>
      <c r="H931" s="8">
        <v>904</v>
      </c>
      <c r="J931" t="s">
        <v>23</v>
      </c>
      <c r="K931" s="7">
        <v>2991</v>
      </c>
      <c r="L931" s="9">
        <v>1</v>
      </c>
      <c r="M931" t="s">
        <v>925</v>
      </c>
      <c r="N931" t="s">
        <v>51</v>
      </c>
      <c r="O931" s="27" t="str">
        <f>HYPERLINK("https://www.ncbi.nlm.nih.gov/nuccore/NZ_AEJB01000523.1?report=graph&amp;from=7527&amp;to=7531", "TTA_codon")</f>
        <v>TTA_codon</v>
      </c>
    </row>
    <row r="932" spans="1:15" x14ac:dyDescent="0.15">
      <c r="A932" t="s">
        <v>21</v>
      </c>
      <c r="B932">
        <v>1001491</v>
      </c>
      <c r="C932">
        <v>350794</v>
      </c>
      <c r="F932" s="7">
        <v>2</v>
      </c>
      <c r="G932" s="7" t="s">
        <v>926</v>
      </c>
      <c r="H932" s="8" t="s">
        <v>927</v>
      </c>
      <c r="J932" t="s">
        <v>23</v>
      </c>
      <c r="K932" s="7">
        <v>2166</v>
      </c>
      <c r="L932" s="9">
        <v>1</v>
      </c>
      <c r="M932" t="s">
        <v>928</v>
      </c>
      <c r="N932" t="s">
        <v>51</v>
      </c>
      <c r="O932" s="27" t="str">
        <f>HYPERLINK("https://www.ncbi.nlm.nih.gov/nuccore/NZ_AEJB01000196.1?report=graph&amp;from=14511&amp;to=14650", "TTA_codon")</f>
        <v>TTA_codon</v>
      </c>
    </row>
    <row r="933" spans="1:15" x14ac:dyDescent="0.15">
      <c r="A933" t="s">
        <v>21</v>
      </c>
      <c r="B933">
        <v>1001491</v>
      </c>
      <c r="C933">
        <v>351037</v>
      </c>
      <c r="F933" s="7">
        <v>2</v>
      </c>
      <c r="G933" s="7" t="s">
        <v>929</v>
      </c>
      <c r="H933" s="8" t="s">
        <v>930</v>
      </c>
      <c r="J933" t="s">
        <v>23</v>
      </c>
      <c r="K933" s="7">
        <v>1932</v>
      </c>
      <c r="L933" s="9">
        <v>1</v>
      </c>
      <c r="M933" t="s">
        <v>931</v>
      </c>
      <c r="N933" t="s">
        <v>136</v>
      </c>
      <c r="O933" s="27" t="str">
        <f>HYPERLINK("https://www.ncbi.nlm.nih.gov/nuccore/NZ_AORZ01000012.1?report=graph&amp;from=53062&amp;to=53459", "TTA_codon")</f>
        <v>TTA_codon</v>
      </c>
    </row>
    <row r="934" spans="1:15" x14ac:dyDescent="0.15">
      <c r="A934" t="s">
        <v>21</v>
      </c>
      <c r="B934">
        <v>1001491</v>
      </c>
      <c r="C934">
        <v>351544</v>
      </c>
      <c r="F934" s="7">
        <v>4</v>
      </c>
      <c r="G934" s="7" t="s">
        <v>932</v>
      </c>
      <c r="H934" s="8" t="s">
        <v>933</v>
      </c>
      <c r="J934" t="s">
        <v>23</v>
      </c>
      <c r="K934" s="7">
        <v>3354</v>
      </c>
      <c r="L934" s="9">
        <v>1</v>
      </c>
      <c r="M934" t="s">
        <v>934</v>
      </c>
      <c r="N934" t="s">
        <v>138</v>
      </c>
      <c r="O934" s="27" t="str">
        <f>HYPERLINK("https://www.ncbi.nlm.nih.gov/nuccore/NZ_KB889697.1?report=graph&amp;from=73704&amp;to=74215", "TTA_codon")</f>
        <v>TTA_codon</v>
      </c>
    </row>
    <row r="935" spans="1:15" x14ac:dyDescent="0.15">
      <c r="A935" t="s">
        <v>21</v>
      </c>
      <c r="B935">
        <v>1001491</v>
      </c>
      <c r="C935">
        <v>351855</v>
      </c>
      <c r="F935" s="7">
        <v>2</v>
      </c>
      <c r="G935" s="7" t="s">
        <v>935</v>
      </c>
      <c r="H935" s="8" t="s">
        <v>936</v>
      </c>
      <c r="J935" t="s">
        <v>23</v>
      </c>
      <c r="K935" s="7">
        <v>2829</v>
      </c>
      <c r="L935" s="9">
        <v>1</v>
      </c>
      <c r="M935" t="s">
        <v>937</v>
      </c>
      <c r="N935" t="s">
        <v>68</v>
      </c>
      <c r="O935" s="27" t="str">
        <f>HYPERLINK("https://www.ncbi.nlm.nih.gov/nuccore/NZ_BARG01000052.1?report=graph&amp;from=32072&amp;to=32547", "TTA_codon")</f>
        <v>TTA_codon</v>
      </c>
    </row>
    <row r="936" spans="1:15" x14ac:dyDescent="0.15">
      <c r="A936" t="s">
        <v>21</v>
      </c>
      <c r="B936">
        <v>1001491</v>
      </c>
      <c r="C936">
        <v>352303</v>
      </c>
      <c r="F936" s="7">
        <v>1</v>
      </c>
      <c r="G936" s="7">
        <v>2866</v>
      </c>
      <c r="H936" s="8">
        <v>1015</v>
      </c>
      <c r="J936" t="s">
        <v>23</v>
      </c>
      <c r="K936" s="7">
        <v>3024</v>
      </c>
      <c r="L936" s="9">
        <v>1</v>
      </c>
      <c r="M936" t="s">
        <v>71</v>
      </c>
      <c r="N936" t="s">
        <v>72</v>
      </c>
      <c r="O936" s="27" t="str">
        <f>HYPERLINK("https://www.ncbi.nlm.nih.gov/nuccore/NZ_KB905816.1?report=graph&amp;from=201982&amp;to=201986", "TTA_codon")</f>
        <v>TTA_codon</v>
      </c>
    </row>
    <row r="937" spans="1:15" x14ac:dyDescent="0.15">
      <c r="A937" t="s">
        <v>21</v>
      </c>
      <c r="B937">
        <v>1001491</v>
      </c>
      <c r="C937">
        <v>352765</v>
      </c>
      <c r="F937" s="7">
        <v>1</v>
      </c>
      <c r="G937" s="7">
        <v>1102</v>
      </c>
      <c r="H937" s="8">
        <v>220</v>
      </c>
      <c r="J937" t="s">
        <v>23</v>
      </c>
      <c r="K937" s="7">
        <v>2889</v>
      </c>
      <c r="L937" s="9">
        <v>1</v>
      </c>
      <c r="M937" t="s">
        <v>472</v>
      </c>
      <c r="N937" t="s">
        <v>473</v>
      </c>
      <c r="O937" s="27" t="str">
        <f>HYPERLINK("https://www.ncbi.nlm.nih.gov/nuccore/NZ_ASHX02000001.1?report=graph&amp;from=202709&amp;to=202713", "TTA_codon")</f>
        <v>TTA_codon</v>
      </c>
    </row>
    <row r="938" spans="1:15" x14ac:dyDescent="0.15">
      <c r="A938" t="s">
        <v>21</v>
      </c>
      <c r="B938">
        <v>1001491</v>
      </c>
      <c r="C938">
        <v>352766</v>
      </c>
      <c r="F938" s="7">
        <v>1</v>
      </c>
      <c r="G938" s="7">
        <v>970</v>
      </c>
      <c r="H938" s="8">
        <v>385</v>
      </c>
      <c r="J938" t="s">
        <v>23</v>
      </c>
      <c r="K938" s="7">
        <v>2202</v>
      </c>
      <c r="L938" s="9">
        <v>1</v>
      </c>
      <c r="M938" t="s">
        <v>472</v>
      </c>
      <c r="N938" t="s">
        <v>473</v>
      </c>
      <c r="O938" s="27" t="str">
        <f>HYPERLINK("https://www.ncbi.nlm.nih.gov/nuccore/NZ_ASHX02000001.1?report=graph&amp;from=3725277&amp;to=3725281", "TTA_codon")</f>
        <v>TTA_codon</v>
      </c>
    </row>
    <row r="939" spans="1:15" x14ac:dyDescent="0.15">
      <c r="A939" t="s">
        <v>21</v>
      </c>
      <c r="B939">
        <v>1001491</v>
      </c>
      <c r="C939">
        <v>352894</v>
      </c>
      <c r="F939" s="7">
        <v>1</v>
      </c>
      <c r="G939" s="7">
        <v>877</v>
      </c>
      <c r="H939" s="8">
        <v>52</v>
      </c>
      <c r="J939" t="s">
        <v>23</v>
      </c>
      <c r="K939" s="7">
        <v>2448</v>
      </c>
      <c r="L939" s="9">
        <v>1</v>
      </c>
      <c r="M939" t="s">
        <v>851</v>
      </c>
      <c r="N939" t="s">
        <v>306</v>
      </c>
      <c r="O939" s="27" t="str">
        <f>HYPERLINK("https://www.ncbi.nlm.nih.gov/nuccore/NZ_KL571064.1?report=graph&amp;from=36948&amp;to=36952", "TTA_codon")</f>
        <v>TTA_codon</v>
      </c>
    </row>
    <row r="940" spans="1:15" x14ac:dyDescent="0.15">
      <c r="A940" t="s">
        <v>21</v>
      </c>
      <c r="B940">
        <v>1001491</v>
      </c>
      <c r="C940">
        <v>352940</v>
      </c>
      <c r="F940" s="7">
        <v>4</v>
      </c>
      <c r="G940" s="7" t="s">
        <v>938</v>
      </c>
      <c r="H940" s="8" t="s">
        <v>939</v>
      </c>
      <c r="J940" t="s">
        <v>23</v>
      </c>
      <c r="K940" s="7">
        <v>3195</v>
      </c>
      <c r="L940" s="9">
        <v>1</v>
      </c>
      <c r="M940" t="s">
        <v>940</v>
      </c>
      <c r="N940" t="s">
        <v>306</v>
      </c>
      <c r="O940" s="27" t="str">
        <f>HYPERLINK("https://www.ncbi.nlm.nih.gov/nuccore/NZ_KL571081.1?report=graph&amp;from=39722&amp;to=42210", "TTA_codon")</f>
        <v>TTA_codon</v>
      </c>
    </row>
    <row r="941" spans="1:15" x14ac:dyDescent="0.15">
      <c r="A941" t="s">
        <v>21</v>
      </c>
      <c r="B941">
        <v>1001491</v>
      </c>
      <c r="C941">
        <v>353580</v>
      </c>
      <c r="F941" s="7">
        <v>1</v>
      </c>
      <c r="G941" s="7">
        <v>1567</v>
      </c>
      <c r="H941" s="8">
        <v>514</v>
      </c>
      <c r="J941" t="s">
        <v>23</v>
      </c>
      <c r="K941" s="7">
        <v>3018</v>
      </c>
      <c r="L941" s="9">
        <v>1</v>
      </c>
      <c r="M941" t="s">
        <v>941</v>
      </c>
      <c r="N941" t="s">
        <v>140</v>
      </c>
      <c r="O941" s="27" t="str">
        <f>HYPERLINK("https://www.ncbi.nlm.nih.gov/nuccore/NZ_JNXG01000009.1?report=graph&amp;from=268767&amp;to=268771", "TTA_codon")</f>
        <v>TTA_codon</v>
      </c>
    </row>
    <row r="942" spans="1:15" x14ac:dyDescent="0.15">
      <c r="A942" t="s">
        <v>21</v>
      </c>
      <c r="B942">
        <v>1001491</v>
      </c>
      <c r="C942">
        <v>354013</v>
      </c>
      <c r="F942" s="7">
        <v>1</v>
      </c>
      <c r="G942" s="7">
        <v>1567</v>
      </c>
      <c r="H942" s="8">
        <v>547</v>
      </c>
      <c r="J942" t="s">
        <v>23</v>
      </c>
      <c r="K942" s="7">
        <v>780</v>
      </c>
      <c r="L942" s="9">
        <v>1</v>
      </c>
      <c r="M942" t="s">
        <v>942</v>
      </c>
      <c r="N942" t="s">
        <v>270</v>
      </c>
      <c r="O942" s="27" t="str">
        <f>HYPERLINK("https://www.ncbi.nlm.nih.gov/nuccore/NZ_JOBH01000012.1?report=graph&amp;from=114300&amp;to=114304", "TTA_codon")</f>
        <v>TTA_codon</v>
      </c>
    </row>
    <row r="943" spans="1:15" x14ac:dyDescent="0.15">
      <c r="A943" t="s">
        <v>21</v>
      </c>
      <c r="B943">
        <v>1001491</v>
      </c>
      <c r="C943">
        <v>354183</v>
      </c>
      <c r="F943" s="7">
        <v>1</v>
      </c>
      <c r="G943" s="7">
        <v>1549</v>
      </c>
      <c r="H943" s="8">
        <v>529</v>
      </c>
      <c r="J943" t="s">
        <v>23</v>
      </c>
      <c r="K943" s="7">
        <v>852</v>
      </c>
      <c r="L943" s="9">
        <v>1</v>
      </c>
      <c r="M943" t="s">
        <v>943</v>
      </c>
      <c r="N943" t="s">
        <v>361</v>
      </c>
      <c r="O943" s="27" t="str">
        <f>HYPERLINK("https://www.ncbi.nlm.nih.gov/nuccore/NZ_JODY01000014.1?report=graph&amp;from=80953&amp;to=80957", "TTA_codon")</f>
        <v>TTA_codon</v>
      </c>
    </row>
    <row r="944" spans="1:15" x14ac:dyDescent="0.15">
      <c r="A944" t="s">
        <v>21</v>
      </c>
      <c r="B944">
        <v>1001491</v>
      </c>
      <c r="C944">
        <v>354193</v>
      </c>
      <c r="F944" s="7">
        <v>1</v>
      </c>
      <c r="G944" s="7">
        <v>2932</v>
      </c>
      <c r="H944" s="8">
        <v>382</v>
      </c>
      <c r="J944" t="s">
        <v>23</v>
      </c>
      <c r="K944" s="7">
        <v>2373</v>
      </c>
      <c r="L944" s="9">
        <v>1</v>
      </c>
      <c r="M944" t="s">
        <v>944</v>
      </c>
      <c r="N944" t="s">
        <v>361</v>
      </c>
      <c r="O944" s="27" t="str">
        <f>HYPERLINK("https://www.ncbi.nlm.nih.gov/nuccore/NZ_JODY01000024.1?report=graph&amp;from=43815&amp;to=43819", "TTA_codon")</f>
        <v>TTA_codon</v>
      </c>
    </row>
    <row r="945" spans="1:15" x14ac:dyDescent="0.15">
      <c r="A945" t="s">
        <v>21</v>
      </c>
      <c r="B945">
        <v>1001491</v>
      </c>
      <c r="C945">
        <v>354357</v>
      </c>
      <c r="F945" s="7">
        <v>1</v>
      </c>
      <c r="G945" s="7">
        <v>3766</v>
      </c>
      <c r="H945" s="8">
        <v>880</v>
      </c>
      <c r="J945" t="s">
        <v>23</v>
      </c>
      <c r="K945" s="7">
        <v>2067</v>
      </c>
      <c r="L945" s="9">
        <v>1</v>
      </c>
      <c r="M945" t="s">
        <v>945</v>
      </c>
      <c r="N945" t="s">
        <v>142</v>
      </c>
      <c r="O945" s="27" t="str">
        <f>HYPERLINK("https://www.ncbi.nlm.nih.gov/nuccore/NZ_JOEI01000016.1?report=graph&amp;from=183496&amp;to=183500", "TTA_codon")</f>
        <v>TTA_codon</v>
      </c>
    </row>
    <row r="946" spans="1:15" x14ac:dyDescent="0.15">
      <c r="A946" t="s">
        <v>21</v>
      </c>
      <c r="B946">
        <v>1001491</v>
      </c>
      <c r="C946">
        <v>354619</v>
      </c>
      <c r="F946" s="7">
        <v>2</v>
      </c>
      <c r="G946" s="7" t="s">
        <v>946</v>
      </c>
      <c r="H946" s="8" t="s">
        <v>947</v>
      </c>
      <c r="J946" t="s">
        <v>23</v>
      </c>
      <c r="K946" s="7">
        <v>2754</v>
      </c>
      <c r="L946" s="9">
        <v>1</v>
      </c>
      <c r="M946" t="s">
        <v>948</v>
      </c>
      <c r="N946" t="s">
        <v>272</v>
      </c>
      <c r="O946" s="27" t="str">
        <f>HYPERLINK("https://www.ncbi.nlm.nih.gov/nuccore/NZ_JOEY01000007.1?report=graph&amp;from=54360&amp;to=55663", "TTA_codon")</f>
        <v>TTA_codon</v>
      </c>
    </row>
    <row r="947" spans="1:15" x14ac:dyDescent="0.15">
      <c r="A947" t="s">
        <v>21</v>
      </c>
      <c r="B947">
        <v>1001491</v>
      </c>
      <c r="C947">
        <v>354620</v>
      </c>
      <c r="F947" s="7">
        <v>1</v>
      </c>
      <c r="G947" s="7">
        <v>6301</v>
      </c>
      <c r="H947" s="8">
        <v>2320</v>
      </c>
      <c r="J947" t="s">
        <v>23</v>
      </c>
      <c r="K947" s="7">
        <v>2673</v>
      </c>
      <c r="L947" s="9">
        <v>1</v>
      </c>
      <c r="M947" t="s">
        <v>949</v>
      </c>
      <c r="N947" t="s">
        <v>272</v>
      </c>
      <c r="O947" s="27" t="str">
        <f>HYPERLINK("https://www.ncbi.nlm.nih.gov/nuccore/NZ_JOEY01000066.1?report=graph&amp;from=3242&amp;to=3246", "TTA_codon")</f>
        <v>TTA_codon</v>
      </c>
    </row>
    <row r="948" spans="1:15" x14ac:dyDescent="0.15">
      <c r="A948" t="s">
        <v>21</v>
      </c>
      <c r="B948">
        <v>1001491</v>
      </c>
      <c r="C948">
        <v>354851</v>
      </c>
      <c r="F948" s="7">
        <v>1</v>
      </c>
      <c r="G948" s="7">
        <v>2665</v>
      </c>
      <c r="H948" s="8">
        <v>781</v>
      </c>
      <c r="J948" t="s">
        <v>23</v>
      </c>
      <c r="K948" s="7">
        <v>2913</v>
      </c>
      <c r="L948" s="9">
        <v>1</v>
      </c>
      <c r="M948" t="s">
        <v>950</v>
      </c>
      <c r="N948" t="s">
        <v>25</v>
      </c>
      <c r="O948" s="27" t="str">
        <f>HYPERLINK("https://www.ncbi.nlm.nih.gov/nuccore/NZ_JOFU01000049.1?report=graph&amp;from=8749&amp;to=8753", "TTA_codon")</f>
        <v>TTA_codon</v>
      </c>
    </row>
    <row r="949" spans="1:15" x14ac:dyDescent="0.15">
      <c r="A949" t="s">
        <v>21</v>
      </c>
      <c r="B949">
        <v>1001491</v>
      </c>
      <c r="C949">
        <v>354874</v>
      </c>
      <c r="F949" s="7">
        <v>3</v>
      </c>
      <c r="G949" s="7" t="s">
        <v>951</v>
      </c>
      <c r="H949" s="8" t="s">
        <v>952</v>
      </c>
      <c r="J949" t="s">
        <v>23</v>
      </c>
      <c r="K949" s="7">
        <v>3024</v>
      </c>
      <c r="L949" s="9">
        <v>1</v>
      </c>
      <c r="M949" t="s">
        <v>362</v>
      </c>
      <c r="N949" t="s">
        <v>25</v>
      </c>
      <c r="O949" s="27" t="str">
        <f>HYPERLINK("https://www.ncbi.nlm.nih.gov/nuccore/NZ_JOFU01000001.1?report=graph&amp;from=19345&amp;to=21023", "TTA_codon")</f>
        <v>TTA_codon</v>
      </c>
    </row>
    <row r="950" spans="1:15" x14ac:dyDescent="0.15">
      <c r="A950" t="s">
        <v>21</v>
      </c>
      <c r="B950">
        <v>1001491</v>
      </c>
      <c r="C950">
        <v>355892</v>
      </c>
      <c r="F950" s="7">
        <v>1</v>
      </c>
      <c r="G950" s="7">
        <v>3796</v>
      </c>
      <c r="H950" s="8">
        <v>1633</v>
      </c>
      <c r="J950" t="s">
        <v>23</v>
      </c>
      <c r="K950" s="7">
        <v>3108</v>
      </c>
      <c r="L950" s="9">
        <v>1</v>
      </c>
      <c r="M950" t="s">
        <v>383</v>
      </c>
      <c r="N950" t="s">
        <v>384</v>
      </c>
      <c r="O950" s="27" t="str">
        <f>HYPERLINK("https://www.ncbi.nlm.nih.gov/nuccore/NZ_JOAK01000001.1?report=graph&amp;from=544203&amp;to=544207", "TTA_codon")</f>
        <v>TTA_codon</v>
      </c>
    </row>
    <row r="951" spans="1:15" x14ac:dyDescent="0.15">
      <c r="A951" t="s">
        <v>21</v>
      </c>
      <c r="B951">
        <v>1001491</v>
      </c>
      <c r="C951">
        <v>355894</v>
      </c>
      <c r="F951" s="7">
        <v>1</v>
      </c>
      <c r="G951" s="7">
        <v>4063</v>
      </c>
      <c r="H951" s="8">
        <v>1621</v>
      </c>
      <c r="J951" t="s">
        <v>23</v>
      </c>
      <c r="K951" s="7">
        <v>2835</v>
      </c>
      <c r="L951" s="9">
        <v>1</v>
      </c>
      <c r="M951" t="s">
        <v>953</v>
      </c>
      <c r="N951" t="s">
        <v>384</v>
      </c>
      <c r="O951" s="27" t="str">
        <f>HYPERLINK("https://www.ncbi.nlm.nih.gov/nuccore/NZ_JOAK01000012.1?report=graph&amp;from=367300&amp;to=367304", "TTA_codon")</f>
        <v>TTA_codon</v>
      </c>
    </row>
    <row r="952" spans="1:15" x14ac:dyDescent="0.15">
      <c r="A952" t="s">
        <v>21</v>
      </c>
      <c r="B952">
        <v>1001491</v>
      </c>
      <c r="C952">
        <v>356034</v>
      </c>
      <c r="F952" s="7">
        <v>1</v>
      </c>
      <c r="G952" s="7">
        <v>985</v>
      </c>
      <c r="H952" s="8">
        <v>97</v>
      </c>
      <c r="J952" t="s">
        <v>23</v>
      </c>
      <c r="K952" s="7">
        <v>2061</v>
      </c>
      <c r="L952" s="9">
        <v>1</v>
      </c>
      <c r="M952" t="s">
        <v>954</v>
      </c>
      <c r="N952" t="s">
        <v>146</v>
      </c>
      <c r="O952" s="27" t="str">
        <f>HYPERLINK("https://www.ncbi.nlm.nih.gov/nuccore/NZ_JOFH01000015.1?report=graph&amp;from=249859&amp;to=249863", "TTA_codon")</f>
        <v>TTA_codon</v>
      </c>
    </row>
    <row r="953" spans="1:15" x14ac:dyDescent="0.15">
      <c r="A953" t="s">
        <v>21</v>
      </c>
      <c r="B953">
        <v>1001491</v>
      </c>
      <c r="C953">
        <v>356224</v>
      </c>
      <c r="F953" s="7">
        <v>1</v>
      </c>
      <c r="G953" s="7">
        <v>988</v>
      </c>
      <c r="H953" s="8">
        <v>88</v>
      </c>
      <c r="J953" t="s">
        <v>23</v>
      </c>
      <c r="K953" s="7">
        <v>2940</v>
      </c>
      <c r="L953" s="9">
        <v>1</v>
      </c>
      <c r="M953" t="s">
        <v>767</v>
      </c>
      <c r="N953" t="s">
        <v>77</v>
      </c>
      <c r="O953" s="27" t="str">
        <f>HYPERLINK("https://www.ncbi.nlm.nih.gov/nuccore/NZ_JNXD01000004.1?report=graph&amp;from=237161&amp;to=237165", "TTA_codon")</f>
        <v>TTA_codon</v>
      </c>
    </row>
    <row r="954" spans="1:15" x14ac:dyDescent="0.15">
      <c r="A954" t="s">
        <v>21</v>
      </c>
      <c r="B954">
        <v>1001491</v>
      </c>
      <c r="C954">
        <v>356372</v>
      </c>
      <c r="F954" s="7">
        <v>1</v>
      </c>
      <c r="G954" s="7">
        <v>4792</v>
      </c>
      <c r="H954" s="8">
        <v>2173</v>
      </c>
      <c r="J954" t="s">
        <v>23</v>
      </c>
      <c r="K954" s="7">
        <v>3009</v>
      </c>
      <c r="L954" s="9">
        <v>1</v>
      </c>
      <c r="M954" t="s">
        <v>504</v>
      </c>
      <c r="N954" t="s">
        <v>354</v>
      </c>
      <c r="O954" s="27" t="str">
        <f>HYPERLINK("https://www.ncbi.nlm.nih.gov/nuccore/NZ_JQJU01000001.1?report=graph&amp;from=450139&amp;to=450143", "TTA_codon")</f>
        <v>TTA_codon</v>
      </c>
    </row>
    <row r="955" spans="1:15" x14ac:dyDescent="0.15">
      <c r="A955" t="s">
        <v>21</v>
      </c>
      <c r="B955">
        <v>1001491</v>
      </c>
      <c r="C955">
        <v>356664</v>
      </c>
      <c r="F955" s="7">
        <v>2</v>
      </c>
      <c r="G955" s="7" t="s">
        <v>955</v>
      </c>
      <c r="H955" s="8" t="s">
        <v>956</v>
      </c>
      <c r="J955" t="s">
        <v>23</v>
      </c>
      <c r="K955" s="7">
        <v>2112</v>
      </c>
      <c r="L955" s="9">
        <v>1</v>
      </c>
      <c r="M955" t="s">
        <v>147</v>
      </c>
      <c r="N955" t="s">
        <v>148</v>
      </c>
      <c r="O955" s="27" t="str">
        <f>HYPERLINK("https://www.ncbi.nlm.nih.gov/nuccore/NZ_CP021080.1?report=graph&amp;from=4692076&amp;to=4693688", "TTA_codon")</f>
        <v>TTA_codon</v>
      </c>
    </row>
    <row r="956" spans="1:15" x14ac:dyDescent="0.15">
      <c r="A956" t="s">
        <v>21</v>
      </c>
      <c r="B956">
        <v>1001491</v>
      </c>
      <c r="C956">
        <v>357365</v>
      </c>
      <c r="F956" s="7">
        <v>1</v>
      </c>
      <c r="G956" s="7">
        <v>1945</v>
      </c>
      <c r="H956" s="8">
        <v>715</v>
      </c>
      <c r="J956" t="s">
        <v>23</v>
      </c>
      <c r="K956" s="7">
        <v>3213</v>
      </c>
      <c r="L956" s="9">
        <v>1</v>
      </c>
      <c r="M956" t="s">
        <v>80</v>
      </c>
      <c r="N956" t="s">
        <v>81</v>
      </c>
      <c r="O956" s="27" t="str">
        <f>HYPERLINK("https://www.ncbi.nlm.nih.gov/nuccore/NZ_LN831790.1?report=graph&amp;from=261187&amp;to=261191", "TTA_codon")</f>
        <v>TTA_codon</v>
      </c>
    </row>
    <row r="957" spans="1:15" x14ac:dyDescent="0.15">
      <c r="A957" t="s">
        <v>21</v>
      </c>
      <c r="B957">
        <v>1001491</v>
      </c>
      <c r="C957">
        <v>357556</v>
      </c>
      <c r="F957" s="7">
        <v>1</v>
      </c>
      <c r="G957" s="7">
        <v>1417</v>
      </c>
      <c r="H957" s="8">
        <v>784</v>
      </c>
      <c r="J957" t="s">
        <v>23</v>
      </c>
      <c r="K957" s="7">
        <v>3270</v>
      </c>
      <c r="L957" s="9">
        <v>1</v>
      </c>
      <c r="M957" t="s">
        <v>957</v>
      </c>
      <c r="N957" t="s">
        <v>378</v>
      </c>
      <c r="O957" s="27" t="str">
        <f>HYPERLINK("https://www.ncbi.nlm.nih.gov/nuccore/NZ_LFXA01000017.1?report=graph&amp;from=798149&amp;to=798153", "TTA_codon")</f>
        <v>TTA_codon</v>
      </c>
    </row>
    <row r="958" spans="1:15" x14ac:dyDescent="0.15">
      <c r="A958" t="s">
        <v>21</v>
      </c>
      <c r="B958">
        <v>1001491</v>
      </c>
      <c r="C958">
        <v>358417</v>
      </c>
      <c r="F958" s="7">
        <v>3</v>
      </c>
      <c r="G958" s="7" t="s">
        <v>958</v>
      </c>
      <c r="H958" s="8" t="s">
        <v>959</v>
      </c>
      <c r="J958" t="s">
        <v>23</v>
      </c>
      <c r="K958" s="7">
        <v>3672</v>
      </c>
      <c r="L958" s="9">
        <v>1</v>
      </c>
      <c r="M958" t="s">
        <v>960</v>
      </c>
      <c r="N958" t="s">
        <v>85</v>
      </c>
      <c r="O958" s="27" t="str">
        <f>HYPERLINK("https://www.ncbi.nlm.nih.gov/nuccore/NZ_LIQX01000509.1?report=graph&amp;from=4859&amp;to=4893", "TTA_codon")</f>
        <v>TTA_codon</v>
      </c>
    </row>
    <row r="959" spans="1:15" x14ac:dyDescent="0.15">
      <c r="A959" t="s">
        <v>21</v>
      </c>
      <c r="B959">
        <v>1001491</v>
      </c>
      <c r="C959">
        <v>358861</v>
      </c>
      <c r="F959" s="7">
        <v>1</v>
      </c>
      <c r="G959" s="7">
        <v>3313</v>
      </c>
      <c r="H959" s="8">
        <v>1327</v>
      </c>
      <c r="J959" t="s">
        <v>23</v>
      </c>
      <c r="K959" s="7">
        <v>2799</v>
      </c>
      <c r="L959" s="9">
        <v>1</v>
      </c>
      <c r="M959" t="s">
        <v>961</v>
      </c>
      <c r="N959" t="s">
        <v>87</v>
      </c>
      <c r="O959" s="27" t="str">
        <f>HYPERLINK("https://www.ncbi.nlm.nih.gov/nuccore/NZ_LIQS01000307.1?report=graph&amp;from=2866&amp;to=2870", "TTA_codon")</f>
        <v>TTA_codon</v>
      </c>
    </row>
    <row r="960" spans="1:15" x14ac:dyDescent="0.15">
      <c r="A960" t="s">
        <v>21</v>
      </c>
      <c r="B960">
        <v>1001491</v>
      </c>
      <c r="C960">
        <v>359678</v>
      </c>
      <c r="F960" s="7">
        <v>1</v>
      </c>
      <c r="G960" s="7">
        <v>3685</v>
      </c>
      <c r="H960" s="8">
        <v>838</v>
      </c>
      <c r="J960" t="s">
        <v>23</v>
      </c>
      <c r="K960" s="7">
        <v>2040</v>
      </c>
      <c r="L960" s="9">
        <v>1</v>
      </c>
      <c r="M960" t="s">
        <v>962</v>
      </c>
      <c r="N960" t="s">
        <v>651</v>
      </c>
      <c r="O960" s="27" t="str">
        <f>HYPERLINK("https://www.ncbi.nlm.nih.gov/nuccore/NZ_LN929893.1?report=graph&amp;from=340623&amp;to=340627", "TTA_codon")</f>
        <v>TTA_codon</v>
      </c>
    </row>
    <row r="961" spans="1:15" x14ac:dyDescent="0.15">
      <c r="A961" t="s">
        <v>21</v>
      </c>
      <c r="B961">
        <v>1001491</v>
      </c>
      <c r="C961">
        <v>360125</v>
      </c>
      <c r="F961" s="7">
        <v>1</v>
      </c>
      <c r="G961" s="7">
        <v>1183</v>
      </c>
      <c r="H961" s="8">
        <v>301</v>
      </c>
      <c r="J961" t="s">
        <v>23</v>
      </c>
      <c r="K961" s="7">
        <v>2910</v>
      </c>
      <c r="L961" s="9">
        <v>1</v>
      </c>
      <c r="M961" t="s">
        <v>963</v>
      </c>
      <c r="N961" t="s">
        <v>125</v>
      </c>
      <c r="O961" s="27" t="str">
        <f>HYPERLINK("https://www.ncbi.nlm.nih.gov/nuccore/NZ_KQ948471.1?report=graph&amp;from=120047&amp;to=120051", "TTA_codon")</f>
        <v>TTA_codon</v>
      </c>
    </row>
    <row r="962" spans="1:15" x14ac:dyDescent="0.15">
      <c r="A962" t="s">
        <v>21</v>
      </c>
      <c r="B962">
        <v>1001491</v>
      </c>
      <c r="C962">
        <v>360126</v>
      </c>
      <c r="F962" s="7">
        <v>1</v>
      </c>
      <c r="G962" s="7">
        <v>3316</v>
      </c>
      <c r="H962" s="8">
        <v>691</v>
      </c>
      <c r="J962" t="s">
        <v>23</v>
      </c>
      <c r="K962" s="7">
        <v>2403</v>
      </c>
      <c r="L962" s="9">
        <v>1</v>
      </c>
      <c r="M962" t="s">
        <v>963</v>
      </c>
      <c r="N962" t="s">
        <v>125</v>
      </c>
      <c r="O962" s="27" t="str">
        <f>HYPERLINK("https://www.ncbi.nlm.nih.gov/nuccore/NZ_KQ948471.1?report=graph&amp;from=135693&amp;to=135697", "TTA_codon")</f>
        <v>TTA_codon</v>
      </c>
    </row>
    <row r="963" spans="1:15" x14ac:dyDescent="0.15">
      <c r="A963" t="s">
        <v>21</v>
      </c>
      <c r="B963">
        <v>1001491</v>
      </c>
      <c r="C963">
        <v>360396</v>
      </c>
      <c r="F963" s="7">
        <v>3</v>
      </c>
      <c r="G963" s="7" t="s">
        <v>964</v>
      </c>
      <c r="H963" s="8" t="s">
        <v>965</v>
      </c>
      <c r="J963" t="s">
        <v>23</v>
      </c>
      <c r="K963" s="7">
        <v>2922</v>
      </c>
      <c r="L963" s="9">
        <v>1</v>
      </c>
      <c r="M963" t="s">
        <v>121</v>
      </c>
      <c r="N963" t="s">
        <v>122</v>
      </c>
      <c r="O963" s="27" t="str">
        <f>HYPERLINK("https://www.ncbi.nlm.nih.gov/nuccore/NZ_CP016279.1?report=graph&amp;from=5761337&amp;to=5762892", "TTA_codon")</f>
        <v>TTA_codon</v>
      </c>
    </row>
    <row r="964" spans="1:15" x14ac:dyDescent="0.15">
      <c r="A964" t="s">
        <v>21</v>
      </c>
      <c r="B964">
        <v>1001491</v>
      </c>
      <c r="C964">
        <v>360401</v>
      </c>
      <c r="F964" s="7">
        <v>1</v>
      </c>
      <c r="G964" s="7">
        <v>985</v>
      </c>
      <c r="H964" s="8">
        <v>106</v>
      </c>
      <c r="J964" t="s">
        <v>23</v>
      </c>
      <c r="K964" s="7">
        <v>3012</v>
      </c>
      <c r="L964" s="9">
        <v>1</v>
      </c>
      <c r="M964" t="s">
        <v>121</v>
      </c>
      <c r="N964" t="s">
        <v>122</v>
      </c>
      <c r="O964" s="27" t="str">
        <f>HYPERLINK("https://www.ncbi.nlm.nih.gov/nuccore/NZ_CP016279.1?report=graph&amp;from=754446&amp;to=754450", "TTA_codon")</f>
        <v>TTA_codon</v>
      </c>
    </row>
    <row r="965" spans="1:15" x14ac:dyDescent="0.15">
      <c r="A965" t="s">
        <v>21</v>
      </c>
      <c r="B965">
        <v>1001491</v>
      </c>
      <c r="C965">
        <v>360691</v>
      </c>
      <c r="F965" s="7">
        <v>1</v>
      </c>
      <c r="G965" s="7">
        <v>2611</v>
      </c>
      <c r="H965" s="8">
        <v>286</v>
      </c>
      <c r="J965" t="s">
        <v>23</v>
      </c>
      <c r="K965" s="7">
        <v>2706</v>
      </c>
      <c r="L965" s="9">
        <v>1</v>
      </c>
      <c r="M965" t="s">
        <v>94</v>
      </c>
      <c r="N965" t="s">
        <v>95</v>
      </c>
      <c r="O965" s="27" t="str">
        <f>HYPERLINK("https://www.ncbi.nlm.nih.gov/nuccore/NZ_JYIJ01000019.1?report=graph&amp;from=1180573&amp;to=1180577", "TTA_codon")</f>
        <v>TTA_codon</v>
      </c>
    </row>
    <row r="966" spans="1:15" x14ac:dyDescent="0.15">
      <c r="A966" t="s">
        <v>21</v>
      </c>
      <c r="B966">
        <v>1001491</v>
      </c>
      <c r="C966">
        <v>360924</v>
      </c>
      <c r="F966" s="7">
        <v>2</v>
      </c>
      <c r="G966" s="7" t="s">
        <v>966</v>
      </c>
      <c r="H966" s="8" t="s">
        <v>967</v>
      </c>
      <c r="J966" t="s">
        <v>23</v>
      </c>
      <c r="K966" s="7">
        <v>3429</v>
      </c>
      <c r="L966" s="9">
        <v>1</v>
      </c>
      <c r="M966" t="s">
        <v>968</v>
      </c>
      <c r="N966" t="s">
        <v>97</v>
      </c>
      <c r="O966" s="27" t="str">
        <f>HYPERLINK("https://www.ncbi.nlm.nih.gov/nuccore/NZ_LOHS01000031.1?report=graph&amp;from=52273&amp;to=54365", "TTA_codon")</f>
        <v>TTA_codon</v>
      </c>
    </row>
    <row r="967" spans="1:15" x14ac:dyDescent="0.15">
      <c r="A967" t="s">
        <v>21</v>
      </c>
      <c r="B967">
        <v>1001491</v>
      </c>
      <c r="C967">
        <v>361141</v>
      </c>
      <c r="F967" s="7">
        <v>1</v>
      </c>
      <c r="G967" s="7">
        <v>1102</v>
      </c>
      <c r="H967" s="8">
        <v>367</v>
      </c>
      <c r="J967" t="s">
        <v>23</v>
      </c>
      <c r="K967" s="7">
        <v>2013</v>
      </c>
      <c r="L967" s="9">
        <v>1</v>
      </c>
      <c r="M967" t="s">
        <v>98</v>
      </c>
      <c r="N967" t="s">
        <v>99</v>
      </c>
      <c r="O967" s="27" t="str">
        <f>HYPERLINK("https://www.ncbi.nlm.nih.gov/nuccore/NZ_CP016438.1?report=graph&amp;from=9937479&amp;to=9937483", "TTA_codon")</f>
        <v>TTA_codon</v>
      </c>
    </row>
    <row r="968" spans="1:15" x14ac:dyDescent="0.15">
      <c r="A968" t="s">
        <v>21</v>
      </c>
      <c r="B968">
        <v>1001491</v>
      </c>
      <c r="C968">
        <v>361142</v>
      </c>
      <c r="F968" s="7">
        <v>2</v>
      </c>
      <c r="G968" s="7" t="s">
        <v>969</v>
      </c>
      <c r="H968" s="8" t="s">
        <v>970</v>
      </c>
      <c r="J968" t="s">
        <v>23</v>
      </c>
      <c r="K968" s="7">
        <v>2943</v>
      </c>
      <c r="L968" s="9">
        <v>1</v>
      </c>
      <c r="M968" t="s">
        <v>98</v>
      </c>
      <c r="N968" t="s">
        <v>99</v>
      </c>
      <c r="O968" s="27" t="str">
        <f>HYPERLINK("https://www.ncbi.nlm.nih.gov/nuccore/NZ_CP016438.1?report=graph&amp;from=4382396&amp;to=4383489", "TTA_codon")</f>
        <v>TTA_codon</v>
      </c>
    </row>
    <row r="969" spans="1:15" x14ac:dyDescent="0.15">
      <c r="A969" t="s">
        <v>21</v>
      </c>
      <c r="B969">
        <v>1001491</v>
      </c>
      <c r="C969">
        <v>361183</v>
      </c>
      <c r="F969" s="7">
        <v>2</v>
      </c>
      <c r="G969" s="7" t="s">
        <v>971</v>
      </c>
      <c r="H969" s="8" t="s">
        <v>972</v>
      </c>
      <c r="J969" t="s">
        <v>23</v>
      </c>
      <c r="K969" s="7">
        <v>3054</v>
      </c>
      <c r="L969" s="9">
        <v>1</v>
      </c>
      <c r="M969" t="s">
        <v>98</v>
      </c>
      <c r="N969" t="s">
        <v>99</v>
      </c>
      <c r="O969" s="27" t="str">
        <f>HYPERLINK("https://www.ncbi.nlm.nih.gov/nuccore/NZ_CP016438.1?report=graph&amp;from=5337090&amp;to=5338534", "TTA_codon")</f>
        <v>TTA_codon</v>
      </c>
    </row>
    <row r="970" spans="1:15" x14ac:dyDescent="0.15">
      <c r="A970" t="s">
        <v>21</v>
      </c>
      <c r="B970">
        <v>1001491</v>
      </c>
      <c r="C970">
        <v>361373</v>
      </c>
      <c r="F970" s="7">
        <v>1</v>
      </c>
      <c r="G970" s="7">
        <v>3013</v>
      </c>
      <c r="H970" s="8">
        <v>601</v>
      </c>
      <c r="J970" t="s">
        <v>23</v>
      </c>
      <c r="K970" s="7">
        <v>2283</v>
      </c>
      <c r="L970" s="9">
        <v>1</v>
      </c>
      <c r="M970" t="s">
        <v>286</v>
      </c>
      <c r="N970" t="s">
        <v>201</v>
      </c>
      <c r="O970" s="27" t="str">
        <f>HYPERLINK("https://www.ncbi.nlm.nih.gov/nuccore/NZ_CP016560.1?report=graph&amp;from=281401&amp;to=281405", "TTA_codon")</f>
        <v>TTA_codon</v>
      </c>
    </row>
    <row r="971" spans="1:15" x14ac:dyDescent="0.15">
      <c r="A971" t="s">
        <v>21</v>
      </c>
      <c r="B971">
        <v>1001491</v>
      </c>
      <c r="C971">
        <v>361404</v>
      </c>
      <c r="F971" s="7">
        <v>1</v>
      </c>
      <c r="G971" s="7">
        <v>5197</v>
      </c>
      <c r="H971" s="8">
        <v>1828</v>
      </c>
      <c r="J971" t="s">
        <v>23</v>
      </c>
      <c r="K971" s="7">
        <v>2265</v>
      </c>
      <c r="L971" s="9">
        <v>1</v>
      </c>
      <c r="M971" t="s">
        <v>200</v>
      </c>
      <c r="N971" t="s">
        <v>201</v>
      </c>
      <c r="O971" s="27" t="str">
        <f>HYPERLINK("https://www.ncbi.nlm.nih.gov/nuccore/NZ_CP016559.1?report=graph&amp;from=6318855&amp;to=6318859", "TTA_codon")</f>
        <v>TTA_codon</v>
      </c>
    </row>
    <row r="972" spans="1:15" x14ac:dyDescent="0.15">
      <c r="A972" t="s">
        <v>21</v>
      </c>
      <c r="B972">
        <v>1001491</v>
      </c>
      <c r="C972">
        <v>361664</v>
      </c>
      <c r="F972" s="7">
        <v>1</v>
      </c>
      <c r="G972" s="7">
        <v>2932</v>
      </c>
      <c r="H972" s="8">
        <v>388</v>
      </c>
      <c r="J972" t="s">
        <v>23</v>
      </c>
      <c r="K972" s="7">
        <v>2136</v>
      </c>
      <c r="L972" s="9">
        <v>1</v>
      </c>
      <c r="M972" t="s">
        <v>37</v>
      </c>
      <c r="N972" t="s">
        <v>38</v>
      </c>
      <c r="O972" s="27" t="str">
        <f>HYPERLINK("https://www.ncbi.nlm.nih.gov/nuccore/NZ_CP011533.1?report=graph&amp;from=7350321&amp;to=7350325", "TTA_codon")</f>
        <v>TTA_codon</v>
      </c>
    </row>
    <row r="973" spans="1:15" x14ac:dyDescent="0.15">
      <c r="A973" t="s">
        <v>21</v>
      </c>
      <c r="B973">
        <v>1001491</v>
      </c>
      <c r="C973">
        <v>361980</v>
      </c>
      <c r="F973" s="7">
        <v>1</v>
      </c>
      <c r="G973" s="7">
        <v>2929</v>
      </c>
      <c r="H973" s="8">
        <v>586</v>
      </c>
      <c r="J973" t="s">
        <v>23</v>
      </c>
      <c r="K973" s="7">
        <v>3060</v>
      </c>
      <c r="L973" s="9">
        <v>1</v>
      </c>
      <c r="M973" t="s">
        <v>973</v>
      </c>
      <c r="N973" t="s">
        <v>187</v>
      </c>
      <c r="O973" s="27" t="str">
        <f>HYPERLINK("https://www.ncbi.nlm.nih.gov/nuccore/NZ_MAXF01000199.1?report=graph&amp;from=16763&amp;to=16767", "TTA_codon")</f>
        <v>TTA_codon</v>
      </c>
    </row>
    <row r="974" spans="1:15" x14ac:dyDescent="0.15">
      <c r="A974" t="s">
        <v>21</v>
      </c>
      <c r="B974">
        <v>1001491</v>
      </c>
      <c r="C974">
        <v>361999</v>
      </c>
      <c r="F974" s="7">
        <v>1</v>
      </c>
      <c r="G974" s="7">
        <v>2611</v>
      </c>
      <c r="H974" s="8">
        <v>826</v>
      </c>
      <c r="J974" t="s">
        <v>23</v>
      </c>
      <c r="K974" s="7">
        <v>2847</v>
      </c>
      <c r="L974" s="9">
        <v>1</v>
      </c>
      <c r="M974" t="s">
        <v>974</v>
      </c>
      <c r="N974" t="s">
        <v>187</v>
      </c>
      <c r="O974" s="27" t="str">
        <f>HYPERLINK("https://www.ncbi.nlm.nih.gov/nuccore/NZ_MAXF01000185.1?report=graph&amp;from=53147&amp;to=53151", "TTA_codon")</f>
        <v>TTA_codon</v>
      </c>
    </row>
    <row r="975" spans="1:15" x14ac:dyDescent="0.15">
      <c r="A975" t="s">
        <v>21</v>
      </c>
      <c r="B975">
        <v>1001491</v>
      </c>
      <c r="C975">
        <v>362000</v>
      </c>
      <c r="F975" s="7">
        <v>7</v>
      </c>
      <c r="G975" s="7" t="s">
        <v>975</v>
      </c>
      <c r="H975" s="8" t="s">
        <v>976</v>
      </c>
      <c r="J975" t="s">
        <v>23</v>
      </c>
      <c r="K975" s="7">
        <v>2220</v>
      </c>
      <c r="L975" s="9">
        <v>1</v>
      </c>
      <c r="M975" t="s">
        <v>977</v>
      </c>
      <c r="N975" t="s">
        <v>187</v>
      </c>
      <c r="O975" s="27" t="str">
        <f>HYPERLINK("https://www.ncbi.nlm.nih.gov/nuccore/NZ_MAXF01000070.1?report=graph&amp;from=3115&amp;to=5093", "TTA_codon")</f>
        <v>TTA_codon</v>
      </c>
    </row>
    <row r="976" spans="1:15" x14ac:dyDescent="0.15">
      <c r="A976" t="s">
        <v>21</v>
      </c>
      <c r="B976">
        <v>1001491</v>
      </c>
      <c r="C976">
        <v>362261</v>
      </c>
      <c r="F976" s="7">
        <v>1</v>
      </c>
      <c r="G976" s="7">
        <v>1567</v>
      </c>
      <c r="H976" s="8">
        <v>511</v>
      </c>
      <c r="J976" t="s">
        <v>23</v>
      </c>
      <c r="K976" s="7">
        <v>2832</v>
      </c>
      <c r="L976" s="9">
        <v>1</v>
      </c>
      <c r="M976" t="s">
        <v>39</v>
      </c>
      <c r="N976" t="s">
        <v>40</v>
      </c>
      <c r="O976" s="27" t="str">
        <f>HYPERLINK("https://www.ncbi.nlm.nih.gov/nuccore/NZ_CP017157.1?report=graph&amp;from=3701097&amp;to=3701101", "TTA_codon")</f>
        <v>TTA_codon</v>
      </c>
    </row>
    <row r="977" spans="1:15" x14ac:dyDescent="0.15">
      <c r="A977" t="s">
        <v>21</v>
      </c>
      <c r="B977">
        <v>1001491</v>
      </c>
      <c r="C977">
        <v>362464</v>
      </c>
      <c r="F977" s="7">
        <v>2</v>
      </c>
      <c r="G977" s="7" t="s">
        <v>978</v>
      </c>
      <c r="H977" s="8" t="s">
        <v>979</v>
      </c>
      <c r="J977" t="s">
        <v>23</v>
      </c>
      <c r="K977" s="7">
        <v>2901</v>
      </c>
      <c r="L977" s="9">
        <v>1</v>
      </c>
      <c r="M977" t="s">
        <v>32</v>
      </c>
      <c r="N977" t="s">
        <v>33</v>
      </c>
      <c r="O977" s="27" t="str">
        <f>HYPERLINK("https://www.ncbi.nlm.nih.gov/nuccore/NZ_CP017248.1?report=graph&amp;from=8241439&amp;to=8241755", "TTA_codon")</f>
        <v>TTA_codon</v>
      </c>
    </row>
    <row r="978" spans="1:15" x14ac:dyDescent="0.15">
      <c r="A978" t="s">
        <v>21</v>
      </c>
      <c r="B978">
        <v>1001491</v>
      </c>
      <c r="C978">
        <v>362465</v>
      </c>
      <c r="F978" s="7">
        <v>2</v>
      </c>
      <c r="G978" s="7" t="s">
        <v>980</v>
      </c>
      <c r="H978" s="8" t="s">
        <v>981</v>
      </c>
      <c r="J978" t="s">
        <v>23</v>
      </c>
      <c r="K978" s="7">
        <v>2922</v>
      </c>
      <c r="L978" s="9">
        <v>1</v>
      </c>
      <c r="M978" t="s">
        <v>32</v>
      </c>
      <c r="N978" t="s">
        <v>33</v>
      </c>
      <c r="O978" s="27" t="str">
        <f>HYPERLINK("https://www.ncbi.nlm.nih.gov/nuccore/NZ_CP017248.1?report=graph&amp;from=274492&amp;to=275366", "TTA_codon")</f>
        <v>TTA_codon</v>
      </c>
    </row>
    <row r="979" spans="1:15" x14ac:dyDescent="0.15">
      <c r="A979" t="s">
        <v>21</v>
      </c>
      <c r="B979">
        <v>1001491</v>
      </c>
      <c r="C979">
        <v>362691</v>
      </c>
      <c r="F979" s="7">
        <v>2</v>
      </c>
      <c r="G979" s="7" t="s">
        <v>982</v>
      </c>
      <c r="H979" s="8" t="s">
        <v>983</v>
      </c>
      <c r="J979" t="s">
        <v>23</v>
      </c>
      <c r="K979" s="7">
        <v>3048</v>
      </c>
      <c r="L979" s="9">
        <v>1</v>
      </c>
      <c r="M979" t="s">
        <v>984</v>
      </c>
      <c r="N979" t="s">
        <v>985</v>
      </c>
      <c r="O979" s="27" t="str">
        <f>HYPERLINK("https://www.ncbi.nlm.nih.gov/nuccore/NZ_LJGU01000137.1?report=graph&amp;from=77384&amp;to=77730", "TTA_codon")</f>
        <v>TTA_codon</v>
      </c>
    </row>
    <row r="980" spans="1:15" x14ac:dyDescent="0.15">
      <c r="A980" t="s">
        <v>21</v>
      </c>
      <c r="B980">
        <v>1001491</v>
      </c>
      <c r="C980">
        <v>362693</v>
      </c>
      <c r="F980" s="7">
        <v>1</v>
      </c>
      <c r="G980" s="7">
        <v>2929</v>
      </c>
      <c r="H980" s="8">
        <v>1036</v>
      </c>
      <c r="J980" t="s">
        <v>23</v>
      </c>
      <c r="K980" s="7">
        <v>2874</v>
      </c>
      <c r="L980" s="9">
        <v>1</v>
      </c>
      <c r="M980" t="s">
        <v>986</v>
      </c>
      <c r="N980" t="s">
        <v>985</v>
      </c>
      <c r="O980" s="27" t="str">
        <f>HYPERLINK("https://www.ncbi.nlm.nih.gov/nuccore/NZ_LJGU01000115.1?report=graph&amp;from=74093&amp;to=74097", "TTA_codon")</f>
        <v>TTA_codon</v>
      </c>
    </row>
    <row r="981" spans="1:15" x14ac:dyDescent="0.15">
      <c r="A981" t="s">
        <v>21</v>
      </c>
      <c r="B981">
        <v>1001491</v>
      </c>
      <c r="C981">
        <v>362831</v>
      </c>
      <c r="F981" s="7">
        <v>1</v>
      </c>
      <c r="G981" s="7">
        <v>1231</v>
      </c>
      <c r="H981" s="8">
        <v>277</v>
      </c>
      <c r="J981" t="s">
        <v>23</v>
      </c>
      <c r="K981" s="7">
        <v>1857</v>
      </c>
      <c r="L981" s="9">
        <v>1</v>
      </c>
      <c r="M981" t="s">
        <v>987</v>
      </c>
      <c r="N981" t="s">
        <v>156</v>
      </c>
      <c r="O981" s="27" t="str">
        <f>HYPERLINK("https://www.ncbi.nlm.nih.gov/nuccore/NZ_LJGW01000044.1?report=graph&amp;from=14022&amp;to=14026", "TTA_codon")</f>
        <v>TTA_codon</v>
      </c>
    </row>
    <row r="982" spans="1:15" x14ac:dyDescent="0.15">
      <c r="A982" t="s">
        <v>21</v>
      </c>
      <c r="B982">
        <v>1001491</v>
      </c>
      <c r="C982">
        <v>363106</v>
      </c>
      <c r="F982" s="7">
        <v>1</v>
      </c>
      <c r="G982" s="7">
        <v>1549</v>
      </c>
      <c r="H982" s="8">
        <v>577</v>
      </c>
      <c r="J982" t="s">
        <v>23</v>
      </c>
      <c r="K982" s="7">
        <v>822</v>
      </c>
      <c r="L982" s="9">
        <v>1</v>
      </c>
      <c r="M982" t="s">
        <v>988</v>
      </c>
      <c r="N982" t="s">
        <v>401</v>
      </c>
      <c r="O982" s="27" t="str">
        <f>HYPERLINK("https://www.ncbi.nlm.nih.gov/nuccore/NZ_LFBV01000010.1?report=graph&amp;from=11809&amp;to=11813", "TTA_codon")</f>
        <v>TTA_codon</v>
      </c>
    </row>
    <row r="983" spans="1:15" x14ac:dyDescent="0.15">
      <c r="A983" t="s">
        <v>21</v>
      </c>
      <c r="B983">
        <v>1001491</v>
      </c>
      <c r="C983">
        <v>363107</v>
      </c>
      <c r="F983" s="7">
        <v>1</v>
      </c>
      <c r="G983" s="7">
        <v>1630</v>
      </c>
      <c r="H983" s="8">
        <v>568</v>
      </c>
      <c r="J983" t="s">
        <v>23</v>
      </c>
      <c r="K983" s="7">
        <v>1854</v>
      </c>
      <c r="L983" s="9">
        <v>1</v>
      </c>
      <c r="M983" t="s">
        <v>635</v>
      </c>
      <c r="N983" t="s">
        <v>401</v>
      </c>
      <c r="O983" s="27" t="str">
        <f>HYPERLINK("https://www.ncbi.nlm.nih.gov/nuccore/NZ_LFBV01000002.1?report=graph&amp;from=17736&amp;to=17740", "TTA_codon")</f>
        <v>TTA_codon</v>
      </c>
    </row>
    <row r="984" spans="1:15" x14ac:dyDescent="0.15">
      <c r="A984" t="s">
        <v>21</v>
      </c>
      <c r="B984">
        <v>1001491</v>
      </c>
      <c r="C984">
        <v>363108</v>
      </c>
      <c r="F984" s="7">
        <v>1</v>
      </c>
      <c r="G984" s="7">
        <v>2677</v>
      </c>
      <c r="H984" s="8">
        <v>889</v>
      </c>
      <c r="J984" t="s">
        <v>23</v>
      </c>
      <c r="K984" s="7">
        <v>2859</v>
      </c>
      <c r="L984" s="9">
        <v>1</v>
      </c>
      <c r="M984" t="s">
        <v>989</v>
      </c>
      <c r="N984" t="s">
        <v>401</v>
      </c>
      <c r="O984" s="27" t="str">
        <f>HYPERLINK("https://www.ncbi.nlm.nih.gov/nuccore/NZ_LFBV01000003.1?report=graph&amp;from=218229&amp;to=218233", "TTA_codon")</f>
        <v>TTA_codon</v>
      </c>
    </row>
    <row r="985" spans="1:15" x14ac:dyDescent="0.15">
      <c r="A985" t="s">
        <v>21</v>
      </c>
      <c r="B985">
        <v>1001491</v>
      </c>
      <c r="C985">
        <v>363630</v>
      </c>
      <c r="F985" s="7">
        <v>2</v>
      </c>
      <c r="G985" s="7" t="s">
        <v>990</v>
      </c>
      <c r="H985" s="8" t="s">
        <v>991</v>
      </c>
      <c r="J985" t="s">
        <v>23</v>
      </c>
      <c r="K985" s="7">
        <v>2136</v>
      </c>
      <c r="L985" s="9">
        <v>1</v>
      </c>
      <c r="M985" t="s">
        <v>101</v>
      </c>
      <c r="N985" t="s">
        <v>102</v>
      </c>
      <c r="O985" s="27" t="str">
        <f>HYPERLINK("https://www.ncbi.nlm.nih.gov/nuccore/NZ_CP019458.1?report=graph&amp;from=3784925&amp;to=3785721", "TTA_codon")</f>
        <v>TTA_codon</v>
      </c>
    </row>
    <row r="986" spans="1:15" x14ac:dyDescent="0.15">
      <c r="A986" t="s">
        <v>21</v>
      </c>
      <c r="B986">
        <v>1001491</v>
      </c>
      <c r="C986">
        <v>363685</v>
      </c>
      <c r="F986" s="7">
        <v>1</v>
      </c>
      <c r="G986" s="7">
        <v>5215</v>
      </c>
      <c r="H986" s="8">
        <v>1702</v>
      </c>
      <c r="J986" t="s">
        <v>23</v>
      </c>
      <c r="K986" s="7">
        <v>2109</v>
      </c>
      <c r="L986" s="9">
        <v>1</v>
      </c>
      <c r="M986" t="s">
        <v>101</v>
      </c>
      <c r="N986" t="s">
        <v>102</v>
      </c>
      <c r="O986" s="27" t="str">
        <f>HYPERLINK("https://www.ncbi.nlm.nih.gov/nuccore/NZ_CP019458.1?report=graph&amp;from=5918637&amp;to=5918641", "TTA_codon")</f>
        <v>TTA_codon</v>
      </c>
    </row>
    <row r="987" spans="1:15" x14ac:dyDescent="0.15">
      <c r="A987" t="s">
        <v>21</v>
      </c>
      <c r="B987">
        <v>1001491</v>
      </c>
      <c r="C987">
        <v>363690</v>
      </c>
      <c r="F987" s="7">
        <v>1</v>
      </c>
      <c r="G987" s="7">
        <v>1417</v>
      </c>
      <c r="H987" s="8">
        <v>424</v>
      </c>
      <c r="J987" t="s">
        <v>23</v>
      </c>
      <c r="K987" s="7">
        <v>3069</v>
      </c>
      <c r="L987" s="9">
        <v>1</v>
      </c>
      <c r="M987" t="s">
        <v>101</v>
      </c>
      <c r="N987" t="s">
        <v>102</v>
      </c>
      <c r="O987" s="27" t="str">
        <f>HYPERLINK("https://www.ncbi.nlm.nih.gov/nuccore/NZ_CP019458.1?report=graph&amp;from=7434457&amp;to=7434461", "TTA_codon")</f>
        <v>TTA_codon</v>
      </c>
    </row>
    <row r="988" spans="1:15" x14ac:dyDescent="0.15">
      <c r="A988" t="s">
        <v>21</v>
      </c>
      <c r="B988">
        <v>1001491</v>
      </c>
      <c r="C988">
        <v>364133</v>
      </c>
      <c r="F988" s="7">
        <v>1</v>
      </c>
      <c r="G988" s="7">
        <v>1567</v>
      </c>
      <c r="H988" s="8">
        <v>499</v>
      </c>
      <c r="J988" t="s">
        <v>23</v>
      </c>
      <c r="K988" s="7">
        <v>3075</v>
      </c>
      <c r="L988" s="9">
        <v>1</v>
      </c>
      <c r="M988" t="s">
        <v>254</v>
      </c>
      <c r="N988" t="s">
        <v>255</v>
      </c>
      <c r="O988" s="27" t="str">
        <f>HYPERLINK("https://www.ncbi.nlm.nih.gov/nuccore/NZ_CP018047.1?report=graph&amp;from=745789&amp;to=745793", "TTA_codon")</f>
        <v>TTA_codon</v>
      </c>
    </row>
    <row r="989" spans="1:15" x14ac:dyDescent="0.15">
      <c r="A989" t="s">
        <v>21</v>
      </c>
      <c r="B989">
        <v>1001491</v>
      </c>
      <c r="C989">
        <v>364134</v>
      </c>
      <c r="F989" s="7">
        <v>1</v>
      </c>
      <c r="G989" s="7">
        <v>1603</v>
      </c>
      <c r="H989" s="8">
        <v>583</v>
      </c>
      <c r="J989" t="s">
        <v>23</v>
      </c>
      <c r="K989" s="7">
        <v>2871</v>
      </c>
      <c r="L989" s="9">
        <v>1</v>
      </c>
      <c r="M989" t="s">
        <v>254</v>
      </c>
      <c r="N989" t="s">
        <v>255</v>
      </c>
      <c r="O989" s="27" t="str">
        <f>HYPERLINK("https://www.ncbi.nlm.nih.gov/nuccore/NZ_CP018047.1?report=graph&amp;from=252987&amp;to=252991", "TTA_codon")</f>
        <v>TTA_codon</v>
      </c>
    </row>
    <row r="990" spans="1:15" x14ac:dyDescent="0.15">
      <c r="A990" t="s">
        <v>21</v>
      </c>
      <c r="B990">
        <v>1001491</v>
      </c>
      <c r="C990">
        <v>364555</v>
      </c>
      <c r="F990" s="7">
        <v>1</v>
      </c>
      <c r="G990" s="7">
        <v>982</v>
      </c>
      <c r="H990" s="8">
        <v>175</v>
      </c>
      <c r="J990" t="s">
        <v>23</v>
      </c>
      <c r="K990" s="7">
        <v>1887</v>
      </c>
      <c r="L990" s="9">
        <v>1</v>
      </c>
      <c r="M990" t="s">
        <v>992</v>
      </c>
      <c r="N990" t="s">
        <v>108</v>
      </c>
      <c r="O990" s="27" t="str">
        <f>HYPERLINK("https://www.ncbi.nlm.nih.gov/nuccore/NZ_MUMD01000020.1?report=graph&amp;from=33841&amp;to=33845", "TTA_codon")</f>
        <v>TTA_codon</v>
      </c>
    </row>
    <row r="991" spans="1:15" x14ac:dyDescent="0.15">
      <c r="A991" t="s">
        <v>21</v>
      </c>
      <c r="B991">
        <v>1001491</v>
      </c>
      <c r="C991">
        <v>364691</v>
      </c>
      <c r="F991" s="7">
        <v>1</v>
      </c>
      <c r="G991" s="7">
        <v>1039</v>
      </c>
      <c r="H991" s="8">
        <v>109</v>
      </c>
      <c r="J991" t="s">
        <v>23</v>
      </c>
      <c r="K991" s="7">
        <v>1935</v>
      </c>
      <c r="L991" s="9">
        <v>1</v>
      </c>
      <c r="M991" t="s">
        <v>993</v>
      </c>
      <c r="N991" t="s">
        <v>110</v>
      </c>
      <c r="O991" s="27" t="str">
        <f>HYPERLINK("https://www.ncbi.nlm.nih.gov/nuccore/NZ_MUME01000444.1?report=graph&amp;from=2679&amp;to=2683", "TTA_codon")</f>
        <v>TTA_codon</v>
      </c>
    </row>
    <row r="992" spans="1:15" x14ac:dyDescent="0.15">
      <c r="A992" t="s">
        <v>21</v>
      </c>
      <c r="B992">
        <v>1001491</v>
      </c>
      <c r="C992">
        <v>364831</v>
      </c>
      <c r="F992" s="7">
        <v>1</v>
      </c>
      <c r="G992" s="7">
        <v>877</v>
      </c>
      <c r="H992" s="8">
        <v>37</v>
      </c>
      <c r="J992" t="s">
        <v>23</v>
      </c>
      <c r="K992" s="7">
        <v>3750</v>
      </c>
      <c r="L992" s="9">
        <v>1</v>
      </c>
      <c r="M992" t="s">
        <v>126</v>
      </c>
      <c r="N992" t="s">
        <v>127</v>
      </c>
      <c r="O992" s="27" t="str">
        <f>HYPERLINK("https://www.ncbi.nlm.nih.gov/nuccore/NZ_CP021748.1?report=graph&amp;from=3038673&amp;to=3038677", "TTA_codon")</f>
        <v>TTA_codon</v>
      </c>
    </row>
    <row r="993" spans="1:15" x14ac:dyDescent="0.15">
      <c r="A993" t="s">
        <v>21</v>
      </c>
      <c r="B993">
        <v>1001491</v>
      </c>
      <c r="C993">
        <v>364848</v>
      </c>
      <c r="F993" s="7">
        <v>1</v>
      </c>
      <c r="G993" s="7">
        <v>3685</v>
      </c>
      <c r="H993" s="8">
        <v>952</v>
      </c>
      <c r="J993" t="s">
        <v>23</v>
      </c>
      <c r="K993" s="7">
        <v>2859</v>
      </c>
      <c r="L993" s="9">
        <v>1</v>
      </c>
      <c r="M993" t="s">
        <v>126</v>
      </c>
      <c r="N993" t="s">
        <v>127</v>
      </c>
      <c r="O993" s="27" t="str">
        <f>HYPERLINK("https://www.ncbi.nlm.nih.gov/nuccore/NZ_CP021748.1?report=graph&amp;from=3007794&amp;to=3007798", "TTA_codon")</f>
        <v>TTA_codon</v>
      </c>
    </row>
    <row r="994" spans="1:15" x14ac:dyDescent="0.15">
      <c r="A994" t="s">
        <v>21</v>
      </c>
      <c r="B994">
        <v>1001491</v>
      </c>
      <c r="C994">
        <v>365017</v>
      </c>
      <c r="F994" s="7">
        <v>1</v>
      </c>
      <c r="G994" s="7">
        <v>1027</v>
      </c>
      <c r="H994" s="8">
        <v>958</v>
      </c>
      <c r="J994" t="s">
        <v>23</v>
      </c>
      <c r="K994" s="7">
        <v>3753</v>
      </c>
      <c r="L994" s="9">
        <v>1</v>
      </c>
      <c r="M994" t="s">
        <v>111</v>
      </c>
      <c r="N994" t="s">
        <v>112</v>
      </c>
      <c r="O994" s="27" t="str">
        <f>HYPERLINK("https://www.ncbi.nlm.nih.gov/nuccore/NZ_CP021744.1?report=graph&amp;from=1347254&amp;to=1347258", "TTA_codon")</f>
        <v>TTA_codon</v>
      </c>
    </row>
    <row r="995" spans="1:15" x14ac:dyDescent="0.15">
      <c r="A995" t="s">
        <v>21</v>
      </c>
      <c r="B995">
        <v>1001491</v>
      </c>
      <c r="C995">
        <v>365021</v>
      </c>
      <c r="F995" s="7">
        <v>2</v>
      </c>
      <c r="G995" s="7" t="s">
        <v>994</v>
      </c>
      <c r="H995" s="8" t="s">
        <v>995</v>
      </c>
      <c r="J995" t="s">
        <v>23</v>
      </c>
      <c r="K995" s="7">
        <v>3258</v>
      </c>
      <c r="L995" s="9">
        <v>1</v>
      </c>
      <c r="M995" t="s">
        <v>111</v>
      </c>
      <c r="N995" t="s">
        <v>112</v>
      </c>
      <c r="O995" s="27" t="str">
        <f>HYPERLINK("https://www.ncbi.nlm.nih.gov/nuccore/NZ_CP021744.1?report=graph&amp;from=986293&amp;to=986972", "TTA_codon")</f>
        <v>TTA_codon</v>
      </c>
    </row>
    <row r="996" spans="1:15" x14ac:dyDescent="0.15">
      <c r="A996" t="s">
        <v>21</v>
      </c>
      <c r="B996">
        <v>1001491</v>
      </c>
      <c r="C996">
        <v>365649</v>
      </c>
      <c r="F996" s="7">
        <v>1</v>
      </c>
      <c r="G996" s="7">
        <v>5137</v>
      </c>
      <c r="H996" s="8">
        <v>1624</v>
      </c>
      <c r="J996" t="s">
        <v>23</v>
      </c>
      <c r="K996" s="7">
        <v>2109</v>
      </c>
      <c r="L996" s="9">
        <v>1</v>
      </c>
      <c r="M996" t="s">
        <v>213</v>
      </c>
      <c r="N996" t="s">
        <v>214</v>
      </c>
      <c r="O996" s="27" t="str">
        <f>HYPERLINK("https://www.ncbi.nlm.nih.gov/nuccore/NZ_FNST01000002.1?report=graph&amp;from=3502624&amp;to=3502628", "TTA_codon")</f>
        <v>TTA_codon</v>
      </c>
    </row>
    <row r="997" spans="1:15" x14ac:dyDescent="0.15">
      <c r="A997" t="s">
        <v>21</v>
      </c>
      <c r="B997">
        <v>1001491</v>
      </c>
      <c r="C997">
        <v>365650</v>
      </c>
      <c r="F997" s="7">
        <v>2</v>
      </c>
      <c r="G997" s="7" t="s">
        <v>996</v>
      </c>
      <c r="H997" s="8" t="s">
        <v>997</v>
      </c>
      <c r="J997" t="s">
        <v>23</v>
      </c>
      <c r="K997" s="7">
        <v>2829</v>
      </c>
      <c r="L997" s="9">
        <v>1</v>
      </c>
      <c r="M997" t="s">
        <v>213</v>
      </c>
      <c r="N997" t="s">
        <v>214</v>
      </c>
      <c r="O997" s="27" t="str">
        <f>HYPERLINK("https://www.ncbi.nlm.nih.gov/nuccore/NZ_FNST01000002.1?report=graph&amp;from=6497115&amp;to=6498433", "TTA_codon")</f>
        <v>TTA_codon</v>
      </c>
    </row>
    <row r="998" spans="1:15" x14ac:dyDescent="0.15">
      <c r="A998" t="s">
        <v>21</v>
      </c>
      <c r="B998">
        <v>1001491</v>
      </c>
      <c r="C998">
        <v>366089</v>
      </c>
      <c r="F998" s="7">
        <v>1</v>
      </c>
      <c r="G998" s="7">
        <v>1630</v>
      </c>
      <c r="H998" s="8">
        <v>583</v>
      </c>
      <c r="J998" t="s">
        <v>23</v>
      </c>
      <c r="K998" s="7">
        <v>2874</v>
      </c>
      <c r="L998" s="9">
        <v>1</v>
      </c>
      <c r="M998" t="s">
        <v>998</v>
      </c>
      <c r="N998" t="s">
        <v>257</v>
      </c>
      <c r="O998" s="27" t="str">
        <f>HYPERLINK("https://www.ncbi.nlm.nih.gov/nuccore/NZ_FOET01000011.1?report=graph&amp;from=54811&amp;to=54815", "TTA_codon")</f>
        <v>TTA_codon</v>
      </c>
    </row>
    <row r="999" spans="1:15" x14ac:dyDescent="0.15">
      <c r="A999" t="s">
        <v>21</v>
      </c>
      <c r="B999">
        <v>1001491</v>
      </c>
      <c r="C999">
        <v>366397</v>
      </c>
      <c r="F999" s="7">
        <v>1</v>
      </c>
      <c r="G999" s="7">
        <v>2929</v>
      </c>
      <c r="H999" s="8">
        <v>1186</v>
      </c>
      <c r="J999" t="s">
        <v>23</v>
      </c>
      <c r="K999" s="7">
        <v>3042</v>
      </c>
      <c r="L999" s="9">
        <v>1</v>
      </c>
      <c r="M999" t="s">
        <v>999</v>
      </c>
      <c r="N999" t="s">
        <v>375</v>
      </c>
      <c r="O999" s="27" t="str">
        <f>HYPERLINK("https://www.ncbi.nlm.nih.gov/nuccore/NZ_FONG01000002.1?report=graph&amp;from=41212&amp;to=41216", "TTA_codon")</f>
        <v>TTA_codon</v>
      </c>
    </row>
    <row r="1000" spans="1:15" x14ac:dyDescent="0.15">
      <c r="A1000" t="s">
        <v>21</v>
      </c>
      <c r="B1000">
        <v>1001491</v>
      </c>
      <c r="C1000">
        <v>366427</v>
      </c>
      <c r="F1000" s="7">
        <v>3</v>
      </c>
      <c r="G1000" s="7" t="s">
        <v>1000</v>
      </c>
      <c r="H1000" s="8" t="s">
        <v>1001</v>
      </c>
      <c r="J1000" t="s">
        <v>23</v>
      </c>
      <c r="K1000" s="7">
        <v>3213</v>
      </c>
      <c r="L1000" s="9">
        <v>1</v>
      </c>
      <c r="M1000" t="s">
        <v>901</v>
      </c>
      <c r="N1000" t="s">
        <v>375</v>
      </c>
      <c r="O1000" s="27" t="str">
        <f>HYPERLINK("https://www.ncbi.nlm.nih.gov/nuccore/NZ_FONG01000006.1?report=graph&amp;from=255269&amp;to=257859", "TTA_codon")</f>
        <v>TTA_codon</v>
      </c>
    </row>
    <row r="1001" spans="1:15" x14ac:dyDescent="0.15">
      <c r="A1001" t="s">
        <v>21</v>
      </c>
      <c r="B1001">
        <v>1001491</v>
      </c>
      <c r="C1001">
        <v>366600</v>
      </c>
      <c r="F1001" s="7">
        <v>2</v>
      </c>
      <c r="G1001" s="7" t="s">
        <v>1002</v>
      </c>
      <c r="H1001" s="8" t="s">
        <v>1003</v>
      </c>
      <c r="J1001" t="s">
        <v>23</v>
      </c>
      <c r="K1001" s="7">
        <v>2406</v>
      </c>
      <c r="L1001" s="9">
        <v>1</v>
      </c>
      <c r="M1001" t="s">
        <v>1004</v>
      </c>
      <c r="N1001" t="s">
        <v>180</v>
      </c>
      <c r="O1001" s="27" t="str">
        <f>HYPERLINK("https://www.ncbi.nlm.nih.gov/nuccore/NZ_FRBI01000005.1?report=graph&amp;from=78860&amp;to=80304", "TTA_codon")</f>
        <v>TTA_codon</v>
      </c>
    </row>
    <row r="1002" spans="1:15" x14ac:dyDescent="0.15">
      <c r="A1002" t="s">
        <v>21</v>
      </c>
      <c r="B1002">
        <v>1001491</v>
      </c>
      <c r="C1002">
        <v>366615</v>
      </c>
      <c r="F1002" s="7">
        <v>4</v>
      </c>
      <c r="G1002" s="7" t="s">
        <v>1005</v>
      </c>
      <c r="H1002" s="8" t="s">
        <v>1006</v>
      </c>
      <c r="J1002" t="s">
        <v>23</v>
      </c>
      <c r="K1002" s="7">
        <v>3189</v>
      </c>
      <c r="L1002" s="9">
        <v>1</v>
      </c>
      <c r="M1002" t="s">
        <v>1007</v>
      </c>
      <c r="N1002" t="s">
        <v>180</v>
      </c>
      <c r="O1002" s="27" t="str">
        <f>HYPERLINK("https://www.ncbi.nlm.nih.gov/nuccore/NZ_FRBI01000003.1?report=graph&amp;from=96889&amp;to=98054", "TTA_codon")</f>
        <v>TTA_codon</v>
      </c>
    </row>
    <row r="1003" spans="1:15" x14ac:dyDescent="0.15">
      <c r="A1003" t="s">
        <v>21</v>
      </c>
      <c r="B1003" t="s">
        <v>1008</v>
      </c>
    </row>
    <row r="1004" spans="1:15" x14ac:dyDescent="0.15">
      <c r="A1004" t="s">
        <v>21</v>
      </c>
      <c r="B1004">
        <v>1000279</v>
      </c>
      <c r="C1004">
        <v>347805</v>
      </c>
      <c r="F1004" s="7">
        <v>1</v>
      </c>
      <c r="G1004" s="7">
        <v>382</v>
      </c>
      <c r="H1004" s="8">
        <v>358</v>
      </c>
      <c r="J1004" t="s">
        <v>23</v>
      </c>
      <c r="K1004" s="7">
        <v>1176</v>
      </c>
      <c r="L1004" s="9">
        <v>-1</v>
      </c>
      <c r="M1004" t="s">
        <v>57</v>
      </c>
      <c r="N1004" t="s">
        <v>58</v>
      </c>
      <c r="O1004" s="27" t="str">
        <f>HYPERLINK("https://www.ncbi.nlm.nih.gov/nuccore/NC_013929.1?report=graph&amp;from=8516564&amp;to=8516568", "TTA_codon")</f>
        <v>TTA_codon</v>
      </c>
    </row>
    <row r="1005" spans="1:15" x14ac:dyDescent="0.15">
      <c r="A1005" t="s">
        <v>21</v>
      </c>
      <c r="B1005">
        <v>1000279</v>
      </c>
      <c r="C1005">
        <v>348522</v>
      </c>
      <c r="F1005" s="7">
        <v>2</v>
      </c>
      <c r="G1005" s="7" t="s">
        <v>1009</v>
      </c>
      <c r="H1005" s="8" t="s">
        <v>1010</v>
      </c>
      <c r="J1005" t="s">
        <v>23</v>
      </c>
      <c r="K1005" s="7">
        <v>1188</v>
      </c>
      <c r="L1005" s="9">
        <v>-1</v>
      </c>
      <c r="M1005" t="s">
        <v>61</v>
      </c>
      <c r="N1005" t="s">
        <v>62</v>
      </c>
      <c r="O1005" s="27" t="str">
        <f>HYPERLINK("https://www.ncbi.nlm.nih.gov/nuccore/NZ_DS999641.1?report=graph&amp;from=6030867&amp;to=6031231", "TTA_codon")</f>
        <v>TTA_codon</v>
      </c>
    </row>
    <row r="1006" spans="1:15" x14ac:dyDescent="0.15">
      <c r="A1006" t="s">
        <v>21</v>
      </c>
      <c r="B1006">
        <v>1000279</v>
      </c>
      <c r="C1006">
        <v>359073</v>
      </c>
      <c r="F1006" s="7">
        <v>1</v>
      </c>
      <c r="G1006" s="7">
        <v>382</v>
      </c>
      <c r="H1006" s="8">
        <v>358</v>
      </c>
      <c r="J1006" t="s">
        <v>23</v>
      </c>
      <c r="K1006" s="7">
        <v>1218</v>
      </c>
      <c r="L1006" s="9">
        <v>-1</v>
      </c>
      <c r="M1006" t="s">
        <v>1011</v>
      </c>
      <c r="N1006" t="s">
        <v>451</v>
      </c>
      <c r="O1006" s="27" t="str">
        <f>HYPERLINK("https://www.ncbi.nlm.nih.gov/nuccore/NZ_LIQZ01000298.1?report=graph&amp;from=21741&amp;to=21745", "TTA_codon")</f>
        <v>TTA_codon</v>
      </c>
    </row>
    <row r="1007" spans="1:15" x14ac:dyDescent="0.15">
      <c r="A1007" t="s">
        <v>21</v>
      </c>
      <c r="B1007">
        <v>1000279</v>
      </c>
      <c r="C1007">
        <v>360085</v>
      </c>
      <c r="F1007" s="7">
        <v>1</v>
      </c>
      <c r="G1007" s="7">
        <v>382</v>
      </c>
      <c r="H1007" s="8">
        <v>358</v>
      </c>
      <c r="J1007" t="s">
        <v>23</v>
      </c>
      <c r="K1007" s="7">
        <v>1116</v>
      </c>
      <c r="L1007" s="9">
        <v>-1</v>
      </c>
      <c r="M1007" t="s">
        <v>1012</v>
      </c>
      <c r="N1007" t="s">
        <v>125</v>
      </c>
      <c r="O1007" s="27" t="str">
        <f>HYPERLINK("https://www.ncbi.nlm.nih.gov/nuccore/NZ_KQ948474.1?report=graph&amp;from=140349&amp;to=140353", "TTA_codon")</f>
        <v>TTA_codon</v>
      </c>
    </row>
    <row r="1008" spans="1:15" x14ac:dyDescent="0.15">
      <c r="A1008" t="s">
        <v>21</v>
      </c>
      <c r="B1008">
        <v>1000279</v>
      </c>
      <c r="C1008">
        <v>360086</v>
      </c>
      <c r="F1008" s="7">
        <v>1</v>
      </c>
      <c r="G1008" s="7">
        <v>229</v>
      </c>
      <c r="H1008" s="8">
        <v>208</v>
      </c>
      <c r="J1008" t="s">
        <v>23</v>
      </c>
      <c r="K1008" s="7">
        <v>1176</v>
      </c>
      <c r="L1008" s="9">
        <v>-1</v>
      </c>
      <c r="M1008" t="s">
        <v>1013</v>
      </c>
      <c r="N1008" t="s">
        <v>125</v>
      </c>
      <c r="O1008" s="27" t="str">
        <f>HYPERLINK("https://www.ncbi.nlm.nih.gov/nuccore/NZ_KQ948483.1?report=graph&amp;from=58423&amp;to=58427", "TTA_codon")</f>
        <v>TTA_codon</v>
      </c>
    </row>
    <row r="1009" spans="1:15" x14ac:dyDescent="0.15">
      <c r="A1009" t="s">
        <v>21</v>
      </c>
      <c r="B1009">
        <v>1000279</v>
      </c>
      <c r="C1009">
        <v>360087</v>
      </c>
      <c r="F1009" s="7">
        <v>1</v>
      </c>
      <c r="G1009" s="7">
        <v>229</v>
      </c>
      <c r="H1009" s="8">
        <v>220</v>
      </c>
      <c r="J1009" t="s">
        <v>23</v>
      </c>
      <c r="K1009" s="7">
        <v>1197</v>
      </c>
      <c r="L1009" s="9">
        <v>-1</v>
      </c>
      <c r="M1009" t="s">
        <v>1014</v>
      </c>
      <c r="N1009" t="s">
        <v>125</v>
      </c>
      <c r="O1009" s="27" t="str">
        <f>HYPERLINK("https://www.ncbi.nlm.nih.gov/nuccore/NZ_KQ948484.1?report=graph&amp;from=1930&amp;to=1934", "TTA_codon")</f>
        <v>TTA_codon</v>
      </c>
    </row>
    <row r="1010" spans="1:15" x14ac:dyDescent="0.15">
      <c r="A1010" t="s">
        <v>21</v>
      </c>
      <c r="B1010">
        <v>1000279</v>
      </c>
      <c r="C1010">
        <v>361146</v>
      </c>
      <c r="F1010" s="7">
        <v>1</v>
      </c>
      <c r="G1010" s="7">
        <v>382</v>
      </c>
      <c r="H1010" s="8">
        <v>358</v>
      </c>
      <c r="J1010" t="s">
        <v>23</v>
      </c>
      <c r="K1010" s="7">
        <v>1125</v>
      </c>
      <c r="L1010" s="9">
        <v>-1</v>
      </c>
      <c r="M1010" t="s">
        <v>98</v>
      </c>
      <c r="N1010" t="s">
        <v>99</v>
      </c>
      <c r="O1010" s="27" t="str">
        <f>HYPERLINK("https://www.ncbi.nlm.nih.gov/nuccore/NZ_CP016438.1?report=graph&amp;from=9409699&amp;to=9409703", "TTA_codon")</f>
        <v>TTA_codon</v>
      </c>
    </row>
    <row r="1011" spans="1:15" x14ac:dyDescent="0.15">
      <c r="A1011" t="s">
        <v>21</v>
      </c>
      <c r="B1011">
        <v>1000279</v>
      </c>
      <c r="C1011">
        <v>364304</v>
      </c>
      <c r="F1011" s="7">
        <v>1</v>
      </c>
      <c r="G1011" s="7">
        <v>109</v>
      </c>
      <c r="H1011" s="8">
        <v>106</v>
      </c>
      <c r="J1011" t="s">
        <v>23</v>
      </c>
      <c r="K1011" s="7">
        <v>1197</v>
      </c>
      <c r="L1011" s="9">
        <v>-1</v>
      </c>
      <c r="M1011" t="s">
        <v>105</v>
      </c>
      <c r="N1011" t="s">
        <v>106</v>
      </c>
      <c r="O1011" s="27" t="str">
        <f>HYPERLINK("https://www.ncbi.nlm.nih.gov/nuccore/NZ_CP020042.1?report=graph&amp;from=6754773&amp;to=6754777", "TTA_codon")</f>
        <v>TTA_codon</v>
      </c>
    </row>
    <row r="1012" spans="1:15" x14ac:dyDescent="0.15">
      <c r="A1012" t="s">
        <v>21</v>
      </c>
      <c r="B1012" t="s">
        <v>1015</v>
      </c>
    </row>
    <row r="1013" spans="1:15" x14ac:dyDescent="0.15">
      <c r="A1013" t="s">
        <v>21</v>
      </c>
      <c r="B1013">
        <v>1000695</v>
      </c>
      <c r="C1013">
        <v>350990</v>
      </c>
      <c r="F1013" s="7">
        <v>1</v>
      </c>
      <c r="G1013" s="7">
        <v>61</v>
      </c>
      <c r="H1013" s="8">
        <v>61</v>
      </c>
      <c r="J1013" t="s">
        <v>23</v>
      </c>
      <c r="K1013" s="7">
        <v>1803</v>
      </c>
      <c r="L1013" s="9">
        <v>1</v>
      </c>
      <c r="M1013" t="s">
        <v>50</v>
      </c>
      <c r="N1013" t="s">
        <v>51</v>
      </c>
      <c r="O1013" s="27" t="str">
        <f>HYPERLINK("https://www.ncbi.nlm.nih.gov/nuccore/NZ_AEJB01000421.1?report=graph&amp;from=12961&amp;to=12965", "TTA_codon")</f>
        <v>TTA_codon</v>
      </c>
    </row>
    <row r="1014" spans="1:15" x14ac:dyDescent="0.15">
      <c r="A1014" t="s">
        <v>21</v>
      </c>
      <c r="B1014">
        <v>1000695</v>
      </c>
      <c r="C1014">
        <v>352819</v>
      </c>
      <c r="F1014" s="7">
        <v>1</v>
      </c>
      <c r="G1014" s="7">
        <v>61</v>
      </c>
      <c r="H1014" s="8">
        <v>61</v>
      </c>
      <c r="J1014" t="s">
        <v>23</v>
      </c>
      <c r="K1014" s="7">
        <v>1803</v>
      </c>
      <c r="L1014" s="9">
        <v>1</v>
      </c>
      <c r="M1014" t="s">
        <v>472</v>
      </c>
      <c r="N1014" t="s">
        <v>473</v>
      </c>
      <c r="O1014" s="27" t="str">
        <f>HYPERLINK("https://www.ncbi.nlm.nih.gov/nuccore/NZ_ASHX02000001.1?report=graph&amp;from=1185424&amp;to=1185428", "TTA_codon")</f>
        <v>TTA_codon</v>
      </c>
    </row>
    <row r="1015" spans="1:15" x14ac:dyDescent="0.15">
      <c r="A1015" t="s">
        <v>21</v>
      </c>
      <c r="B1015">
        <v>1000695</v>
      </c>
      <c r="C1015">
        <v>358431</v>
      </c>
      <c r="F1015" s="7">
        <v>1</v>
      </c>
      <c r="G1015" s="7">
        <v>61</v>
      </c>
      <c r="H1015" s="8">
        <v>61</v>
      </c>
      <c r="J1015" t="s">
        <v>23</v>
      </c>
      <c r="K1015" s="7">
        <v>1803</v>
      </c>
      <c r="L1015" s="9">
        <v>1</v>
      </c>
      <c r="M1015" t="s">
        <v>1016</v>
      </c>
      <c r="N1015" t="s">
        <v>85</v>
      </c>
      <c r="O1015" s="27" t="str">
        <f>HYPERLINK("https://www.ncbi.nlm.nih.gov/nuccore/NZ_LIQX01000019.1?report=graph&amp;from=5587&amp;to=5591", "TTA_codon")</f>
        <v>TTA_codon</v>
      </c>
    </row>
    <row r="1016" spans="1:15" x14ac:dyDescent="0.15">
      <c r="A1016" t="s">
        <v>21</v>
      </c>
      <c r="B1016" t="s">
        <v>1017</v>
      </c>
    </row>
    <row r="1017" spans="1:15" x14ac:dyDescent="0.15">
      <c r="A1017" t="s">
        <v>21</v>
      </c>
      <c r="B1017">
        <v>1000199</v>
      </c>
      <c r="C1017">
        <v>347350</v>
      </c>
      <c r="F1017" s="7">
        <v>1</v>
      </c>
      <c r="G1017" s="7">
        <v>613</v>
      </c>
      <c r="H1017" s="8">
        <v>454</v>
      </c>
      <c r="J1017" t="s">
        <v>23</v>
      </c>
      <c r="K1017" s="7">
        <v>489</v>
      </c>
      <c r="L1017" s="9">
        <v>1</v>
      </c>
      <c r="M1017" t="s">
        <v>217</v>
      </c>
      <c r="N1017" t="s">
        <v>218</v>
      </c>
      <c r="O1017" s="27" t="str">
        <f>HYPERLINK("https://www.ncbi.nlm.nih.gov/nuccore/NC_021985.1?report=graph&amp;from=5895159&amp;to=5895163", "TTA_codon")</f>
        <v>TTA_codon</v>
      </c>
    </row>
    <row r="1018" spans="1:15" x14ac:dyDescent="0.15">
      <c r="A1018" t="s">
        <v>21</v>
      </c>
      <c r="B1018">
        <v>1000199</v>
      </c>
      <c r="C1018">
        <v>349303</v>
      </c>
      <c r="F1018" s="7">
        <v>1</v>
      </c>
      <c r="G1018" s="7">
        <v>298</v>
      </c>
      <c r="H1018" s="8">
        <v>298</v>
      </c>
      <c r="J1018" t="s">
        <v>23</v>
      </c>
      <c r="K1018" s="7">
        <v>648</v>
      </c>
      <c r="L1018" s="9">
        <v>1</v>
      </c>
      <c r="M1018" t="s">
        <v>458</v>
      </c>
      <c r="N1018" t="s">
        <v>315</v>
      </c>
      <c r="O1018" s="27" t="str">
        <f>HYPERLINK("https://www.ncbi.nlm.nih.gov/nuccore/NC_003888.3?report=graph&amp;from=5947607&amp;to=5947611", "TTA_codon")</f>
        <v>TTA_codon</v>
      </c>
    </row>
    <row r="1019" spans="1:15" x14ac:dyDescent="0.15">
      <c r="A1019" t="s">
        <v>21</v>
      </c>
      <c r="B1019">
        <v>1000199</v>
      </c>
      <c r="C1019">
        <v>349969</v>
      </c>
      <c r="F1019" s="7">
        <v>1</v>
      </c>
      <c r="G1019" s="7">
        <v>610</v>
      </c>
      <c r="H1019" s="8">
        <v>451</v>
      </c>
      <c r="J1019" t="s">
        <v>23</v>
      </c>
      <c r="K1019" s="7">
        <v>489</v>
      </c>
      <c r="L1019" s="9">
        <v>1</v>
      </c>
      <c r="M1019" t="s">
        <v>1018</v>
      </c>
      <c r="N1019" t="s">
        <v>249</v>
      </c>
      <c r="O1019" s="27" t="str">
        <f>HYPERLINK("https://www.ncbi.nlm.nih.gov/nuccore/NZ_AHBF01000001.1?report=graph&amp;from=104169&amp;to=104173", "TTA_codon")</f>
        <v>TTA_codon</v>
      </c>
    </row>
    <row r="1020" spans="1:15" x14ac:dyDescent="0.15">
      <c r="A1020" t="s">
        <v>21</v>
      </c>
      <c r="B1020">
        <v>1000199</v>
      </c>
      <c r="C1020">
        <v>353573</v>
      </c>
      <c r="F1020" s="7">
        <v>1</v>
      </c>
      <c r="G1020" s="7">
        <v>400</v>
      </c>
      <c r="H1020" s="8">
        <v>253</v>
      </c>
      <c r="J1020" t="s">
        <v>23</v>
      </c>
      <c r="K1020" s="7">
        <v>501</v>
      </c>
      <c r="L1020" s="9">
        <v>1</v>
      </c>
      <c r="M1020" t="s">
        <v>1019</v>
      </c>
      <c r="N1020" t="s">
        <v>140</v>
      </c>
      <c r="O1020" s="27" t="str">
        <f>HYPERLINK("https://www.ncbi.nlm.nih.gov/nuccore/NZ_JNXG01000002.1?report=graph&amp;from=1180771&amp;to=1180775", "TTA_codon")</f>
        <v>TTA_codon</v>
      </c>
    </row>
    <row r="1021" spans="1:15" x14ac:dyDescent="0.15">
      <c r="A1021" t="s">
        <v>21</v>
      </c>
      <c r="B1021">
        <v>1000199</v>
      </c>
      <c r="C1021">
        <v>354532</v>
      </c>
      <c r="F1021" s="7">
        <v>1</v>
      </c>
      <c r="G1021" s="7">
        <v>400</v>
      </c>
      <c r="H1021" s="8">
        <v>400</v>
      </c>
      <c r="J1021" t="s">
        <v>23</v>
      </c>
      <c r="K1021" s="7">
        <v>648</v>
      </c>
      <c r="L1021" s="9">
        <v>1</v>
      </c>
      <c r="M1021" t="s">
        <v>1020</v>
      </c>
      <c r="N1021" t="s">
        <v>272</v>
      </c>
      <c r="O1021" s="27" t="str">
        <f>HYPERLINK("https://www.ncbi.nlm.nih.gov/nuccore/NZ_JOEY01000034.1?report=graph&amp;from=38342&amp;to=38346", "TTA_codon")</f>
        <v>TTA_codon</v>
      </c>
    </row>
    <row r="1022" spans="1:15" x14ac:dyDescent="0.15">
      <c r="A1022" t="s">
        <v>21</v>
      </c>
      <c r="B1022">
        <v>1000199</v>
      </c>
      <c r="C1022">
        <v>355797</v>
      </c>
      <c r="F1022" s="7">
        <v>1</v>
      </c>
      <c r="G1022" s="7">
        <v>499</v>
      </c>
      <c r="H1022" s="8">
        <v>295</v>
      </c>
      <c r="J1022" t="s">
        <v>23</v>
      </c>
      <c r="K1022" s="7">
        <v>444</v>
      </c>
      <c r="L1022" s="9">
        <v>1</v>
      </c>
      <c r="M1022" t="s">
        <v>1021</v>
      </c>
      <c r="N1022" t="s">
        <v>75</v>
      </c>
      <c r="O1022" s="27" t="str">
        <f>HYPERLINK("https://www.ncbi.nlm.nih.gov/nuccore/NZ_JOII01000015.1?report=graph&amp;from=25889&amp;to=25893", "TTA_codon")</f>
        <v>TTA_codon</v>
      </c>
    </row>
    <row r="1023" spans="1:15" x14ac:dyDescent="0.15">
      <c r="A1023" t="s">
        <v>21</v>
      </c>
      <c r="B1023">
        <v>1000199</v>
      </c>
      <c r="C1023">
        <v>356633</v>
      </c>
      <c r="F1023" s="7">
        <v>1</v>
      </c>
      <c r="G1023" s="7">
        <v>355</v>
      </c>
      <c r="H1023" s="8">
        <v>196</v>
      </c>
      <c r="J1023" t="s">
        <v>23</v>
      </c>
      <c r="K1023" s="7">
        <v>489</v>
      </c>
      <c r="L1023" s="9">
        <v>1</v>
      </c>
      <c r="M1023" t="s">
        <v>147</v>
      </c>
      <c r="N1023" t="s">
        <v>148</v>
      </c>
      <c r="O1023" s="27" t="str">
        <f>HYPERLINK("https://www.ncbi.nlm.nih.gov/nuccore/NZ_CP021080.1?report=graph&amp;from=5251268&amp;to=5251272", "TTA_codon")</f>
        <v>TTA_codon</v>
      </c>
    </row>
    <row r="1024" spans="1:15" x14ac:dyDescent="0.15">
      <c r="A1024" t="s">
        <v>21</v>
      </c>
      <c r="B1024">
        <v>1000199</v>
      </c>
      <c r="C1024">
        <v>357141</v>
      </c>
      <c r="F1024" s="7">
        <v>1</v>
      </c>
      <c r="G1024" s="7">
        <v>466</v>
      </c>
      <c r="H1024" s="8">
        <v>307</v>
      </c>
      <c r="J1024" t="s">
        <v>23</v>
      </c>
      <c r="K1024" s="7">
        <v>492</v>
      </c>
      <c r="L1024" s="9">
        <v>1</v>
      </c>
      <c r="M1024" t="s">
        <v>205</v>
      </c>
      <c r="N1024" t="s">
        <v>206</v>
      </c>
      <c r="O1024" s="27" t="str">
        <f>HYPERLINK("https://www.ncbi.nlm.nih.gov/nuccore/NZ_CP010407.1?report=graph&amp;from=5838072&amp;to=5838076", "TTA_codon")</f>
        <v>TTA_codon</v>
      </c>
    </row>
    <row r="1025" spans="1:15" x14ac:dyDescent="0.15">
      <c r="A1025" t="s">
        <v>21</v>
      </c>
      <c r="B1025">
        <v>1000199</v>
      </c>
      <c r="C1025">
        <v>358335</v>
      </c>
      <c r="F1025" s="7">
        <v>1</v>
      </c>
      <c r="G1025" s="7">
        <v>460</v>
      </c>
      <c r="H1025" s="8">
        <v>301</v>
      </c>
      <c r="J1025" t="s">
        <v>23</v>
      </c>
      <c r="K1025" s="7">
        <v>489</v>
      </c>
      <c r="L1025" s="9">
        <v>1</v>
      </c>
      <c r="M1025" t="s">
        <v>1022</v>
      </c>
      <c r="N1025" t="s">
        <v>85</v>
      </c>
      <c r="O1025" s="27" t="str">
        <f>HYPERLINK("https://www.ncbi.nlm.nih.gov/nuccore/NZ_LIQX01000232.1?report=graph&amp;from=4698&amp;to=4702", "TTA_codon")</f>
        <v>TTA_codon</v>
      </c>
    </row>
    <row r="1026" spans="1:15" x14ac:dyDescent="0.15">
      <c r="A1026" t="s">
        <v>21</v>
      </c>
      <c r="B1026">
        <v>1000199</v>
      </c>
      <c r="C1026">
        <v>359809</v>
      </c>
      <c r="F1026" s="7">
        <v>1</v>
      </c>
      <c r="G1026" s="7">
        <v>400</v>
      </c>
      <c r="H1026" s="8">
        <v>241</v>
      </c>
      <c r="J1026" t="s">
        <v>23</v>
      </c>
      <c r="K1026" s="7">
        <v>489</v>
      </c>
      <c r="L1026" s="9">
        <v>1</v>
      </c>
      <c r="M1026" t="s">
        <v>1023</v>
      </c>
      <c r="N1026" t="s">
        <v>91</v>
      </c>
      <c r="O1026" s="27" t="str">
        <f>HYPERLINK("https://www.ncbi.nlm.nih.gov/nuccore/NZ_KQ948311.1?report=graph&amp;from=140847&amp;to=140851", "TTA_codon")</f>
        <v>TTA_codon</v>
      </c>
    </row>
    <row r="1027" spans="1:15" x14ac:dyDescent="0.15">
      <c r="A1027" t="s">
        <v>21</v>
      </c>
      <c r="B1027">
        <v>1000199</v>
      </c>
      <c r="C1027">
        <v>360032</v>
      </c>
      <c r="F1027" s="7">
        <v>1</v>
      </c>
      <c r="G1027" s="7">
        <v>400</v>
      </c>
      <c r="H1027" s="8">
        <v>241</v>
      </c>
      <c r="J1027" t="s">
        <v>23</v>
      </c>
      <c r="K1027" s="7">
        <v>489</v>
      </c>
      <c r="L1027" s="9">
        <v>1</v>
      </c>
      <c r="M1027" t="s">
        <v>1024</v>
      </c>
      <c r="N1027" t="s">
        <v>125</v>
      </c>
      <c r="O1027" s="27" t="str">
        <f>HYPERLINK("https://www.ncbi.nlm.nih.gov/nuccore/NZ_KQ948457.1?report=graph&amp;from=31144&amp;to=31148", "TTA_codon")</f>
        <v>TTA_codon</v>
      </c>
    </row>
    <row r="1028" spans="1:15" x14ac:dyDescent="0.15">
      <c r="A1028" t="s">
        <v>21</v>
      </c>
      <c r="B1028">
        <v>1000199</v>
      </c>
      <c r="C1028">
        <v>363079</v>
      </c>
      <c r="F1028" s="7">
        <v>1</v>
      </c>
      <c r="G1028" s="7">
        <v>460</v>
      </c>
      <c r="H1028" s="8">
        <v>301</v>
      </c>
      <c r="J1028" t="s">
        <v>23</v>
      </c>
      <c r="K1028" s="7">
        <v>489</v>
      </c>
      <c r="L1028" s="9">
        <v>1</v>
      </c>
      <c r="M1028" t="s">
        <v>1025</v>
      </c>
      <c r="N1028" t="s">
        <v>401</v>
      </c>
      <c r="O1028" s="27" t="str">
        <f>HYPERLINK("https://www.ncbi.nlm.nih.gov/nuccore/NZ_LFBV01000009.1?report=graph&amp;from=21686&amp;to=21690", "TTA_codon")</f>
        <v>TTA_codon</v>
      </c>
    </row>
    <row r="1029" spans="1:15" x14ac:dyDescent="0.15">
      <c r="A1029" t="s">
        <v>21</v>
      </c>
      <c r="B1029">
        <v>1000199</v>
      </c>
      <c r="C1029">
        <v>364300</v>
      </c>
      <c r="F1029" s="7">
        <v>1</v>
      </c>
      <c r="G1029" s="7">
        <v>460</v>
      </c>
      <c r="H1029" s="8">
        <v>301</v>
      </c>
      <c r="J1029" t="s">
        <v>23</v>
      </c>
      <c r="K1029" s="7">
        <v>489</v>
      </c>
      <c r="L1029" s="9">
        <v>1</v>
      </c>
      <c r="M1029" t="s">
        <v>105</v>
      </c>
      <c r="N1029" t="s">
        <v>106</v>
      </c>
      <c r="O1029" s="27" t="str">
        <f>HYPERLINK("https://www.ncbi.nlm.nih.gov/nuccore/NZ_CP020042.1?report=graph&amp;from=5382855&amp;to=5382859", "TTA_codon")</f>
        <v>TTA_codon</v>
      </c>
    </row>
    <row r="1030" spans="1:15" x14ac:dyDescent="0.15">
      <c r="A1030" t="s">
        <v>195</v>
      </c>
      <c r="B1030" t="s">
        <v>1026</v>
      </c>
    </row>
    <row r="1031" spans="1:15" x14ac:dyDescent="0.15">
      <c r="A1031" t="s">
        <v>195</v>
      </c>
      <c r="B1031">
        <v>1000088</v>
      </c>
      <c r="C1031">
        <v>346569</v>
      </c>
      <c r="F1031" s="7">
        <v>1</v>
      </c>
      <c r="G1031" s="7">
        <v>85</v>
      </c>
      <c r="H1031" s="8">
        <v>49</v>
      </c>
      <c r="J1031" t="s">
        <v>23</v>
      </c>
      <c r="K1031" s="7">
        <v>1359</v>
      </c>
      <c r="L1031" s="9">
        <v>1</v>
      </c>
      <c r="M1031" t="s">
        <v>205</v>
      </c>
      <c r="N1031" t="s">
        <v>206</v>
      </c>
      <c r="O1031" s="27" t="str">
        <f>HYPERLINK("https://www.ncbi.nlm.nih.gov/nuccore/NZ_CP010407.1?report=graph&amp;from=3240312&amp;to=3240316", "TTA_codon")</f>
        <v>TTA_codon</v>
      </c>
    </row>
    <row r="1032" spans="1:15" x14ac:dyDescent="0.15">
      <c r="A1032" t="s">
        <v>21</v>
      </c>
      <c r="B1032">
        <v>1000088</v>
      </c>
      <c r="C1032">
        <v>353584</v>
      </c>
      <c r="F1032" s="7">
        <v>1</v>
      </c>
      <c r="G1032" s="7">
        <v>82</v>
      </c>
      <c r="H1032" s="8">
        <v>49</v>
      </c>
      <c r="J1032" t="s">
        <v>23</v>
      </c>
      <c r="K1032" s="7">
        <v>1323</v>
      </c>
      <c r="L1032" s="9">
        <v>1</v>
      </c>
      <c r="M1032" t="s">
        <v>1027</v>
      </c>
      <c r="N1032" t="s">
        <v>140</v>
      </c>
      <c r="O1032" s="27" t="str">
        <f>HYPERLINK("https://www.ncbi.nlm.nih.gov/nuccore/NZ_JNXG01000025.1?report=graph&amp;from=30078&amp;to=30082", "TTA_codon")</f>
        <v>TTA_codon</v>
      </c>
    </row>
    <row r="1033" spans="1:15" x14ac:dyDescent="0.15">
      <c r="A1033" t="s">
        <v>21</v>
      </c>
      <c r="B1033">
        <v>1000088</v>
      </c>
      <c r="C1033">
        <v>357723</v>
      </c>
      <c r="F1033" s="7">
        <v>1</v>
      </c>
      <c r="G1033" s="7">
        <v>82</v>
      </c>
      <c r="H1033" s="8">
        <v>49</v>
      </c>
      <c r="J1033" t="s">
        <v>23</v>
      </c>
      <c r="K1033" s="7">
        <v>1323</v>
      </c>
      <c r="L1033" s="9">
        <v>1</v>
      </c>
      <c r="M1033" t="s">
        <v>1028</v>
      </c>
      <c r="N1033" t="s">
        <v>83</v>
      </c>
      <c r="O1033" s="27" t="str">
        <f>HYPERLINK("https://www.ncbi.nlm.nih.gov/nuccore/NZ_DF968188.1?report=graph&amp;from=29848&amp;to=29852", "TTA_codon")</f>
        <v>TTA_codon</v>
      </c>
    </row>
    <row r="1034" spans="1:15" x14ac:dyDescent="0.15">
      <c r="A1034" t="s">
        <v>21</v>
      </c>
      <c r="B1034">
        <v>1000088</v>
      </c>
      <c r="C1034">
        <v>362235</v>
      </c>
      <c r="F1034" s="7">
        <v>1</v>
      </c>
      <c r="G1034" s="7">
        <v>82</v>
      </c>
      <c r="H1034" s="8">
        <v>49</v>
      </c>
      <c r="J1034" t="s">
        <v>23</v>
      </c>
      <c r="K1034" s="7">
        <v>1293</v>
      </c>
      <c r="L1034" s="9">
        <v>1</v>
      </c>
      <c r="M1034" t="s">
        <v>39</v>
      </c>
      <c r="N1034" t="s">
        <v>40</v>
      </c>
      <c r="O1034" s="27" t="str">
        <f>HYPERLINK("https://www.ncbi.nlm.nih.gov/nuccore/NZ_CP017157.1?report=graph&amp;from=4559762&amp;to=4559766", "TTA_codon")</f>
        <v>TTA_codon</v>
      </c>
    </row>
    <row r="1035" spans="1:15" x14ac:dyDescent="0.15">
      <c r="A1035" t="s">
        <v>21</v>
      </c>
      <c r="B1035">
        <v>1000088</v>
      </c>
      <c r="C1035">
        <v>363607</v>
      </c>
      <c r="F1035" s="7">
        <v>1</v>
      </c>
      <c r="G1035" s="7">
        <v>94</v>
      </c>
      <c r="H1035" s="8">
        <v>79</v>
      </c>
      <c r="J1035" t="s">
        <v>23</v>
      </c>
      <c r="K1035" s="7">
        <v>1410</v>
      </c>
      <c r="L1035" s="9">
        <v>1</v>
      </c>
      <c r="M1035" t="s">
        <v>101</v>
      </c>
      <c r="N1035" t="s">
        <v>102</v>
      </c>
      <c r="O1035" s="27" t="str">
        <f>HYPERLINK("https://www.ncbi.nlm.nih.gov/nuccore/NZ_CP019458.1?report=graph&amp;from=4702472&amp;to=4702476", "TTA_codon")</f>
        <v>TTA_codon</v>
      </c>
    </row>
    <row r="1036" spans="1:15" x14ac:dyDescent="0.15">
      <c r="A1036" t="s">
        <v>21</v>
      </c>
      <c r="B1036" t="s">
        <v>1029</v>
      </c>
    </row>
    <row r="1037" spans="1:15" x14ac:dyDescent="0.15">
      <c r="A1037" t="s">
        <v>21</v>
      </c>
      <c r="B1037">
        <v>1000979</v>
      </c>
      <c r="C1037">
        <v>353826</v>
      </c>
      <c r="F1037" s="7">
        <v>1</v>
      </c>
      <c r="G1037" s="7">
        <v>82</v>
      </c>
      <c r="H1037" s="8">
        <v>82</v>
      </c>
      <c r="J1037" t="s">
        <v>23</v>
      </c>
      <c r="K1037" s="7">
        <v>657</v>
      </c>
      <c r="L1037" s="9">
        <v>1</v>
      </c>
      <c r="M1037" t="s">
        <v>1030</v>
      </c>
      <c r="N1037" t="s">
        <v>246</v>
      </c>
      <c r="O1037" s="27" t="str">
        <f>HYPERLINK("https://www.ncbi.nlm.nih.gov/nuccore/NZ_JNYR01000018.1?report=graph&amp;from=123274&amp;to=123278", "TTA_codon")</f>
        <v>TTA_codon</v>
      </c>
    </row>
    <row r="1038" spans="1:15" x14ac:dyDescent="0.15">
      <c r="A1038" t="s">
        <v>21</v>
      </c>
      <c r="B1038">
        <v>1000979</v>
      </c>
      <c r="C1038">
        <v>354108</v>
      </c>
      <c r="F1038" s="7">
        <v>1</v>
      </c>
      <c r="G1038" s="7">
        <v>73</v>
      </c>
      <c r="H1038" s="8">
        <v>73</v>
      </c>
      <c r="J1038" t="s">
        <v>23</v>
      </c>
      <c r="K1038" s="7">
        <v>654</v>
      </c>
      <c r="L1038" s="9">
        <v>1</v>
      </c>
      <c r="M1038" t="s">
        <v>1031</v>
      </c>
      <c r="N1038" t="s">
        <v>270</v>
      </c>
      <c r="O1038" s="27" t="str">
        <f>HYPERLINK("https://www.ncbi.nlm.nih.gov/nuccore/NZ_JOBH01000001.1?report=graph&amp;from=630328&amp;to=630332", "TTA_codon")</f>
        <v>TTA_codon</v>
      </c>
    </row>
    <row r="1039" spans="1:15" x14ac:dyDescent="0.15">
      <c r="A1039" t="s">
        <v>21</v>
      </c>
      <c r="B1039" t="s">
        <v>1032</v>
      </c>
    </row>
    <row r="1040" spans="1:15" x14ac:dyDescent="0.15">
      <c r="A1040" t="s">
        <v>21</v>
      </c>
      <c r="B1040">
        <v>1000831</v>
      </c>
      <c r="C1040">
        <v>352390</v>
      </c>
      <c r="F1040" s="7">
        <v>1</v>
      </c>
      <c r="G1040" s="7">
        <v>604</v>
      </c>
      <c r="H1040" s="8">
        <v>541</v>
      </c>
      <c r="J1040" t="s">
        <v>23</v>
      </c>
      <c r="K1040" s="7">
        <v>1152</v>
      </c>
      <c r="L1040" s="9">
        <v>1</v>
      </c>
      <c r="M1040" t="s">
        <v>30</v>
      </c>
      <c r="N1040" t="s">
        <v>31</v>
      </c>
      <c r="O1040" s="27" t="str">
        <f>HYPERLINK("https://www.ncbi.nlm.nih.gov/nuccore/NZ_KB913030.1?report=graph&amp;from=5776886&amp;to=5776890", "TTA_codon")</f>
        <v>TTA_codon</v>
      </c>
    </row>
    <row r="1041" spans="1:15" x14ac:dyDescent="0.15">
      <c r="A1041" t="s">
        <v>21</v>
      </c>
      <c r="B1041">
        <v>1000831</v>
      </c>
      <c r="C1041">
        <v>354810</v>
      </c>
      <c r="F1041" s="7">
        <v>1</v>
      </c>
      <c r="G1041" s="7">
        <v>460</v>
      </c>
      <c r="H1041" s="8">
        <v>460</v>
      </c>
      <c r="J1041" t="s">
        <v>23</v>
      </c>
      <c r="K1041" s="7">
        <v>1194</v>
      </c>
      <c r="L1041" s="9">
        <v>1</v>
      </c>
      <c r="M1041" t="s">
        <v>1033</v>
      </c>
      <c r="N1041" t="s">
        <v>25</v>
      </c>
      <c r="O1041" s="27" t="str">
        <f>HYPERLINK("https://www.ncbi.nlm.nih.gov/nuccore/NZ_JOFU01000010.1?report=graph&amp;from=133110&amp;to=133114", "TTA_codon")</f>
        <v>TTA_codon</v>
      </c>
    </row>
    <row r="1042" spans="1:15" x14ac:dyDescent="0.15">
      <c r="A1042" t="s">
        <v>21</v>
      </c>
      <c r="B1042" t="s">
        <v>1034</v>
      </c>
    </row>
    <row r="1043" spans="1:15" x14ac:dyDescent="0.15">
      <c r="A1043" t="s">
        <v>21</v>
      </c>
      <c r="B1043">
        <v>1001373</v>
      </c>
      <c r="C1043">
        <v>347871</v>
      </c>
      <c r="F1043" s="7">
        <v>1</v>
      </c>
      <c r="G1043" s="7">
        <v>88</v>
      </c>
      <c r="H1043" s="8">
        <v>37</v>
      </c>
      <c r="J1043" t="s">
        <v>23</v>
      </c>
      <c r="K1043" s="7">
        <v>1155</v>
      </c>
      <c r="L1043" s="9">
        <v>1</v>
      </c>
      <c r="M1043" t="s">
        <v>57</v>
      </c>
      <c r="N1043" t="s">
        <v>58</v>
      </c>
      <c r="O1043" s="27" t="str">
        <f>HYPERLINK("https://www.ncbi.nlm.nih.gov/nuccore/NC_013929.1?report=graph&amp;from=9994989&amp;to=9994993", "TTA_codon")</f>
        <v>TTA_codon</v>
      </c>
    </row>
    <row r="1044" spans="1:15" x14ac:dyDescent="0.15">
      <c r="A1044" t="s">
        <v>21</v>
      </c>
      <c r="B1044">
        <v>1001373</v>
      </c>
      <c r="C1044">
        <v>361464</v>
      </c>
      <c r="F1044" s="7">
        <v>1</v>
      </c>
      <c r="G1044" s="7">
        <v>211</v>
      </c>
      <c r="H1044" s="8">
        <v>211</v>
      </c>
      <c r="J1044" t="s">
        <v>23</v>
      </c>
      <c r="K1044" s="7">
        <v>1251</v>
      </c>
      <c r="L1044" s="9">
        <v>1</v>
      </c>
      <c r="M1044" t="s">
        <v>200</v>
      </c>
      <c r="N1044" t="s">
        <v>201</v>
      </c>
      <c r="O1044" s="27" t="str">
        <f>HYPERLINK("https://www.ncbi.nlm.nih.gov/nuccore/NZ_CP016559.1?report=graph&amp;from=6802236&amp;to=6802240", "TTA_codon")</f>
        <v>TTA_codon</v>
      </c>
    </row>
    <row r="1045" spans="1:15" x14ac:dyDescent="0.15">
      <c r="A1045" t="s">
        <v>195</v>
      </c>
      <c r="B1045" t="s">
        <v>1035</v>
      </c>
    </row>
    <row r="1046" spans="1:15" x14ac:dyDescent="0.15">
      <c r="A1046" t="s">
        <v>195</v>
      </c>
      <c r="B1046">
        <v>1000076</v>
      </c>
      <c r="C1046">
        <v>346453</v>
      </c>
      <c r="F1046" s="7">
        <v>1</v>
      </c>
      <c r="G1046" s="7">
        <v>247</v>
      </c>
      <c r="H1046" s="8">
        <v>244</v>
      </c>
      <c r="J1046" t="s">
        <v>23</v>
      </c>
      <c r="K1046" s="7">
        <v>894</v>
      </c>
      <c r="L1046" s="9">
        <v>1</v>
      </c>
      <c r="M1046" t="s">
        <v>524</v>
      </c>
      <c r="N1046" t="s">
        <v>295</v>
      </c>
      <c r="O1046" s="27" t="str">
        <f>HYPERLINK("https://www.ncbi.nlm.nih.gov/nuccore/NZ_JODL01000017.1?report=graph&amp;from=106111&amp;to=106115", "TTA_codon")</f>
        <v>TTA_codon</v>
      </c>
    </row>
    <row r="1047" spans="1:15" x14ac:dyDescent="0.15">
      <c r="A1047" t="s">
        <v>21</v>
      </c>
      <c r="B1047">
        <v>1000076</v>
      </c>
      <c r="C1047">
        <v>348518</v>
      </c>
      <c r="F1047" s="7">
        <v>1</v>
      </c>
      <c r="G1047" s="7">
        <v>310</v>
      </c>
      <c r="H1047" s="8">
        <v>295</v>
      </c>
      <c r="J1047" t="s">
        <v>23</v>
      </c>
      <c r="K1047" s="7">
        <v>882</v>
      </c>
      <c r="L1047" s="9">
        <v>1</v>
      </c>
      <c r="M1047" t="s">
        <v>1036</v>
      </c>
      <c r="N1047" t="s">
        <v>62</v>
      </c>
      <c r="O1047" s="27" t="str">
        <f>HYPERLINK("https://www.ncbi.nlm.nih.gov/nuccore/NZ_DS999642.1?report=graph&amp;from=104288&amp;to=104292", "TTA_codon")</f>
        <v>TTA_codon</v>
      </c>
    </row>
    <row r="1048" spans="1:15" x14ac:dyDescent="0.15">
      <c r="A1048" t="s">
        <v>21</v>
      </c>
      <c r="B1048">
        <v>1000076</v>
      </c>
      <c r="C1048">
        <v>363100</v>
      </c>
      <c r="F1048" s="7">
        <v>1</v>
      </c>
      <c r="G1048" s="7">
        <v>154</v>
      </c>
      <c r="H1048" s="8">
        <v>139</v>
      </c>
      <c r="J1048" t="s">
        <v>23</v>
      </c>
      <c r="K1048" s="7">
        <v>879</v>
      </c>
      <c r="L1048" s="9">
        <v>1</v>
      </c>
      <c r="M1048" t="s">
        <v>400</v>
      </c>
      <c r="N1048" t="s">
        <v>401</v>
      </c>
      <c r="O1048" s="27" t="str">
        <f>HYPERLINK("https://www.ncbi.nlm.nih.gov/nuccore/NZ_LFBV01000005.1?report=graph&amp;from=523880&amp;to=523884", "TTA_codon")</f>
        <v>TTA_codon</v>
      </c>
    </row>
    <row r="1049" spans="1:15" x14ac:dyDescent="0.15">
      <c r="A1049" t="s">
        <v>21</v>
      </c>
      <c r="B1049" t="s">
        <v>1037</v>
      </c>
    </row>
    <row r="1050" spans="1:15" x14ac:dyDescent="0.15">
      <c r="A1050" t="s">
        <v>21</v>
      </c>
      <c r="B1050">
        <v>1001109</v>
      </c>
      <c r="C1050">
        <v>355673</v>
      </c>
      <c r="F1050" s="7">
        <v>1</v>
      </c>
      <c r="G1050" s="7">
        <v>790</v>
      </c>
      <c r="H1050" s="8">
        <v>790</v>
      </c>
      <c r="J1050" t="s">
        <v>23</v>
      </c>
      <c r="K1050" s="7">
        <v>1893</v>
      </c>
      <c r="L1050" s="9">
        <v>-1</v>
      </c>
      <c r="M1050" t="s">
        <v>1038</v>
      </c>
      <c r="N1050" t="s">
        <v>278</v>
      </c>
      <c r="O1050" s="27" t="str">
        <f>HYPERLINK("https://www.ncbi.nlm.nih.gov/nuccore/NZ_JOID01000028.1?report=graph&amp;from=68936&amp;to=68940", "TTA_codon")</f>
        <v>TTA_codon</v>
      </c>
    </row>
    <row r="1051" spans="1:15" x14ac:dyDescent="0.15">
      <c r="A1051" t="s">
        <v>21</v>
      </c>
      <c r="B1051">
        <v>1001109</v>
      </c>
      <c r="C1051">
        <v>366109</v>
      </c>
      <c r="F1051" s="7">
        <v>1</v>
      </c>
      <c r="G1051" s="7">
        <v>664</v>
      </c>
      <c r="H1051" s="8">
        <v>538</v>
      </c>
      <c r="J1051" t="s">
        <v>23</v>
      </c>
      <c r="K1051" s="7">
        <v>1848</v>
      </c>
      <c r="L1051" s="9">
        <v>-1</v>
      </c>
      <c r="M1051" t="s">
        <v>1039</v>
      </c>
      <c r="N1051" t="s">
        <v>257</v>
      </c>
      <c r="O1051" s="27" t="str">
        <f>HYPERLINK("https://www.ncbi.nlm.nih.gov/nuccore/NZ_FOET01000020.1?report=graph&amp;from=105760&amp;to=105764", "TTA_codon")</f>
        <v>TTA_codon</v>
      </c>
    </row>
    <row r="1052" spans="1:15" x14ac:dyDescent="0.15">
      <c r="A1052" t="s">
        <v>195</v>
      </c>
      <c r="B1052" t="s">
        <v>1040</v>
      </c>
    </row>
    <row r="1053" spans="1:15" x14ac:dyDescent="0.15">
      <c r="A1053" t="s">
        <v>195</v>
      </c>
      <c r="B1053">
        <v>1000093</v>
      </c>
      <c r="C1053">
        <v>346371</v>
      </c>
      <c r="F1053" s="7">
        <v>1</v>
      </c>
      <c r="G1053" s="7">
        <v>2170</v>
      </c>
      <c r="H1053" s="8">
        <v>976</v>
      </c>
      <c r="J1053" t="s">
        <v>23</v>
      </c>
      <c r="K1053" s="7">
        <v>2721</v>
      </c>
      <c r="L1053" s="9">
        <v>-1</v>
      </c>
      <c r="M1053" t="s">
        <v>787</v>
      </c>
      <c r="N1053" t="s">
        <v>246</v>
      </c>
      <c r="O1053" s="27" t="str">
        <f>HYPERLINK("https://www.ncbi.nlm.nih.gov/nuccore/NZ_JNYR01000029.1?report=graph&amp;from=6356&amp;to=6360", "TTA_codon")</f>
        <v>TTA_codon</v>
      </c>
    </row>
    <row r="1054" spans="1:15" x14ac:dyDescent="0.15">
      <c r="A1054" t="s">
        <v>195</v>
      </c>
      <c r="B1054">
        <v>1000093</v>
      </c>
      <c r="C1054">
        <v>346623</v>
      </c>
      <c r="F1054" s="7">
        <v>1</v>
      </c>
      <c r="G1054" s="7">
        <v>112</v>
      </c>
      <c r="H1054" s="8">
        <v>100</v>
      </c>
      <c r="J1054" t="s">
        <v>23</v>
      </c>
      <c r="K1054" s="7">
        <v>2640</v>
      </c>
      <c r="L1054" s="9">
        <v>-1</v>
      </c>
      <c r="M1054" t="s">
        <v>1041</v>
      </c>
      <c r="N1054" t="s">
        <v>83</v>
      </c>
      <c r="O1054" s="27" t="str">
        <f>HYPERLINK("https://www.ncbi.nlm.nih.gov/nuccore/NZ_DF968469.1?report=graph&amp;from=10678&amp;to=10682", "TTA_codon")</f>
        <v>TTA_codon</v>
      </c>
    </row>
    <row r="1055" spans="1:15" x14ac:dyDescent="0.15">
      <c r="A1055" t="s">
        <v>21</v>
      </c>
      <c r="B1055">
        <v>1000093</v>
      </c>
      <c r="C1055">
        <v>350466</v>
      </c>
      <c r="F1055" s="7">
        <v>1</v>
      </c>
      <c r="G1055" s="7">
        <v>2227</v>
      </c>
      <c r="H1055" s="8">
        <v>1132</v>
      </c>
      <c r="J1055" t="s">
        <v>23</v>
      </c>
      <c r="K1055" s="7">
        <v>2094</v>
      </c>
      <c r="L1055" s="9">
        <v>-1</v>
      </c>
      <c r="M1055" t="s">
        <v>1042</v>
      </c>
      <c r="N1055" t="s">
        <v>134</v>
      </c>
      <c r="O1055" s="27" t="str">
        <f>HYPERLINK("https://www.ncbi.nlm.nih.gov/nuccore/NZ_AJSZ01000951.1?report=graph&amp;from=983&amp;to=987", "TTA_codon")</f>
        <v>TTA_codon</v>
      </c>
    </row>
    <row r="1056" spans="1:15" x14ac:dyDescent="0.15">
      <c r="A1056" t="s">
        <v>21</v>
      </c>
      <c r="B1056">
        <v>1000093</v>
      </c>
      <c r="C1056">
        <v>353971</v>
      </c>
      <c r="F1056" s="7">
        <v>1</v>
      </c>
      <c r="G1056" s="7">
        <v>2344</v>
      </c>
      <c r="H1056" s="8">
        <v>1069</v>
      </c>
      <c r="J1056" t="s">
        <v>23</v>
      </c>
      <c r="K1056" s="7">
        <v>2028</v>
      </c>
      <c r="L1056" s="9">
        <v>-1</v>
      </c>
      <c r="M1056" t="s">
        <v>1043</v>
      </c>
      <c r="N1056" t="s">
        <v>270</v>
      </c>
      <c r="O1056" s="27" t="str">
        <f>HYPERLINK("https://www.ncbi.nlm.nih.gov/nuccore/NZ_JOBH01000003.1?report=graph&amp;from=465779&amp;to=465783", "TTA_codon")</f>
        <v>TTA_codon</v>
      </c>
    </row>
    <row r="1057" spans="1:15" x14ac:dyDescent="0.15">
      <c r="A1057" t="s">
        <v>21</v>
      </c>
      <c r="B1057">
        <v>1000093</v>
      </c>
      <c r="C1057">
        <v>354276</v>
      </c>
      <c r="F1057" s="7">
        <v>1</v>
      </c>
      <c r="G1057" s="7">
        <v>1747</v>
      </c>
      <c r="H1057" s="8">
        <v>1618</v>
      </c>
      <c r="J1057" t="s">
        <v>23</v>
      </c>
      <c r="K1057" s="7">
        <v>3249</v>
      </c>
      <c r="L1057" s="9">
        <v>-1</v>
      </c>
      <c r="M1057" t="s">
        <v>1044</v>
      </c>
      <c r="N1057" t="s">
        <v>142</v>
      </c>
      <c r="O1057" s="27" t="str">
        <f>HYPERLINK("https://www.ncbi.nlm.nih.gov/nuccore/NZ_JOEI01000010.1?report=graph&amp;from=180890&amp;to=180894", "TTA_codon")</f>
        <v>TTA_codon</v>
      </c>
    </row>
    <row r="1058" spans="1:15" x14ac:dyDescent="0.15">
      <c r="A1058" t="s">
        <v>21</v>
      </c>
      <c r="B1058">
        <v>1000093</v>
      </c>
      <c r="C1058">
        <v>356148</v>
      </c>
      <c r="F1058" s="7">
        <v>1</v>
      </c>
      <c r="G1058" s="7">
        <v>2212</v>
      </c>
      <c r="H1058" s="8">
        <v>1261</v>
      </c>
      <c r="J1058" t="s">
        <v>23</v>
      </c>
      <c r="K1058" s="7">
        <v>2502</v>
      </c>
      <c r="L1058" s="9">
        <v>-1</v>
      </c>
      <c r="M1058" t="s">
        <v>340</v>
      </c>
      <c r="N1058" t="s">
        <v>77</v>
      </c>
      <c r="O1058" s="27" t="str">
        <f>HYPERLINK("https://www.ncbi.nlm.nih.gov/nuccore/NZ_JNXD01000002.1?report=graph&amp;from=241870&amp;to=241874", "TTA_codon")</f>
        <v>TTA_codon</v>
      </c>
    </row>
    <row r="1059" spans="1:15" x14ac:dyDescent="0.15">
      <c r="A1059" t="s">
        <v>21</v>
      </c>
      <c r="B1059">
        <v>1000093</v>
      </c>
      <c r="C1059">
        <v>358765</v>
      </c>
      <c r="F1059" s="7">
        <v>1</v>
      </c>
      <c r="G1059" s="7">
        <v>2029</v>
      </c>
      <c r="H1059" s="8">
        <v>865</v>
      </c>
      <c r="J1059" t="s">
        <v>23</v>
      </c>
      <c r="K1059" s="7">
        <v>1784</v>
      </c>
      <c r="L1059" s="9">
        <v>-1</v>
      </c>
      <c r="M1059" t="s">
        <v>1045</v>
      </c>
      <c r="N1059" t="s">
        <v>87</v>
      </c>
      <c r="O1059" s="27" t="str">
        <f>HYPERLINK("https://www.ncbi.nlm.nih.gov/nuccore/NZ_LIQS01000563.1?report=graph&amp;from=929&amp;to=933", "TTA_codon")</f>
        <v>TTA_codon</v>
      </c>
    </row>
    <row r="1060" spans="1:15" x14ac:dyDescent="0.15">
      <c r="A1060" t="s">
        <v>21</v>
      </c>
      <c r="B1060">
        <v>1000093</v>
      </c>
      <c r="C1060">
        <v>362659</v>
      </c>
      <c r="F1060" s="7">
        <v>2</v>
      </c>
      <c r="G1060" s="7" t="s">
        <v>1046</v>
      </c>
      <c r="H1060" s="8" t="s">
        <v>1047</v>
      </c>
      <c r="J1060" t="s">
        <v>23</v>
      </c>
      <c r="K1060" s="7">
        <v>2967</v>
      </c>
      <c r="L1060" s="9">
        <v>-1</v>
      </c>
      <c r="M1060" t="s">
        <v>986</v>
      </c>
      <c r="N1060" t="s">
        <v>985</v>
      </c>
      <c r="O1060" s="27" t="str">
        <f>HYPERLINK("https://www.ncbi.nlm.nih.gov/nuccore/NZ_LJGU01000115.1?report=graph&amp;from=86614&amp;to=88169", "TTA_codon")</f>
        <v>TTA_codon</v>
      </c>
    </row>
    <row r="1061" spans="1:15" x14ac:dyDescent="0.15">
      <c r="A1061" t="s">
        <v>21</v>
      </c>
      <c r="B1061" t="s">
        <v>1048</v>
      </c>
    </row>
    <row r="1062" spans="1:15" x14ac:dyDescent="0.15">
      <c r="A1062" t="s">
        <v>21</v>
      </c>
      <c r="B1062">
        <v>1000247</v>
      </c>
      <c r="C1062">
        <v>347639</v>
      </c>
      <c r="F1062" s="7">
        <v>1</v>
      </c>
      <c r="G1062" s="7">
        <v>892</v>
      </c>
      <c r="H1062" s="8">
        <v>886</v>
      </c>
      <c r="J1062" t="s">
        <v>23</v>
      </c>
      <c r="K1062" s="7">
        <v>1608</v>
      </c>
      <c r="L1062" s="9">
        <v>-1</v>
      </c>
      <c r="M1062" t="s">
        <v>55</v>
      </c>
      <c r="N1062" t="s">
        <v>56</v>
      </c>
      <c r="O1062" s="27" t="str">
        <f>HYPERLINK("https://www.ncbi.nlm.nih.gov/nuccore/NC_010572.1?report=graph&amp;from=8216620&amp;to=8216624", "TTA_codon")</f>
        <v>TTA_codon</v>
      </c>
    </row>
    <row r="1063" spans="1:15" x14ac:dyDescent="0.15">
      <c r="A1063" t="s">
        <v>21</v>
      </c>
      <c r="B1063">
        <v>1000247</v>
      </c>
      <c r="C1063">
        <v>361640</v>
      </c>
      <c r="F1063" s="7">
        <v>1</v>
      </c>
      <c r="G1063" s="7">
        <v>994</v>
      </c>
      <c r="H1063" s="8">
        <v>994</v>
      </c>
      <c r="J1063" t="s">
        <v>23</v>
      </c>
      <c r="K1063" s="7">
        <v>1614</v>
      </c>
      <c r="L1063" s="9">
        <v>-1</v>
      </c>
      <c r="M1063" t="s">
        <v>37</v>
      </c>
      <c r="N1063" t="s">
        <v>38</v>
      </c>
      <c r="O1063" s="27" t="str">
        <f>HYPERLINK("https://www.ncbi.nlm.nih.gov/nuccore/NZ_CP011533.1?report=graph&amp;from=7688844&amp;to=7688848", "TTA_codon")</f>
        <v>TTA_codon</v>
      </c>
    </row>
    <row r="1064" spans="1:15" x14ac:dyDescent="0.15">
      <c r="A1064" t="s">
        <v>21</v>
      </c>
      <c r="B1064" t="s">
        <v>1049</v>
      </c>
    </row>
    <row r="1065" spans="1:15" x14ac:dyDescent="0.15">
      <c r="A1065" t="s">
        <v>21</v>
      </c>
      <c r="B1065">
        <v>1000341</v>
      </c>
      <c r="C1065">
        <v>348105</v>
      </c>
      <c r="F1065" s="7">
        <v>1</v>
      </c>
      <c r="G1065" s="7">
        <v>382</v>
      </c>
      <c r="H1065" s="8">
        <v>376</v>
      </c>
      <c r="J1065" t="s">
        <v>23</v>
      </c>
      <c r="K1065" s="7">
        <v>3660</v>
      </c>
      <c r="L1065" s="9">
        <v>1</v>
      </c>
      <c r="M1065" t="s">
        <v>59</v>
      </c>
      <c r="N1065" t="s">
        <v>60</v>
      </c>
      <c r="O1065" s="27" t="str">
        <f>HYPERLINK("https://www.ncbi.nlm.nih.gov/nuccore/NC_016582.1?report=graph&amp;from=3516616&amp;to=3516620", "TTA_codon")</f>
        <v>TTA_codon</v>
      </c>
    </row>
    <row r="1066" spans="1:15" x14ac:dyDescent="0.15">
      <c r="A1066" t="s">
        <v>21</v>
      </c>
      <c r="B1066">
        <v>1000341</v>
      </c>
      <c r="C1066">
        <v>360698</v>
      </c>
      <c r="F1066" s="7">
        <v>1</v>
      </c>
      <c r="G1066" s="7">
        <v>520</v>
      </c>
      <c r="H1066" s="8">
        <v>505</v>
      </c>
      <c r="J1066" t="s">
        <v>23</v>
      </c>
      <c r="K1066" s="7">
        <v>3684</v>
      </c>
      <c r="L1066" s="9">
        <v>1</v>
      </c>
      <c r="M1066" t="s">
        <v>1050</v>
      </c>
      <c r="N1066" t="s">
        <v>95</v>
      </c>
      <c r="O1066" s="27" t="str">
        <f>HYPERLINK("https://www.ncbi.nlm.nih.gov/nuccore/NZ_JYIJ01000018.1?report=graph&amp;from=308894&amp;to=308898", "TTA_codon")</f>
        <v>TTA_codon</v>
      </c>
    </row>
    <row r="1067" spans="1:15" x14ac:dyDescent="0.15">
      <c r="A1067" t="s">
        <v>21</v>
      </c>
      <c r="B1067" t="s">
        <v>1051</v>
      </c>
    </row>
    <row r="1068" spans="1:15" x14ac:dyDescent="0.15">
      <c r="A1068" t="s">
        <v>21</v>
      </c>
      <c r="B1068">
        <v>1001135</v>
      </c>
      <c r="C1068">
        <v>348700</v>
      </c>
      <c r="F1068" s="7">
        <v>2</v>
      </c>
      <c r="G1068" s="7" t="s">
        <v>1052</v>
      </c>
      <c r="H1068" s="8" t="s">
        <v>1053</v>
      </c>
      <c r="J1068" t="s">
        <v>23</v>
      </c>
      <c r="K1068" s="7">
        <v>642</v>
      </c>
      <c r="L1068" s="9">
        <v>1</v>
      </c>
      <c r="M1068" t="s">
        <v>211</v>
      </c>
      <c r="N1068" t="s">
        <v>212</v>
      </c>
      <c r="O1068" s="27" t="str">
        <f>HYPERLINK("https://www.ncbi.nlm.nih.gov/nuccore/NZ_GG657754.1?report=graph&amp;from=2370325&amp;to=2370515", "TTA_codon")</f>
        <v>TTA_codon</v>
      </c>
    </row>
    <row r="1069" spans="1:15" x14ac:dyDescent="0.15">
      <c r="A1069" t="s">
        <v>21</v>
      </c>
      <c r="B1069">
        <v>1001135</v>
      </c>
      <c r="C1069">
        <v>356001</v>
      </c>
      <c r="F1069" s="7">
        <v>1</v>
      </c>
      <c r="G1069" s="7">
        <v>376</v>
      </c>
      <c r="H1069" s="8">
        <v>328</v>
      </c>
      <c r="J1069" t="s">
        <v>23</v>
      </c>
      <c r="K1069" s="7">
        <v>633</v>
      </c>
      <c r="L1069" s="9">
        <v>1</v>
      </c>
      <c r="M1069" t="s">
        <v>1054</v>
      </c>
      <c r="N1069" t="s">
        <v>146</v>
      </c>
      <c r="O1069" s="27" t="str">
        <f>HYPERLINK("https://www.ncbi.nlm.nih.gov/nuccore/NZ_JOFH01000013.1?report=graph&amp;from=82206&amp;to=82210", "TTA_codon")</f>
        <v>TTA_codon</v>
      </c>
    </row>
    <row r="1070" spans="1:15" x14ac:dyDescent="0.15">
      <c r="A1070" t="s">
        <v>21</v>
      </c>
      <c r="B1070">
        <v>1001135</v>
      </c>
      <c r="C1070">
        <v>365540</v>
      </c>
      <c r="F1070" s="7">
        <v>2</v>
      </c>
      <c r="G1070" s="7" t="s">
        <v>1052</v>
      </c>
      <c r="H1070" s="8" t="s">
        <v>1052</v>
      </c>
      <c r="J1070" t="s">
        <v>23</v>
      </c>
      <c r="K1070" s="7">
        <v>681</v>
      </c>
      <c r="L1070" s="9">
        <v>1</v>
      </c>
      <c r="M1070" t="s">
        <v>213</v>
      </c>
      <c r="N1070" t="s">
        <v>214</v>
      </c>
      <c r="O1070" s="27" t="str">
        <f>HYPERLINK("https://www.ncbi.nlm.nih.gov/nuccore/NZ_FNST01000002.1?report=graph&amp;from=7966779&amp;to=7966969", "TTA_codon")</f>
        <v>TTA_codon</v>
      </c>
    </row>
    <row r="1071" spans="1:15" x14ac:dyDescent="0.15">
      <c r="A1071" t="s">
        <v>21</v>
      </c>
      <c r="B1071">
        <v>1001135</v>
      </c>
      <c r="C1071">
        <v>366252</v>
      </c>
      <c r="F1071" s="7">
        <v>1</v>
      </c>
      <c r="G1071" s="7">
        <v>376</v>
      </c>
      <c r="H1071" s="8">
        <v>361</v>
      </c>
      <c r="J1071" t="s">
        <v>23</v>
      </c>
      <c r="K1071" s="7">
        <v>666</v>
      </c>
      <c r="L1071" s="9">
        <v>1</v>
      </c>
      <c r="M1071" t="s">
        <v>1055</v>
      </c>
      <c r="N1071" t="s">
        <v>47</v>
      </c>
      <c r="O1071" s="27" t="str">
        <f>HYPERLINK("https://www.ncbi.nlm.nih.gov/nuccore/NZ_FOLM01000025.1?report=graph&amp;from=2028&amp;to=2032", "TTA_codon")</f>
        <v>TTA_codon</v>
      </c>
    </row>
    <row r="1072" spans="1:15" x14ac:dyDescent="0.15">
      <c r="A1072" t="s">
        <v>195</v>
      </c>
      <c r="B1072" t="s">
        <v>1056</v>
      </c>
    </row>
    <row r="1073" spans="1:15" x14ac:dyDescent="0.15">
      <c r="A1073" t="s">
        <v>195</v>
      </c>
      <c r="B1073">
        <v>1000059</v>
      </c>
      <c r="C1073">
        <v>346062</v>
      </c>
      <c r="F1073" s="7">
        <v>1</v>
      </c>
      <c r="G1073" s="7">
        <v>4318</v>
      </c>
      <c r="H1073" s="8">
        <v>4255</v>
      </c>
      <c r="J1073" t="s">
        <v>23</v>
      </c>
      <c r="K1073" s="7">
        <v>17418</v>
      </c>
      <c r="L1073" s="9">
        <v>1</v>
      </c>
      <c r="M1073" t="s">
        <v>59</v>
      </c>
      <c r="N1073" t="s">
        <v>60</v>
      </c>
      <c r="O1073" s="27" t="str">
        <f>HYPERLINK("https://www.ncbi.nlm.nih.gov/nuccore/NC_016582.1?report=graph&amp;from=1030184&amp;to=1030188", "TTA_codon")</f>
        <v>TTA_codon</v>
      </c>
    </row>
    <row r="1074" spans="1:15" x14ac:dyDescent="0.15">
      <c r="A1074" t="s">
        <v>195</v>
      </c>
      <c r="B1074">
        <v>1000059</v>
      </c>
      <c r="C1074">
        <v>346182</v>
      </c>
      <c r="F1074" s="7">
        <v>1</v>
      </c>
      <c r="G1074" s="7">
        <v>15802</v>
      </c>
      <c r="H1074" s="8">
        <v>4639</v>
      </c>
      <c r="J1074" t="s">
        <v>23</v>
      </c>
      <c r="K1074" s="7">
        <v>6927</v>
      </c>
      <c r="L1074" s="9">
        <v>1</v>
      </c>
      <c r="M1074" t="s">
        <v>1057</v>
      </c>
      <c r="N1074" t="s">
        <v>134</v>
      </c>
      <c r="O1074" s="27" t="str">
        <f>HYPERLINK("https://www.ncbi.nlm.nih.gov/nuccore/NZ_AJSZ01000908.1?report=graph&amp;from=47554&amp;to=47558", "TTA_codon")</f>
        <v>TTA_codon</v>
      </c>
    </row>
    <row r="1075" spans="1:15" x14ac:dyDescent="0.15">
      <c r="A1075" t="s">
        <v>195</v>
      </c>
      <c r="B1075">
        <v>1000059</v>
      </c>
      <c r="C1075">
        <v>346300</v>
      </c>
      <c r="F1075" s="7">
        <v>1</v>
      </c>
      <c r="G1075" s="7">
        <v>5506</v>
      </c>
      <c r="H1075" s="8">
        <v>1321</v>
      </c>
      <c r="J1075" t="s">
        <v>23</v>
      </c>
      <c r="K1075" s="7">
        <v>19182</v>
      </c>
      <c r="L1075" s="9">
        <v>1</v>
      </c>
      <c r="M1075" t="s">
        <v>217</v>
      </c>
      <c r="N1075" t="s">
        <v>218</v>
      </c>
      <c r="O1075" s="27" t="str">
        <f>HYPERLINK("https://www.ncbi.nlm.nih.gov/nuccore/NC_021985.1?report=graph&amp;from=7808952&amp;to=7808956", "TTA_codon")</f>
        <v>TTA_codon</v>
      </c>
    </row>
    <row r="1076" spans="1:15" x14ac:dyDescent="0.15">
      <c r="A1076" t="s">
        <v>21</v>
      </c>
      <c r="B1076">
        <v>1000059</v>
      </c>
      <c r="C1076">
        <v>359667</v>
      </c>
      <c r="F1076" s="7">
        <v>2</v>
      </c>
      <c r="G1076" s="7" t="s">
        <v>1058</v>
      </c>
      <c r="H1076" s="8" t="s">
        <v>1059</v>
      </c>
      <c r="J1076" t="s">
        <v>23</v>
      </c>
      <c r="K1076" s="7">
        <v>10380</v>
      </c>
      <c r="L1076" s="9">
        <v>1</v>
      </c>
      <c r="M1076" t="s">
        <v>1060</v>
      </c>
      <c r="N1076" t="s">
        <v>651</v>
      </c>
      <c r="O1076" s="27" t="str">
        <f>HYPERLINK("https://www.ncbi.nlm.nih.gov/nuccore/NZ_LN929764.1?report=graph&amp;from=3354&amp;to=5887", "TTA_codon")</f>
        <v>TTA_codon</v>
      </c>
    </row>
    <row r="1077" spans="1:15" x14ac:dyDescent="0.15">
      <c r="A1077" t="s">
        <v>21</v>
      </c>
      <c r="B1077" t="s">
        <v>1061</v>
      </c>
    </row>
    <row r="1078" spans="1:15" x14ac:dyDescent="0.15">
      <c r="A1078" t="s">
        <v>21</v>
      </c>
      <c r="B1078">
        <v>1000521</v>
      </c>
      <c r="C1078">
        <v>349532</v>
      </c>
      <c r="F1078" s="7">
        <v>1</v>
      </c>
      <c r="G1078" s="7">
        <v>472</v>
      </c>
      <c r="H1078" s="8">
        <v>469</v>
      </c>
      <c r="J1078" t="s">
        <v>23</v>
      </c>
      <c r="K1078" s="7">
        <v>1989</v>
      </c>
      <c r="L1078" s="9">
        <v>-1</v>
      </c>
      <c r="M1078" t="s">
        <v>1062</v>
      </c>
      <c r="N1078" t="s">
        <v>64</v>
      </c>
      <c r="O1078" s="27" t="str">
        <f>HYPERLINK("https://www.ncbi.nlm.nih.gov/nuccore/NZ_AEYX01000004.1?report=graph&amp;from=37882&amp;to=37886", "TTA_codon")</f>
        <v>TTA_codon</v>
      </c>
    </row>
    <row r="1079" spans="1:15" x14ac:dyDescent="0.15">
      <c r="A1079" t="s">
        <v>21</v>
      </c>
      <c r="B1079">
        <v>1000521</v>
      </c>
      <c r="C1079">
        <v>360442</v>
      </c>
      <c r="F1079" s="7">
        <v>1</v>
      </c>
      <c r="G1079" s="7">
        <v>580</v>
      </c>
      <c r="H1079" s="8">
        <v>574</v>
      </c>
      <c r="J1079" t="s">
        <v>23</v>
      </c>
      <c r="K1079" s="7">
        <v>1803</v>
      </c>
      <c r="L1079" s="9">
        <v>-1</v>
      </c>
      <c r="M1079" t="s">
        <v>121</v>
      </c>
      <c r="N1079" t="s">
        <v>122</v>
      </c>
      <c r="O1079" s="27" t="str">
        <f>HYPERLINK("https://www.ncbi.nlm.nih.gov/nuccore/NZ_CP016279.1?report=graph&amp;from=5995982&amp;to=5995986", "TTA_codon")</f>
        <v>TTA_codon</v>
      </c>
    </row>
    <row r="1080" spans="1:15" x14ac:dyDescent="0.15">
      <c r="A1080" t="s">
        <v>195</v>
      </c>
      <c r="B1080" t="s">
        <v>1063</v>
      </c>
    </row>
    <row r="1081" spans="1:15" x14ac:dyDescent="0.15">
      <c r="A1081" t="s">
        <v>195</v>
      </c>
      <c r="B1081">
        <v>1000142</v>
      </c>
      <c r="C1081">
        <v>346998</v>
      </c>
      <c r="F1081" s="7">
        <v>1</v>
      </c>
      <c r="G1081" s="7">
        <v>796</v>
      </c>
      <c r="H1081" s="8">
        <v>670</v>
      </c>
      <c r="J1081" t="s">
        <v>23</v>
      </c>
      <c r="K1081" s="7">
        <v>870</v>
      </c>
      <c r="L1081" s="9">
        <v>-1</v>
      </c>
      <c r="M1081" t="s">
        <v>254</v>
      </c>
      <c r="N1081" t="s">
        <v>255</v>
      </c>
      <c r="O1081" s="27" t="str">
        <f>HYPERLINK("https://www.ncbi.nlm.nih.gov/nuccore/NZ_CP018047.1?report=graph&amp;from=3405018&amp;to=3405022", "TTA_codon")</f>
        <v>TTA_codon</v>
      </c>
    </row>
    <row r="1082" spans="1:15" x14ac:dyDescent="0.15">
      <c r="A1082" t="s">
        <v>21</v>
      </c>
      <c r="B1082">
        <v>1000142</v>
      </c>
      <c r="C1082">
        <v>349605</v>
      </c>
      <c r="F1082" s="7">
        <v>1</v>
      </c>
      <c r="G1082" s="7">
        <v>766</v>
      </c>
      <c r="H1082" s="8">
        <v>616</v>
      </c>
      <c r="J1082" t="s">
        <v>23</v>
      </c>
      <c r="K1082" s="7">
        <v>846</v>
      </c>
      <c r="L1082" s="9">
        <v>-1</v>
      </c>
      <c r="M1082" t="s">
        <v>1064</v>
      </c>
      <c r="N1082" t="s">
        <v>335</v>
      </c>
      <c r="O1082" s="27" t="str">
        <f>HYPERLINK("https://www.ncbi.nlm.nih.gov/nuccore/NZ_AGBF01000008.1?report=graph&amp;from=34803&amp;to=34807", "TTA_codon")</f>
        <v>TTA_codon</v>
      </c>
    </row>
    <row r="1083" spans="1:15" x14ac:dyDescent="0.15">
      <c r="A1083" t="s">
        <v>21</v>
      </c>
      <c r="B1083">
        <v>1000142</v>
      </c>
      <c r="C1083">
        <v>352572</v>
      </c>
      <c r="F1083" s="7">
        <v>2</v>
      </c>
      <c r="G1083" s="7" t="s">
        <v>1065</v>
      </c>
      <c r="H1083" s="8" t="s">
        <v>1066</v>
      </c>
      <c r="J1083" t="s">
        <v>23</v>
      </c>
      <c r="K1083" s="7">
        <v>744</v>
      </c>
      <c r="L1083" s="9">
        <v>-1</v>
      </c>
      <c r="M1083" t="s">
        <v>1067</v>
      </c>
      <c r="N1083" t="s">
        <v>436</v>
      </c>
      <c r="O1083" s="27" t="str">
        <f>HYPERLINK("https://www.ncbi.nlm.nih.gov/nuccore/NZ_AUBE01000001.1?report=graph&amp;from=191504&amp;to=191751", "TTA_codon")</f>
        <v>TTA_codon</v>
      </c>
    </row>
    <row r="1084" spans="1:15" x14ac:dyDescent="0.15">
      <c r="A1084" t="s">
        <v>21</v>
      </c>
      <c r="B1084">
        <v>1000142</v>
      </c>
      <c r="C1084">
        <v>353733</v>
      </c>
      <c r="F1084" s="7">
        <v>1</v>
      </c>
      <c r="G1084" s="7">
        <v>646</v>
      </c>
      <c r="H1084" s="8">
        <v>616</v>
      </c>
      <c r="J1084" t="s">
        <v>23</v>
      </c>
      <c r="K1084" s="7">
        <v>978</v>
      </c>
      <c r="L1084" s="9">
        <v>-1</v>
      </c>
      <c r="M1084" t="s">
        <v>1068</v>
      </c>
      <c r="N1084" t="s">
        <v>246</v>
      </c>
      <c r="O1084" s="27" t="str">
        <f>HYPERLINK("https://www.ncbi.nlm.nih.gov/nuccore/NZ_JNYR01000042.1?report=graph&amp;from=25396&amp;to=25400", "TTA_codon")</f>
        <v>TTA_codon</v>
      </c>
    </row>
    <row r="1085" spans="1:15" x14ac:dyDescent="0.15">
      <c r="A1085" t="s">
        <v>21</v>
      </c>
      <c r="B1085" t="s">
        <v>1069</v>
      </c>
    </row>
    <row r="1086" spans="1:15" x14ac:dyDescent="0.15">
      <c r="A1086" t="s">
        <v>21</v>
      </c>
      <c r="B1086">
        <v>1000541</v>
      </c>
      <c r="C1086">
        <v>349731</v>
      </c>
      <c r="F1086" s="7">
        <v>1</v>
      </c>
      <c r="G1086" s="7">
        <v>430</v>
      </c>
      <c r="H1086" s="8">
        <v>427</v>
      </c>
      <c r="J1086" t="s">
        <v>23</v>
      </c>
      <c r="K1086" s="7">
        <v>759</v>
      </c>
      <c r="L1086" s="9">
        <v>1</v>
      </c>
      <c r="M1086" t="s">
        <v>265</v>
      </c>
      <c r="N1086" t="s">
        <v>266</v>
      </c>
      <c r="O1086" s="27" t="str">
        <f>HYPERLINK("https://www.ncbi.nlm.nih.gov/nuccore/NC_017586.1?report=graph&amp;from=994092&amp;to=994096", "TTA_codon")</f>
        <v>TTA_codon</v>
      </c>
    </row>
    <row r="1087" spans="1:15" x14ac:dyDescent="0.15">
      <c r="A1087" t="s">
        <v>21</v>
      </c>
      <c r="B1087">
        <v>1000541</v>
      </c>
      <c r="C1087">
        <v>349792</v>
      </c>
      <c r="F1087" s="7">
        <v>1</v>
      </c>
      <c r="G1087" s="7">
        <v>430</v>
      </c>
      <c r="H1087" s="8">
        <v>430</v>
      </c>
      <c r="J1087" t="s">
        <v>23</v>
      </c>
      <c r="K1087" s="7">
        <v>474</v>
      </c>
      <c r="L1087" s="9">
        <v>1</v>
      </c>
      <c r="M1087" t="s">
        <v>265</v>
      </c>
      <c r="N1087" t="s">
        <v>266</v>
      </c>
      <c r="O1087" s="27" t="str">
        <f>HYPERLINK("https://www.ncbi.nlm.nih.gov/nuccore/NC_017586.1?report=graph&amp;from=1821350&amp;to=1821354", "TTA_codon")</f>
        <v>TTA_codon</v>
      </c>
    </row>
    <row r="1088" spans="1:15" x14ac:dyDescent="0.15">
      <c r="A1088" t="s">
        <v>21</v>
      </c>
      <c r="B1088" t="s">
        <v>1070</v>
      </c>
    </row>
    <row r="1089" spans="1:15" x14ac:dyDescent="0.15">
      <c r="A1089" t="s">
        <v>21</v>
      </c>
      <c r="B1089">
        <v>1001067</v>
      </c>
      <c r="C1089">
        <v>351105</v>
      </c>
      <c r="F1089" s="7">
        <v>1</v>
      </c>
      <c r="G1089" s="7">
        <v>3571</v>
      </c>
      <c r="H1089" s="8">
        <v>3475</v>
      </c>
      <c r="J1089" t="s">
        <v>23</v>
      </c>
      <c r="K1089" s="7">
        <v>3702</v>
      </c>
      <c r="L1089" s="9">
        <v>-1</v>
      </c>
      <c r="M1089" t="s">
        <v>1071</v>
      </c>
      <c r="N1089" t="s">
        <v>136</v>
      </c>
      <c r="O1089" s="27" t="str">
        <f>HYPERLINK("https://www.ncbi.nlm.nih.gov/nuccore/NZ_AORZ01000081.1?report=graph&amp;from=5697&amp;to=5701", "TTA_codon")</f>
        <v>TTA_codon</v>
      </c>
    </row>
    <row r="1090" spans="1:15" x14ac:dyDescent="0.15">
      <c r="A1090" t="s">
        <v>21</v>
      </c>
      <c r="B1090">
        <v>1001067</v>
      </c>
      <c r="C1090">
        <v>355142</v>
      </c>
      <c r="F1090" s="7">
        <v>4</v>
      </c>
      <c r="G1090" s="7" t="s">
        <v>1072</v>
      </c>
      <c r="H1090" s="8" t="s">
        <v>1073</v>
      </c>
      <c r="J1090" t="s">
        <v>23</v>
      </c>
      <c r="K1090" s="7">
        <v>3147</v>
      </c>
      <c r="L1090" s="9">
        <v>-1</v>
      </c>
      <c r="M1090" t="s">
        <v>1074</v>
      </c>
      <c r="N1090" t="s">
        <v>433</v>
      </c>
      <c r="O1090" s="27" t="str">
        <f>HYPERLINK("https://www.ncbi.nlm.nih.gov/nuccore/NZ_JOBF01000018.1?report=graph&amp;from=80939&amp;to=81453", "TTA_codon")</f>
        <v>TTA_codon</v>
      </c>
    </row>
    <row r="1091" spans="1:15" x14ac:dyDescent="0.15">
      <c r="A1091" t="s">
        <v>21</v>
      </c>
      <c r="B1091" t="s">
        <v>1075</v>
      </c>
    </row>
    <row r="1092" spans="1:15" x14ac:dyDescent="0.15">
      <c r="A1092" t="s">
        <v>21</v>
      </c>
      <c r="B1092">
        <v>1000559</v>
      </c>
      <c r="C1092">
        <v>349883</v>
      </c>
      <c r="F1092" s="7">
        <v>1</v>
      </c>
      <c r="G1092" s="7">
        <v>391</v>
      </c>
      <c r="H1092" s="8">
        <v>376</v>
      </c>
      <c r="J1092" t="s">
        <v>23</v>
      </c>
      <c r="K1092" s="7">
        <v>522</v>
      </c>
      <c r="L1092" s="9">
        <v>1</v>
      </c>
      <c r="M1092" t="s">
        <v>265</v>
      </c>
      <c r="N1092" t="s">
        <v>266</v>
      </c>
      <c r="O1092" s="27" t="str">
        <f>HYPERLINK("https://www.ncbi.nlm.nih.gov/nuccore/NC_017586.1?report=graph&amp;from=4362966&amp;to=4362970", "TTA_codon")</f>
        <v>TTA_codon</v>
      </c>
    </row>
    <row r="1093" spans="1:15" x14ac:dyDescent="0.15">
      <c r="A1093" t="s">
        <v>21</v>
      </c>
      <c r="B1093">
        <v>1000559</v>
      </c>
      <c r="C1093">
        <v>352213</v>
      </c>
      <c r="F1093" s="7">
        <v>1</v>
      </c>
      <c r="G1093" s="7">
        <v>391</v>
      </c>
      <c r="H1093" s="8">
        <v>391</v>
      </c>
      <c r="J1093" t="s">
        <v>23</v>
      </c>
      <c r="K1093" s="7">
        <v>579</v>
      </c>
      <c r="L1093" s="9">
        <v>1</v>
      </c>
      <c r="M1093" t="s">
        <v>1076</v>
      </c>
      <c r="N1093" t="s">
        <v>70</v>
      </c>
      <c r="O1093" s="27" t="str">
        <f>HYPERLINK("https://www.ncbi.nlm.nih.gov/nuccore/NZ_KB904670.1?report=graph&amp;from=18408&amp;to=18412", "TTA_codon")</f>
        <v>TTA_codon</v>
      </c>
    </row>
    <row r="1094" spans="1:15" x14ac:dyDescent="0.15">
      <c r="A1094" t="s">
        <v>195</v>
      </c>
      <c r="B1094" t="s">
        <v>1077</v>
      </c>
    </row>
    <row r="1095" spans="1:15" x14ac:dyDescent="0.15">
      <c r="A1095" t="s">
        <v>195</v>
      </c>
      <c r="B1095">
        <v>1000095</v>
      </c>
      <c r="C1095">
        <v>346632</v>
      </c>
      <c r="F1095" s="7">
        <v>1</v>
      </c>
      <c r="G1095" s="7">
        <v>247</v>
      </c>
      <c r="H1095" s="8">
        <v>247</v>
      </c>
      <c r="J1095" t="s">
        <v>23</v>
      </c>
      <c r="K1095" s="7">
        <v>1098</v>
      </c>
      <c r="L1095" s="9">
        <v>-1</v>
      </c>
      <c r="M1095" t="s">
        <v>261</v>
      </c>
      <c r="N1095" t="s">
        <v>262</v>
      </c>
      <c r="O1095" s="27" t="str">
        <f>HYPERLINK("https://www.ncbi.nlm.nih.gov/nuccore/NZ_CP011340.1?report=graph&amp;from=4468440&amp;to=4468444", "TTA_codon")</f>
        <v>TTA_codon</v>
      </c>
    </row>
    <row r="1096" spans="1:15" x14ac:dyDescent="0.15">
      <c r="A1096" t="s">
        <v>195</v>
      </c>
      <c r="B1096">
        <v>1000095</v>
      </c>
      <c r="C1096">
        <v>346683</v>
      </c>
      <c r="F1096" s="7">
        <v>1</v>
      </c>
      <c r="G1096" s="7">
        <v>493</v>
      </c>
      <c r="H1096" s="8">
        <v>484</v>
      </c>
      <c r="J1096" t="s">
        <v>23</v>
      </c>
      <c r="K1096" s="7">
        <v>1098</v>
      </c>
      <c r="L1096" s="9">
        <v>-1</v>
      </c>
      <c r="M1096" t="s">
        <v>1078</v>
      </c>
      <c r="N1096" t="s">
        <v>451</v>
      </c>
      <c r="O1096" s="27" t="str">
        <f>HYPERLINK("https://www.ncbi.nlm.nih.gov/nuccore/NZ_LIQZ01000007.1?report=graph&amp;from=15447&amp;to=15451", "TTA_codon")</f>
        <v>TTA_codon</v>
      </c>
    </row>
    <row r="1097" spans="1:15" x14ac:dyDescent="0.15">
      <c r="A1097" t="s">
        <v>21</v>
      </c>
      <c r="B1097">
        <v>1000095</v>
      </c>
      <c r="C1097">
        <v>347773</v>
      </c>
      <c r="F1097" s="7">
        <v>1</v>
      </c>
      <c r="G1097" s="7">
        <v>493</v>
      </c>
      <c r="H1097" s="8">
        <v>484</v>
      </c>
      <c r="J1097" t="s">
        <v>23</v>
      </c>
      <c r="K1097" s="7">
        <v>1098</v>
      </c>
      <c r="L1097" s="9">
        <v>-1</v>
      </c>
      <c r="M1097" t="s">
        <v>57</v>
      </c>
      <c r="N1097" t="s">
        <v>58</v>
      </c>
      <c r="O1097" s="27" t="str">
        <f>HYPERLINK("https://www.ncbi.nlm.nih.gov/nuccore/NC_013929.1?report=graph&amp;from=5198550&amp;to=5198554", "TTA_codon")</f>
        <v>TTA_codon</v>
      </c>
    </row>
    <row r="1098" spans="1:15" x14ac:dyDescent="0.15">
      <c r="A1098" t="s">
        <v>21</v>
      </c>
      <c r="B1098">
        <v>1000095</v>
      </c>
      <c r="C1098">
        <v>348512</v>
      </c>
      <c r="F1098" s="7">
        <v>1</v>
      </c>
      <c r="G1098" s="7">
        <v>493</v>
      </c>
      <c r="H1098" s="8">
        <v>484</v>
      </c>
      <c r="J1098" t="s">
        <v>23</v>
      </c>
      <c r="K1098" s="7">
        <v>1098</v>
      </c>
      <c r="L1098" s="9">
        <v>-1</v>
      </c>
      <c r="M1098" t="s">
        <v>61</v>
      </c>
      <c r="N1098" t="s">
        <v>62</v>
      </c>
      <c r="O1098" s="27" t="str">
        <f>HYPERLINK("https://www.ncbi.nlm.nih.gov/nuccore/NZ_DS999641.1?report=graph&amp;from=4026143&amp;to=4026147", "TTA_codon")</f>
        <v>TTA_codon</v>
      </c>
    </row>
    <row r="1099" spans="1:15" x14ac:dyDescent="0.15">
      <c r="A1099" t="s">
        <v>21</v>
      </c>
      <c r="B1099">
        <v>1000095</v>
      </c>
      <c r="C1099">
        <v>348784</v>
      </c>
      <c r="F1099" s="7">
        <v>1</v>
      </c>
      <c r="G1099" s="7">
        <v>61</v>
      </c>
      <c r="H1099" s="8">
        <v>49</v>
      </c>
      <c r="J1099" t="s">
        <v>23</v>
      </c>
      <c r="K1099" s="7">
        <v>1086</v>
      </c>
      <c r="L1099" s="9">
        <v>-1</v>
      </c>
      <c r="M1099" t="s">
        <v>211</v>
      </c>
      <c r="N1099" t="s">
        <v>212</v>
      </c>
      <c r="O1099" s="27" t="str">
        <f>HYPERLINK("https://www.ncbi.nlm.nih.gov/nuccore/NZ_GG657754.1?report=graph&amp;from=5329293&amp;to=5329297", "TTA_codon")</f>
        <v>TTA_codon</v>
      </c>
    </row>
    <row r="1100" spans="1:15" x14ac:dyDescent="0.15">
      <c r="A1100" t="s">
        <v>21</v>
      </c>
      <c r="B1100">
        <v>1000095</v>
      </c>
      <c r="C1100">
        <v>349468</v>
      </c>
      <c r="F1100" s="7">
        <v>1</v>
      </c>
      <c r="G1100" s="7">
        <v>493</v>
      </c>
      <c r="H1100" s="8">
        <v>484</v>
      </c>
      <c r="J1100" t="s">
        <v>23</v>
      </c>
      <c r="K1100" s="7">
        <v>1095</v>
      </c>
      <c r="L1100" s="9">
        <v>-1</v>
      </c>
      <c r="M1100" t="s">
        <v>1079</v>
      </c>
      <c r="N1100" t="s">
        <v>64</v>
      </c>
      <c r="O1100" s="27" t="str">
        <f>HYPERLINK("https://www.ncbi.nlm.nih.gov/nuccore/NZ_AEYX01000038.1?report=graph&amp;from=89611&amp;to=89615", "TTA_codon")</f>
        <v>TTA_codon</v>
      </c>
    </row>
    <row r="1101" spans="1:15" x14ac:dyDescent="0.15">
      <c r="A1101" t="s">
        <v>21</v>
      </c>
      <c r="B1101">
        <v>1000095</v>
      </c>
      <c r="C1101">
        <v>349958</v>
      </c>
      <c r="F1101" s="7">
        <v>1</v>
      </c>
      <c r="G1101" s="7">
        <v>493</v>
      </c>
      <c r="H1101" s="8">
        <v>481</v>
      </c>
      <c r="J1101" t="s">
        <v>23</v>
      </c>
      <c r="K1101" s="7">
        <v>1095</v>
      </c>
      <c r="L1101" s="9">
        <v>-1</v>
      </c>
      <c r="M1101" t="s">
        <v>1080</v>
      </c>
      <c r="N1101" t="s">
        <v>249</v>
      </c>
      <c r="O1101" s="27" t="str">
        <f>HYPERLINK("https://www.ncbi.nlm.nih.gov/nuccore/NZ_AHBF01000043.1?report=graph&amp;from=26915&amp;to=26919", "TTA_codon")</f>
        <v>TTA_codon</v>
      </c>
    </row>
    <row r="1102" spans="1:15" x14ac:dyDescent="0.15">
      <c r="A1102" t="s">
        <v>21</v>
      </c>
      <c r="B1102">
        <v>1000095</v>
      </c>
      <c r="C1102">
        <v>351213</v>
      </c>
      <c r="F1102" s="7">
        <v>1</v>
      </c>
      <c r="G1102" s="7">
        <v>493</v>
      </c>
      <c r="H1102" s="8">
        <v>484</v>
      </c>
      <c r="J1102" t="s">
        <v>23</v>
      </c>
      <c r="K1102" s="7">
        <v>1098</v>
      </c>
      <c r="L1102" s="9">
        <v>-1</v>
      </c>
      <c r="M1102" t="s">
        <v>65</v>
      </c>
      <c r="N1102" t="s">
        <v>66</v>
      </c>
      <c r="O1102" s="27" t="str">
        <f>HYPERLINK("https://www.ncbi.nlm.nih.gov/nuccore/NC_020504.1?report=graph&amp;from=5107916&amp;to=5107920", "TTA_codon")</f>
        <v>TTA_codon</v>
      </c>
    </row>
    <row r="1103" spans="1:15" x14ac:dyDescent="0.15">
      <c r="A1103" t="s">
        <v>21</v>
      </c>
      <c r="B1103">
        <v>1000095</v>
      </c>
      <c r="C1103">
        <v>351773</v>
      </c>
      <c r="F1103" s="7">
        <v>1</v>
      </c>
      <c r="G1103" s="7">
        <v>493</v>
      </c>
      <c r="H1103" s="8">
        <v>484</v>
      </c>
      <c r="J1103" t="s">
        <v>23</v>
      </c>
      <c r="K1103" s="7">
        <v>1098</v>
      </c>
      <c r="L1103" s="9">
        <v>-1</v>
      </c>
      <c r="M1103" t="s">
        <v>600</v>
      </c>
      <c r="N1103" t="s">
        <v>68</v>
      </c>
      <c r="O1103" s="27" t="str">
        <f>HYPERLINK("https://www.ncbi.nlm.nih.gov/nuccore/NZ_BARG01000075.1?report=graph&amp;from=66478&amp;to=66482", "TTA_codon")</f>
        <v>TTA_codon</v>
      </c>
    </row>
    <row r="1104" spans="1:15" x14ac:dyDescent="0.15">
      <c r="A1104" t="s">
        <v>21</v>
      </c>
      <c r="B1104">
        <v>1000095</v>
      </c>
      <c r="C1104">
        <v>354311</v>
      </c>
      <c r="F1104" s="7">
        <v>1</v>
      </c>
      <c r="G1104" s="7">
        <v>148</v>
      </c>
      <c r="H1104" s="8">
        <v>148</v>
      </c>
      <c r="J1104" t="s">
        <v>23</v>
      </c>
      <c r="K1104" s="7">
        <v>1098</v>
      </c>
      <c r="L1104" s="9">
        <v>-1</v>
      </c>
      <c r="M1104" t="s">
        <v>489</v>
      </c>
      <c r="N1104" t="s">
        <v>142</v>
      </c>
      <c r="O1104" s="27" t="str">
        <f>HYPERLINK("https://www.ncbi.nlm.nih.gov/nuccore/NZ_JOEI01000003.1?report=graph&amp;from=13203&amp;to=13207", "TTA_codon")</f>
        <v>TTA_codon</v>
      </c>
    </row>
    <row r="1105" spans="1:15" x14ac:dyDescent="0.15">
      <c r="A1105" t="s">
        <v>21</v>
      </c>
      <c r="B1105">
        <v>1000095</v>
      </c>
      <c r="C1105">
        <v>354550</v>
      </c>
      <c r="F1105" s="7">
        <v>1</v>
      </c>
      <c r="G1105" s="7">
        <v>493</v>
      </c>
      <c r="H1105" s="8">
        <v>484</v>
      </c>
      <c r="J1105" t="s">
        <v>23</v>
      </c>
      <c r="K1105" s="7">
        <v>1098</v>
      </c>
      <c r="L1105" s="9">
        <v>-1</v>
      </c>
      <c r="M1105" t="s">
        <v>1081</v>
      </c>
      <c r="N1105" t="s">
        <v>272</v>
      </c>
      <c r="O1105" s="27" t="str">
        <f>HYPERLINK("https://www.ncbi.nlm.nih.gov/nuccore/NZ_JOEY01000029.1?report=graph&amp;from=18121&amp;to=18125", "TTA_codon")</f>
        <v>TTA_codon</v>
      </c>
    </row>
    <row r="1106" spans="1:15" x14ac:dyDescent="0.15">
      <c r="A1106" t="s">
        <v>21</v>
      </c>
      <c r="B1106">
        <v>1000095</v>
      </c>
      <c r="C1106">
        <v>355069</v>
      </c>
      <c r="F1106" s="7">
        <v>1</v>
      </c>
      <c r="G1106" s="7">
        <v>346</v>
      </c>
      <c r="H1106" s="8">
        <v>334</v>
      </c>
      <c r="J1106" t="s">
        <v>23</v>
      </c>
      <c r="K1106" s="7">
        <v>1095</v>
      </c>
      <c r="L1106" s="9">
        <v>-1</v>
      </c>
      <c r="M1106" t="s">
        <v>1082</v>
      </c>
      <c r="N1106" t="s">
        <v>433</v>
      </c>
      <c r="O1106" s="27" t="str">
        <f>HYPERLINK("https://www.ncbi.nlm.nih.gov/nuccore/NZ_JOBF01000004.1?report=graph&amp;from=83092&amp;to=83096", "TTA_codon")</f>
        <v>TTA_codon</v>
      </c>
    </row>
    <row r="1107" spans="1:15" x14ac:dyDescent="0.15">
      <c r="A1107" t="s">
        <v>21</v>
      </c>
      <c r="B1107">
        <v>1000095</v>
      </c>
      <c r="C1107">
        <v>356021</v>
      </c>
      <c r="F1107" s="7">
        <v>1</v>
      </c>
      <c r="G1107" s="7">
        <v>493</v>
      </c>
      <c r="H1107" s="8">
        <v>484</v>
      </c>
      <c r="J1107" t="s">
        <v>23</v>
      </c>
      <c r="K1107" s="7">
        <v>1098</v>
      </c>
      <c r="L1107" s="9">
        <v>-1</v>
      </c>
      <c r="M1107" t="s">
        <v>1083</v>
      </c>
      <c r="N1107" t="s">
        <v>146</v>
      </c>
      <c r="O1107" s="27" t="str">
        <f>HYPERLINK("https://www.ncbi.nlm.nih.gov/nuccore/NZ_JOFH01000014.1?report=graph&amp;from=202257&amp;to=202261", "TTA_codon")</f>
        <v>TTA_codon</v>
      </c>
    </row>
    <row r="1108" spans="1:15" x14ac:dyDescent="0.15">
      <c r="A1108" t="s">
        <v>21</v>
      </c>
      <c r="B1108">
        <v>1000095</v>
      </c>
      <c r="C1108">
        <v>358090</v>
      </c>
      <c r="F1108" s="7">
        <v>1</v>
      </c>
      <c r="G1108" s="7">
        <v>493</v>
      </c>
      <c r="H1108" s="8">
        <v>484</v>
      </c>
      <c r="J1108" t="s">
        <v>23</v>
      </c>
      <c r="K1108" s="7">
        <v>1098</v>
      </c>
      <c r="L1108" s="9">
        <v>-1</v>
      </c>
      <c r="M1108" t="s">
        <v>1084</v>
      </c>
      <c r="N1108" t="s">
        <v>119</v>
      </c>
      <c r="O1108" s="27" t="str">
        <f>HYPERLINK("https://www.ncbi.nlm.nih.gov/nuccore/NZ_LIPP01000128.1?report=graph&amp;from=16683&amp;to=16687", "TTA_codon")</f>
        <v>TTA_codon</v>
      </c>
    </row>
    <row r="1109" spans="1:15" x14ac:dyDescent="0.15">
      <c r="A1109" t="s">
        <v>21</v>
      </c>
      <c r="B1109">
        <v>1000095</v>
      </c>
      <c r="C1109">
        <v>358357</v>
      </c>
      <c r="F1109" s="7">
        <v>1</v>
      </c>
      <c r="G1109" s="7">
        <v>493</v>
      </c>
      <c r="H1109" s="8">
        <v>484</v>
      </c>
      <c r="J1109" t="s">
        <v>23</v>
      </c>
      <c r="K1109" s="7">
        <v>1098</v>
      </c>
      <c r="L1109" s="9">
        <v>-1</v>
      </c>
      <c r="M1109" t="s">
        <v>1085</v>
      </c>
      <c r="N1109" t="s">
        <v>85</v>
      </c>
      <c r="O1109" s="27" t="str">
        <f>HYPERLINK("https://www.ncbi.nlm.nih.gov/nuccore/NZ_LIQX01000346.1?report=graph&amp;from=8286&amp;to=8290", "TTA_codon")</f>
        <v>TTA_codon</v>
      </c>
    </row>
    <row r="1110" spans="1:15" x14ac:dyDescent="0.15">
      <c r="A1110" t="s">
        <v>21</v>
      </c>
      <c r="B1110">
        <v>1000095</v>
      </c>
      <c r="C1110">
        <v>359824</v>
      </c>
      <c r="F1110" s="7">
        <v>1</v>
      </c>
      <c r="G1110" s="7">
        <v>493</v>
      </c>
      <c r="H1110" s="8">
        <v>484</v>
      </c>
      <c r="J1110" t="s">
        <v>23</v>
      </c>
      <c r="K1110" s="7">
        <v>1098</v>
      </c>
      <c r="L1110" s="9">
        <v>-1</v>
      </c>
      <c r="M1110" t="s">
        <v>1086</v>
      </c>
      <c r="N1110" t="s">
        <v>91</v>
      </c>
      <c r="O1110" s="27" t="str">
        <f>HYPERLINK("https://www.ncbi.nlm.nih.gov/nuccore/NZ_KQ948307.1?report=graph&amp;from=311141&amp;to=311145", "TTA_codon")</f>
        <v>TTA_codon</v>
      </c>
    </row>
    <row r="1111" spans="1:15" x14ac:dyDescent="0.15">
      <c r="A1111" t="s">
        <v>21</v>
      </c>
      <c r="B1111">
        <v>1000095</v>
      </c>
      <c r="C1111">
        <v>360052</v>
      </c>
      <c r="F1111" s="7">
        <v>1</v>
      </c>
      <c r="G1111" s="7">
        <v>493</v>
      </c>
      <c r="H1111" s="8">
        <v>484</v>
      </c>
      <c r="J1111" t="s">
        <v>23</v>
      </c>
      <c r="K1111" s="7">
        <v>1098</v>
      </c>
      <c r="L1111" s="9">
        <v>-1</v>
      </c>
      <c r="M1111" t="s">
        <v>1087</v>
      </c>
      <c r="N1111" t="s">
        <v>125</v>
      </c>
      <c r="O1111" s="27" t="str">
        <f>HYPERLINK("https://www.ncbi.nlm.nih.gov/nuccore/NZ_KQ948465.1?report=graph&amp;from=105579&amp;to=105583", "TTA_codon")</f>
        <v>TTA_codon</v>
      </c>
    </row>
    <row r="1112" spans="1:15" x14ac:dyDescent="0.15">
      <c r="A1112" t="s">
        <v>21</v>
      </c>
      <c r="B1112">
        <v>1000095</v>
      </c>
      <c r="C1112">
        <v>363094</v>
      </c>
      <c r="F1112" s="7">
        <v>1</v>
      </c>
      <c r="G1112" s="7">
        <v>148</v>
      </c>
      <c r="H1112" s="8">
        <v>148</v>
      </c>
      <c r="J1112" t="s">
        <v>23</v>
      </c>
      <c r="K1112" s="7">
        <v>1107</v>
      </c>
      <c r="L1112" s="9">
        <v>-1</v>
      </c>
      <c r="M1112" t="s">
        <v>635</v>
      </c>
      <c r="N1112" t="s">
        <v>401</v>
      </c>
      <c r="O1112" s="27" t="str">
        <f>HYPERLINK("https://www.ncbi.nlm.nih.gov/nuccore/NZ_LFBV01000002.1?report=graph&amp;from=1170866&amp;to=1170870", "TTA_codon")</f>
        <v>TTA_codon</v>
      </c>
    </row>
    <row r="1113" spans="1:15" x14ac:dyDescent="0.15">
      <c r="A1113" t="s">
        <v>21</v>
      </c>
      <c r="B1113">
        <v>1000095</v>
      </c>
      <c r="C1113">
        <v>364116</v>
      </c>
      <c r="F1113" s="7">
        <v>1</v>
      </c>
      <c r="G1113" s="7">
        <v>148</v>
      </c>
      <c r="H1113" s="8">
        <v>148</v>
      </c>
      <c r="J1113" t="s">
        <v>23</v>
      </c>
      <c r="K1113" s="7">
        <v>1098</v>
      </c>
      <c r="L1113" s="9">
        <v>-1</v>
      </c>
      <c r="M1113" t="s">
        <v>254</v>
      </c>
      <c r="N1113" t="s">
        <v>255</v>
      </c>
      <c r="O1113" s="27" t="str">
        <f>HYPERLINK("https://www.ncbi.nlm.nih.gov/nuccore/NZ_CP018047.1?report=graph&amp;from=3978697&amp;to=3978701", "TTA_codon")</f>
        <v>TTA_codon</v>
      </c>
    </row>
    <row r="1114" spans="1:15" x14ac:dyDescent="0.15">
      <c r="A1114" t="s">
        <v>21</v>
      </c>
      <c r="B1114" t="s">
        <v>1088</v>
      </c>
    </row>
    <row r="1115" spans="1:15" x14ac:dyDescent="0.15">
      <c r="A1115" t="s">
        <v>21</v>
      </c>
      <c r="B1115">
        <v>1001015</v>
      </c>
      <c r="C1115">
        <v>354350</v>
      </c>
      <c r="F1115" s="7">
        <v>1</v>
      </c>
      <c r="G1115" s="7">
        <v>100</v>
      </c>
      <c r="H1115" s="8">
        <v>100</v>
      </c>
      <c r="J1115" t="s">
        <v>23</v>
      </c>
      <c r="K1115" s="7">
        <v>1251</v>
      </c>
      <c r="L1115" s="9">
        <v>-1</v>
      </c>
      <c r="M1115" t="s">
        <v>1089</v>
      </c>
      <c r="N1115" t="s">
        <v>142</v>
      </c>
      <c r="O1115" s="27" t="str">
        <f>HYPERLINK("https://www.ncbi.nlm.nih.gov/nuccore/NZ_JOEI01000007.1?report=graph&amp;from=308004&amp;to=308008", "TTA_codon")</f>
        <v>TTA_codon</v>
      </c>
    </row>
    <row r="1116" spans="1:15" x14ac:dyDescent="0.15">
      <c r="A1116" t="s">
        <v>21</v>
      </c>
      <c r="B1116">
        <v>1001015</v>
      </c>
      <c r="C1116">
        <v>362494</v>
      </c>
      <c r="F1116" s="7">
        <v>1</v>
      </c>
      <c r="G1116" s="7">
        <v>241</v>
      </c>
      <c r="H1116" s="8">
        <v>241</v>
      </c>
      <c r="J1116" t="s">
        <v>23</v>
      </c>
      <c r="K1116" s="7">
        <v>1191</v>
      </c>
      <c r="L1116" s="9">
        <v>-1</v>
      </c>
      <c r="M1116" t="s">
        <v>32</v>
      </c>
      <c r="N1116" t="s">
        <v>33</v>
      </c>
      <c r="O1116" s="27" t="str">
        <f>HYPERLINK("https://www.ncbi.nlm.nih.gov/nuccore/NZ_CP017248.1?report=graph&amp;from=8714212&amp;to=8714216", "TTA_codon")</f>
        <v>TTA_codon</v>
      </c>
    </row>
    <row r="1117" spans="1:15" x14ac:dyDescent="0.15">
      <c r="A1117" t="s">
        <v>21</v>
      </c>
      <c r="B1117" t="s">
        <v>1090</v>
      </c>
    </row>
    <row r="1118" spans="1:15" x14ac:dyDescent="0.15">
      <c r="A1118" t="s">
        <v>21</v>
      </c>
      <c r="B1118">
        <v>1001310</v>
      </c>
      <c r="C1118">
        <v>350502</v>
      </c>
      <c r="F1118" s="7">
        <v>1</v>
      </c>
      <c r="G1118" s="7">
        <v>196</v>
      </c>
      <c r="H1118" s="8">
        <v>127</v>
      </c>
      <c r="J1118" t="s">
        <v>23</v>
      </c>
      <c r="K1118" s="7">
        <v>768</v>
      </c>
      <c r="L1118" s="9">
        <v>-1</v>
      </c>
      <c r="M1118" t="s">
        <v>1091</v>
      </c>
      <c r="N1118" t="s">
        <v>134</v>
      </c>
      <c r="O1118" s="27" t="str">
        <f>HYPERLINK("https://www.ncbi.nlm.nih.gov/nuccore/NZ_AJSZ01000523.1?report=graph&amp;from=7460&amp;to=7464", "TTA_codon")</f>
        <v>TTA_codon</v>
      </c>
    </row>
    <row r="1119" spans="1:15" x14ac:dyDescent="0.15">
      <c r="A1119" t="s">
        <v>21</v>
      </c>
      <c r="B1119">
        <v>1001310</v>
      </c>
      <c r="C1119">
        <v>352576</v>
      </c>
      <c r="F1119" s="7">
        <v>1</v>
      </c>
      <c r="G1119" s="7">
        <v>145</v>
      </c>
      <c r="H1119" s="8">
        <v>130</v>
      </c>
      <c r="J1119" t="s">
        <v>23</v>
      </c>
      <c r="K1119" s="7">
        <v>801</v>
      </c>
      <c r="L1119" s="9">
        <v>-1</v>
      </c>
      <c r="M1119" t="s">
        <v>1092</v>
      </c>
      <c r="N1119" t="s">
        <v>436</v>
      </c>
      <c r="O1119" s="27" t="str">
        <f>HYPERLINK("https://www.ncbi.nlm.nih.gov/nuccore/NZ_AUBE01000007.1?report=graph&amp;from=296698&amp;to=296702", "TTA_codon")</f>
        <v>TTA_codon</v>
      </c>
    </row>
    <row r="1120" spans="1:15" x14ac:dyDescent="0.15">
      <c r="A1120" t="s">
        <v>21</v>
      </c>
      <c r="B1120">
        <v>1001310</v>
      </c>
      <c r="C1120">
        <v>359449</v>
      </c>
      <c r="F1120" s="7">
        <v>1</v>
      </c>
      <c r="G1120" s="7">
        <v>283</v>
      </c>
      <c r="H1120" s="8">
        <v>238</v>
      </c>
      <c r="J1120" t="s">
        <v>23</v>
      </c>
      <c r="K1120" s="7">
        <v>786</v>
      </c>
      <c r="L1120" s="9">
        <v>-1</v>
      </c>
      <c r="M1120" t="s">
        <v>151</v>
      </c>
      <c r="N1120" t="s">
        <v>152</v>
      </c>
      <c r="O1120" s="27" t="str">
        <f>HYPERLINK("https://www.ncbi.nlm.nih.gov/nuccore/NZ_CP013129.1?report=graph&amp;from=371002&amp;to=371006", "TTA_codon")</f>
        <v>TTA_codon</v>
      </c>
    </row>
    <row r="1121" spans="1:15" x14ac:dyDescent="0.15">
      <c r="A1121" t="s">
        <v>21</v>
      </c>
      <c r="B1121" t="s">
        <v>1093</v>
      </c>
    </row>
    <row r="1122" spans="1:15" x14ac:dyDescent="0.15">
      <c r="A1122" t="s">
        <v>21</v>
      </c>
      <c r="B1122">
        <v>1000180</v>
      </c>
      <c r="C1122">
        <v>347283</v>
      </c>
      <c r="F1122" s="7">
        <v>1</v>
      </c>
      <c r="G1122" s="7">
        <v>172</v>
      </c>
      <c r="H1122" s="8">
        <v>130</v>
      </c>
      <c r="J1122" t="s">
        <v>23</v>
      </c>
      <c r="K1122" s="7">
        <v>987</v>
      </c>
      <c r="L1122" s="9">
        <v>1</v>
      </c>
      <c r="M1122" t="s">
        <v>53</v>
      </c>
      <c r="N1122" t="s">
        <v>54</v>
      </c>
      <c r="O1122" s="27" t="str">
        <f>HYPERLINK("https://www.ncbi.nlm.nih.gov/nuccore/NC_003155.5?report=graph&amp;from=5832378&amp;to=5832382", "TTA_codon")</f>
        <v>TTA_codon</v>
      </c>
    </row>
    <row r="1123" spans="1:15" x14ac:dyDescent="0.15">
      <c r="A1123" t="s">
        <v>21</v>
      </c>
      <c r="B1123">
        <v>1000180</v>
      </c>
      <c r="C1123">
        <v>355634</v>
      </c>
      <c r="F1123" s="7">
        <v>1</v>
      </c>
      <c r="G1123" s="7">
        <v>214</v>
      </c>
      <c r="H1123" s="8">
        <v>214</v>
      </c>
      <c r="J1123" t="s">
        <v>23</v>
      </c>
      <c r="K1123" s="7">
        <v>999</v>
      </c>
      <c r="L1123" s="9">
        <v>1</v>
      </c>
      <c r="M1123" t="s">
        <v>1094</v>
      </c>
      <c r="N1123" t="s">
        <v>278</v>
      </c>
      <c r="O1123" s="27" t="str">
        <f>HYPERLINK("https://www.ncbi.nlm.nih.gov/nuccore/NZ_JOID01000017.1?report=graph&amp;from=123751&amp;to=123755", "TTA_codon")</f>
        <v>TTA_codon</v>
      </c>
    </row>
    <row r="1124" spans="1:15" x14ac:dyDescent="0.15">
      <c r="A1124" t="s">
        <v>21</v>
      </c>
      <c r="B1124" t="s">
        <v>1095</v>
      </c>
    </row>
    <row r="1125" spans="1:15" x14ac:dyDescent="0.15">
      <c r="A1125" t="s">
        <v>21</v>
      </c>
      <c r="B1125">
        <v>1001447</v>
      </c>
      <c r="C1125">
        <v>363627</v>
      </c>
      <c r="F1125" s="7">
        <v>1</v>
      </c>
      <c r="G1125" s="7">
        <v>226</v>
      </c>
      <c r="H1125" s="8">
        <v>226</v>
      </c>
      <c r="J1125" t="s">
        <v>23</v>
      </c>
      <c r="K1125" s="7">
        <v>1191</v>
      </c>
      <c r="L1125" s="9">
        <v>1</v>
      </c>
      <c r="M1125" t="s">
        <v>101</v>
      </c>
      <c r="N1125" t="s">
        <v>102</v>
      </c>
      <c r="O1125" s="27" t="str">
        <f>HYPERLINK("https://www.ncbi.nlm.nih.gov/nuccore/NZ_CP019458.1?report=graph&amp;from=4003026&amp;to=4003030", "TTA_codon")</f>
        <v>TTA_codon</v>
      </c>
    </row>
    <row r="1126" spans="1:15" x14ac:dyDescent="0.15">
      <c r="A1126" t="s">
        <v>21</v>
      </c>
      <c r="B1126">
        <v>1001447</v>
      </c>
      <c r="C1126">
        <v>366185</v>
      </c>
      <c r="F1126" s="7">
        <v>1</v>
      </c>
      <c r="G1126" s="7">
        <v>112</v>
      </c>
      <c r="H1126" s="8">
        <v>112</v>
      </c>
      <c r="J1126" t="s">
        <v>23</v>
      </c>
      <c r="K1126" s="7">
        <v>1257</v>
      </c>
      <c r="L1126" s="9">
        <v>1</v>
      </c>
      <c r="M1126" t="s">
        <v>1096</v>
      </c>
      <c r="N1126" t="s">
        <v>178</v>
      </c>
      <c r="O1126" s="27" t="str">
        <f>HYPERLINK("https://www.ncbi.nlm.nih.gov/nuccore/NZ_FOGO01000014.1?report=graph&amp;from=182936&amp;to=182940", "TTA_codon")</f>
        <v>TTA_codon</v>
      </c>
    </row>
    <row r="1127" spans="1:15" x14ac:dyDescent="0.15">
      <c r="A1127" t="s">
        <v>21</v>
      </c>
      <c r="B1127" t="s">
        <v>1097</v>
      </c>
    </row>
    <row r="1128" spans="1:15" x14ac:dyDescent="0.15">
      <c r="A1128" t="s">
        <v>21</v>
      </c>
      <c r="B1128">
        <v>1001417</v>
      </c>
      <c r="C1128">
        <v>357384</v>
      </c>
      <c r="F1128" s="7">
        <v>1</v>
      </c>
      <c r="G1128" s="7">
        <v>115</v>
      </c>
      <c r="H1128" s="8">
        <v>115</v>
      </c>
      <c r="J1128" t="s">
        <v>23</v>
      </c>
      <c r="K1128" s="7">
        <v>1077</v>
      </c>
      <c r="L1128" s="9">
        <v>-1</v>
      </c>
      <c r="M1128" t="s">
        <v>1098</v>
      </c>
      <c r="N1128" t="s">
        <v>81</v>
      </c>
      <c r="O1128" s="27" t="str">
        <f>HYPERLINK("https://www.ncbi.nlm.nih.gov/nuccore/NZ_LN831789.1?report=graph&amp;from=92879&amp;to=92883", "TTA_codon")</f>
        <v>TTA_codon</v>
      </c>
    </row>
    <row r="1129" spans="1:15" x14ac:dyDescent="0.15">
      <c r="A1129" t="s">
        <v>21</v>
      </c>
      <c r="B1129">
        <v>1001417</v>
      </c>
      <c r="C1129">
        <v>362434</v>
      </c>
      <c r="F1129" s="7">
        <v>1</v>
      </c>
      <c r="G1129" s="7">
        <v>265</v>
      </c>
      <c r="H1129" s="8">
        <v>265</v>
      </c>
      <c r="J1129" t="s">
        <v>23</v>
      </c>
      <c r="K1129" s="7">
        <v>1110</v>
      </c>
      <c r="L1129" s="9">
        <v>-1</v>
      </c>
      <c r="M1129" t="s">
        <v>32</v>
      </c>
      <c r="N1129" t="s">
        <v>33</v>
      </c>
      <c r="O1129" s="27" t="str">
        <f>HYPERLINK("https://www.ncbi.nlm.nih.gov/nuccore/NZ_CP017248.1?report=graph&amp;from=9284321&amp;to=9284325", "TTA_codon")</f>
        <v>TTA_codon</v>
      </c>
    </row>
    <row r="1130" spans="1:15" x14ac:dyDescent="0.15">
      <c r="A1130" t="s">
        <v>195</v>
      </c>
      <c r="B1130" t="s">
        <v>1099</v>
      </c>
    </row>
    <row r="1131" spans="1:15" x14ac:dyDescent="0.15">
      <c r="A1131" t="s">
        <v>195</v>
      </c>
      <c r="B1131">
        <v>1000039</v>
      </c>
      <c r="C1131">
        <v>346189</v>
      </c>
      <c r="F1131" s="7">
        <v>1</v>
      </c>
      <c r="G1131" s="7">
        <v>1201</v>
      </c>
      <c r="H1131" s="8">
        <v>337</v>
      </c>
      <c r="J1131" t="s">
        <v>23</v>
      </c>
      <c r="K1131" s="7">
        <v>2355</v>
      </c>
      <c r="L1131" s="9">
        <v>-1</v>
      </c>
      <c r="M1131" t="s">
        <v>1100</v>
      </c>
      <c r="N1131" t="s">
        <v>51</v>
      </c>
      <c r="O1131" s="27" t="str">
        <f>HYPERLINK("https://www.ncbi.nlm.nih.gov/nuccore/NZ_AEJB01000323.1?report=graph&amp;from=5868&amp;to=5872", "TTA_codon")</f>
        <v>TTA_codon</v>
      </c>
    </row>
    <row r="1132" spans="1:15" x14ac:dyDescent="0.15">
      <c r="A1132" t="s">
        <v>195</v>
      </c>
      <c r="B1132">
        <v>1000039</v>
      </c>
      <c r="C1132">
        <v>347022</v>
      </c>
      <c r="F1132" s="7">
        <v>1</v>
      </c>
      <c r="G1132" s="7">
        <v>1201</v>
      </c>
      <c r="H1132" s="8">
        <v>1120</v>
      </c>
      <c r="J1132" t="s">
        <v>23</v>
      </c>
      <c r="K1132" s="7">
        <v>2946</v>
      </c>
      <c r="L1132" s="9">
        <v>-1</v>
      </c>
      <c r="M1132" t="s">
        <v>1101</v>
      </c>
      <c r="N1132" t="s">
        <v>108</v>
      </c>
      <c r="O1132" s="27" t="str">
        <f>HYPERLINK("https://www.ncbi.nlm.nih.gov/nuccore/NZ_MUMD01000136.1?report=graph&amp;from=28607&amp;to=28611", "TTA_codon")</f>
        <v>TTA_codon</v>
      </c>
    </row>
    <row r="1133" spans="1:15" x14ac:dyDescent="0.15">
      <c r="A1133" t="s">
        <v>21</v>
      </c>
      <c r="B1133">
        <v>1000039</v>
      </c>
      <c r="C1133">
        <v>357913</v>
      </c>
      <c r="F1133" s="7">
        <v>1</v>
      </c>
      <c r="G1133" s="7">
        <v>1090</v>
      </c>
      <c r="H1133" s="8">
        <v>214</v>
      </c>
      <c r="J1133" t="s">
        <v>23</v>
      </c>
      <c r="K1133" s="7">
        <v>2130</v>
      </c>
      <c r="L1133" s="9">
        <v>-1</v>
      </c>
      <c r="M1133" t="s">
        <v>261</v>
      </c>
      <c r="N1133" t="s">
        <v>262</v>
      </c>
      <c r="O1133" s="27" t="str">
        <f>HYPERLINK("https://www.ncbi.nlm.nih.gov/nuccore/NZ_CP011340.1?report=graph&amp;from=7026292&amp;to=7026296", "TTA_codon")</f>
        <v>TTA_codon</v>
      </c>
    </row>
    <row r="1134" spans="1:15" x14ac:dyDescent="0.15">
      <c r="A1134" t="s">
        <v>21</v>
      </c>
      <c r="B1134">
        <v>1000039</v>
      </c>
      <c r="C1134">
        <v>359001</v>
      </c>
      <c r="F1134" s="7">
        <v>1</v>
      </c>
      <c r="G1134" s="7">
        <v>1285</v>
      </c>
      <c r="H1134" s="8">
        <v>424</v>
      </c>
      <c r="J1134" t="s">
        <v>23</v>
      </c>
      <c r="K1134" s="7">
        <v>2058</v>
      </c>
      <c r="L1134" s="9">
        <v>-1</v>
      </c>
      <c r="M1134" t="s">
        <v>1102</v>
      </c>
      <c r="N1134" t="s">
        <v>451</v>
      </c>
      <c r="O1134" s="27" t="str">
        <f>HYPERLINK("https://www.ncbi.nlm.nih.gov/nuccore/NZ_LIQZ01000086.1?report=graph&amp;from=10234&amp;to=10238", "TTA_codon")</f>
        <v>TTA_codon</v>
      </c>
    </row>
    <row r="1135" spans="1:15" x14ac:dyDescent="0.15">
      <c r="A1135" t="s">
        <v>21</v>
      </c>
      <c r="B1135">
        <v>1000039</v>
      </c>
      <c r="C1135">
        <v>362169</v>
      </c>
      <c r="F1135" s="7">
        <v>1</v>
      </c>
      <c r="G1135" s="7">
        <v>1315</v>
      </c>
      <c r="H1135" s="8">
        <v>622</v>
      </c>
      <c r="J1135" t="s">
        <v>23</v>
      </c>
      <c r="K1135" s="7">
        <v>2511</v>
      </c>
      <c r="L1135" s="9">
        <v>-1</v>
      </c>
      <c r="M1135" t="s">
        <v>39</v>
      </c>
      <c r="N1135" t="s">
        <v>40</v>
      </c>
      <c r="O1135" s="27" t="str">
        <f>HYPERLINK("https://www.ncbi.nlm.nih.gov/nuccore/NZ_CP017157.1?report=graph&amp;from=4114515&amp;to=4114519", "TTA_codon")</f>
        <v>TTA_codon</v>
      </c>
    </row>
    <row r="1136" spans="1:15" x14ac:dyDescent="0.15">
      <c r="A1136" t="s">
        <v>21</v>
      </c>
      <c r="B1136">
        <v>1000039</v>
      </c>
      <c r="C1136">
        <v>362403</v>
      </c>
      <c r="F1136" s="7">
        <v>1</v>
      </c>
      <c r="G1136" s="7">
        <v>1015</v>
      </c>
      <c r="H1136" s="8">
        <v>298</v>
      </c>
      <c r="J1136" t="s">
        <v>23</v>
      </c>
      <c r="K1136" s="7">
        <v>2448</v>
      </c>
      <c r="L1136" s="9">
        <v>-1</v>
      </c>
      <c r="M1136" t="s">
        <v>32</v>
      </c>
      <c r="N1136" t="s">
        <v>33</v>
      </c>
      <c r="O1136" s="27" t="str">
        <f>HYPERLINK("https://www.ncbi.nlm.nih.gov/nuccore/NZ_CP017248.1?report=graph&amp;from=1327582&amp;to=1327586", "TTA_codon")</f>
        <v>TTA_codon</v>
      </c>
    </row>
    <row r="1137" spans="1:15" x14ac:dyDescent="0.15">
      <c r="A1137" t="s">
        <v>21</v>
      </c>
      <c r="B1137">
        <v>1000039</v>
      </c>
      <c r="C1137">
        <v>364088</v>
      </c>
      <c r="F1137" s="7">
        <v>1</v>
      </c>
      <c r="G1137" s="7">
        <v>1018</v>
      </c>
      <c r="H1137" s="8">
        <v>169</v>
      </c>
      <c r="J1137" t="s">
        <v>23</v>
      </c>
      <c r="K1137" s="7">
        <v>2229</v>
      </c>
      <c r="L1137" s="9">
        <v>-1</v>
      </c>
      <c r="M1137" t="s">
        <v>254</v>
      </c>
      <c r="N1137" t="s">
        <v>255</v>
      </c>
      <c r="O1137" s="27" t="str">
        <f>HYPERLINK("https://www.ncbi.nlm.nih.gov/nuccore/NZ_CP018047.1?report=graph&amp;from=6805836&amp;to=6805840", "TTA_codon")</f>
        <v>TTA_codon</v>
      </c>
    </row>
    <row r="1138" spans="1:15" x14ac:dyDescent="0.15">
      <c r="A1138" t="s">
        <v>21</v>
      </c>
      <c r="B1138" t="s">
        <v>1103</v>
      </c>
    </row>
    <row r="1139" spans="1:15" x14ac:dyDescent="0.15">
      <c r="A1139" t="s">
        <v>21</v>
      </c>
      <c r="B1139">
        <v>1000382</v>
      </c>
      <c r="C1139">
        <v>348337</v>
      </c>
      <c r="F1139" s="7">
        <v>1</v>
      </c>
      <c r="G1139" s="7">
        <v>82</v>
      </c>
      <c r="H1139" s="8">
        <v>82</v>
      </c>
      <c r="J1139" t="s">
        <v>23</v>
      </c>
      <c r="K1139" s="7">
        <v>1284</v>
      </c>
      <c r="L1139" s="9">
        <v>-1</v>
      </c>
      <c r="M1139" t="s">
        <v>59</v>
      </c>
      <c r="N1139" t="s">
        <v>60</v>
      </c>
      <c r="O1139" s="27" t="str">
        <f>HYPERLINK("https://www.ncbi.nlm.nih.gov/nuccore/NC_016582.1?report=graph&amp;from=559741&amp;to=559745", "TTA_codon")</f>
        <v>TTA_codon</v>
      </c>
    </row>
    <row r="1140" spans="1:15" x14ac:dyDescent="0.15">
      <c r="A1140" t="s">
        <v>21</v>
      </c>
      <c r="B1140">
        <v>1000382</v>
      </c>
      <c r="C1140">
        <v>359933</v>
      </c>
      <c r="F1140" s="7">
        <v>1</v>
      </c>
      <c r="G1140" s="7">
        <v>73</v>
      </c>
      <c r="H1140" s="8">
        <v>73</v>
      </c>
      <c r="J1140" t="s">
        <v>23</v>
      </c>
      <c r="K1140" s="7">
        <v>1296</v>
      </c>
      <c r="L1140" s="9">
        <v>-1</v>
      </c>
      <c r="M1140" t="s">
        <v>675</v>
      </c>
      <c r="N1140" t="s">
        <v>91</v>
      </c>
      <c r="O1140" s="27" t="str">
        <f>HYPERLINK("https://www.ncbi.nlm.nih.gov/nuccore/NZ_KQ948306.1?report=graph&amp;from=281352&amp;to=281356", "TTA_codon")</f>
        <v>TTA_codon</v>
      </c>
    </row>
    <row r="1141" spans="1:15" x14ac:dyDescent="0.15">
      <c r="A1141" t="s">
        <v>195</v>
      </c>
      <c r="B1141" t="s">
        <v>1104</v>
      </c>
    </row>
    <row r="1142" spans="1:15" x14ac:dyDescent="0.15">
      <c r="A1142" t="s">
        <v>195</v>
      </c>
      <c r="B1142">
        <v>1000439</v>
      </c>
      <c r="C1142">
        <v>346090</v>
      </c>
      <c r="F1142" s="7">
        <v>1</v>
      </c>
      <c r="G1142" s="7">
        <v>241</v>
      </c>
      <c r="H1142" s="8">
        <v>112</v>
      </c>
      <c r="J1142" t="s">
        <v>23</v>
      </c>
      <c r="K1142" s="7">
        <v>1188</v>
      </c>
      <c r="L1142" s="9">
        <v>1</v>
      </c>
      <c r="M1142" t="s">
        <v>59</v>
      </c>
      <c r="N1142" t="s">
        <v>60</v>
      </c>
      <c r="O1142" s="27" t="str">
        <f>HYPERLINK("https://www.ncbi.nlm.nih.gov/nuccore/NC_016582.1?report=graph&amp;from=10829360&amp;to=10829364", "TTA_codon")</f>
        <v>TTA_codon</v>
      </c>
    </row>
    <row r="1143" spans="1:15" x14ac:dyDescent="0.15">
      <c r="A1143" t="s">
        <v>21</v>
      </c>
      <c r="B1143">
        <v>1000439</v>
      </c>
      <c r="C1143">
        <v>347340</v>
      </c>
      <c r="F1143" s="7">
        <v>2</v>
      </c>
      <c r="G1143" s="7" t="s">
        <v>1105</v>
      </c>
      <c r="H1143" s="8" t="s">
        <v>1106</v>
      </c>
      <c r="J1143" t="s">
        <v>23</v>
      </c>
      <c r="K1143" s="7">
        <v>1194</v>
      </c>
      <c r="L1143" s="9">
        <v>1</v>
      </c>
      <c r="M1143" t="s">
        <v>217</v>
      </c>
      <c r="N1143" t="s">
        <v>218</v>
      </c>
      <c r="O1143" s="27" t="str">
        <f>HYPERLINK("https://www.ncbi.nlm.nih.gov/nuccore/NC_021985.1?report=graph&amp;from=6470881&amp;to=6471140", "TTA_codon")</f>
        <v>TTA_codon</v>
      </c>
    </row>
    <row r="1144" spans="1:15" x14ac:dyDescent="0.15">
      <c r="A1144" t="s">
        <v>21</v>
      </c>
      <c r="B1144">
        <v>1000439</v>
      </c>
      <c r="C1144">
        <v>347382</v>
      </c>
      <c r="F1144" s="7">
        <v>2</v>
      </c>
      <c r="G1144" s="7" t="s">
        <v>1107</v>
      </c>
      <c r="H1144" s="8" t="s">
        <v>26</v>
      </c>
      <c r="J1144" t="s">
        <v>23</v>
      </c>
      <c r="K1144" s="7">
        <v>1194</v>
      </c>
      <c r="L1144" s="9">
        <v>1</v>
      </c>
      <c r="M1144" t="s">
        <v>217</v>
      </c>
      <c r="N1144" t="s">
        <v>218</v>
      </c>
      <c r="O1144" s="27" t="str">
        <f>HYPERLINK("https://www.ncbi.nlm.nih.gov/nuccore/NC_021985.1?report=graph&amp;from=7554934&amp;to=7554959", "TTA_codon")</f>
        <v>TTA_codon</v>
      </c>
    </row>
    <row r="1145" spans="1:15" x14ac:dyDescent="0.15">
      <c r="A1145" t="s">
        <v>21</v>
      </c>
      <c r="B1145">
        <v>1000439</v>
      </c>
      <c r="C1145">
        <v>348733</v>
      </c>
      <c r="F1145" s="7">
        <v>1</v>
      </c>
      <c r="G1145" s="7">
        <v>1054</v>
      </c>
      <c r="H1145" s="8">
        <v>784</v>
      </c>
      <c r="J1145" t="s">
        <v>23</v>
      </c>
      <c r="K1145" s="7">
        <v>1176</v>
      </c>
      <c r="L1145" s="9">
        <v>1</v>
      </c>
      <c r="M1145" t="s">
        <v>211</v>
      </c>
      <c r="N1145" t="s">
        <v>212</v>
      </c>
      <c r="O1145" s="27" t="str">
        <f>HYPERLINK("https://www.ncbi.nlm.nih.gov/nuccore/NZ_GG657754.1?report=graph&amp;from=9798653&amp;to=9798657", "TTA_codon")</f>
        <v>TTA_codon</v>
      </c>
    </row>
    <row r="1146" spans="1:15" x14ac:dyDescent="0.15">
      <c r="A1146" t="s">
        <v>21</v>
      </c>
      <c r="B1146">
        <v>1000439</v>
      </c>
      <c r="C1146">
        <v>348735</v>
      </c>
      <c r="F1146" s="7">
        <v>1</v>
      </c>
      <c r="G1146" s="7">
        <v>835</v>
      </c>
      <c r="H1146" s="8">
        <v>571</v>
      </c>
      <c r="J1146" t="s">
        <v>23</v>
      </c>
      <c r="K1146" s="7">
        <v>1167</v>
      </c>
      <c r="L1146" s="9">
        <v>1</v>
      </c>
      <c r="M1146" t="s">
        <v>211</v>
      </c>
      <c r="N1146" t="s">
        <v>212</v>
      </c>
      <c r="O1146" s="27" t="str">
        <f>HYPERLINK("https://www.ncbi.nlm.nih.gov/nuccore/NZ_GG657754.1?report=graph&amp;from=551750&amp;to=551754", "TTA_codon")</f>
        <v>TTA_codon</v>
      </c>
    </row>
    <row r="1147" spans="1:15" x14ac:dyDescent="0.15">
      <c r="A1147" t="s">
        <v>21</v>
      </c>
      <c r="B1147">
        <v>1000439</v>
      </c>
      <c r="C1147">
        <v>348736</v>
      </c>
      <c r="F1147" s="7">
        <v>1</v>
      </c>
      <c r="G1147" s="7">
        <v>499</v>
      </c>
      <c r="H1147" s="8">
        <v>337</v>
      </c>
      <c r="J1147" t="s">
        <v>23</v>
      </c>
      <c r="K1147" s="7">
        <v>1209</v>
      </c>
      <c r="L1147" s="9">
        <v>1</v>
      </c>
      <c r="M1147" t="s">
        <v>211</v>
      </c>
      <c r="N1147" t="s">
        <v>212</v>
      </c>
      <c r="O1147" s="27" t="str">
        <f>HYPERLINK("https://www.ncbi.nlm.nih.gov/nuccore/NZ_GG657754.1?report=graph&amp;from=9814500&amp;to=9814504", "TTA_codon")</f>
        <v>TTA_codon</v>
      </c>
    </row>
    <row r="1148" spans="1:15" x14ac:dyDescent="0.15">
      <c r="A1148" t="s">
        <v>21</v>
      </c>
      <c r="B1148">
        <v>1000439</v>
      </c>
      <c r="C1148">
        <v>350039</v>
      </c>
      <c r="F1148" s="7">
        <v>1</v>
      </c>
      <c r="G1148" s="7">
        <v>220</v>
      </c>
      <c r="H1148" s="8">
        <v>67</v>
      </c>
      <c r="J1148" t="s">
        <v>23</v>
      </c>
      <c r="K1148" s="7">
        <v>1191</v>
      </c>
      <c r="L1148" s="9">
        <v>1</v>
      </c>
      <c r="M1148" t="s">
        <v>1108</v>
      </c>
      <c r="N1148" t="s">
        <v>249</v>
      </c>
      <c r="O1148" s="27" t="str">
        <f>HYPERLINK("https://www.ncbi.nlm.nih.gov/nuccore/NZ_AHBF01000066.1?report=graph&amp;from=22790&amp;to=22794", "TTA_codon")</f>
        <v>TTA_codon</v>
      </c>
    </row>
    <row r="1149" spans="1:15" x14ac:dyDescent="0.15">
      <c r="A1149" t="s">
        <v>21</v>
      </c>
      <c r="B1149">
        <v>1000439</v>
      </c>
      <c r="C1149">
        <v>352059</v>
      </c>
      <c r="F1149" s="7">
        <v>1</v>
      </c>
      <c r="G1149" s="7">
        <v>538</v>
      </c>
      <c r="H1149" s="8">
        <v>307</v>
      </c>
      <c r="J1149" t="s">
        <v>23</v>
      </c>
      <c r="K1149" s="7">
        <v>1152</v>
      </c>
      <c r="L1149" s="9">
        <v>1</v>
      </c>
      <c r="M1149" t="s">
        <v>1109</v>
      </c>
      <c r="N1149" t="s">
        <v>70</v>
      </c>
      <c r="O1149" s="27" t="str">
        <f>HYPERLINK("https://www.ncbi.nlm.nih.gov/nuccore/NZ_KB904634.1?report=graph&amp;from=150797&amp;to=150801", "TTA_codon")</f>
        <v>TTA_codon</v>
      </c>
    </row>
    <row r="1150" spans="1:15" x14ac:dyDescent="0.15">
      <c r="A1150" t="s">
        <v>21</v>
      </c>
      <c r="B1150">
        <v>1000439</v>
      </c>
      <c r="C1150">
        <v>352744</v>
      </c>
      <c r="F1150" s="7">
        <v>1</v>
      </c>
      <c r="G1150" s="7">
        <v>244</v>
      </c>
      <c r="H1150" s="8">
        <v>106</v>
      </c>
      <c r="J1150" t="s">
        <v>23</v>
      </c>
      <c r="K1150" s="7">
        <v>1179</v>
      </c>
      <c r="L1150" s="9">
        <v>1</v>
      </c>
      <c r="M1150" t="s">
        <v>472</v>
      </c>
      <c r="N1150" t="s">
        <v>473</v>
      </c>
      <c r="O1150" s="27" t="str">
        <f>HYPERLINK("https://www.ncbi.nlm.nih.gov/nuccore/NZ_ASHX02000001.1?report=graph&amp;from=71514&amp;to=71518", "TTA_codon")</f>
        <v>TTA_codon</v>
      </c>
    </row>
    <row r="1151" spans="1:15" x14ac:dyDescent="0.15">
      <c r="A1151" t="s">
        <v>21</v>
      </c>
      <c r="B1151">
        <v>1000439</v>
      </c>
      <c r="C1151">
        <v>353583</v>
      </c>
      <c r="F1151" s="7">
        <v>1</v>
      </c>
      <c r="G1151" s="7">
        <v>220</v>
      </c>
      <c r="H1151" s="8">
        <v>79</v>
      </c>
      <c r="J1151" t="s">
        <v>23</v>
      </c>
      <c r="K1151" s="7">
        <v>1182</v>
      </c>
      <c r="L1151" s="9">
        <v>1</v>
      </c>
      <c r="M1151" t="s">
        <v>1110</v>
      </c>
      <c r="N1151" t="s">
        <v>140</v>
      </c>
      <c r="O1151" s="27" t="str">
        <f>HYPERLINK("https://www.ncbi.nlm.nih.gov/nuccore/NZ_JNXG01000005.1?report=graph&amp;from=310162&amp;to=310166", "TTA_codon")</f>
        <v>TTA_codon</v>
      </c>
    </row>
    <row r="1152" spans="1:15" x14ac:dyDescent="0.15">
      <c r="A1152" t="s">
        <v>21</v>
      </c>
      <c r="B1152">
        <v>1000439</v>
      </c>
      <c r="C1152">
        <v>353722</v>
      </c>
      <c r="F1152" s="7">
        <v>1</v>
      </c>
      <c r="G1152" s="7">
        <v>220</v>
      </c>
      <c r="H1152" s="8">
        <v>97</v>
      </c>
      <c r="J1152" t="s">
        <v>23</v>
      </c>
      <c r="K1152" s="7">
        <v>1206</v>
      </c>
      <c r="L1152" s="9">
        <v>1</v>
      </c>
      <c r="M1152" t="s">
        <v>1111</v>
      </c>
      <c r="N1152" t="s">
        <v>246</v>
      </c>
      <c r="O1152" s="27" t="str">
        <f>HYPERLINK("https://www.ncbi.nlm.nih.gov/nuccore/NZ_JNYR01000019.1?report=graph&amp;from=53735&amp;to=53739", "TTA_codon")</f>
        <v>TTA_codon</v>
      </c>
    </row>
    <row r="1153" spans="1:15" x14ac:dyDescent="0.15">
      <c r="A1153" t="s">
        <v>21</v>
      </c>
      <c r="B1153">
        <v>1000439</v>
      </c>
      <c r="C1153">
        <v>356203</v>
      </c>
      <c r="F1153" s="7">
        <v>1</v>
      </c>
      <c r="G1153" s="7">
        <v>1123</v>
      </c>
      <c r="H1153" s="8">
        <v>814</v>
      </c>
      <c r="J1153" t="s">
        <v>23</v>
      </c>
      <c r="K1153" s="7">
        <v>1167</v>
      </c>
      <c r="L1153" s="9">
        <v>1</v>
      </c>
      <c r="M1153" t="s">
        <v>1112</v>
      </c>
      <c r="N1153" t="s">
        <v>77</v>
      </c>
      <c r="O1153" s="27" t="str">
        <f>HYPERLINK("https://www.ncbi.nlm.nih.gov/nuccore/NZ_JNXD01000064.1?report=graph&amp;from=2904&amp;to=2908", "TTA_codon")</f>
        <v>TTA_codon</v>
      </c>
    </row>
    <row r="1154" spans="1:15" x14ac:dyDescent="0.15">
      <c r="A1154" t="s">
        <v>21</v>
      </c>
      <c r="B1154">
        <v>1000439</v>
      </c>
      <c r="C1154">
        <v>356344</v>
      </c>
      <c r="F1154" s="7">
        <v>1</v>
      </c>
      <c r="G1154" s="7">
        <v>244</v>
      </c>
      <c r="H1154" s="8">
        <v>103</v>
      </c>
      <c r="J1154" t="s">
        <v>23</v>
      </c>
      <c r="K1154" s="7">
        <v>1176</v>
      </c>
      <c r="L1154" s="9">
        <v>1</v>
      </c>
      <c r="M1154" t="s">
        <v>1113</v>
      </c>
      <c r="N1154" t="s">
        <v>354</v>
      </c>
      <c r="O1154" s="27" t="str">
        <f>HYPERLINK("https://www.ncbi.nlm.nih.gov/nuccore/NZ_JQJU01000015.1?report=graph&amp;from=72228&amp;to=72232", "TTA_codon")</f>
        <v>TTA_codon</v>
      </c>
    </row>
    <row r="1155" spans="1:15" x14ac:dyDescent="0.15">
      <c r="A1155" t="s">
        <v>21</v>
      </c>
      <c r="B1155">
        <v>1000439</v>
      </c>
      <c r="C1155">
        <v>356524</v>
      </c>
      <c r="F1155" s="7">
        <v>2</v>
      </c>
      <c r="G1155" s="7" t="s">
        <v>1107</v>
      </c>
      <c r="H1155" s="8" t="s">
        <v>1114</v>
      </c>
      <c r="J1155" t="s">
        <v>23</v>
      </c>
      <c r="K1155" s="7">
        <v>1293</v>
      </c>
      <c r="L1155" s="9">
        <v>1</v>
      </c>
      <c r="M1155" t="s">
        <v>508</v>
      </c>
      <c r="N1155" t="s">
        <v>509</v>
      </c>
      <c r="O1155" s="27" t="str">
        <f>HYPERLINK("https://www.ncbi.nlm.nih.gov/nuccore/NZ_CP009438.1?report=graph&amp;from=7112139&amp;to=7112164", "TTA_codon")</f>
        <v>TTA_codon</v>
      </c>
    </row>
    <row r="1156" spans="1:15" x14ac:dyDescent="0.15">
      <c r="A1156" t="s">
        <v>21</v>
      </c>
      <c r="B1156">
        <v>1000439</v>
      </c>
      <c r="C1156">
        <v>356838</v>
      </c>
      <c r="F1156" s="7">
        <v>1</v>
      </c>
      <c r="G1156" s="7">
        <v>211</v>
      </c>
      <c r="H1156" s="8">
        <v>88</v>
      </c>
      <c r="J1156" t="s">
        <v>23</v>
      </c>
      <c r="K1156" s="7">
        <v>1212</v>
      </c>
      <c r="L1156" s="9">
        <v>1</v>
      </c>
      <c r="M1156" t="s">
        <v>78</v>
      </c>
      <c r="N1156" t="s">
        <v>79</v>
      </c>
      <c r="O1156" s="27" t="str">
        <f>HYPERLINK("https://www.ncbi.nlm.nih.gov/nuccore/NZ_CP009313.1?report=graph&amp;from=7493246&amp;to=7493250", "TTA_codon")</f>
        <v>TTA_codon</v>
      </c>
    </row>
    <row r="1157" spans="1:15" x14ac:dyDescent="0.15">
      <c r="A1157" t="s">
        <v>21</v>
      </c>
      <c r="B1157">
        <v>1000439</v>
      </c>
      <c r="C1157">
        <v>356998</v>
      </c>
      <c r="F1157" s="7">
        <v>1</v>
      </c>
      <c r="G1157" s="7">
        <v>1054</v>
      </c>
      <c r="H1157" s="8">
        <v>808</v>
      </c>
      <c r="J1157" t="s">
        <v>23</v>
      </c>
      <c r="K1157" s="7">
        <v>1209</v>
      </c>
      <c r="L1157" s="9">
        <v>1</v>
      </c>
      <c r="M1157" t="s">
        <v>162</v>
      </c>
      <c r="N1157" t="s">
        <v>163</v>
      </c>
      <c r="O1157" s="27" t="str">
        <f>HYPERLINK("https://www.ncbi.nlm.nih.gov/nuccore/NZ_CP010519.1?report=graph&amp;from=326936&amp;to=326940", "TTA_codon")</f>
        <v>TTA_codon</v>
      </c>
    </row>
    <row r="1158" spans="1:15" x14ac:dyDescent="0.15">
      <c r="A1158" t="s">
        <v>21</v>
      </c>
      <c r="B1158">
        <v>1000439</v>
      </c>
      <c r="C1158">
        <v>359321</v>
      </c>
      <c r="F1158" s="7">
        <v>2</v>
      </c>
      <c r="G1158" s="7" t="s">
        <v>1107</v>
      </c>
      <c r="H1158" s="8" t="s">
        <v>26</v>
      </c>
      <c r="J1158" t="s">
        <v>23</v>
      </c>
      <c r="K1158" s="7">
        <v>1194</v>
      </c>
      <c r="L1158" s="9">
        <v>1</v>
      </c>
      <c r="M1158" t="s">
        <v>1115</v>
      </c>
      <c r="N1158" t="s">
        <v>89</v>
      </c>
      <c r="O1158" s="27" t="str">
        <f>HYPERLINK("https://www.ncbi.nlm.nih.gov/nuccore/NZ_LIRG01000269.1?report=graph&amp;from=1869&amp;to=1894", "TTA_codon")</f>
        <v>TTA_codon</v>
      </c>
    </row>
    <row r="1159" spans="1:15" x14ac:dyDescent="0.15">
      <c r="A1159" t="s">
        <v>21</v>
      </c>
      <c r="B1159">
        <v>1000439</v>
      </c>
      <c r="C1159">
        <v>361557</v>
      </c>
      <c r="F1159" s="7">
        <v>1</v>
      </c>
      <c r="G1159" s="7">
        <v>199</v>
      </c>
      <c r="H1159" s="8">
        <v>76</v>
      </c>
      <c r="J1159" t="s">
        <v>23</v>
      </c>
      <c r="K1159" s="7">
        <v>1206</v>
      </c>
      <c r="L1159" s="9">
        <v>1</v>
      </c>
      <c r="M1159" t="s">
        <v>37</v>
      </c>
      <c r="N1159" t="s">
        <v>38</v>
      </c>
      <c r="O1159" s="27" t="str">
        <f>HYPERLINK("https://www.ncbi.nlm.nih.gov/nuccore/NZ_CP011533.1?report=graph&amp;from=8926183&amp;to=8926187", "TTA_codon")</f>
        <v>TTA_codon</v>
      </c>
    </row>
    <row r="1160" spans="1:15" x14ac:dyDescent="0.15">
      <c r="A1160" t="s">
        <v>21</v>
      </c>
      <c r="B1160">
        <v>1000439</v>
      </c>
      <c r="C1160">
        <v>361613</v>
      </c>
      <c r="F1160" s="7">
        <v>1</v>
      </c>
      <c r="G1160" s="7">
        <v>220</v>
      </c>
      <c r="H1160" s="8">
        <v>67</v>
      </c>
      <c r="J1160" t="s">
        <v>23</v>
      </c>
      <c r="K1160" s="7">
        <v>1188</v>
      </c>
      <c r="L1160" s="9">
        <v>1</v>
      </c>
      <c r="M1160" t="s">
        <v>37</v>
      </c>
      <c r="N1160" t="s">
        <v>38</v>
      </c>
      <c r="O1160" s="27" t="str">
        <f>HYPERLINK("https://www.ncbi.nlm.nih.gov/nuccore/NZ_CP011533.1?report=graph&amp;from=2289420&amp;to=2289424", "TTA_codon")</f>
        <v>TTA_codon</v>
      </c>
    </row>
    <row r="1161" spans="1:15" x14ac:dyDescent="0.15">
      <c r="A1161" t="s">
        <v>21</v>
      </c>
      <c r="B1161">
        <v>1000439</v>
      </c>
      <c r="C1161">
        <v>361911</v>
      </c>
      <c r="F1161" s="7">
        <v>2</v>
      </c>
      <c r="G1161" s="7" t="s">
        <v>1116</v>
      </c>
      <c r="H1161" s="8" t="s">
        <v>1117</v>
      </c>
      <c r="J1161" t="s">
        <v>23</v>
      </c>
      <c r="K1161" s="7">
        <v>1002</v>
      </c>
      <c r="L1161" s="9">
        <v>1</v>
      </c>
      <c r="M1161" t="s">
        <v>1118</v>
      </c>
      <c r="N1161" t="s">
        <v>187</v>
      </c>
      <c r="O1161" s="27" t="str">
        <f>HYPERLINK("https://www.ncbi.nlm.nih.gov/nuccore/NZ_MAXF01000087.1?report=graph&amp;from=6207&amp;to=6919", "TTA_codon")</f>
        <v>TTA_codon</v>
      </c>
    </row>
    <row r="1162" spans="1:15" x14ac:dyDescent="0.15">
      <c r="A1162" t="s">
        <v>21</v>
      </c>
      <c r="B1162">
        <v>1000439</v>
      </c>
      <c r="C1162">
        <v>362504</v>
      </c>
      <c r="F1162" s="7">
        <v>1</v>
      </c>
      <c r="G1162" s="7">
        <v>349</v>
      </c>
      <c r="H1162" s="8">
        <v>181</v>
      </c>
      <c r="J1162" t="s">
        <v>23</v>
      </c>
      <c r="K1162" s="7">
        <v>1176</v>
      </c>
      <c r="L1162" s="9">
        <v>1</v>
      </c>
      <c r="M1162" t="s">
        <v>32</v>
      </c>
      <c r="N1162" t="s">
        <v>33</v>
      </c>
      <c r="O1162" s="27" t="str">
        <f>HYPERLINK("https://www.ncbi.nlm.nih.gov/nuccore/NZ_CP017248.1?report=graph&amp;from=2010112&amp;to=2010116", "TTA_codon")</f>
        <v>TTA_codon</v>
      </c>
    </row>
    <row r="1163" spans="1:15" x14ac:dyDescent="0.15">
      <c r="A1163" t="s">
        <v>21</v>
      </c>
      <c r="B1163">
        <v>1000439</v>
      </c>
      <c r="C1163">
        <v>363081</v>
      </c>
      <c r="F1163" s="7">
        <v>1</v>
      </c>
      <c r="G1163" s="7">
        <v>370</v>
      </c>
      <c r="H1163" s="8">
        <v>232</v>
      </c>
      <c r="J1163" t="s">
        <v>23</v>
      </c>
      <c r="K1163" s="7">
        <v>1212</v>
      </c>
      <c r="L1163" s="9">
        <v>1</v>
      </c>
      <c r="M1163" t="s">
        <v>1119</v>
      </c>
      <c r="N1163" t="s">
        <v>401</v>
      </c>
      <c r="O1163" s="27" t="str">
        <f>HYPERLINK("https://www.ncbi.nlm.nih.gov/nuccore/NZ_LFBV01000004.1?report=graph&amp;from=346319&amp;to=346323", "TTA_codon")</f>
        <v>TTA_codon</v>
      </c>
    </row>
    <row r="1164" spans="1:15" x14ac:dyDescent="0.15">
      <c r="A1164" t="s">
        <v>21</v>
      </c>
      <c r="B1164">
        <v>1000439</v>
      </c>
      <c r="C1164">
        <v>363110</v>
      </c>
      <c r="F1164" s="7">
        <v>1</v>
      </c>
      <c r="G1164" s="7">
        <v>967</v>
      </c>
      <c r="H1164" s="8">
        <v>694</v>
      </c>
      <c r="J1164" t="s">
        <v>23</v>
      </c>
      <c r="K1164" s="7">
        <v>1173</v>
      </c>
      <c r="L1164" s="9">
        <v>1</v>
      </c>
      <c r="M1164" t="s">
        <v>1119</v>
      </c>
      <c r="N1164" t="s">
        <v>401</v>
      </c>
      <c r="O1164" s="27" t="str">
        <f>HYPERLINK("https://www.ncbi.nlm.nih.gov/nuccore/NZ_LFBV01000004.1?report=graph&amp;from=573922&amp;to=573926", "TTA_codon")</f>
        <v>TTA_codon</v>
      </c>
    </row>
    <row r="1165" spans="1:15" x14ac:dyDescent="0.15">
      <c r="A1165" t="s">
        <v>21</v>
      </c>
      <c r="B1165">
        <v>1000439</v>
      </c>
      <c r="C1165">
        <v>363267</v>
      </c>
      <c r="F1165" s="7">
        <v>1</v>
      </c>
      <c r="G1165" s="7">
        <v>490</v>
      </c>
      <c r="H1165" s="8">
        <v>280</v>
      </c>
      <c r="J1165" t="s">
        <v>23</v>
      </c>
      <c r="K1165" s="7">
        <v>1167</v>
      </c>
      <c r="L1165" s="9">
        <v>1</v>
      </c>
      <c r="M1165" t="s">
        <v>1120</v>
      </c>
      <c r="N1165" t="s">
        <v>28</v>
      </c>
      <c r="O1165" s="27" t="str">
        <f>HYPERLINK("https://www.ncbi.nlm.nih.gov/nuccore/NZ_JUJA01000113.1?report=graph&amp;from=17206&amp;to=17210", "TTA_codon")</f>
        <v>TTA_codon</v>
      </c>
    </row>
    <row r="1166" spans="1:15" x14ac:dyDescent="0.15">
      <c r="A1166" t="s">
        <v>21</v>
      </c>
      <c r="B1166">
        <v>1000439</v>
      </c>
      <c r="C1166">
        <v>363483</v>
      </c>
      <c r="F1166" s="7">
        <v>2</v>
      </c>
      <c r="G1166" s="7" t="s">
        <v>1107</v>
      </c>
      <c r="H1166" s="8" t="s">
        <v>26</v>
      </c>
      <c r="J1166" t="s">
        <v>23</v>
      </c>
      <c r="K1166" s="7">
        <v>1194</v>
      </c>
      <c r="L1166" s="9">
        <v>1</v>
      </c>
      <c r="M1166" t="s">
        <v>157</v>
      </c>
      <c r="N1166" t="s">
        <v>158</v>
      </c>
      <c r="O1166" s="27" t="str">
        <f>HYPERLINK("https://www.ncbi.nlm.nih.gov/nuccore/NZ_CP015588.1?report=graph&amp;from=8248134&amp;to=8248159", "TTA_codon")</f>
        <v>TTA_codon</v>
      </c>
    </row>
    <row r="1167" spans="1:15" x14ac:dyDescent="0.15">
      <c r="A1167" t="s">
        <v>21</v>
      </c>
      <c r="B1167">
        <v>1000439</v>
      </c>
      <c r="C1167">
        <v>364983</v>
      </c>
      <c r="F1167" s="7">
        <v>1</v>
      </c>
      <c r="G1167" s="7">
        <v>334</v>
      </c>
      <c r="H1167" s="8">
        <v>166</v>
      </c>
      <c r="J1167" t="s">
        <v>23</v>
      </c>
      <c r="K1167" s="7">
        <v>1182</v>
      </c>
      <c r="L1167" s="9">
        <v>1</v>
      </c>
      <c r="M1167" t="s">
        <v>111</v>
      </c>
      <c r="N1167" t="s">
        <v>112</v>
      </c>
      <c r="O1167" s="27" t="str">
        <f>HYPERLINK("https://www.ncbi.nlm.nih.gov/nuccore/NZ_CP021744.1?report=graph&amp;from=6662531&amp;to=6662535", "TTA_codon")</f>
        <v>TTA_codon</v>
      </c>
    </row>
    <row r="1168" spans="1:15" x14ac:dyDescent="0.15">
      <c r="A1168" t="s">
        <v>21</v>
      </c>
      <c r="B1168">
        <v>1000439</v>
      </c>
      <c r="C1168">
        <v>365062</v>
      </c>
      <c r="F1168" s="7">
        <v>1</v>
      </c>
      <c r="G1168" s="7">
        <v>538</v>
      </c>
      <c r="H1168" s="8">
        <v>349</v>
      </c>
      <c r="J1168" t="s">
        <v>23</v>
      </c>
      <c r="K1168" s="7">
        <v>1284</v>
      </c>
      <c r="L1168" s="9">
        <v>1</v>
      </c>
      <c r="M1168" t="s">
        <v>111</v>
      </c>
      <c r="N1168" t="s">
        <v>112</v>
      </c>
      <c r="O1168" s="27" t="str">
        <f>HYPERLINK("https://www.ncbi.nlm.nih.gov/nuccore/NZ_CP021744.1?report=graph&amp;from=784645&amp;to=784649", "TTA_codon")</f>
        <v>TTA_codon</v>
      </c>
    </row>
    <row r="1169" spans="1:15" x14ac:dyDescent="0.15">
      <c r="A1169" t="s">
        <v>21</v>
      </c>
      <c r="B1169">
        <v>1000439</v>
      </c>
      <c r="C1169">
        <v>365556</v>
      </c>
      <c r="F1169" s="7">
        <v>1</v>
      </c>
      <c r="G1169" s="7">
        <v>241</v>
      </c>
      <c r="H1169" s="8">
        <v>100</v>
      </c>
      <c r="J1169" t="s">
        <v>23</v>
      </c>
      <c r="K1169" s="7">
        <v>1176</v>
      </c>
      <c r="L1169" s="9">
        <v>1</v>
      </c>
      <c r="M1169" t="s">
        <v>213</v>
      </c>
      <c r="N1169" t="s">
        <v>214</v>
      </c>
      <c r="O1169" s="27" t="str">
        <f>HYPERLINK("https://www.ncbi.nlm.nih.gov/nuccore/NZ_FNST01000002.1?report=graph&amp;from=9743751&amp;to=9743755", "TTA_codon")</f>
        <v>TTA_codon</v>
      </c>
    </row>
    <row r="1170" spans="1:15" x14ac:dyDescent="0.15">
      <c r="A1170" t="s">
        <v>21</v>
      </c>
      <c r="B1170">
        <v>1000439</v>
      </c>
      <c r="C1170">
        <v>366273</v>
      </c>
      <c r="F1170" s="7">
        <v>1</v>
      </c>
      <c r="G1170" s="7">
        <v>490</v>
      </c>
      <c r="H1170" s="8">
        <v>295</v>
      </c>
      <c r="J1170" t="s">
        <v>23</v>
      </c>
      <c r="K1170" s="7">
        <v>1194</v>
      </c>
      <c r="L1170" s="9">
        <v>1</v>
      </c>
      <c r="M1170" t="s">
        <v>1121</v>
      </c>
      <c r="N1170" t="s">
        <v>47</v>
      </c>
      <c r="O1170" s="27" t="str">
        <f>HYPERLINK("https://www.ncbi.nlm.nih.gov/nuccore/NZ_FOLM01000008.1?report=graph&amp;from=86973&amp;to=86977", "TTA_codon")</f>
        <v>TTA_codon</v>
      </c>
    </row>
    <row r="1171" spans="1:15" x14ac:dyDescent="0.15">
      <c r="A1171" t="s">
        <v>21</v>
      </c>
      <c r="B1171">
        <v>1000439</v>
      </c>
      <c r="C1171">
        <v>366274</v>
      </c>
      <c r="F1171" s="7">
        <v>1</v>
      </c>
      <c r="G1171" s="7">
        <v>217</v>
      </c>
      <c r="H1171" s="8">
        <v>67</v>
      </c>
      <c r="J1171" t="s">
        <v>23</v>
      </c>
      <c r="K1171" s="7">
        <v>1209</v>
      </c>
      <c r="L1171" s="9">
        <v>1</v>
      </c>
      <c r="M1171" t="s">
        <v>535</v>
      </c>
      <c r="N1171" t="s">
        <v>47</v>
      </c>
      <c r="O1171" s="27" t="str">
        <f>HYPERLINK("https://www.ncbi.nlm.nih.gov/nuccore/NZ_FOLM01000004.1?report=graph&amp;from=355919&amp;to=355923", "TTA_codon")</f>
        <v>TTA_codon</v>
      </c>
    </row>
    <row r="1172" spans="1:15" x14ac:dyDescent="0.15">
      <c r="A1172" t="s">
        <v>21</v>
      </c>
      <c r="B1172">
        <v>1000439</v>
      </c>
      <c r="C1172">
        <v>366367</v>
      </c>
      <c r="F1172" s="7">
        <v>1</v>
      </c>
      <c r="G1172" s="7">
        <v>256</v>
      </c>
      <c r="H1172" s="8">
        <v>124</v>
      </c>
      <c r="J1172" t="s">
        <v>23</v>
      </c>
      <c r="K1172" s="7">
        <v>1218</v>
      </c>
      <c r="L1172" s="9">
        <v>1</v>
      </c>
      <c r="M1172" t="s">
        <v>765</v>
      </c>
      <c r="N1172" t="s">
        <v>375</v>
      </c>
      <c r="O1172" s="27" t="str">
        <f>HYPERLINK("https://www.ncbi.nlm.nih.gov/nuccore/NZ_FONG01000004.1?report=graph&amp;from=226464&amp;to=226468", "TTA_codon")</f>
        <v>TTA_codon</v>
      </c>
    </row>
    <row r="1173" spans="1:15" x14ac:dyDescent="0.15">
      <c r="A1173" t="s">
        <v>21</v>
      </c>
      <c r="B1173">
        <v>1000439</v>
      </c>
      <c r="C1173">
        <v>366539</v>
      </c>
      <c r="F1173" s="7">
        <v>1</v>
      </c>
      <c r="G1173" s="7">
        <v>256</v>
      </c>
      <c r="H1173" s="8">
        <v>124</v>
      </c>
      <c r="J1173" t="s">
        <v>23</v>
      </c>
      <c r="K1173" s="7">
        <v>1203</v>
      </c>
      <c r="L1173" s="9">
        <v>1</v>
      </c>
      <c r="M1173" t="s">
        <v>1122</v>
      </c>
      <c r="N1173" t="s">
        <v>180</v>
      </c>
      <c r="O1173" s="27" t="str">
        <f>HYPERLINK("https://www.ncbi.nlm.nih.gov/nuccore/NZ_FRBI01000025.1?report=graph&amp;from=109725&amp;to=109729", "TTA_codon")</f>
        <v>TTA_codon</v>
      </c>
    </row>
    <row r="1174" spans="1:15" x14ac:dyDescent="0.15">
      <c r="A1174" t="s">
        <v>21</v>
      </c>
      <c r="B1174">
        <v>1000439</v>
      </c>
      <c r="C1174">
        <v>366579</v>
      </c>
      <c r="F1174" s="7">
        <v>1</v>
      </c>
      <c r="G1174" s="7">
        <v>490</v>
      </c>
      <c r="H1174" s="8">
        <v>277</v>
      </c>
      <c r="J1174" t="s">
        <v>23</v>
      </c>
      <c r="K1174" s="7">
        <v>1179</v>
      </c>
      <c r="L1174" s="9">
        <v>1</v>
      </c>
      <c r="M1174" t="s">
        <v>1123</v>
      </c>
      <c r="N1174" t="s">
        <v>180</v>
      </c>
      <c r="O1174" s="27" t="str">
        <f>HYPERLINK("https://www.ncbi.nlm.nih.gov/nuccore/NZ_FRBI01000016.1?report=graph&amp;from=1813&amp;to=1817", "TTA_codon")</f>
        <v>TTA_codon</v>
      </c>
    </row>
    <row r="1175" spans="1:15" x14ac:dyDescent="0.15">
      <c r="A1175" t="s">
        <v>21</v>
      </c>
      <c r="B1175" t="s">
        <v>1124</v>
      </c>
    </row>
    <row r="1176" spans="1:15" x14ac:dyDescent="0.15">
      <c r="A1176" t="s">
        <v>21</v>
      </c>
      <c r="B1176">
        <v>1000772</v>
      </c>
      <c r="C1176">
        <v>351744</v>
      </c>
      <c r="F1176" s="7">
        <v>1</v>
      </c>
      <c r="G1176" s="7">
        <v>589</v>
      </c>
      <c r="H1176" s="8">
        <v>586</v>
      </c>
      <c r="J1176" t="s">
        <v>23</v>
      </c>
      <c r="K1176" s="7">
        <v>1083</v>
      </c>
      <c r="L1176" s="9">
        <v>-1</v>
      </c>
      <c r="M1176" t="s">
        <v>1125</v>
      </c>
      <c r="N1176" t="s">
        <v>68</v>
      </c>
      <c r="O1176" s="27" t="str">
        <f>HYPERLINK("https://www.ncbi.nlm.nih.gov/nuccore/NZ_BARG01000124.1?report=graph&amp;from=10981&amp;to=10985", "TTA_codon")</f>
        <v>TTA_codon</v>
      </c>
    </row>
    <row r="1177" spans="1:15" x14ac:dyDescent="0.15">
      <c r="A1177" t="s">
        <v>21</v>
      </c>
      <c r="B1177">
        <v>1000772</v>
      </c>
      <c r="C1177">
        <v>366352</v>
      </c>
      <c r="F1177" s="7">
        <v>2</v>
      </c>
      <c r="G1177" s="7" t="s">
        <v>1126</v>
      </c>
      <c r="H1177" s="8" t="s">
        <v>1127</v>
      </c>
      <c r="J1177" t="s">
        <v>23</v>
      </c>
      <c r="K1177" s="7">
        <v>1080</v>
      </c>
      <c r="L1177" s="9">
        <v>-1</v>
      </c>
      <c r="M1177" t="s">
        <v>374</v>
      </c>
      <c r="N1177" t="s">
        <v>375</v>
      </c>
      <c r="O1177" s="27" t="str">
        <f>HYPERLINK("https://www.ncbi.nlm.nih.gov/nuccore/NZ_FONG01000025.1?report=graph&amp;from=30076&amp;to=30503", "TTA_codon")</f>
        <v>TTA_codon</v>
      </c>
    </row>
    <row r="1178" spans="1:15" x14ac:dyDescent="0.15">
      <c r="A1178" t="s">
        <v>21</v>
      </c>
      <c r="B1178" t="s">
        <v>1128</v>
      </c>
    </row>
    <row r="1179" spans="1:15" x14ac:dyDescent="0.15">
      <c r="A1179" t="s">
        <v>21</v>
      </c>
      <c r="B1179">
        <v>1001030</v>
      </c>
      <c r="C1179">
        <v>354612</v>
      </c>
      <c r="F1179" s="7">
        <v>1</v>
      </c>
      <c r="G1179" s="7">
        <v>889</v>
      </c>
      <c r="H1179" s="8">
        <v>883</v>
      </c>
      <c r="J1179" t="s">
        <v>23</v>
      </c>
      <c r="K1179" s="7">
        <v>1071</v>
      </c>
      <c r="L1179" s="9">
        <v>-1</v>
      </c>
      <c r="M1179" t="s">
        <v>337</v>
      </c>
      <c r="N1179" t="s">
        <v>272</v>
      </c>
      <c r="O1179" s="27" t="str">
        <f>HYPERLINK("https://www.ncbi.nlm.nih.gov/nuccore/NZ_JOEY01000001.1?report=graph&amp;from=53370&amp;to=53374", "TTA_codon")</f>
        <v>TTA_codon</v>
      </c>
    </row>
    <row r="1180" spans="1:15" x14ac:dyDescent="0.15">
      <c r="A1180" t="s">
        <v>21</v>
      </c>
      <c r="B1180">
        <v>1001030</v>
      </c>
      <c r="C1180">
        <v>356218</v>
      </c>
      <c r="F1180" s="7">
        <v>1</v>
      </c>
      <c r="G1180" s="7">
        <v>694</v>
      </c>
      <c r="H1180" s="8">
        <v>688</v>
      </c>
      <c r="J1180" t="s">
        <v>23</v>
      </c>
      <c r="K1180" s="7">
        <v>1071</v>
      </c>
      <c r="L1180" s="9">
        <v>-1</v>
      </c>
      <c r="M1180" t="s">
        <v>340</v>
      </c>
      <c r="N1180" t="s">
        <v>77</v>
      </c>
      <c r="O1180" s="27" t="str">
        <f>HYPERLINK("https://www.ncbi.nlm.nih.gov/nuccore/NZ_JNXD01000002.1?report=graph&amp;from=15776&amp;to=15780", "TTA_codon")</f>
        <v>TTA_codon</v>
      </c>
    </row>
    <row r="1181" spans="1:15" x14ac:dyDescent="0.15">
      <c r="A1181" t="s">
        <v>21</v>
      </c>
      <c r="B1181">
        <v>1001030</v>
      </c>
      <c r="C1181">
        <v>357037</v>
      </c>
      <c r="F1181" s="7">
        <v>1</v>
      </c>
      <c r="G1181" s="7">
        <v>805</v>
      </c>
      <c r="H1181" s="8">
        <v>805</v>
      </c>
      <c r="J1181" t="s">
        <v>23</v>
      </c>
      <c r="K1181" s="7">
        <v>1077</v>
      </c>
      <c r="L1181" s="9">
        <v>-1</v>
      </c>
      <c r="M1181" t="s">
        <v>162</v>
      </c>
      <c r="N1181" t="s">
        <v>163</v>
      </c>
      <c r="O1181" s="27" t="str">
        <f>HYPERLINK("https://www.ncbi.nlm.nih.gov/nuccore/NZ_CP010519.1?report=graph&amp;from=2596457&amp;to=2596461", "TTA_codon")</f>
        <v>TTA_codon</v>
      </c>
    </row>
    <row r="1182" spans="1:15" x14ac:dyDescent="0.15">
      <c r="A1182" t="s">
        <v>21</v>
      </c>
      <c r="B1182">
        <v>1001030</v>
      </c>
      <c r="C1182">
        <v>357429</v>
      </c>
      <c r="F1182" s="7">
        <v>1</v>
      </c>
      <c r="G1182" s="7">
        <v>889</v>
      </c>
      <c r="H1182" s="8">
        <v>883</v>
      </c>
      <c r="J1182" t="s">
        <v>23</v>
      </c>
      <c r="K1182" s="7">
        <v>1074</v>
      </c>
      <c r="L1182" s="9">
        <v>-1</v>
      </c>
      <c r="M1182" t="s">
        <v>80</v>
      </c>
      <c r="N1182" t="s">
        <v>81</v>
      </c>
      <c r="O1182" s="27" t="str">
        <f>HYPERLINK("https://www.ncbi.nlm.nih.gov/nuccore/NZ_LN831790.1?report=graph&amp;from=3057934&amp;to=3057938", "TTA_codon")</f>
        <v>TTA_codon</v>
      </c>
    </row>
    <row r="1183" spans="1:15" x14ac:dyDescent="0.15">
      <c r="A1183" t="s">
        <v>21</v>
      </c>
      <c r="B1183">
        <v>1001030</v>
      </c>
      <c r="C1183">
        <v>358853</v>
      </c>
      <c r="F1183" s="7">
        <v>1</v>
      </c>
      <c r="G1183" s="7">
        <v>889</v>
      </c>
      <c r="H1183" s="8">
        <v>856</v>
      </c>
      <c r="J1183" t="s">
        <v>23</v>
      </c>
      <c r="K1183" s="7">
        <v>1044</v>
      </c>
      <c r="L1183" s="9">
        <v>-1</v>
      </c>
      <c r="M1183" t="s">
        <v>1129</v>
      </c>
      <c r="N1183" t="s">
        <v>87</v>
      </c>
      <c r="O1183" s="27" t="str">
        <f>HYPERLINK("https://www.ncbi.nlm.nih.gov/nuccore/NZ_LIQS01000259.1?report=graph&amp;from=15634&amp;to=15638", "TTA_codon")</f>
        <v>TTA_codon</v>
      </c>
    </row>
    <row r="1184" spans="1:15" x14ac:dyDescent="0.15">
      <c r="A1184" t="s">
        <v>21</v>
      </c>
      <c r="B1184">
        <v>1001030</v>
      </c>
      <c r="C1184">
        <v>363287</v>
      </c>
      <c r="F1184" s="7">
        <v>1</v>
      </c>
      <c r="G1184" s="7">
        <v>889</v>
      </c>
      <c r="H1184" s="8">
        <v>889</v>
      </c>
      <c r="J1184" t="s">
        <v>23</v>
      </c>
      <c r="K1184" s="7">
        <v>1077</v>
      </c>
      <c r="L1184" s="9">
        <v>-1</v>
      </c>
      <c r="M1184" t="s">
        <v>1130</v>
      </c>
      <c r="N1184" t="s">
        <v>28</v>
      </c>
      <c r="O1184" s="27" t="str">
        <f>HYPERLINK("https://www.ncbi.nlm.nih.gov/nuccore/NZ_JUJA01000040.1?report=graph&amp;from=101346&amp;to=101350", "TTA_codon")</f>
        <v>TTA_codon</v>
      </c>
    </row>
    <row r="1185" spans="1:15" x14ac:dyDescent="0.15">
      <c r="A1185" t="s">
        <v>21</v>
      </c>
      <c r="B1185" t="s">
        <v>1131</v>
      </c>
    </row>
    <row r="1186" spans="1:15" x14ac:dyDescent="0.15">
      <c r="A1186" t="s">
        <v>21</v>
      </c>
      <c r="B1186">
        <v>1001402</v>
      </c>
      <c r="C1186">
        <v>362088</v>
      </c>
      <c r="F1186" s="7">
        <v>1</v>
      </c>
      <c r="G1186" s="7">
        <v>73</v>
      </c>
      <c r="H1186" s="8">
        <v>49</v>
      </c>
      <c r="J1186" t="s">
        <v>23</v>
      </c>
      <c r="K1186" s="7">
        <v>708</v>
      </c>
      <c r="L1186" s="9">
        <v>1</v>
      </c>
      <c r="M1186" t="s">
        <v>1132</v>
      </c>
      <c r="N1186" t="s">
        <v>187</v>
      </c>
      <c r="O1186" s="27" t="str">
        <f>HYPERLINK("https://www.ncbi.nlm.nih.gov/nuccore/NZ_MAXF01000133.1?report=graph&amp;from=1010&amp;to=1014", "TTA_codon")</f>
        <v>TTA_codon</v>
      </c>
    </row>
    <row r="1187" spans="1:15" x14ac:dyDescent="0.15">
      <c r="A1187" t="s">
        <v>21</v>
      </c>
      <c r="B1187">
        <v>1001402</v>
      </c>
      <c r="C1187">
        <v>363799</v>
      </c>
      <c r="F1187" s="7">
        <v>1</v>
      </c>
      <c r="G1187" s="7">
        <v>73</v>
      </c>
      <c r="H1187" s="8">
        <v>70</v>
      </c>
      <c r="J1187" t="s">
        <v>23</v>
      </c>
      <c r="K1187" s="7">
        <v>738</v>
      </c>
      <c r="L1187" s="9">
        <v>1</v>
      </c>
      <c r="M1187" t="s">
        <v>101</v>
      </c>
      <c r="N1187" t="s">
        <v>102</v>
      </c>
      <c r="O1187" s="27" t="str">
        <f>HYPERLINK("https://www.ncbi.nlm.nih.gov/nuccore/NZ_CP019458.1?report=graph&amp;from=9355621&amp;to=9355625", "TTA_codon")</f>
        <v>TTA_codon</v>
      </c>
    </row>
    <row r="1188" spans="1:15" x14ac:dyDescent="0.15">
      <c r="A1188" t="s">
        <v>21</v>
      </c>
      <c r="B1188">
        <v>1001402</v>
      </c>
      <c r="C1188">
        <v>365826</v>
      </c>
      <c r="F1188" s="7">
        <v>1</v>
      </c>
      <c r="G1188" s="7">
        <v>73</v>
      </c>
      <c r="H1188" s="8">
        <v>73</v>
      </c>
      <c r="J1188" t="s">
        <v>23</v>
      </c>
      <c r="K1188" s="7">
        <v>735</v>
      </c>
      <c r="L1188" s="9">
        <v>1</v>
      </c>
      <c r="M1188" t="s">
        <v>213</v>
      </c>
      <c r="N1188" t="s">
        <v>214</v>
      </c>
      <c r="O1188" s="27" t="str">
        <f>HYPERLINK("https://www.ncbi.nlm.nih.gov/nuccore/NZ_FNST01000002.1?report=graph&amp;from=7012567&amp;to=7012571", "TTA_codon")</f>
        <v>TTA_codon</v>
      </c>
    </row>
    <row r="1189" spans="1:15" x14ac:dyDescent="0.15">
      <c r="A1189" t="s">
        <v>21</v>
      </c>
      <c r="B1189" t="s">
        <v>1133</v>
      </c>
    </row>
    <row r="1190" spans="1:15" x14ac:dyDescent="0.15">
      <c r="A1190" t="s">
        <v>21</v>
      </c>
      <c r="B1190">
        <v>1000322</v>
      </c>
      <c r="C1190">
        <v>348029</v>
      </c>
      <c r="F1190" s="7">
        <v>1</v>
      </c>
      <c r="G1190" s="7">
        <v>196</v>
      </c>
      <c r="H1190" s="8">
        <v>196</v>
      </c>
      <c r="J1190" t="s">
        <v>23</v>
      </c>
      <c r="K1190" s="7">
        <v>1017</v>
      </c>
      <c r="L1190" s="9">
        <v>1</v>
      </c>
      <c r="M1190" t="s">
        <v>59</v>
      </c>
      <c r="N1190" t="s">
        <v>60</v>
      </c>
      <c r="O1190" s="27" t="str">
        <f>HYPERLINK("https://www.ncbi.nlm.nih.gov/nuccore/NC_016582.1?report=graph&amp;from=5213151&amp;to=5213155", "TTA_codon")</f>
        <v>TTA_codon</v>
      </c>
    </row>
    <row r="1191" spans="1:15" x14ac:dyDescent="0.15">
      <c r="A1191" t="s">
        <v>21</v>
      </c>
      <c r="B1191">
        <v>1000322</v>
      </c>
      <c r="C1191">
        <v>348756</v>
      </c>
      <c r="F1191" s="7">
        <v>1</v>
      </c>
      <c r="G1191" s="7">
        <v>103</v>
      </c>
      <c r="H1191" s="8">
        <v>82</v>
      </c>
      <c r="J1191" t="s">
        <v>23</v>
      </c>
      <c r="K1191" s="7">
        <v>999</v>
      </c>
      <c r="L1191" s="9">
        <v>1</v>
      </c>
      <c r="M1191" t="s">
        <v>211</v>
      </c>
      <c r="N1191" t="s">
        <v>212</v>
      </c>
      <c r="O1191" s="27" t="str">
        <f>HYPERLINK("https://www.ncbi.nlm.nih.gov/nuccore/NZ_GG657754.1?report=graph&amp;from=3943423&amp;to=3943427", "TTA_codon")</f>
        <v>TTA_codon</v>
      </c>
    </row>
    <row r="1192" spans="1:15" x14ac:dyDescent="0.15">
      <c r="A1192" t="s">
        <v>195</v>
      </c>
      <c r="B1192" t="s">
        <v>1134</v>
      </c>
    </row>
    <row r="1193" spans="1:15" x14ac:dyDescent="0.15">
      <c r="A1193" t="s">
        <v>195</v>
      </c>
      <c r="B1193">
        <v>1000086</v>
      </c>
      <c r="C1193">
        <v>346533</v>
      </c>
      <c r="F1193" s="7">
        <v>2</v>
      </c>
      <c r="G1193" s="7" t="s">
        <v>1135</v>
      </c>
      <c r="H1193" s="8" t="s">
        <v>1136</v>
      </c>
      <c r="J1193" t="s">
        <v>23</v>
      </c>
      <c r="K1193" s="7">
        <v>681</v>
      </c>
      <c r="L1193" s="9">
        <v>1</v>
      </c>
      <c r="M1193" t="s">
        <v>147</v>
      </c>
      <c r="N1193" t="s">
        <v>148</v>
      </c>
      <c r="O1193" s="27" t="str">
        <f>HYPERLINK("https://www.ncbi.nlm.nih.gov/nuccore/NZ_CP021080.1?report=graph&amp;from=5262526&amp;to=5262905", "TTA_codon")</f>
        <v>TTA_codon</v>
      </c>
    </row>
    <row r="1194" spans="1:15" x14ac:dyDescent="0.15">
      <c r="A1194" t="s">
        <v>21</v>
      </c>
      <c r="B1194">
        <v>1000086</v>
      </c>
      <c r="C1194">
        <v>353666</v>
      </c>
      <c r="F1194" s="7">
        <v>1</v>
      </c>
      <c r="G1194" s="7">
        <v>304</v>
      </c>
      <c r="H1194" s="8">
        <v>289</v>
      </c>
      <c r="J1194" t="s">
        <v>23</v>
      </c>
      <c r="K1194" s="7">
        <v>675</v>
      </c>
      <c r="L1194" s="9">
        <v>1</v>
      </c>
      <c r="M1194" t="s">
        <v>1019</v>
      </c>
      <c r="N1194" t="s">
        <v>140</v>
      </c>
      <c r="O1194" s="27" t="str">
        <f>HYPERLINK("https://www.ncbi.nlm.nih.gov/nuccore/NZ_JNXG01000002.1?report=graph&amp;from=1191429&amp;to=1191433", "TTA_codon")</f>
        <v>TTA_codon</v>
      </c>
    </row>
    <row r="1195" spans="1:15" x14ac:dyDescent="0.15">
      <c r="A1195" t="s">
        <v>21</v>
      </c>
      <c r="B1195">
        <v>1000086</v>
      </c>
      <c r="C1195">
        <v>356982</v>
      </c>
      <c r="F1195" s="7">
        <v>1</v>
      </c>
      <c r="G1195" s="7">
        <v>250</v>
      </c>
      <c r="H1195" s="8">
        <v>238</v>
      </c>
      <c r="J1195" t="s">
        <v>23</v>
      </c>
      <c r="K1195" s="7">
        <v>723</v>
      </c>
      <c r="L1195" s="9">
        <v>1</v>
      </c>
      <c r="M1195" t="s">
        <v>78</v>
      </c>
      <c r="N1195" t="s">
        <v>79</v>
      </c>
      <c r="O1195" s="27" t="str">
        <f>HYPERLINK("https://www.ncbi.nlm.nih.gov/nuccore/NZ_CP009313.1?report=graph&amp;from=5122782&amp;to=5122786", "TTA_codon")</f>
        <v>TTA_codon</v>
      </c>
    </row>
    <row r="1196" spans="1:15" x14ac:dyDescent="0.15">
      <c r="A1196" t="s">
        <v>21</v>
      </c>
      <c r="B1196">
        <v>1000086</v>
      </c>
      <c r="C1196">
        <v>359973</v>
      </c>
      <c r="F1196" s="7">
        <v>1</v>
      </c>
      <c r="G1196" s="7">
        <v>304</v>
      </c>
      <c r="H1196" s="8">
        <v>295</v>
      </c>
      <c r="J1196" t="s">
        <v>23</v>
      </c>
      <c r="K1196" s="7">
        <v>663</v>
      </c>
      <c r="L1196" s="9">
        <v>1</v>
      </c>
      <c r="M1196" t="s">
        <v>1023</v>
      </c>
      <c r="N1196" t="s">
        <v>91</v>
      </c>
      <c r="O1196" s="27" t="str">
        <f>HYPERLINK("https://www.ncbi.nlm.nih.gov/nuccore/NZ_KQ948311.1?report=graph&amp;from=172162&amp;to=172166", "TTA_codon")</f>
        <v>TTA_codon</v>
      </c>
    </row>
    <row r="1197" spans="1:15" x14ac:dyDescent="0.15">
      <c r="A1197" t="s">
        <v>21</v>
      </c>
      <c r="B1197" t="s">
        <v>1137</v>
      </c>
    </row>
    <row r="1198" spans="1:15" x14ac:dyDescent="0.15">
      <c r="A1198" t="s">
        <v>21</v>
      </c>
      <c r="B1198">
        <v>1000236</v>
      </c>
      <c r="C1198">
        <v>347612</v>
      </c>
      <c r="F1198" s="7">
        <v>1</v>
      </c>
      <c r="G1198" s="7">
        <v>91</v>
      </c>
      <c r="H1198" s="8">
        <v>91</v>
      </c>
      <c r="J1198" t="s">
        <v>23</v>
      </c>
      <c r="K1198" s="7">
        <v>1200</v>
      </c>
      <c r="L1198" s="9">
        <v>-1</v>
      </c>
      <c r="M1198" t="s">
        <v>55</v>
      </c>
      <c r="N1198" t="s">
        <v>56</v>
      </c>
      <c r="O1198" s="27" t="str">
        <f>HYPERLINK("https://www.ncbi.nlm.nih.gov/nuccore/NC_010572.1?report=graph&amp;from=8359034&amp;to=8359038", "TTA_codon")</f>
        <v>TTA_codon</v>
      </c>
    </row>
    <row r="1199" spans="1:15" x14ac:dyDescent="0.15">
      <c r="A1199" t="s">
        <v>21</v>
      </c>
      <c r="B1199">
        <v>1000236</v>
      </c>
      <c r="C1199">
        <v>353560</v>
      </c>
      <c r="F1199" s="7">
        <v>1</v>
      </c>
      <c r="G1199" s="7">
        <v>91</v>
      </c>
      <c r="H1199" s="8">
        <v>88</v>
      </c>
      <c r="J1199" t="s">
        <v>23</v>
      </c>
      <c r="K1199" s="7">
        <v>1194</v>
      </c>
      <c r="L1199" s="9">
        <v>-1</v>
      </c>
      <c r="M1199" t="s">
        <v>1138</v>
      </c>
      <c r="N1199" t="s">
        <v>140</v>
      </c>
      <c r="O1199" s="27" t="str">
        <f>HYPERLINK("https://www.ncbi.nlm.nih.gov/nuccore/NZ_JNXG01000001.1?report=graph&amp;from=243742&amp;to=243746", "TTA_codon")</f>
        <v>TTA_codon</v>
      </c>
    </row>
    <row r="1200" spans="1:15" x14ac:dyDescent="0.15">
      <c r="A1200" t="s">
        <v>21</v>
      </c>
      <c r="B1200" t="s">
        <v>1139</v>
      </c>
    </row>
    <row r="1201" spans="1:15" x14ac:dyDescent="0.15">
      <c r="A1201" t="s">
        <v>21</v>
      </c>
      <c r="B1201">
        <v>1000240</v>
      </c>
      <c r="C1201">
        <v>347625</v>
      </c>
      <c r="F1201" s="7">
        <v>1</v>
      </c>
      <c r="G1201" s="7">
        <v>73</v>
      </c>
      <c r="H1201" s="8">
        <v>70</v>
      </c>
      <c r="J1201" t="s">
        <v>23</v>
      </c>
      <c r="K1201" s="7">
        <v>759</v>
      </c>
      <c r="L1201" s="9">
        <v>1</v>
      </c>
      <c r="M1201" t="s">
        <v>55</v>
      </c>
      <c r="N1201" t="s">
        <v>56</v>
      </c>
      <c r="O1201" s="27" t="str">
        <f>HYPERLINK("https://www.ncbi.nlm.nih.gov/nuccore/NC_010572.1?report=graph&amp;from=7289198&amp;to=7289202", "TTA_codon")</f>
        <v>TTA_codon</v>
      </c>
    </row>
    <row r="1202" spans="1:15" x14ac:dyDescent="0.15">
      <c r="A1202" t="s">
        <v>21</v>
      </c>
      <c r="B1202">
        <v>1000240</v>
      </c>
      <c r="C1202">
        <v>348062</v>
      </c>
      <c r="F1202" s="7">
        <v>1</v>
      </c>
      <c r="G1202" s="7">
        <v>67</v>
      </c>
      <c r="H1202" s="8">
        <v>67</v>
      </c>
      <c r="J1202" t="s">
        <v>23</v>
      </c>
      <c r="K1202" s="7">
        <v>747</v>
      </c>
      <c r="L1202" s="9">
        <v>1</v>
      </c>
      <c r="M1202" t="s">
        <v>59</v>
      </c>
      <c r="N1202" t="s">
        <v>60</v>
      </c>
      <c r="O1202" s="27" t="str">
        <f>HYPERLINK("https://www.ncbi.nlm.nih.gov/nuccore/NC_016582.1?report=graph&amp;from=4937880&amp;to=4937884", "TTA_codon")</f>
        <v>TTA_codon</v>
      </c>
    </row>
    <row r="1203" spans="1:15" x14ac:dyDescent="0.15">
      <c r="A1203" t="s">
        <v>195</v>
      </c>
      <c r="B1203" t="s">
        <v>1140</v>
      </c>
    </row>
    <row r="1204" spans="1:15" x14ac:dyDescent="0.15">
      <c r="A1204" t="s">
        <v>195</v>
      </c>
      <c r="B1204">
        <v>1000137</v>
      </c>
      <c r="C1204">
        <v>346958</v>
      </c>
      <c r="F1204" s="7">
        <v>1</v>
      </c>
      <c r="G1204" s="7">
        <v>220</v>
      </c>
      <c r="H1204" s="8">
        <v>202</v>
      </c>
      <c r="J1204" t="s">
        <v>23</v>
      </c>
      <c r="K1204" s="7">
        <v>1482</v>
      </c>
      <c r="L1204" s="9">
        <v>1</v>
      </c>
      <c r="M1204" t="s">
        <v>1141</v>
      </c>
      <c r="N1204" t="s">
        <v>28</v>
      </c>
      <c r="O1204" s="27" t="str">
        <f>HYPERLINK("https://www.ncbi.nlm.nih.gov/nuccore/NZ_JUJA01000068.1?report=graph&amp;from=20813&amp;to=20817", "TTA_codon")</f>
        <v>TTA_codon</v>
      </c>
    </row>
    <row r="1205" spans="1:15" x14ac:dyDescent="0.15">
      <c r="A1205" t="s">
        <v>21</v>
      </c>
      <c r="B1205">
        <v>1000137</v>
      </c>
      <c r="C1205">
        <v>357033</v>
      </c>
      <c r="F1205" s="7">
        <v>1</v>
      </c>
      <c r="G1205" s="7">
        <v>193</v>
      </c>
      <c r="H1205" s="8">
        <v>175</v>
      </c>
      <c r="J1205" t="s">
        <v>23</v>
      </c>
      <c r="K1205" s="7">
        <v>1479</v>
      </c>
      <c r="L1205" s="9">
        <v>1</v>
      </c>
      <c r="M1205" t="s">
        <v>162</v>
      </c>
      <c r="N1205" t="s">
        <v>163</v>
      </c>
      <c r="O1205" s="27" t="str">
        <f>HYPERLINK("https://www.ncbi.nlm.nih.gov/nuccore/NZ_CP010519.1?report=graph&amp;from=8141087&amp;to=8141091", "TTA_codon")</f>
        <v>TTA_codon</v>
      </c>
    </row>
    <row r="1206" spans="1:15" x14ac:dyDescent="0.15">
      <c r="A1206" t="s">
        <v>21</v>
      </c>
      <c r="B1206">
        <v>1000137</v>
      </c>
      <c r="C1206">
        <v>357568</v>
      </c>
      <c r="F1206" s="7">
        <v>2</v>
      </c>
      <c r="G1206" s="7" t="s">
        <v>1142</v>
      </c>
      <c r="H1206" s="8" t="s">
        <v>1143</v>
      </c>
      <c r="J1206" t="s">
        <v>23</v>
      </c>
      <c r="K1206" s="7">
        <v>1374</v>
      </c>
      <c r="L1206" s="9">
        <v>1</v>
      </c>
      <c r="M1206" t="s">
        <v>814</v>
      </c>
      <c r="N1206" t="s">
        <v>378</v>
      </c>
      <c r="O1206" s="27" t="str">
        <f>HYPERLINK("https://www.ncbi.nlm.nih.gov/nuccore/NZ_LFXA01000002.1?report=graph&amp;from=311178&amp;to=311449", "TTA_codon")</f>
        <v>TTA_codon</v>
      </c>
    </row>
    <row r="1207" spans="1:15" x14ac:dyDescent="0.15">
      <c r="A1207" t="s">
        <v>21</v>
      </c>
      <c r="B1207">
        <v>1000137</v>
      </c>
      <c r="C1207">
        <v>361399</v>
      </c>
      <c r="F1207" s="7">
        <v>1</v>
      </c>
      <c r="G1207" s="7">
        <v>190</v>
      </c>
      <c r="H1207" s="8">
        <v>190</v>
      </c>
      <c r="J1207" t="s">
        <v>23</v>
      </c>
      <c r="K1207" s="7">
        <v>1494</v>
      </c>
      <c r="L1207" s="9">
        <v>1</v>
      </c>
      <c r="M1207" t="s">
        <v>200</v>
      </c>
      <c r="N1207" t="s">
        <v>201</v>
      </c>
      <c r="O1207" s="27" t="str">
        <f>HYPERLINK("https://www.ncbi.nlm.nih.gov/nuccore/NZ_CP016559.1?report=graph&amp;from=1808940&amp;to=1808944", "TTA_codon")</f>
        <v>TTA_codon</v>
      </c>
    </row>
    <row r="1208" spans="1:15" x14ac:dyDescent="0.15">
      <c r="A1208" t="s">
        <v>195</v>
      </c>
      <c r="B1208" t="s">
        <v>1144</v>
      </c>
    </row>
    <row r="1209" spans="1:15" x14ac:dyDescent="0.15">
      <c r="A1209" t="s">
        <v>195</v>
      </c>
      <c r="B1209">
        <v>1000082</v>
      </c>
      <c r="C1209">
        <v>346486</v>
      </c>
      <c r="F1209" s="7">
        <v>1</v>
      </c>
      <c r="G1209" s="7">
        <v>613</v>
      </c>
      <c r="H1209" s="8">
        <v>595</v>
      </c>
      <c r="J1209" t="s">
        <v>23</v>
      </c>
      <c r="K1209" s="7">
        <v>792</v>
      </c>
      <c r="L1209" s="9">
        <v>-1</v>
      </c>
      <c r="M1209" t="s">
        <v>1145</v>
      </c>
      <c r="N1209" t="s">
        <v>146</v>
      </c>
      <c r="O1209" s="27" t="str">
        <f>HYPERLINK("https://www.ncbi.nlm.nih.gov/nuccore/NZ_JOFH01000106.1?report=graph&amp;from=219&amp;to=223", "TTA_codon")</f>
        <v>TTA_codon</v>
      </c>
    </row>
    <row r="1210" spans="1:15" x14ac:dyDescent="0.15">
      <c r="A1210" t="s">
        <v>21</v>
      </c>
      <c r="B1210">
        <v>1000082</v>
      </c>
      <c r="C1210">
        <v>358763</v>
      </c>
      <c r="F1210" s="7">
        <v>1</v>
      </c>
      <c r="G1210" s="7">
        <v>235</v>
      </c>
      <c r="H1210" s="8">
        <v>235</v>
      </c>
      <c r="J1210" t="s">
        <v>23</v>
      </c>
      <c r="K1210" s="7">
        <v>816</v>
      </c>
      <c r="L1210" s="9">
        <v>-1</v>
      </c>
      <c r="M1210" t="s">
        <v>1146</v>
      </c>
      <c r="N1210" t="s">
        <v>87</v>
      </c>
      <c r="O1210" s="27" t="str">
        <f>HYPERLINK("https://www.ncbi.nlm.nih.gov/nuccore/NZ_LIQS01000545.1?report=graph&amp;from=1213&amp;to=1217", "TTA_codon")</f>
        <v>TTA_codon</v>
      </c>
    </row>
    <row r="1211" spans="1:15" x14ac:dyDescent="0.15">
      <c r="A1211" t="s">
        <v>21</v>
      </c>
      <c r="B1211">
        <v>1000082</v>
      </c>
      <c r="C1211">
        <v>359998</v>
      </c>
      <c r="F1211" s="7">
        <v>1</v>
      </c>
      <c r="G1211" s="7">
        <v>358</v>
      </c>
      <c r="H1211" s="8">
        <v>343</v>
      </c>
      <c r="J1211" t="s">
        <v>23</v>
      </c>
      <c r="K1211" s="7">
        <v>807</v>
      </c>
      <c r="L1211" s="9">
        <v>-1</v>
      </c>
      <c r="M1211" t="s">
        <v>1147</v>
      </c>
      <c r="N1211" t="s">
        <v>125</v>
      </c>
      <c r="O1211" s="27" t="str">
        <f>HYPERLINK("https://www.ncbi.nlm.nih.gov/nuccore/NZ_KQ948497.1?report=graph&amp;from=27710&amp;to=27714", "TTA_codon")</f>
        <v>TTA_codon</v>
      </c>
    </row>
    <row r="1212" spans="1:15" x14ac:dyDescent="0.15">
      <c r="A1212" t="s">
        <v>21</v>
      </c>
      <c r="B1212">
        <v>1000082</v>
      </c>
      <c r="C1212">
        <v>363554</v>
      </c>
      <c r="F1212" s="7">
        <v>1</v>
      </c>
      <c r="G1212" s="7">
        <v>613</v>
      </c>
      <c r="H1212" s="8">
        <v>574</v>
      </c>
      <c r="J1212" t="s">
        <v>23</v>
      </c>
      <c r="K1212" s="7">
        <v>780</v>
      </c>
      <c r="L1212" s="9">
        <v>-1</v>
      </c>
      <c r="M1212" t="s">
        <v>101</v>
      </c>
      <c r="N1212" t="s">
        <v>102</v>
      </c>
      <c r="O1212" s="27" t="str">
        <f>HYPERLINK("https://www.ncbi.nlm.nih.gov/nuccore/NZ_CP019458.1?report=graph&amp;from=2816003&amp;to=2816007", "TTA_codon")</f>
        <v>TTA_codon</v>
      </c>
    </row>
    <row r="1213" spans="1:15" x14ac:dyDescent="0.15">
      <c r="A1213" t="s">
        <v>21</v>
      </c>
      <c r="B1213" t="s">
        <v>1148</v>
      </c>
    </row>
    <row r="1214" spans="1:15" x14ac:dyDescent="0.15">
      <c r="A1214" t="s">
        <v>21</v>
      </c>
      <c r="B1214">
        <v>1000332</v>
      </c>
      <c r="C1214">
        <v>348064</v>
      </c>
      <c r="F1214" s="7">
        <v>2</v>
      </c>
      <c r="G1214" s="7" t="s">
        <v>1149</v>
      </c>
      <c r="H1214" s="8" t="s">
        <v>1149</v>
      </c>
      <c r="J1214" t="s">
        <v>23</v>
      </c>
      <c r="K1214" s="7">
        <v>1242</v>
      </c>
      <c r="L1214" s="9">
        <v>1</v>
      </c>
      <c r="M1214" t="s">
        <v>59</v>
      </c>
      <c r="N1214" t="s">
        <v>60</v>
      </c>
      <c r="O1214" s="27" t="str">
        <f>HYPERLINK("https://www.ncbi.nlm.nih.gov/nuccore/NC_016582.1?report=graph&amp;from=6088284&amp;to=6088564", "TTA_codon")</f>
        <v>TTA_codon</v>
      </c>
    </row>
    <row r="1215" spans="1:15" x14ac:dyDescent="0.15">
      <c r="A1215" t="s">
        <v>21</v>
      </c>
      <c r="B1215">
        <v>1000332</v>
      </c>
      <c r="C1215">
        <v>358566</v>
      </c>
      <c r="F1215" s="7">
        <v>1</v>
      </c>
      <c r="G1215" s="7">
        <v>385</v>
      </c>
      <c r="H1215" s="8">
        <v>385</v>
      </c>
      <c r="J1215" t="s">
        <v>23</v>
      </c>
      <c r="K1215" s="7">
        <v>1242</v>
      </c>
      <c r="L1215" s="9">
        <v>1</v>
      </c>
      <c r="M1215" t="s">
        <v>1150</v>
      </c>
      <c r="N1215" t="s">
        <v>299</v>
      </c>
      <c r="O1215" s="27" t="str">
        <f>HYPERLINK("https://www.ncbi.nlm.nih.gov/nuccore/NZ_LIQY01000363.1?report=graph&amp;from=16263&amp;to=16267", "TTA_codon")</f>
        <v>TTA_codon</v>
      </c>
    </row>
    <row r="1216" spans="1:15" x14ac:dyDescent="0.15">
      <c r="A1216" t="s">
        <v>21</v>
      </c>
      <c r="B1216" t="s">
        <v>1151</v>
      </c>
    </row>
    <row r="1217" spans="1:15" x14ac:dyDescent="0.15">
      <c r="A1217" t="s">
        <v>21</v>
      </c>
      <c r="B1217">
        <v>1001265</v>
      </c>
      <c r="C1217">
        <v>358142</v>
      </c>
      <c r="F1217" s="7">
        <v>1</v>
      </c>
      <c r="G1217" s="7">
        <v>460</v>
      </c>
      <c r="H1217" s="8">
        <v>424</v>
      </c>
      <c r="J1217" t="s">
        <v>23</v>
      </c>
      <c r="K1217" s="7">
        <v>477</v>
      </c>
      <c r="L1217" s="9">
        <v>1</v>
      </c>
      <c r="M1217" t="s">
        <v>1152</v>
      </c>
      <c r="N1217" t="s">
        <v>119</v>
      </c>
      <c r="O1217" s="27" t="str">
        <f>HYPERLINK("https://www.ncbi.nlm.nih.gov/nuccore/NZ_LIPP01000014.1?report=graph&amp;from=32597&amp;to=32601", "TTA_codon")</f>
        <v>TTA_codon</v>
      </c>
    </row>
    <row r="1218" spans="1:15" x14ac:dyDescent="0.15">
      <c r="A1218" t="s">
        <v>21</v>
      </c>
      <c r="B1218">
        <v>1001265</v>
      </c>
      <c r="C1218">
        <v>363254</v>
      </c>
      <c r="F1218" s="7">
        <v>1</v>
      </c>
      <c r="G1218" s="7">
        <v>460</v>
      </c>
      <c r="H1218" s="8">
        <v>460</v>
      </c>
      <c r="J1218" t="s">
        <v>23</v>
      </c>
      <c r="K1218" s="7">
        <v>513</v>
      </c>
      <c r="L1218" s="9">
        <v>1</v>
      </c>
      <c r="M1218" t="s">
        <v>1153</v>
      </c>
      <c r="N1218" t="s">
        <v>28</v>
      </c>
      <c r="O1218" s="27" t="str">
        <f>HYPERLINK("https://www.ncbi.nlm.nih.gov/nuccore/NZ_JUJA01000119.1?report=graph&amp;from=52916&amp;to=52920", "TTA_codon")</f>
        <v>TTA_codon</v>
      </c>
    </row>
    <row r="1219" spans="1:15" x14ac:dyDescent="0.15">
      <c r="A1219" t="s">
        <v>195</v>
      </c>
      <c r="B1219" t="s">
        <v>1154</v>
      </c>
    </row>
    <row r="1220" spans="1:15" x14ac:dyDescent="0.15">
      <c r="A1220" t="s">
        <v>195</v>
      </c>
      <c r="B1220">
        <v>1000957</v>
      </c>
      <c r="C1220">
        <v>346690</v>
      </c>
      <c r="F1220" s="7">
        <v>1</v>
      </c>
      <c r="G1220" s="7">
        <v>1156</v>
      </c>
      <c r="H1220" s="8">
        <v>1066</v>
      </c>
      <c r="J1220" t="s">
        <v>23</v>
      </c>
      <c r="K1220" s="7">
        <v>1224</v>
      </c>
      <c r="L1220" s="9">
        <v>-1</v>
      </c>
      <c r="M1220" t="s">
        <v>1155</v>
      </c>
      <c r="N1220" t="s">
        <v>451</v>
      </c>
      <c r="O1220" s="27" t="str">
        <f>HYPERLINK("https://www.ncbi.nlm.nih.gov/nuccore/NZ_LIQZ01000076.1?report=graph&amp;from=15163&amp;to=15167", "TTA_codon")</f>
        <v>TTA_codon</v>
      </c>
    </row>
    <row r="1221" spans="1:15" x14ac:dyDescent="0.15">
      <c r="A1221" t="s">
        <v>21</v>
      </c>
      <c r="B1221">
        <v>1000957</v>
      </c>
      <c r="C1221">
        <v>353591</v>
      </c>
      <c r="F1221" s="7">
        <v>1</v>
      </c>
      <c r="G1221" s="7">
        <v>1264</v>
      </c>
      <c r="H1221" s="8">
        <v>1213</v>
      </c>
      <c r="J1221" t="s">
        <v>23</v>
      </c>
      <c r="K1221" s="7">
        <v>1275</v>
      </c>
      <c r="L1221" s="9">
        <v>-1</v>
      </c>
      <c r="M1221" t="s">
        <v>1138</v>
      </c>
      <c r="N1221" t="s">
        <v>140</v>
      </c>
      <c r="O1221" s="27" t="str">
        <f>HYPERLINK("https://www.ncbi.nlm.nih.gov/nuccore/NZ_JNXG01000001.1?report=graph&amp;from=85301&amp;to=85305", "TTA_codon")</f>
        <v>TTA_codon</v>
      </c>
    </row>
    <row r="1222" spans="1:15" x14ac:dyDescent="0.15">
      <c r="A1222" t="s">
        <v>21</v>
      </c>
      <c r="B1222" t="s">
        <v>1156</v>
      </c>
    </row>
    <row r="1223" spans="1:15" x14ac:dyDescent="0.15">
      <c r="A1223" t="s">
        <v>21</v>
      </c>
      <c r="B1223">
        <v>1000383</v>
      </c>
      <c r="C1223">
        <v>348341</v>
      </c>
      <c r="F1223" s="7">
        <v>1</v>
      </c>
      <c r="G1223" s="7">
        <v>715</v>
      </c>
      <c r="H1223" s="8">
        <v>652</v>
      </c>
      <c r="J1223" t="s">
        <v>23</v>
      </c>
      <c r="K1223" s="7">
        <v>1206</v>
      </c>
      <c r="L1223" s="9">
        <v>-1</v>
      </c>
      <c r="M1223" t="s">
        <v>59</v>
      </c>
      <c r="N1223" t="s">
        <v>60</v>
      </c>
      <c r="O1223" s="27" t="str">
        <f>HYPERLINK("https://www.ncbi.nlm.nih.gov/nuccore/NC_016582.1?report=graph&amp;from=4498337&amp;to=4498341", "TTA_codon")</f>
        <v>TTA_codon</v>
      </c>
    </row>
    <row r="1224" spans="1:15" x14ac:dyDescent="0.15">
      <c r="A1224" t="s">
        <v>21</v>
      </c>
      <c r="B1224">
        <v>1000383</v>
      </c>
      <c r="C1224">
        <v>350377</v>
      </c>
      <c r="F1224" s="7">
        <v>1</v>
      </c>
      <c r="G1224" s="7">
        <v>715</v>
      </c>
      <c r="H1224" s="8">
        <v>706</v>
      </c>
      <c r="J1224" t="s">
        <v>23</v>
      </c>
      <c r="K1224" s="7">
        <v>1224</v>
      </c>
      <c r="L1224" s="9">
        <v>-1</v>
      </c>
      <c r="M1224" t="s">
        <v>35</v>
      </c>
      <c r="N1224" t="s">
        <v>36</v>
      </c>
      <c r="O1224" s="27" t="str">
        <f>HYPERLINK("https://www.ncbi.nlm.nih.gov/nuccore/NZ_JH725387.1?report=graph&amp;from=1423449&amp;to=1423453", "TTA_codon")</f>
        <v>TTA_codon</v>
      </c>
    </row>
    <row r="1225" spans="1:15" x14ac:dyDescent="0.15">
      <c r="A1225" t="s">
        <v>21</v>
      </c>
      <c r="B1225">
        <v>1000383</v>
      </c>
      <c r="C1225">
        <v>354428</v>
      </c>
      <c r="F1225" s="7">
        <v>1</v>
      </c>
      <c r="G1225" s="7">
        <v>715</v>
      </c>
      <c r="H1225" s="8">
        <v>631</v>
      </c>
      <c r="J1225" t="s">
        <v>23</v>
      </c>
      <c r="K1225" s="7">
        <v>1128</v>
      </c>
      <c r="L1225" s="9">
        <v>-1</v>
      </c>
      <c r="M1225" t="s">
        <v>1157</v>
      </c>
      <c r="N1225" t="s">
        <v>142</v>
      </c>
      <c r="O1225" s="27" t="str">
        <f>HYPERLINK("https://www.ncbi.nlm.nih.gov/nuccore/NZ_JOEI01000009.1?report=graph&amp;from=111345&amp;to=111349", "TTA_codon")</f>
        <v>TTA_codon</v>
      </c>
    </row>
    <row r="1226" spans="1:15" x14ac:dyDescent="0.15">
      <c r="A1226" t="s">
        <v>21</v>
      </c>
      <c r="B1226">
        <v>1000383</v>
      </c>
      <c r="C1226">
        <v>355709</v>
      </c>
      <c r="F1226" s="7">
        <v>1</v>
      </c>
      <c r="G1226" s="7">
        <v>676</v>
      </c>
      <c r="H1226" s="8">
        <v>589</v>
      </c>
      <c r="J1226" t="s">
        <v>23</v>
      </c>
      <c r="K1226" s="7">
        <v>1146</v>
      </c>
      <c r="L1226" s="9">
        <v>-1</v>
      </c>
      <c r="M1226" t="s">
        <v>1158</v>
      </c>
      <c r="N1226" t="s">
        <v>278</v>
      </c>
      <c r="O1226" s="27" t="str">
        <f>HYPERLINK("https://www.ncbi.nlm.nih.gov/nuccore/NZ_JOID01000012.1?report=graph&amp;from=110342&amp;to=110346", "TTA_codon")</f>
        <v>TTA_codon</v>
      </c>
    </row>
    <row r="1227" spans="1:15" x14ac:dyDescent="0.15">
      <c r="A1227" t="s">
        <v>21</v>
      </c>
      <c r="B1227">
        <v>1000383</v>
      </c>
      <c r="C1227">
        <v>361494</v>
      </c>
      <c r="F1227" s="7">
        <v>1</v>
      </c>
      <c r="G1227" s="7">
        <v>715</v>
      </c>
      <c r="H1227" s="8">
        <v>622</v>
      </c>
      <c r="J1227" t="s">
        <v>23</v>
      </c>
      <c r="K1227" s="7">
        <v>1140</v>
      </c>
      <c r="L1227" s="9">
        <v>-1</v>
      </c>
      <c r="M1227" t="s">
        <v>200</v>
      </c>
      <c r="N1227" t="s">
        <v>201</v>
      </c>
      <c r="O1227" s="27" t="str">
        <f>HYPERLINK("https://www.ncbi.nlm.nih.gov/nuccore/NZ_CP016559.1?report=graph&amp;from=1604168&amp;to=1604172", "TTA_codon")</f>
        <v>TTA_codon</v>
      </c>
    </row>
    <row r="1228" spans="1:15" x14ac:dyDescent="0.15">
      <c r="A1228" t="s">
        <v>21</v>
      </c>
      <c r="B1228" t="s">
        <v>1159</v>
      </c>
    </row>
    <row r="1229" spans="1:15" x14ac:dyDescent="0.15">
      <c r="A1229" t="s">
        <v>21</v>
      </c>
      <c r="B1229">
        <v>1000876</v>
      </c>
      <c r="C1229">
        <v>352682</v>
      </c>
      <c r="F1229" s="7">
        <v>1</v>
      </c>
      <c r="G1229" s="7">
        <v>70</v>
      </c>
      <c r="H1229" s="8">
        <v>70</v>
      </c>
      <c r="J1229" t="s">
        <v>23</v>
      </c>
      <c r="K1229" s="7">
        <v>1203</v>
      </c>
      <c r="L1229" s="9">
        <v>-1</v>
      </c>
      <c r="M1229" t="s">
        <v>1160</v>
      </c>
      <c r="N1229" t="s">
        <v>436</v>
      </c>
      <c r="O1229" s="27" t="str">
        <f>HYPERLINK("https://www.ncbi.nlm.nih.gov/nuccore/NZ_AUBE01000005.1?report=graph&amp;from=243849&amp;to=243853", "TTA_codon")</f>
        <v>TTA_codon</v>
      </c>
    </row>
    <row r="1230" spans="1:15" x14ac:dyDescent="0.15">
      <c r="A1230" t="s">
        <v>21</v>
      </c>
      <c r="B1230">
        <v>1000876</v>
      </c>
      <c r="C1230">
        <v>354682</v>
      </c>
      <c r="F1230" s="7">
        <v>1</v>
      </c>
      <c r="G1230" s="7">
        <v>70</v>
      </c>
      <c r="H1230" s="8">
        <v>70</v>
      </c>
      <c r="J1230" t="s">
        <v>23</v>
      </c>
      <c r="K1230" s="7">
        <v>1191</v>
      </c>
      <c r="L1230" s="9">
        <v>-1</v>
      </c>
      <c r="M1230" t="s">
        <v>865</v>
      </c>
      <c r="N1230" t="s">
        <v>272</v>
      </c>
      <c r="O1230" s="27" t="str">
        <f>HYPERLINK("https://www.ncbi.nlm.nih.gov/nuccore/NZ_JOEY01000002.1?report=graph&amp;from=40880&amp;to=40884", "TTA_codon")</f>
        <v>TTA_codon</v>
      </c>
    </row>
    <row r="1231" spans="1:15" x14ac:dyDescent="0.15">
      <c r="A1231" t="s">
        <v>21</v>
      </c>
      <c r="B1231" t="s">
        <v>1161</v>
      </c>
    </row>
    <row r="1232" spans="1:15" x14ac:dyDescent="0.15">
      <c r="A1232" t="s">
        <v>21</v>
      </c>
      <c r="B1232">
        <v>1001314</v>
      </c>
      <c r="C1232">
        <v>357206</v>
      </c>
      <c r="F1232" s="7">
        <v>1</v>
      </c>
      <c r="G1232" s="7">
        <v>91</v>
      </c>
      <c r="H1232" s="8">
        <v>55</v>
      </c>
      <c r="J1232" t="s">
        <v>23</v>
      </c>
      <c r="K1232" s="7">
        <v>1158</v>
      </c>
      <c r="L1232" s="9">
        <v>1</v>
      </c>
      <c r="M1232" t="s">
        <v>205</v>
      </c>
      <c r="N1232" t="s">
        <v>206</v>
      </c>
      <c r="O1232" s="27" t="str">
        <f>HYPERLINK("https://www.ncbi.nlm.nih.gov/nuccore/NZ_CP010407.1?report=graph&amp;from=8619685&amp;to=8619689", "TTA_codon")</f>
        <v>TTA_codon</v>
      </c>
    </row>
    <row r="1233" spans="1:15" x14ac:dyDescent="0.15">
      <c r="A1233" t="s">
        <v>21</v>
      </c>
      <c r="B1233">
        <v>1001314</v>
      </c>
      <c r="C1233">
        <v>359537</v>
      </c>
      <c r="F1233" s="7">
        <v>1</v>
      </c>
      <c r="G1233" s="7">
        <v>91</v>
      </c>
      <c r="H1233" s="8">
        <v>55</v>
      </c>
      <c r="J1233" t="s">
        <v>23</v>
      </c>
      <c r="K1233" s="7">
        <v>1182</v>
      </c>
      <c r="L1233" s="9">
        <v>1</v>
      </c>
      <c r="M1233" t="s">
        <v>151</v>
      </c>
      <c r="N1233" t="s">
        <v>152</v>
      </c>
      <c r="O1233" s="27" t="str">
        <f>HYPERLINK("https://www.ncbi.nlm.nih.gov/nuccore/NZ_CP013129.1?report=graph&amp;from=8481594&amp;to=8481598", "TTA_codon")</f>
        <v>TTA_codon</v>
      </c>
    </row>
    <row r="1234" spans="1:15" x14ac:dyDescent="0.15">
      <c r="A1234" t="s">
        <v>21</v>
      </c>
      <c r="B1234">
        <v>1001314</v>
      </c>
      <c r="C1234">
        <v>360504</v>
      </c>
      <c r="F1234" s="7">
        <v>1</v>
      </c>
      <c r="G1234" s="7">
        <v>142</v>
      </c>
      <c r="H1234" s="8">
        <v>130</v>
      </c>
      <c r="J1234" t="s">
        <v>23</v>
      </c>
      <c r="K1234" s="7">
        <v>1254</v>
      </c>
      <c r="L1234" s="9">
        <v>1</v>
      </c>
      <c r="M1234" t="s">
        <v>121</v>
      </c>
      <c r="N1234" t="s">
        <v>122</v>
      </c>
      <c r="O1234" s="27" t="str">
        <f>HYPERLINK("https://www.ncbi.nlm.nih.gov/nuccore/NZ_CP016279.1?report=graph&amp;from=4578763&amp;to=4578767", "TTA_codon")</f>
        <v>TTA_codon</v>
      </c>
    </row>
    <row r="1235" spans="1:15" x14ac:dyDescent="0.15">
      <c r="A1235" t="s">
        <v>21</v>
      </c>
      <c r="B1235" t="s">
        <v>1162</v>
      </c>
    </row>
    <row r="1236" spans="1:15" x14ac:dyDescent="0.15">
      <c r="A1236" t="s">
        <v>21</v>
      </c>
      <c r="B1236">
        <v>1000928</v>
      </c>
      <c r="C1236">
        <v>353249</v>
      </c>
      <c r="F1236" s="7">
        <v>1</v>
      </c>
      <c r="G1236" s="7">
        <v>1216</v>
      </c>
      <c r="H1236" s="8">
        <v>1216</v>
      </c>
      <c r="J1236" t="s">
        <v>23</v>
      </c>
      <c r="K1236" s="7">
        <v>1257</v>
      </c>
      <c r="L1236" s="9">
        <v>1</v>
      </c>
      <c r="M1236" t="s">
        <v>1163</v>
      </c>
      <c r="N1236" t="s">
        <v>169</v>
      </c>
      <c r="O1236" s="27" t="str">
        <f>HYPERLINK("https://www.ncbi.nlm.nih.gov/nuccore/NZ_JNWJ01000086.1?report=graph&amp;from=22832&amp;to=22836", "TTA_codon")</f>
        <v>TTA_codon</v>
      </c>
    </row>
    <row r="1237" spans="1:15" x14ac:dyDescent="0.15">
      <c r="A1237" t="s">
        <v>21</v>
      </c>
      <c r="B1237">
        <v>1000928</v>
      </c>
      <c r="C1237">
        <v>355647</v>
      </c>
      <c r="F1237" s="7">
        <v>1</v>
      </c>
      <c r="G1237" s="7">
        <v>1219</v>
      </c>
      <c r="H1237" s="8">
        <v>1219</v>
      </c>
      <c r="J1237" t="s">
        <v>23</v>
      </c>
      <c r="K1237" s="7">
        <v>1257</v>
      </c>
      <c r="L1237" s="9">
        <v>1</v>
      </c>
      <c r="M1237" t="s">
        <v>1164</v>
      </c>
      <c r="N1237" t="s">
        <v>278</v>
      </c>
      <c r="O1237" s="27" t="str">
        <f>HYPERLINK("https://www.ncbi.nlm.nih.gov/nuccore/NZ_JOID01000023.1?report=graph&amp;from=66759&amp;to=66763", "TTA_codon")</f>
        <v>TTA_codon</v>
      </c>
    </row>
    <row r="1238" spans="1:15" x14ac:dyDescent="0.15">
      <c r="A1238" t="s">
        <v>21</v>
      </c>
      <c r="B1238" t="s">
        <v>1165</v>
      </c>
    </row>
    <row r="1239" spans="1:15" x14ac:dyDescent="0.15">
      <c r="A1239" t="s">
        <v>21</v>
      </c>
      <c r="B1239">
        <v>1000572</v>
      </c>
      <c r="C1239">
        <v>350007</v>
      </c>
      <c r="F1239" s="7">
        <v>1</v>
      </c>
      <c r="G1239" s="7">
        <v>1348</v>
      </c>
      <c r="H1239" s="8">
        <v>262</v>
      </c>
      <c r="J1239" t="s">
        <v>23</v>
      </c>
      <c r="K1239" s="7">
        <v>1776</v>
      </c>
      <c r="L1239" s="9">
        <v>1</v>
      </c>
      <c r="M1239" t="s">
        <v>1166</v>
      </c>
      <c r="N1239" t="s">
        <v>249</v>
      </c>
      <c r="O1239" s="27" t="str">
        <f>HYPERLINK("https://www.ncbi.nlm.nih.gov/nuccore/NZ_AHBF01000072.1?report=graph&amp;from=55477&amp;to=55481", "TTA_codon")</f>
        <v>TTA_codon</v>
      </c>
    </row>
    <row r="1240" spans="1:15" x14ac:dyDescent="0.15">
      <c r="A1240" t="s">
        <v>21</v>
      </c>
      <c r="B1240">
        <v>1000572</v>
      </c>
      <c r="C1240">
        <v>363275</v>
      </c>
      <c r="F1240" s="7">
        <v>1</v>
      </c>
      <c r="G1240" s="7">
        <v>1144</v>
      </c>
      <c r="H1240" s="8">
        <v>889</v>
      </c>
      <c r="J1240" t="s">
        <v>23</v>
      </c>
      <c r="K1240" s="7">
        <v>2384</v>
      </c>
      <c r="L1240" s="9">
        <v>1</v>
      </c>
      <c r="M1240" t="s">
        <v>1167</v>
      </c>
      <c r="N1240" t="s">
        <v>28</v>
      </c>
      <c r="O1240" s="27" t="str">
        <f>HYPERLINK("https://www.ncbi.nlm.nih.gov/nuccore/NZ_JUJA01000011.1?report=graph&amp;from=87286&amp;to=87290", "TTA_codon")</f>
        <v>TTA_codon</v>
      </c>
    </row>
    <row r="1241" spans="1:15" x14ac:dyDescent="0.15">
      <c r="A1241" t="s">
        <v>21</v>
      </c>
      <c r="B1241">
        <v>1000572</v>
      </c>
      <c r="C1241">
        <v>363925</v>
      </c>
      <c r="F1241" s="7">
        <v>1</v>
      </c>
      <c r="G1241" s="7">
        <v>1243</v>
      </c>
      <c r="H1241" s="8">
        <v>1183</v>
      </c>
      <c r="J1241" t="s">
        <v>23</v>
      </c>
      <c r="K1241" s="7">
        <v>3573</v>
      </c>
      <c r="L1241" s="9">
        <v>1</v>
      </c>
      <c r="M1241" t="s">
        <v>1168</v>
      </c>
      <c r="N1241" t="s">
        <v>104</v>
      </c>
      <c r="O1241" s="27" t="str">
        <f>HYPERLINK("https://www.ncbi.nlm.nih.gov/nuccore/NZ_MVFC01000079.1?report=graph&amp;from=1582&amp;to=1586", "TTA_codon")</f>
        <v>TTA_codon</v>
      </c>
    </row>
    <row r="1242" spans="1:15" x14ac:dyDescent="0.15">
      <c r="A1242" t="s">
        <v>21</v>
      </c>
      <c r="B1242" t="s">
        <v>1169</v>
      </c>
    </row>
    <row r="1243" spans="1:15" x14ac:dyDescent="0.15">
      <c r="A1243" t="s">
        <v>21</v>
      </c>
      <c r="B1243">
        <v>1000996</v>
      </c>
      <c r="C1243">
        <v>348037</v>
      </c>
      <c r="F1243" s="7">
        <v>4</v>
      </c>
      <c r="G1243" s="7" t="s">
        <v>1170</v>
      </c>
      <c r="H1243" s="8" t="s">
        <v>1171</v>
      </c>
      <c r="J1243" t="s">
        <v>23</v>
      </c>
      <c r="K1243" s="7">
        <v>2097</v>
      </c>
      <c r="L1243" s="9">
        <v>1</v>
      </c>
      <c r="M1243" t="s">
        <v>59</v>
      </c>
      <c r="N1243" t="s">
        <v>60</v>
      </c>
      <c r="O1243" s="27" t="str">
        <f>HYPERLINK("https://www.ncbi.nlm.nih.gov/nuccore/NC_016582.1?report=graph&amp;from=5782811&amp;to=5783877", "TTA_codon")</f>
        <v>TTA_codon</v>
      </c>
    </row>
    <row r="1244" spans="1:15" x14ac:dyDescent="0.15">
      <c r="A1244" t="s">
        <v>21</v>
      </c>
      <c r="B1244">
        <v>1000996</v>
      </c>
      <c r="C1244">
        <v>348765</v>
      </c>
      <c r="F1244" s="7">
        <v>1</v>
      </c>
      <c r="G1244" s="7">
        <v>241</v>
      </c>
      <c r="H1244" s="8">
        <v>235</v>
      </c>
      <c r="J1244" t="s">
        <v>23</v>
      </c>
      <c r="K1244" s="7">
        <v>2175</v>
      </c>
      <c r="L1244" s="9">
        <v>1</v>
      </c>
      <c r="M1244" t="s">
        <v>211</v>
      </c>
      <c r="N1244" t="s">
        <v>212</v>
      </c>
      <c r="O1244" s="27" t="str">
        <f>HYPERLINK("https://www.ncbi.nlm.nih.gov/nuccore/NZ_GG657754.1?report=graph&amp;from=7013202&amp;to=7013206", "TTA_codon")</f>
        <v>TTA_codon</v>
      </c>
    </row>
    <row r="1245" spans="1:15" x14ac:dyDescent="0.15">
      <c r="A1245" t="s">
        <v>21</v>
      </c>
      <c r="B1245">
        <v>1000996</v>
      </c>
      <c r="C1245">
        <v>354167</v>
      </c>
      <c r="F1245" s="7">
        <v>1</v>
      </c>
      <c r="G1245" s="7">
        <v>400</v>
      </c>
      <c r="H1245" s="8">
        <v>355</v>
      </c>
      <c r="J1245" t="s">
        <v>23</v>
      </c>
      <c r="K1245" s="7">
        <v>2109</v>
      </c>
      <c r="L1245" s="9">
        <v>1</v>
      </c>
      <c r="M1245" t="s">
        <v>1172</v>
      </c>
      <c r="N1245" t="s">
        <v>361</v>
      </c>
      <c r="O1245" s="27" t="str">
        <f>HYPERLINK("https://www.ncbi.nlm.nih.gov/nuccore/NZ_JODY01000055.1?report=graph&amp;from=6714&amp;to=6718", "TTA_codon")</f>
        <v>TTA_codon</v>
      </c>
    </row>
    <row r="1246" spans="1:15" x14ac:dyDescent="0.15">
      <c r="A1246" t="s">
        <v>21</v>
      </c>
      <c r="B1246" t="s">
        <v>1173</v>
      </c>
    </row>
    <row r="1247" spans="1:15" x14ac:dyDescent="0.15">
      <c r="A1247" t="s">
        <v>21</v>
      </c>
      <c r="B1247">
        <v>1001337</v>
      </c>
      <c r="C1247">
        <v>347978</v>
      </c>
      <c r="F1247" s="7">
        <v>3</v>
      </c>
      <c r="G1247" s="7" t="s">
        <v>1174</v>
      </c>
      <c r="H1247" s="8" t="s">
        <v>1175</v>
      </c>
      <c r="J1247" t="s">
        <v>23</v>
      </c>
      <c r="K1247" s="7">
        <v>8406</v>
      </c>
      <c r="L1247" s="9">
        <v>-1</v>
      </c>
      <c r="M1247" t="s">
        <v>59</v>
      </c>
      <c r="N1247" t="s">
        <v>60</v>
      </c>
      <c r="O1247" s="27" t="str">
        <f>HYPERLINK("https://www.ncbi.nlm.nih.gov/nuccore/NC_016582.1?report=graph&amp;from=949815&amp;to=952639", "TTA_codon")</f>
        <v>TTA_codon</v>
      </c>
    </row>
    <row r="1248" spans="1:15" x14ac:dyDescent="0.15">
      <c r="A1248" t="s">
        <v>21</v>
      </c>
      <c r="B1248">
        <v>1001337</v>
      </c>
      <c r="C1248">
        <v>354349</v>
      </c>
      <c r="F1248" s="7">
        <v>1</v>
      </c>
      <c r="G1248" s="7">
        <v>8275</v>
      </c>
      <c r="H1248" s="8">
        <v>1561</v>
      </c>
      <c r="J1248" t="s">
        <v>23</v>
      </c>
      <c r="K1248" s="7">
        <v>6510</v>
      </c>
      <c r="L1248" s="9">
        <v>-1</v>
      </c>
      <c r="M1248" t="s">
        <v>1176</v>
      </c>
      <c r="N1248" t="s">
        <v>142</v>
      </c>
      <c r="O1248" s="27" t="str">
        <f>HYPERLINK("https://www.ncbi.nlm.nih.gov/nuccore/NZ_JOEI01000037.1?report=graph&amp;from=7921&amp;to=7925", "TTA_codon")</f>
        <v>TTA_codon</v>
      </c>
    </row>
    <row r="1249" spans="1:15" x14ac:dyDescent="0.15">
      <c r="A1249" t="s">
        <v>21</v>
      </c>
      <c r="B1249">
        <v>1001337</v>
      </c>
      <c r="C1249">
        <v>359496</v>
      </c>
      <c r="F1249" s="7">
        <v>1</v>
      </c>
      <c r="G1249" s="7">
        <v>2536</v>
      </c>
      <c r="H1249" s="8">
        <v>163</v>
      </c>
      <c r="J1249" t="s">
        <v>23</v>
      </c>
      <c r="K1249" s="7">
        <v>6072</v>
      </c>
      <c r="L1249" s="9">
        <v>-1</v>
      </c>
      <c r="M1249" t="s">
        <v>151</v>
      </c>
      <c r="N1249" t="s">
        <v>152</v>
      </c>
      <c r="O1249" s="27" t="str">
        <f>HYPERLINK("https://www.ncbi.nlm.nih.gov/nuccore/NZ_CP013129.1?report=graph&amp;from=7015131&amp;to=7015135", "TTA_codon")</f>
        <v>TTA_codon</v>
      </c>
    </row>
    <row r="1250" spans="1:15" x14ac:dyDescent="0.15">
      <c r="A1250" t="s">
        <v>21</v>
      </c>
      <c r="B1250">
        <v>1001337</v>
      </c>
      <c r="C1250">
        <v>360336</v>
      </c>
      <c r="F1250" s="7">
        <v>1</v>
      </c>
      <c r="G1250" s="7">
        <v>3151</v>
      </c>
      <c r="H1250" s="8">
        <v>205</v>
      </c>
      <c r="J1250" t="s">
        <v>23</v>
      </c>
      <c r="K1250" s="7">
        <v>7740</v>
      </c>
      <c r="L1250" s="9">
        <v>-1</v>
      </c>
      <c r="M1250" t="s">
        <v>121</v>
      </c>
      <c r="N1250" t="s">
        <v>122</v>
      </c>
      <c r="O1250" s="27" t="str">
        <f>HYPERLINK("https://www.ncbi.nlm.nih.gov/nuccore/NZ_CP016279.1?report=graph&amp;from=3607021&amp;to=3607025", "TTA_codon")</f>
        <v>TTA_codon</v>
      </c>
    </row>
    <row r="1251" spans="1:15" x14ac:dyDescent="0.15">
      <c r="A1251" t="s">
        <v>21</v>
      </c>
      <c r="B1251">
        <v>1001337</v>
      </c>
      <c r="C1251">
        <v>361671</v>
      </c>
      <c r="F1251" s="7">
        <v>1</v>
      </c>
      <c r="G1251" s="7">
        <v>3079</v>
      </c>
      <c r="H1251" s="8">
        <v>148</v>
      </c>
      <c r="J1251" t="s">
        <v>23</v>
      </c>
      <c r="K1251" s="7">
        <v>10806</v>
      </c>
      <c r="L1251" s="9">
        <v>-1</v>
      </c>
      <c r="M1251" t="s">
        <v>37</v>
      </c>
      <c r="N1251" t="s">
        <v>38</v>
      </c>
      <c r="O1251" s="27" t="str">
        <f>HYPERLINK("https://www.ncbi.nlm.nih.gov/nuccore/NZ_CP011533.1?report=graph&amp;from=2272177&amp;to=2272181", "TTA_codon")</f>
        <v>TTA_codon</v>
      </c>
    </row>
    <row r="1252" spans="1:15" x14ac:dyDescent="0.15">
      <c r="A1252" t="s">
        <v>21</v>
      </c>
      <c r="B1252">
        <v>1001337</v>
      </c>
      <c r="C1252">
        <v>361672</v>
      </c>
      <c r="F1252" s="7">
        <v>1</v>
      </c>
      <c r="G1252" s="7">
        <v>3019</v>
      </c>
      <c r="H1252" s="8">
        <v>88</v>
      </c>
      <c r="J1252" t="s">
        <v>23</v>
      </c>
      <c r="K1252" s="7">
        <v>9672</v>
      </c>
      <c r="L1252" s="9">
        <v>-1</v>
      </c>
      <c r="M1252" t="s">
        <v>37</v>
      </c>
      <c r="N1252" t="s">
        <v>38</v>
      </c>
      <c r="O1252" s="27" t="str">
        <f>HYPERLINK("https://www.ncbi.nlm.nih.gov/nuccore/NZ_CP011533.1?report=graph&amp;from=2261420&amp;to=2261424", "TTA_codon")</f>
        <v>TTA_codon</v>
      </c>
    </row>
    <row r="1253" spans="1:15" x14ac:dyDescent="0.15">
      <c r="A1253" t="s">
        <v>21</v>
      </c>
      <c r="B1253">
        <v>1001337</v>
      </c>
      <c r="C1253">
        <v>362502</v>
      </c>
      <c r="F1253" s="7">
        <v>1</v>
      </c>
      <c r="G1253" s="7">
        <v>2920</v>
      </c>
      <c r="H1253" s="8">
        <v>2908</v>
      </c>
      <c r="J1253" t="s">
        <v>23</v>
      </c>
      <c r="K1253" s="7">
        <v>12771</v>
      </c>
      <c r="L1253" s="9">
        <v>-1</v>
      </c>
      <c r="M1253" t="s">
        <v>32</v>
      </c>
      <c r="N1253" t="s">
        <v>33</v>
      </c>
      <c r="O1253" s="27" t="str">
        <f>HYPERLINK("https://www.ncbi.nlm.nih.gov/nuccore/NZ_CP017248.1?report=graph&amp;from=1727232&amp;to=1727236", "TTA_codon")</f>
        <v>TTA_codon</v>
      </c>
    </row>
    <row r="1254" spans="1:15" x14ac:dyDescent="0.15">
      <c r="A1254" t="s">
        <v>21</v>
      </c>
      <c r="B1254">
        <v>1001337</v>
      </c>
      <c r="C1254">
        <v>363693</v>
      </c>
      <c r="F1254" s="7">
        <v>1</v>
      </c>
      <c r="G1254" s="7">
        <v>8389</v>
      </c>
      <c r="H1254" s="8">
        <v>1117</v>
      </c>
      <c r="J1254" t="s">
        <v>23</v>
      </c>
      <c r="K1254" s="7">
        <v>5748</v>
      </c>
      <c r="L1254" s="9">
        <v>-1</v>
      </c>
      <c r="M1254" t="s">
        <v>101</v>
      </c>
      <c r="N1254" t="s">
        <v>102</v>
      </c>
      <c r="O1254" s="27" t="str">
        <f>HYPERLINK("https://www.ncbi.nlm.nih.gov/nuccore/NZ_CP019458.1?report=graph&amp;from=1702503&amp;to=1702507", "TTA_codon")</f>
        <v>TTA_codon</v>
      </c>
    </row>
    <row r="1255" spans="1:15" x14ac:dyDescent="0.15">
      <c r="A1255" t="s">
        <v>21</v>
      </c>
      <c r="B1255">
        <v>1001337</v>
      </c>
      <c r="C1255">
        <v>365056</v>
      </c>
      <c r="F1255" s="7">
        <v>1</v>
      </c>
      <c r="G1255" s="7">
        <v>2995</v>
      </c>
      <c r="H1255" s="8">
        <v>58</v>
      </c>
      <c r="J1255" t="s">
        <v>23</v>
      </c>
      <c r="K1255" s="7">
        <v>5553</v>
      </c>
      <c r="L1255" s="9">
        <v>-1</v>
      </c>
      <c r="M1255" t="s">
        <v>111</v>
      </c>
      <c r="N1255" t="s">
        <v>112</v>
      </c>
      <c r="O1255" s="27" t="str">
        <f>HYPERLINK("https://www.ncbi.nlm.nih.gov/nuccore/NZ_CP021744.1?report=graph&amp;from=183272&amp;to=183276", "TTA_codon")</f>
        <v>TTA_codon</v>
      </c>
    </row>
    <row r="1256" spans="1:15" x14ac:dyDescent="0.15">
      <c r="A1256" t="s">
        <v>21</v>
      </c>
      <c r="B1256" t="s">
        <v>1177</v>
      </c>
    </row>
    <row r="1257" spans="1:15" x14ac:dyDescent="0.15">
      <c r="A1257" t="s">
        <v>21</v>
      </c>
      <c r="B1257">
        <v>1001016</v>
      </c>
      <c r="C1257">
        <v>354360</v>
      </c>
      <c r="F1257" s="7">
        <v>2</v>
      </c>
      <c r="G1257" s="7" t="s">
        <v>1178</v>
      </c>
      <c r="H1257" s="8" t="s">
        <v>1178</v>
      </c>
      <c r="J1257" t="s">
        <v>23</v>
      </c>
      <c r="K1257" s="7">
        <v>837</v>
      </c>
      <c r="L1257" s="9">
        <v>-1</v>
      </c>
      <c r="M1257" t="s">
        <v>1179</v>
      </c>
      <c r="N1257" t="s">
        <v>142</v>
      </c>
      <c r="O1257" s="27" t="str">
        <f>HYPERLINK("https://www.ncbi.nlm.nih.gov/nuccore/NZ_JOEI01000014.1?report=graph&amp;from=48738&amp;to=48913", "TTA_codon")</f>
        <v>TTA_codon</v>
      </c>
    </row>
    <row r="1258" spans="1:15" x14ac:dyDescent="0.15">
      <c r="A1258" t="s">
        <v>21</v>
      </c>
      <c r="B1258">
        <v>1001016</v>
      </c>
      <c r="C1258">
        <v>357972</v>
      </c>
      <c r="F1258" s="7">
        <v>1</v>
      </c>
      <c r="G1258" s="7">
        <v>493</v>
      </c>
      <c r="H1258" s="8">
        <v>454</v>
      </c>
      <c r="J1258" t="s">
        <v>23</v>
      </c>
      <c r="K1258" s="7">
        <v>798</v>
      </c>
      <c r="L1258" s="9">
        <v>-1</v>
      </c>
      <c r="M1258" t="s">
        <v>261</v>
      </c>
      <c r="N1258" t="s">
        <v>262</v>
      </c>
      <c r="O1258" s="27" t="str">
        <f>HYPERLINK("https://www.ncbi.nlm.nih.gov/nuccore/NZ_CP011340.1?report=graph&amp;from=7855870&amp;to=7855874", "TTA_codon")</f>
        <v>TTA_codon</v>
      </c>
    </row>
    <row r="1259" spans="1:15" x14ac:dyDescent="0.15">
      <c r="A1259" t="s">
        <v>21</v>
      </c>
      <c r="B1259" t="s">
        <v>1180</v>
      </c>
    </row>
    <row r="1260" spans="1:15" x14ac:dyDescent="0.15">
      <c r="A1260" t="s">
        <v>21</v>
      </c>
      <c r="B1260">
        <v>1000445</v>
      </c>
      <c r="C1260">
        <v>348759</v>
      </c>
      <c r="F1260" s="7">
        <v>1</v>
      </c>
      <c r="G1260" s="7">
        <v>640</v>
      </c>
      <c r="H1260" s="8">
        <v>610</v>
      </c>
      <c r="J1260" t="s">
        <v>23</v>
      </c>
      <c r="K1260" s="7">
        <v>3843</v>
      </c>
      <c r="L1260" s="9">
        <v>1</v>
      </c>
      <c r="M1260" t="s">
        <v>211</v>
      </c>
      <c r="N1260" t="s">
        <v>212</v>
      </c>
      <c r="O1260" s="27" t="str">
        <f>HYPERLINK("https://www.ncbi.nlm.nih.gov/nuccore/NZ_GG657754.1?report=graph&amp;from=2934391&amp;to=2934395", "TTA_codon")</f>
        <v>TTA_codon</v>
      </c>
    </row>
    <row r="1261" spans="1:15" x14ac:dyDescent="0.15">
      <c r="A1261" t="s">
        <v>21</v>
      </c>
      <c r="B1261">
        <v>1000445</v>
      </c>
      <c r="C1261">
        <v>355393</v>
      </c>
      <c r="F1261" s="7">
        <v>1</v>
      </c>
      <c r="G1261" s="7">
        <v>652</v>
      </c>
      <c r="H1261" s="8">
        <v>640</v>
      </c>
      <c r="J1261" t="s">
        <v>23</v>
      </c>
      <c r="K1261" s="7">
        <v>3897</v>
      </c>
      <c r="L1261" s="9">
        <v>1</v>
      </c>
      <c r="M1261" t="s">
        <v>1181</v>
      </c>
      <c r="N1261" t="s">
        <v>198</v>
      </c>
      <c r="O1261" s="27" t="str">
        <f>HYPERLINK("https://www.ncbi.nlm.nih.gov/nuccore/NZ_JOFL01000007.1?report=graph&amp;from=50906&amp;to=50910", "TTA_codon")</f>
        <v>TTA_codon</v>
      </c>
    </row>
    <row r="1262" spans="1:15" x14ac:dyDescent="0.15">
      <c r="A1262" t="s">
        <v>21</v>
      </c>
      <c r="B1262" t="s">
        <v>1182</v>
      </c>
    </row>
    <row r="1263" spans="1:15" x14ac:dyDescent="0.15">
      <c r="A1263" t="s">
        <v>21</v>
      </c>
      <c r="B1263">
        <v>1001216</v>
      </c>
      <c r="C1263">
        <v>357178</v>
      </c>
      <c r="F1263" s="7">
        <v>1</v>
      </c>
      <c r="G1263" s="7">
        <v>703</v>
      </c>
      <c r="H1263" s="8">
        <v>676</v>
      </c>
      <c r="J1263" t="s">
        <v>23</v>
      </c>
      <c r="K1263" s="7">
        <v>789</v>
      </c>
      <c r="L1263" s="9">
        <v>-1</v>
      </c>
      <c r="M1263" t="s">
        <v>205</v>
      </c>
      <c r="N1263" t="s">
        <v>206</v>
      </c>
      <c r="O1263" s="27" t="str">
        <f>HYPERLINK("https://www.ncbi.nlm.nih.gov/nuccore/NZ_CP010407.1?report=graph&amp;from=3323047&amp;to=3323051", "TTA_codon")</f>
        <v>TTA_codon</v>
      </c>
    </row>
    <row r="1264" spans="1:15" x14ac:dyDescent="0.15">
      <c r="A1264" t="s">
        <v>21</v>
      </c>
      <c r="B1264">
        <v>1001216</v>
      </c>
      <c r="C1264">
        <v>359555</v>
      </c>
      <c r="F1264" s="7">
        <v>1</v>
      </c>
      <c r="G1264" s="7">
        <v>691</v>
      </c>
      <c r="H1264" s="8">
        <v>664</v>
      </c>
      <c r="J1264" t="s">
        <v>23</v>
      </c>
      <c r="K1264" s="7">
        <v>801</v>
      </c>
      <c r="L1264" s="9">
        <v>-1</v>
      </c>
      <c r="M1264" t="s">
        <v>151</v>
      </c>
      <c r="N1264" t="s">
        <v>152</v>
      </c>
      <c r="O1264" s="27" t="str">
        <f>HYPERLINK("https://www.ncbi.nlm.nih.gov/nuccore/NZ_CP013129.1?report=graph&amp;from=3552040&amp;to=3552044", "TTA_codon")</f>
        <v>TTA_codon</v>
      </c>
    </row>
    <row r="1265" spans="1:15" x14ac:dyDescent="0.15">
      <c r="A1265" t="s">
        <v>21</v>
      </c>
      <c r="B1265">
        <v>1001216</v>
      </c>
      <c r="C1265">
        <v>363173</v>
      </c>
      <c r="F1265" s="7">
        <v>1</v>
      </c>
      <c r="G1265" s="7">
        <v>658</v>
      </c>
      <c r="H1265" s="8">
        <v>655</v>
      </c>
      <c r="J1265" t="s">
        <v>23</v>
      </c>
      <c r="K1265" s="7">
        <v>723</v>
      </c>
      <c r="L1265" s="9">
        <v>-1</v>
      </c>
      <c r="M1265" t="s">
        <v>988</v>
      </c>
      <c r="N1265" t="s">
        <v>401</v>
      </c>
      <c r="O1265" s="27" t="str">
        <f>HYPERLINK("https://www.ncbi.nlm.nih.gov/nuccore/NZ_LFBV01000010.1?report=graph&amp;from=857276&amp;to=857280", "TTA_codon")</f>
        <v>TTA_codon</v>
      </c>
    </row>
    <row r="1266" spans="1:15" x14ac:dyDescent="0.15">
      <c r="A1266" t="s">
        <v>21</v>
      </c>
      <c r="B1266">
        <v>1001216</v>
      </c>
      <c r="C1266">
        <v>364023</v>
      </c>
      <c r="F1266" s="7">
        <v>1</v>
      </c>
      <c r="G1266" s="7">
        <v>658</v>
      </c>
      <c r="H1266" s="8">
        <v>649</v>
      </c>
      <c r="J1266" t="s">
        <v>23</v>
      </c>
      <c r="K1266" s="7">
        <v>750</v>
      </c>
      <c r="L1266" s="9">
        <v>-1</v>
      </c>
      <c r="M1266" t="s">
        <v>1183</v>
      </c>
      <c r="N1266" t="s">
        <v>104</v>
      </c>
      <c r="O1266" s="27" t="str">
        <f>HYPERLINK("https://www.ncbi.nlm.nih.gov/nuccore/NZ_MVFC01000042.1?report=graph&amp;from=53675&amp;to=53679", "TTA_codon")</f>
        <v>TTA_codon</v>
      </c>
    </row>
    <row r="1267" spans="1:15" x14ac:dyDescent="0.15">
      <c r="A1267" t="s">
        <v>21</v>
      </c>
      <c r="B1267" t="s">
        <v>1184</v>
      </c>
    </row>
    <row r="1268" spans="1:15" x14ac:dyDescent="0.15">
      <c r="A1268" t="s">
        <v>21</v>
      </c>
      <c r="B1268">
        <v>1001514</v>
      </c>
      <c r="C1268">
        <v>348452</v>
      </c>
      <c r="F1268" s="7">
        <v>1</v>
      </c>
      <c r="G1268" s="7">
        <v>517</v>
      </c>
      <c r="H1268" s="8">
        <v>442</v>
      </c>
      <c r="J1268" t="s">
        <v>23</v>
      </c>
      <c r="K1268" s="7">
        <v>714</v>
      </c>
      <c r="L1268" s="9">
        <v>-1</v>
      </c>
      <c r="M1268" t="s">
        <v>59</v>
      </c>
      <c r="N1268" t="s">
        <v>60</v>
      </c>
      <c r="O1268" s="27" t="str">
        <f>HYPERLINK("https://www.ncbi.nlm.nih.gov/nuccore/NC_016582.1?report=graph&amp;from=7030836&amp;to=7030840", "TTA_codon")</f>
        <v>TTA_codon</v>
      </c>
    </row>
    <row r="1269" spans="1:15" x14ac:dyDescent="0.15">
      <c r="A1269" t="s">
        <v>21</v>
      </c>
      <c r="B1269">
        <v>1001514</v>
      </c>
      <c r="C1269">
        <v>362093</v>
      </c>
      <c r="F1269" s="7">
        <v>1</v>
      </c>
      <c r="G1269" s="7">
        <v>517</v>
      </c>
      <c r="H1269" s="8">
        <v>442</v>
      </c>
      <c r="J1269" t="s">
        <v>23</v>
      </c>
      <c r="K1269" s="7">
        <v>711</v>
      </c>
      <c r="L1269" s="9">
        <v>-1</v>
      </c>
      <c r="M1269" t="s">
        <v>1185</v>
      </c>
      <c r="N1269" t="s">
        <v>187</v>
      </c>
      <c r="O1269" s="27" t="str">
        <f>HYPERLINK("https://www.ncbi.nlm.nih.gov/nuccore/NZ_MAXF01000077.1?report=graph&amp;from=55147&amp;to=55151", "TTA_codon")</f>
        <v>TTA_codon</v>
      </c>
    </row>
    <row r="1270" spans="1:15" x14ac:dyDescent="0.15">
      <c r="A1270" t="s">
        <v>21</v>
      </c>
      <c r="B1270">
        <v>1001514</v>
      </c>
      <c r="C1270">
        <v>363800</v>
      </c>
      <c r="F1270" s="7">
        <v>1</v>
      </c>
      <c r="G1270" s="7">
        <v>517</v>
      </c>
      <c r="H1270" s="8">
        <v>442</v>
      </c>
      <c r="J1270" t="s">
        <v>23</v>
      </c>
      <c r="K1270" s="7">
        <v>711</v>
      </c>
      <c r="L1270" s="9">
        <v>-1</v>
      </c>
      <c r="M1270" t="s">
        <v>101</v>
      </c>
      <c r="N1270" t="s">
        <v>102</v>
      </c>
      <c r="O1270" s="27" t="str">
        <f>HYPERLINK("https://www.ncbi.nlm.nih.gov/nuccore/NZ_CP019458.1?report=graph&amp;from=6118710&amp;to=6118714", "TTA_codon")</f>
        <v>TTA_codon</v>
      </c>
    </row>
    <row r="1271" spans="1:15" x14ac:dyDescent="0.15">
      <c r="A1271" t="s">
        <v>21</v>
      </c>
      <c r="B1271">
        <v>1001514</v>
      </c>
      <c r="C1271">
        <v>365886</v>
      </c>
      <c r="F1271" s="7">
        <v>1</v>
      </c>
      <c r="G1271" s="7">
        <v>517</v>
      </c>
      <c r="H1271" s="8">
        <v>442</v>
      </c>
      <c r="J1271" t="s">
        <v>23</v>
      </c>
      <c r="K1271" s="7">
        <v>711</v>
      </c>
      <c r="L1271" s="9">
        <v>-1</v>
      </c>
      <c r="M1271" t="s">
        <v>213</v>
      </c>
      <c r="N1271" t="s">
        <v>214</v>
      </c>
      <c r="O1271" s="27" t="str">
        <f>HYPERLINK("https://www.ncbi.nlm.nih.gov/nuccore/NZ_FNST01000002.1?report=graph&amp;from=3708413&amp;to=3708417", "TTA_codon")</f>
        <v>TTA_codon</v>
      </c>
    </row>
    <row r="1272" spans="1:15" x14ac:dyDescent="0.15">
      <c r="A1272" t="s">
        <v>21</v>
      </c>
      <c r="B1272">
        <v>1001514</v>
      </c>
      <c r="C1272">
        <v>366327</v>
      </c>
      <c r="F1272" s="7">
        <v>1</v>
      </c>
      <c r="G1272" s="7">
        <v>490</v>
      </c>
      <c r="H1272" s="8">
        <v>424</v>
      </c>
      <c r="J1272" t="s">
        <v>23</v>
      </c>
      <c r="K1272" s="7">
        <v>714</v>
      </c>
      <c r="L1272" s="9">
        <v>-1</v>
      </c>
      <c r="M1272" t="s">
        <v>1186</v>
      </c>
      <c r="N1272" t="s">
        <v>47</v>
      </c>
      <c r="O1272" s="27" t="str">
        <f>HYPERLINK("https://www.ncbi.nlm.nih.gov/nuccore/NZ_FOLM01000021.1?report=graph&amp;from=84420&amp;to=84424", "TTA_codon")</f>
        <v>TTA_codon</v>
      </c>
    </row>
    <row r="1273" spans="1:15" x14ac:dyDescent="0.15">
      <c r="A1273" t="s">
        <v>21</v>
      </c>
      <c r="B1273" t="s">
        <v>1187</v>
      </c>
    </row>
    <row r="1274" spans="1:15" x14ac:dyDescent="0.15">
      <c r="A1274" t="s">
        <v>21</v>
      </c>
      <c r="B1274">
        <v>1001176</v>
      </c>
      <c r="C1274">
        <v>356570</v>
      </c>
      <c r="F1274" s="7">
        <v>1</v>
      </c>
      <c r="G1274" s="7">
        <v>412</v>
      </c>
      <c r="H1274" s="8">
        <v>412</v>
      </c>
      <c r="J1274" t="s">
        <v>23</v>
      </c>
      <c r="K1274" s="7">
        <v>459</v>
      </c>
      <c r="L1274" s="9">
        <v>-1</v>
      </c>
      <c r="M1274" t="s">
        <v>508</v>
      </c>
      <c r="N1274" t="s">
        <v>509</v>
      </c>
      <c r="O1274" s="27" t="str">
        <f>HYPERLINK("https://www.ncbi.nlm.nih.gov/nuccore/NZ_CP009438.1?report=graph&amp;from=6815330&amp;to=6815334", "TTA_codon")</f>
        <v>TTA_codon</v>
      </c>
    </row>
    <row r="1275" spans="1:15" x14ac:dyDescent="0.15">
      <c r="A1275" t="s">
        <v>21</v>
      </c>
      <c r="B1275">
        <v>1001176</v>
      </c>
      <c r="C1275">
        <v>364742</v>
      </c>
      <c r="F1275" s="7">
        <v>1</v>
      </c>
      <c r="G1275" s="7">
        <v>298</v>
      </c>
      <c r="H1275" s="8">
        <v>199</v>
      </c>
      <c r="J1275" t="s">
        <v>23</v>
      </c>
      <c r="K1275" s="7">
        <v>366</v>
      </c>
      <c r="L1275" s="9">
        <v>-1</v>
      </c>
      <c r="M1275" t="s">
        <v>1188</v>
      </c>
      <c r="N1275" t="s">
        <v>110</v>
      </c>
      <c r="O1275" s="27" t="str">
        <f>HYPERLINK("https://www.ncbi.nlm.nih.gov/nuccore/NZ_MUME01000025.1?report=graph&amp;from=22088&amp;to=22092", "TTA_codon")</f>
        <v>TTA_codon</v>
      </c>
    </row>
    <row r="1276" spans="1:15" x14ac:dyDescent="0.15">
      <c r="A1276" t="s">
        <v>21</v>
      </c>
      <c r="B1276" t="s">
        <v>1189</v>
      </c>
    </row>
    <row r="1277" spans="1:15" x14ac:dyDescent="0.15">
      <c r="A1277" t="s">
        <v>21</v>
      </c>
      <c r="B1277">
        <v>1000814</v>
      </c>
      <c r="C1277">
        <v>352106</v>
      </c>
      <c r="F1277" s="7">
        <v>1</v>
      </c>
      <c r="G1277" s="7">
        <v>43</v>
      </c>
      <c r="H1277" s="8">
        <v>43</v>
      </c>
      <c r="J1277" t="s">
        <v>23</v>
      </c>
      <c r="K1277" s="7">
        <v>2130</v>
      </c>
      <c r="L1277" s="9">
        <v>-1</v>
      </c>
      <c r="M1277" t="s">
        <v>1190</v>
      </c>
      <c r="N1277" t="s">
        <v>70</v>
      </c>
      <c r="O1277" s="27" t="str">
        <f>HYPERLINK("https://www.ncbi.nlm.nih.gov/nuccore/NZ_KB904651.1?report=graph&amp;from=69196&amp;to=69200", "TTA_codon")</f>
        <v>TTA_codon</v>
      </c>
    </row>
    <row r="1278" spans="1:15" x14ac:dyDescent="0.15">
      <c r="A1278" t="s">
        <v>21</v>
      </c>
      <c r="B1278">
        <v>1000814</v>
      </c>
      <c r="C1278">
        <v>355419</v>
      </c>
      <c r="F1278" s="7">
        <v>1</v>
      </c>
      <c r="G1278" s="7">
        <v>49</v>
      </c>
      <c r="H1278" s="8">
        <v>49</v>
      </c>
      <c r="J1278" t="s">
        <v>23</v>
      </c>
      <c r="K1278" s="7">
        <v>3174</v>
      </c>
      <c r="L1278" s="9">
        <v>-1</v>
      </c>
      <c r="M1278" t="s">
        <v>1191</v>
      </c>
      <c r="N1278" t="s">
        <v>198</v>
      </c>
      <c r="O1278" s="27" t="str">
        <f>HYPERLINK("https://www.ncbi.nlm.nih.gov/nuccore/NZ_JOFL01000019.1?report=graph&amp;from=54791&amp;to=54795", "TTA_codon")</f>
        <v>TTA_codon</v>
      </c>
    </row>
    <row r="1279" spans="1:15" x14ac:dyDescent="0.15">
      <c r="A1279" t="s">
        <v>21</v>
      </c>
      <c r="B1279">
        <v>1000814</v>
      </c>
      <c r="C1279">
        <v>363467</v>
      </c>
      <c r="F1279" s="7">
        <v>1</v>
      </c>
      <c r="G1279" s="7">
        <v>49</v>
      </c>
      <c r="H1279" s="8">
        <v>49</v>
      </c>
      <c r="J1279" t="s">
        <v>23</v>
      </c>
      <c r="K1279" s="7">
        <v>2703</v>
      </c>
      <c r="L1279" s="9">
        <v>-1</v>
      </c>
      <c r="M1279" t="s">
        <v>157</v>
      </c>
      <c r="N1279" t="s">
        <v>158</v>
      </c>
      <c r="O1279" s="27" t="str">
        <f>HYPERLINK("https://www.ncbi.nlm.nih.gov/nuccore/NZ_CP015588.1?report=graph&amp;from=3628416&amp;to=3628420", "TTA_codon")</f>
        <v>TTA_codon</v>
      </c>
    </row>
    <row r="1280" spans="1:15" x14ac:dyDescent="0.15">
      <c r="A1280" t="s">
        <v>21</v>
      </c>
      <c r="B1280" t="s">
        <v>1192</v>
      </c>
    </row>
    <row r="1281" spans="1:15" x14ac:dyDescent="0.15">
      <c r="A1281" t="s">
        <v>21</v>
      </c>
      <c r="B1281">
        <v>1000804</v>
      </c>
      <c r="C1281">
        <v>352043</v>
      </c>
      <c r="F1281" s="7">
        <v>1</v>
      </c>
      <c r="G1281" s="7">
        <v>559</v>
      </c>
      <c r="H1281" s="8">
        <v>553</v>
      </c>
      <c r="J1281" t="s">
        <v>23</v>
      </c>
      <c r="K1281" s="7">
        <v>807</v>
      </c>
      <c r="L1281" s="9">
        <v>-1</v>
      </c>
      <c r="M1281" t="s">
        <v>69</v>
      </c>
      <c r="N1281" t="s">
        <v>70</v>
      </c>
      <c r="O1281" s="27" t="str">
        <f>HYPERLINK("https://www.ncbi.nlm.nih.gov/nuccore/NZ_KB904702.1?report=graph&amp;from=75812&amp;to=75816", "TTA_codon")</f>
        <v>TTA_codon</v>
      </c>
    </row>
    <row r="1282" spans="1:15" x14ac:dyDescent="0.15">
      <c r="A1282" t="s">
        <v>21</v>
      </c>
      <c r="B1282">
        <v>1000804</v>
      </c>
      <c r="C1282">
        <v>361539</v>
      </c>
      <c r="F1282" s="7">
        <v>2</v>
      </c>
      <c r="G1282" s="7" t="s">
        <v>1193</v>
      </c>
      <c r="H1282" s="8" t="s">
        <v>1194</v>
      </c>
      <c r="J1282" t="s">
        <v>23</v>
      </c>
      <c r="K1282" s="7">
        <v>810</v>
      </c>
      <c r="L1282" s="9">
        <v>-1</v>
      </c>
      <c r="M1282" t="s">
        <v>37</v>
      </c>
      <c r="N1282" t="s">
        <v>38</v>
      </c>
      <c r="O1282" s="27" t="str">
        <f>HYPERLINK("https://www.ncbi.nlm.nih.gov/nuccore/NZ_CP011533.1?report=graph&amp;from=5681524&amp;to=5681795", "TTA_codon")</f>
        <v>TTA_codon</v>
      </c>
    </row>
    <row r="1283" spans="1:15" x14ac:dyDescent="0.15">
      <c r="A1283" t="s">
        <v>21</v>
      </c>
      <c r="B1283">
        <v>1000804</v>
      </c>
      <c r="C1283">
        <v>362181</v>
      </c>
      <c r="F1283" s="7">
        <v>2</v>
      </c>
      <c r="G1283" s="7" t="s">
        <v>1195</v>
      </c>
      <c r="H1283" s="8" t="s">
        <v>1196</v>
      </c>
      <c r="J1283" t="s">
        <v>23</v>
      </c>
      <c r="K1283" s="7">
        <v>816</v>
      </c>
      <c r="L1283" s="9">
        <v>-1</v>
      </c>
      <c r="M1283" t="s">
        <v>39</v>
      </c>
      <c r="N1283" t="s">
        <v>40</v>
      </c>
      <c r="O1283" s="27" t="str">
        <f>HYPERLINK("https://www.ncbi.nlm.nih.gov/nuccore/NZ_CP017157.1?report=graph&amp;from=1583582&amp;to=1583871", "TTA_codon")</f>
        <v>TTA_codon</v>
      </c>
    </row>
    <row r="1284" spans="1:15" x14ac:dyDescent="0.15">
      <c r="A1284" t="s">
        <v>21</v>
      </c>
      <c r="B1284" t="s">
        <v>1197</v>
      </c>
    </row>
    <row r="1285" spans="1:15" x14ac:dyDescent="0.15">
      <c r="A1285" t="s">
        <v>21</v>
      </c>
      <c r="B1285">
        <v>1000629</v>
      </c>
      <c r="C1285">
        <v>350448</v>
      </c>
      <c r="F1285" s="7">
        <v>1</v>
      </c>
      <c r="G1285" s="7">
        <v>178</v>
      </c>
      <c r="H1285" s="8">
        <v>178</v>
      </c>
      <c r="J1285" t="s">
        <v>23</v>
      </c>
      <c r="K1285" s="7">
        <v>726</v>
      </c>
      <c r="L1285" s="9">
        <v>-1</v>
      </c>
      <c r="M1285" t="s">
        <v>35</v>
      </c>
      <c r="N1285" t="s">
        <v>36</v>
      </c>
      <c r="O1285" s="27" t="str">
        <f>HYPERLINK("https://www.ncbi.nlm.nih.gov/nuccore/NZ_JH725387.1?report=graph&amp;from=2957143&amp;to=2957147", "TTA_codon")</f>
        <v>TTA_codon</v>
      </c>
    </row>
    <row r="1286" spans="1:15" x14ac:dyDescent="0.15">
      <c r="A1286" t="s">
        <v>21</v>
      </c>
      <c r="B1286">
        <v>1000629</v>
      </c>
      <c r="C1286">
        <v>356271</v>
      </c>
      <c r="F1286" s="7">
        <v>1</v>
      </c>
      <c r="G1286" s="7">
        <v>73</v>
      </c>
      <c r="H1286" s="8">
        <v>46</v>
      </c>
      <c r="J1286" t="s">
        <v>23</v>
      </c>
      <c r="K1286" s="7">
        <v>699</v>
      </c>
      <c r="L1286" s="9">
        <v>-1</v>
      </c>
      <c r="M1286" t="s">
        <v>1198</v>
      </c>
      <c r="N1286" t="s">
        <v>77</v>
      </c>
      <c r="O1286" s="27" t="str">
        <f>HYPERLINK("https://www.ncbi.nlm.nih.gov/nuccore/NZ_JNXD01000018.1?report=graph&amp;from=157948&amp;to=157952", "TTA_codon")</f>
        <v>TTA_codon</v>
      </c>
    </row>
    <row r="1287" spans="1:15" x14ac:dyDescent="0.15">
      <c r="A1287" t="s">
        <v>21</v>
      </c>
      <c r="B1287" t="s">
        <v>1199</v>
      </c>
    </row>
    <row r="1288" spans="1:15" x14ac:dyDescent="0.15">
      <c r="A1288" t="s">
        <v>21</v>
      </c>
      <c r="B1288">
        <v>1001130</v>
      </c>
      <c r="C1288">
        <v>355953</v>
      </c>
      <c r="F1288" s="7">
        <v>1</v>
      </c>
      <c r="G1288" s="7">
        <v>400</v>
      </c>
      <c r="H1288" s="8">
        <v>394</v>
      </c>
      <c r="J1288" t="s">
        <v>23</v>
      </c>
      <c r="K1288" s="7">
        <v>963</v>
      </c>
      <c r="L1288" s="9">
        <v>-1</v>
      </c>
      <c r="M1288" t="s">
        <v>383</v>
      </c>
      <c r="N1288" t="s">
        <v>384</v>
      </c>
      <c r="O1288" s="27" t="str">
        <f>HYPERLINK("https://www.ncbi.nlm.nih.gov/nuccore/NZ_JOAK01000001.1?report=graph&amp;from=411808&amp;to=411812", "TTA_codon")</f>
        <v>TTA_codon</v>
      </c>
    </row>
    <row r="1289" spans="1:15" x14ac:dyDescent="0.15">
      <c r="A1289" t="s">
        <v>21</v>
      </c>
      <c r="B1289">
        <v>1001130</v>
      </c>
      <c r="C1289">
        <v>358941</v>
      </c>
      <c r="F1289" s="7">
        <v>1</v>
      </c>
      <c r="G1289" s="7">
        <v>361</v>
      </c>
      <c r="H1289" s="8">
        <v>361</v>
      </c>
      <c r="J1289" t="s">
        <v>23</v>
      </c>
      <c r="K1289" s="7">
        <v>987</v>
      </c>
      <c r="L1289" s="9">
        <v>-1</v>
      </c>
      <c r="M1289" t="s">
        <v>1200</v>
      </c>
      <c r="N1289" t="s">
        <v>87</v>
      </c>
      <c r="O1289" s="27" t="str">
        <f>HYPERLINK("https://www.ncbi.nlm.nih.gov/nuccore/NZ_LIQS01000394.1?report=graph&amp;from=6288&amp;to=6292", "TTA_codon")</f>
        <v>TTA_codon</v>
      </c>
    </row>
    <row r="1290" spans="1:15" x14ac:dyDescent="0.15">
      <c r="A1290" t="s">
        <v>21</v>
      </c>
      <c r="B1290" t="s">
        <v>1201</v>
      </c>
    </row>
    <row r="1291" spans="1:15" x14ac:dyDescent="0.15">
      <c r="A1291" t="s">
        <v>21</v>
      </c>
      <c r="B1291">
        <v>1001396</v>
      </c>
      <c r="C1291">
        <v>351056</v>
      </c>
      <c r="F1291" s="7">
        <v>1</v>
      </c>
      <c r="G1291" s="7">
        <v>376</v>
      </c>
      <c r="H1291" s="8">
        <v>340</v>
      </c>
      <c r="J1291" t="s">
        <v>23</v>
      </c>
      <c r="K1291" s="7">
        <v>1182</v>
      </c>
      <c r="L1291" s="9">
        <v>-1</v>
      </c>
      <c r="M1291" t="s">
        <v>1202</v>
      </c>
      <c r="N1291" t="s">
        <v>136</v>
      </c>
      <c r="O1291" s="27" t="str">
        <f>HYPERLINK("https://www.ncbi.nlm.nih.gov/nuccore/NZ_AORZ01000007.1?report=graph&amp;from=105418&amp;to=105422", "TTA_codon")</f>
        <v>TTA_codon</v>
      </c>
    </row>
    <row r="1292" spans="1:15" x14ac:dyDescent="0.15">
      <c r="A1292" t="s">
        <v>21</v>
      </c>
      <c r="B1292">
        <v>1001396</v>
      </c>
      <c r="C1292">
        <v>358133</v>
      </c>
      <c r="F1292" s="7">
        <v>1</v>
      </c>
      <c r="G1292" s="7">
        <v>268</v>
      </c>
      <c r="H1292" s="8">
        <v>244</v>
      </c>
      <c r="J1292" t="s">
        <v>23</v>
      </c>
      <c r="K1292" s="7">
        <v>1215</v>
      </c>
      <c r="L1292" s="9">
        <v>-1</v>
      </c>
      <c r="M1292" t="s">
        <v>1203</v>
      </c>
      <c r="N1292" t="s">
        <v>119</v>
      </c>
      <c r="O1292" s="27" t="str">
        <f>HYPERLINK("https://www.ncbi.nlm.nih.gov/nuccore/NZ_LIPP01000437.1?report=graph&amp;from=4481&amp;to=4485", "TTA_codon")</f>
        <v>TTA_codon</v>
      </c>
    </row>
    <row r="1293" spans="1:15" x14ac:dyDescent="0.15">
      <c r="A1293" t="s">
        <v>21</v>
      </c>
      <c r="B1293">
        <v>1001396</v>
      </c>
      <c r="C1293">
        <v>361951</v>
      </c>
      <c r="F1293" s="7">
        <v>1</v>
      </c>
      <c r="G1293" s="7">
        <v>538</v>
      </c>
      <c r="H1293" s="8">
        <v>532</v>
      </c>
      <c r="J1293" t="s">
        <v>23</v>
      </c>
      <c r="K1293" s="7">
        <v>1230</v>
      </c>
      <c r="L1293" s="9">
        <v>-1</v>
      </c>
      <c r="M1293" t="s">
        <v>1204</v>
      </c>
      <c r="N1293" t="s">
        <v>187</v>
      </c>
      <c r="O1293" s="27" t="str">
        <f>HYPERLINK("https://www.ncbi.nlm.nih.gov/nuccore/NZ_MAXF01000093.1?report=graph&amp;from=52735&amp;to=52739", "TTA_codon")</f>
        <v>TTA_codon</v>
      </c>
    </row>
    <row r="1294" spans="1:15" x14ac:dyDescent="0.15">
      <c r="A1294" t="s">
        <v>21</v>
      </c>
      <c r="B1294">
        <v>1001396</v>
      </c>
      <c r="C1294">
        <v>362492</v>
      </c>
      <c r="F1294" s="7">
        <v>4</v>
      </c>
      <c r="G1294" s="7" t="s">
        <v>1205</v>
      </c>
      <c r="H1294" s="8" t="s">
        <v>1206</v>
      </c>
      <c r="J1294" t="s">
        <v>23</v>
      </c>
      <c r="K1294" s="7">
        <v>1200</v>
      </c>
      <c r="L1294" s="9">
        <v>-1</v>
      </c>
      <c r="M1294" t="s">
        <v>32</v>
      </c>
      <c r="N1294" t="s">
        <v>33</v>
      </c>
      <c r="O1294" s="27" t="str">
        <f>HYPERLINK("https://www.ncbi.nlm.nih.gov/nuccore/NZ_CP017248.1?report=graph&amp;from=4821440&amp;to=4822530", "TTA_codon")</f>
        <v>TTA_codon</v>
      </c>
    </row>
    <row r="1295" spans="1:15" x14ac:dyDescent="0.15">
      <c r="A1295" t="s">
        <v>21</v>
      </c>
      <c r="B1295" t="s">
        <v>1207</v>
      </c>
    </row>
    <row r="1296" spans="1:15" x14ac:dyDescent="0.15">
      <c r="A1296" t="s">
        <v>21</v>
      </c>
      <c r="B1296">
        <v>1001390</v>
      </c>
      <c r="C1296">
        <v>361792</v>
      </c>
      <c r="F1296" s="7">
        <v>1</v>
      </c>
      <c r="G1296" s="7">
        <v>364</v>
      </c>
      <c r="H1296" s="8">
        <v>364</v>
      </c>
      <c r="J1296" t="s">
        <v>23</v>
      </c>
      <c r="K1296" s="7">
        <v>915</v>
      </c>
      <c r="L1296" s="9">
        <v>1</v>
      </c>
      <c r="M1296" t="s">
        <v>37</v>
      </c>
      <c r="N1296" t="s">
        <v>38</v>
      </c>
      <c r="O1296" s="27" t="str">
        <f>HYPERLINK("https://www.ncbi.nlm.nih.gov/nuccore/NZ_CP011533.1?report=graph&amp;from=7745684&amp;to=7745688", "TTA_codon")</f>
        <v>TTA_codon</v>
      </c>
    </row>
    <row r="1297" spans="1:15" x14ac:dyDescent="0.15">
      <c r="A1297" t="s">
        <v>21</v>
      </c>
      <c r="B1297">
        <v>1001390</v>
      </c>
      <c r="C1297">
        <v>362352</v>
      </c>
      <c r="F1297" s="7">
        <v>1</v>
      </c>
      <c r="G1297" s="7">
        <v>364</v>
      </c>
      <c r="H1297" s="8">
        <v>364</v>
      </c>
      <c r="J1297" t="s">
        <v>23</v>
      </c>
      <c r="K1297" s="7">
        <v>909</v>
      </c>
      <c r="L1297" s="9">
        <v>1</v>
      </c>
      <c r="M1297" t="s">
        <v>39</v>
      </c>
      <c r="N1297" t="s">
        <v>40</v>
      </c>
      <c r="O1297" s="27" t="str">
        <f>HYPERLINK("https://www.ncbi.nlm.nih.gov/nuccore/NZ_CP017157.1?report=graph&amp;from=3189065&amp;to=3189069", "TTA_codon")</f>
        <v>TTA_codon</v>
      </c>
    </row>
    <row r="1298" spans="1:15" x14ac:dyDescent="0.15">
      <c r="A1298" t="s">
        <v>21</v>
      </c>
      <c r="B1298" t="s">
        <v>1208</v>
      </c>
    </row>
    <row r="1299" spans="1:15" x14ac:dyDescent="0.15">
      <c r="A1299" t="s">
        <v>21</v>
      </c>
      <c r="B1299">
        <v>1001231</v>
      </c>
      <c r="C1299">
        <v>357376</v>
      </c>
      <c r="F1299" s="7">
        <v>1</v>
      </c>
      <c r="G1299" s="7">
        <v>160</v>
      </c>
      <c r="H1299" s="8">
        <v>160</v>
      </c>
      <c r="J1299" t="s">
        <v>23</v>
      </c>
      <c r="K1299" s="7">
        <v>1194</v>
      </c>
      <c r="L1299" s="9">
        <v>-1</v>
      </c>
      <c r="M1299" t="s">
        <v>80</v>
      </c>
      <c r="N1299" t="s">
        <v>81</v>
      </c>
      <c r="O1299" s="27" t="str">
        <f>HYPERLINK("https://www.ncbi.nlm.nih.gov/nuccore/NZ_LN831790.1?report=graph&amp;from=234600&amp;to=234604", "TTA_codon")</f>
        <v>TTA_codon</v>
      </c>
    </row>
    <row r="1300" spans="1:15" x14ac:dyDescent="0.15">
      <c r="A1300" t="s">
        <v>21</v>
      </c>
      <c r="B1300">
        <v>1001231</v>
      </c>
      <c r="C1300">
        <v>360350</v>
      </c>
      <c r="F1300" s="7">
        <v>1</v>
      </c>
      <c r="G1300" s="7">
        <v>160</v>
      </c>
      <c r="H1300" s="8">
        <v>160</v>
      </c>
      <c r="J1300" t="s">
        <v>23</v>
      </c>
      <c r="K1300" s="7">
        <v>1194</v>
      </c>
      <c r="L1300" s="9">
        <v>-1</v>
      </c>
      <c r="M1300" t="s">
        <v>121</v>
      </c>
      <c r="N1300" t="s">
        <v>122</v>
      </c>
      <c r="O1300" s="27" t="str">
        <f>HYPERLINK("https://www.ncbi.nlm.nih.gov/nuccore/NZ_CP016279.1?report=graph&amp;from=4854743&amp;to=4854747", "TTA_codon")</f>
        <v>TTA_codon</v>
      </c>
    </row>
    <row r="1301" spans="1:15" x14ac:dyDescent="0.15">
      <c r="A1301" t="s">
        <v>21</v>
      </c>
      <c r="B1301" t="s">
        <v>1209</v>
      </c>
    </row>
    <row r="1302" spans="1:15" x14ac:dyDescent="0.15">
      <c r="A1302" t="s">
        <v>21</v>
      </c>
      <c r="B1302">
        <v>1000534</v>
      </c>
      <c r="C1302">
        <v>349668</v>
      </c>
      <c r="F1302" s="7">
        <v>1</v>
      </c>
      <c r="G1302" s="7">
        <v>52</v>
      </c>
      <c r="H1302" s="8">
        <v>52</v>
      </c>
      <c r="J1302" t="s">
        <v>23</v>
      </c>
      <c r="K1302" s="7">
        <v>345</v>
      </c>
      <c r="L1302" s="9">
        <v>-1</v>
      </c>
      <c r="M1302" t="s">
        <v>1210</v>
      </c>
      <c r="N1302" t="s">
        <v>335</v>
      </c>
      <c r="O1302" s="27" t="str">
        <f>HYPERLINK("https://www.ncbi.nlm.nih.gov/nuccore/NZ_AGBF01000028.1?report=graph&amp;from=24411&amp;to=24415", "TTA_codon")</f>
        <v>TTA_codon</v>
      </c>
    </row>
    <row r="1303" spans="1:15" x14ac:dyDescent="0.15">
      <c r="A1303" t="s">
        <v>21</v>
      </c>
      <c r="B1303">
        <v>1000534</v>
      </c>
      <c r="C1303">
        <v>364740</v>
      </c>
      <c r="F1303" s="7">
        <v>1</v>
      </c>
      <c r="G1303" s="7">
        <v>52</v>
      </c>
      <c r="H1303" s="8">
        <v>52</v>
      </c>
      <c r="J1303" t="s">
        <v>23</v>
      </c>
      <c r="K1303" s="7">
        <v>324</v>
      </c>
      <c r="L1303" s="9">
        <v>-1</v>
      </c>
      <c r="M1303" t="s">
        <v>1211</v>
      </c>
      <c r="N1303" t="s">
        <v>110</v>
      </c>
      <c r="O1303" s="27" t="str">
        <f>HYPERLINK("https://www.ncbi.nlm.nih.gov/nuccore/NZ_MUME01000379.1?report=graph&amp;from=649&amp;to=653", "TTA_codon")</f>
        <v>TTA_codon</v>
      </c>
    </row>
    <row r="1304" spans="1:15" x14ac:dyDescent="0.15">
      <c r="A1304" t="s">
        <v>21</v>
      </c>
      <c r="B1304" t="s">
        <v>1212</v>
      </c>
    </row>
    <row r="1305" spans="1:15" x14ac:dyDescent="0.15">
      <c r="A1305" t="s">
        <v>21</v>
      </c>
      <c r="B1305">
        <v>1001364</v>
      </c>
      <c r="C1305">
        <v>361267</v>
      </c>
      <c r="F1305" s="7">
        <v>1</v>
      </c>
      <c r="G1305" s="7">
        <v>211</v>
      </c>
      <c r="H1305" s="8">
        <v>172</v>
      </c>
      <c r="J1305" t="s">
        <v>23</v>
      </c>
      <c r="K1305" s="7">
        <v>1344</v>
      </c>
      <c r="L1305" s="9">
        <v>-1</v>
      </c>
      <c r="M1305" t="s">
        <v>98</v>
      </c>
      <c r="N1305" t="s">
        <v>99</v>
      </c>
      <c r="O1305" s="27" t="str">
        <f>HYPERLINK("https://www.ncbi.nlm.nih.gov/nuccore/NZ_CP016438.1?report=graph&amp;from=8061397&amp;to=8061401", "TTA_codon")</f>
        <v>TTA_codon</v>
      </c>
    </row>
    <row r="1306" spans="1:15" x14ac:dyDescent="0.15">
      <c r="A1306" t="s">
        <v>21</v>
      </c>
      <c r="B1306">
        <v>1001364</v>
      </c>
      <c r="C1306">
        <v>364382</v>
      </c>
      <c r="F1306" s="7">
        <v>1</v>
      </c>
      <c r="G1306" s="7">
        <v>262</v>
      </c>
      <c r="H1306" s="8">
        <v>262</v>
      </c>
      <c r="J1306" t="s">
        <v>23</v>
      </c>
      <c r="K1306" s="7">
        <v>1380</v>
      </c>
      <c r="L1306" s="9">
        <v>-1</v>
      </c>
      <c r="M1306" t="s">
        <v>105</v>
      </c>
      <c r="N1306" t="s">
        <v>106</v>
      </c>
      <c r="O1306" s="27" t="str">
        <f>HYPERLINK("https://www.ncbi.nlm.nih.gov/nuccore/NZ_CP020042.1?report=graph&amp;from=6647273&amp;to=6647277", "TTA_codon")</f>
        <v>TTA_codon</v>
      </c>
    </row>
    <row r="1307" spans="1:15" x14ac:dyDescent="0.15">
      <c r="A1307" t="s">
        <v>21</v>
      </c>
      <c r="B1307" t="s">
        <v>1213</v>
      </c>
    </row>
    <row r="1308" spans="1:15" x14ac:dyDescent="0.15">
      <c r="A1308" t="s">
        <v>21</v>
      </c>
      <c r="B1308">
        <v>1000645</v>
      </c>
      <c r="C1308">
        <v>350525</v>
      </c>
      <c r="F1308" s="7">
        <v>1</v>
      </c>
      <c r="G1308" s="7">
        <v>3043</v>
      </c>
      <c r="H1308" s="8">
        <v>2422</v>
      </c>
      <c r="J1308" t="s">
        <v>23</v>
      </c>
      <c r="K1308" s="7">
        <v>3825</v>
      </c>
      <c r="L1308" s="9">
        <v>1</v>
      </c>
      <c r="M1308" t="s">
        <v>1214</v>
      </c>
      <c r="N1308" t="s">
        <v>134</v>
      </c>
      <c r="O1308" s="27" t="str">
        <f>HYPERLINK("https://www.ncbi.nlm.nih.gov/nuccore/NZ_AJSZ01000705.1?report=graph&amp;from=9154&amp;to=9158", "TTA_codon")</f>
        <v>TTA_codon</v>
      </c>
    </row>
    <row r="1309" spans="1:15" x14ac:dyDescent="0.15">
      <c r="A1309" t="s">
        <v>21</v>
      </c>
      <c r="B1309">
        <v>1000645</v>
      </c>
      <c r="C1309">
        <v>366584</v>
      </c>
      <c r="F1309" s="7">
        <v>1</v>
      </c>
      <c r="G1309" s="7">
        <v>3025</v>
      </c>
      <c r="H1309" s="8">
        <v>2944</v>
      </c>
      <c r="J1309" t="s">
        <v>23</v>
      </c>
      <c r="K1309" s="7">
        <v>4446</v>
      </c>
      <c r="L1309" s="9">
        <v>1</v>
      </c>
      <c r="M1309" t="s">
        <v>1215</v>
      </c>
      <c r="N1309" t="s">
        <v>180</v>
      </c>
      <c r="O1309" s="27" t="str">
        <f>HYPERLINK("https://www.ncbi.nlm.nih.gov/nuccore/NZ_FRBI01000014.1?report=graph&amp;from=94515&amp;to=94519", "TTA_codon")</f>
        <v>TTA_codon</v>
      </c>
    </row>
    <row r="1310" spans="1:15" x14ac:dyDescent="0.15">
      <c r="A1310" t="s">
        <v>21</v>
      </c>
      <c r="B1310" t="s">
        <v>1216</v>
      </c>
    </row>
    <row r="1311" spans="1:15" x14ac:dyDescent="0.15">
      <c r="A1311" t="s">
        <v>21</v>
      </c>
      <c r="B1311">
        <v>1000708</v>
      </c>
      <c r="C1311">
        <v>351054</v>
      </c>
      <c r="F1311" s="7">
        <v>1</v>
      </c>
      <c r="G1311" s="7">
        <v>265</v>
      </c>
      <c r="H1311" s="8">
        <v>265</v>
      </c>
      <c r="J1311" t="s">
        <v>23</v>
      </c>
      <c r="K1311" s="7">
        <v>1098</v>
      </c>
      <c r="L1311" s="9">
        <v>-1</v>
      </c>
      <c r="M1311" t="s">
        <v>1217</v>
      </c>
      <c r="N1311" t="s">
        <v>136</v>
      </c>
      <c r="O1311" s="27" t="str">
        <f>HYPERLINK("https://www.ncbi.nlm.nih.gov/nuccore/NZ_AORZ01000046.1?report=graph&amp;from=39927&amp;to=39931", "TTA_codon")</f>
        <v>TTA_codon</v>
      </c>
    </row>
    <row r="1312" spans="1:15" x14ac:dyDescent="0.15">
      <c r="A1312" t="s">
        <v>21</v>
      </c>
      <c r="B1312">
        <v>1000708</v>
      </c>
      <c r="C1312">
        <v>362247</v>
      </c>
      <c r="F1312" s="7">
        <v>1</v>
      </c>
      <c r="G1312" s="7">
        <v>139</v>
      </c>
      <c r="H1312" s="8">
        <v>130</v>
      </c>
      <c r="J1312" t="s">
        <v>23</v>
      </c>
      <c r="K1312" s="7">
        <v>1005</v>
      </c>
      <c r="L1312" s="9">
        <v>-1</v>
      </c>
      <c r="M1312" t="s">
        <v>39</v>
      </c>
      <c r="N1312" t="s">
        <v>40</v>
      </c>
      <c r="O1312" s="27" t="str">
        <f>HYPERLINK("https://www.ncbi.nlm.nih.gov/nuccore/NZ_CP017157.1?report=graph&amp;from=4047687&amp;to=4047691", "TTA_codon")</f>
        <v>TTA_codon</v>
      </c>
    </row>
    <row r="1313" spans="1:15" x14ac:dyDescent="0.15">
      <c r="A1313" t="s">
        <v>21</v>
      </c>
      <c r="B1313" t="s">
        <v>1218</v>
      </c>
    </row>
    <row r="1314" spans="1:15" x14ac:dyDescent="0.15">
      <c r="A1314" t="s">
        <v>21</v>
      </c>
      <c r="B1314">
        <v>1000938</v>
      </c>
      <c r="C1314">
        <v>353340</v>
      </c>
      <c r="F1314" s="7">
        <v>1</v>
      </c>
      <c r="G1314" s="7">
        <v>439</v>
      </c>
      <c r="H1314" s="8">
        <v>439</v>
      </c>
      <c r="J1314" t="s">
        <v>23</v>
      </c>
      <c r="K1314" s="7">
        <v>990</v>
      </c>
      <c r="L1314" s="9">
        <v>-1</v>
      </c>
      <c r="M1314" t="s">
        <v>1219</v>
      </c>
      <c r="N1314" t="s">
        <v>169</v>
      </c>
      <c r="O1314" s="27" t="str">
        <f>HYPERLINK("https://www.ncbi.nlm.nih.gov/nuccore/NZ_JNWJ01000077.1?report=graph&amp;from=4333&amp;to=4337", "TTA_codon")</f>
        <v>TTA_codon</v>
      </c>
    </row>
    <row r="1315" spans="1:15" x14ac:dyDescent="0.15">
      <c r="A1315" t="s">
        <v>21</v>
      </c>
      <c r="B1315">
        <v>1000938</v>
      </c>
      <c r="C1315">
        <v>361217</v>
      </c>
      <c r="F1315" s="7">
        <v>1</v>
      </c>
      <c r="G1315" s="7">
        <v>439</v>
      </c>
      <c r="H1315" s="8">
        <v>439</v>
      </c>
      <c r="J1315" t="s">
        <v>23</v>
      </c>
      <c r="K1315" s="7">
        <v>990</v>
      </c>
      <c r="L1315" s="9">
        <v>-1</v>
      </c>
      <c r="M1315" t="s">
        <v>98</v>
      </c>
      <c r="N1315" t="s">
        <v>99</v>
      </c>
      <c r="O1315" s="27" t="str">
        <f>HYPERLINK("https://www.ncbi.nlm.nih.gov/nuccore/NZ_CP016438.1?report=graph&amp;from=10278295&amp;to=10278299", "TTA_codon")</f>
        <v>TTA_codon</v>
      </c>
    </row>
    <row r="1316" spans="1:15" x14ac:dyDescent="0.15">
      <c r="A1316" t="s">
        <v>195</v>
      </c>
      <c r="B1316" t="s">
        <v>1220</v>
      </c>
    </row>
    <row r="1317" spans="1:15" x14ac:dyDescent="0.15">
      <c r="A1317" t="s">
        <v>195</v>
      </c>
      <c r="B1317">
        <v>1001412</v>
      </c>
      <c r="C1317">
        <v>346174</v>
      </c>
      <c r="F1317" s="7">
        <v>1</v>
      </c>
      <c r="G1317" s="7">
        <v>430</v>
      </c>
      <c r="H1317" s="8">
        <v>412</v>
      </c>
      <c r="J1317" t="s">
        <v>23</v>
      </c>
      <c r="K1317" s="7">
        <v>837</v>
      </c>
      <c r="L1317" s="9">
        <v>1</v>
      </c>
      <c r="M1317" t="s">
        <v>1221</v>
      </c>
      <c r="N1317" t="s">
        <v>134</v>
      </c>
      <c r="O1317" s="27" t="str">
        <f>HYPERLINK("https://www.ncbi.nlm.nih.gov/nuccore/NZ_AJSZ01000533.1?report=graph&amp;from=9784&amp;to=9788", "TTA_codon")</f>
        <v>TTA_codon</v>
      </c>
    </row>
    <row r="1318" spans="1:15" x14ac:dyDescent="0.15">
      <c r="A1318" t="s">
        <v>195</v>
      </c>
      <c r="B1318">
        <v>1001412</v>
      </c>
      <c r="C1318">
        <v>347139</v>
      </c>
      <c r="F1318" s="7">
        <v>2</v>
      </c>
      <c r="G1318" s="7" t="s">
        <v>1222</v>
      </c>
      <c r="H1318" s="8" t="s">
        <v>1223</v>
      </c>
      <c r="J1318" t="s">
        <v>23</v>
      </c>
      <c r="K1318" s="7">
        <v>837</v>
      </c>
      <c r="L1318" s="9">
        <v>1</v>
      </c>
      <c r="M1318" t="s">
        <v>213</v>
      </c>
      <c r="N1318" t="s">
        <v>214</v>
      </c>
      <c r="O1318" s="27" t="str">
        <f>HYPERLINK("https://www.ncbi.nlm.nih.gov/nuccore/NZ_FNST01000002.1?report=graph&amp;from=5988333&amp;to=5988934", "TTA_codon")</f>
        <v>TTA_codon</v>
      </c>
    </row>
    <row r="1319" spans="1:15" x14ac:dyDescent="0.15">
      <c r="A1319" t="s">
        <v>21</v>
      </c>
      <c r="B1319">
        <v>1001412</v>
      </c>
      <c r="C1319">
        <v>350247</v>
      </c>
      <c r="F1319" s="7">
        <v>1</v>
      </c>
      <c r="G1319" s="7">
        <v>79</v>
      </c>
      <c r="H1319" s="8">
        <v>70</v>
      </c>
      <c r="J1319" t="s">
        <v>23</v>
      </c>
      <c r="K1319" s="7">
        <v>828</v>
      </c>
      <c r="L1319" s="9">
        <v>1</v>
      </c>
      <c r="M1319" t="s">
        <v>35</v>
      </c>
      <c r="N1319" t="s">
        <v>36</v>
      </c>
      <c r="O1319" s="27" t="str">
        <f>HYPERLINK("https://www.ncbi.nlm.nih.gov/nuccore/NZ_JH725387.1?report=graph&amp;from=2710188&amp;to=2710192", "TTA_codon")</f>
        <v>TTA_codon</v>
      </c>
    </row>
    <row r="1320" spans="1:15" x14ac:dyDescent="0.15">
      <c r="A1320" t="s">
        <v>21</v>
      </c>
      <c r="B1320">
        <v>1001412</v>
      </c>
      <c r="C1320">
        <v>350248</v>
      </c>
      <c r="F1320" s="7">
        <v>1</v>
      </c>
      <c r="G1320" s="7">
        <v>79</v>
      </c>
      <c r="H1320" s="8">
        <v>70</v>
      </c>
      <c r="J1320" t="s">
        <v>23</v>
      </c>
      <c r="K1320" s="7">
        <v>828</v>
      </c>
      <c r="L1320" s="9">
        <v>1</v>
      </c>
      <c r="M1320" t="s">
        <v>1224</v>
      </c>
      <c r="N1320" t="s">
        <v>36</v>
      </c>
      <c r="O1320" s="27" t="str">
        <f>HYPERLINK("https://www.ncbi.nlm.nih.gov/nuccore/NZ_JH725389.1?report=graph&amp;from=630314&amp;to=630318", "TTA_codon")</f>
        <v>TTA_codon</v>
      </c>
    </row>
    <row r="1321" spans="1:15" x14ac:dyDescent="0.15">
      <c r="A1321" t="s">
        <v>21</v>
      </c>
      <c r="B1321">
        <v>1001412</v>
      </c>
      <c r="C1321">
        <v>350723</v>
      </c>
      <c r="F1321" s="7">
        <v>1</v>
      </c>
      <c r="G1321" s="7">
        <v>79</v>
      </c>
      <c r="H1321" s="8">
        <v>70</v>
      </c>
      <c r="J1321" t="s">
        <v>23</v>
      </c>
      <c r="K1321" s="7">
        <v>828</v>
      </c>
      <c r="L1321" s="9">
        <v>1</v>
      </c>
      <c r="M1321" t="s">
        <v>1225</v>
      </c>
      <c r="N1321" t="s">
        <v>51</v>
      </c>
      <c r="O1321" s="27" t="str">
        <f>HYPERLINK("https://www.ncbi.nlm.nih.gov/nuccore/NZ_AEJB01000231.1?report=graph&amp;from=12764&amp;to=12768", "TTA_codon")</f>
        <v>TTA_codon</v>
      </c>
    </row>
    <row r="1322" spans="1:15" x14ac:dyDescent="0.15">
      <c r="A1322" t="s">
        <v>21</v>
      </c>
      <c r="B1322">
        <v>1001412</v>
      </c>
      <c r="C1322">
        <v>352053</v>
      </c>
      <c r="F1322" s="7">
        <v>1</v>
      </c>
      <c r="G1322" s="7">
        <v>106</v>
      </c>
      <c r="H1322" s="8">
        <v>100</v>
      </c>
      <c r="J1322" t="s">
        <v>23</v>
      </c>
      <c r="K1322" s="7">
        <v>822</v>
      </c>
      <c r="L1322" s="9">
        <v>1</v>
      </c>
      <c r="M1322" t="s">
        <v>1226</v>
      </c>
      <c r="N1322" t="s">
        <v>70</v>
      </c>
      <c r="O1322" s="27" t="str">
        <f>HYPERLINK("https://www.ncbi.nlm.nih.gov/nuccore/NZ_KB904685.1?report=graph&amp;from=2326&amp;to=2330", "TTA_codon")</f>
        <v>TTA_codon</v>
      </c>
    </row>
    <row r="1323" spans="1:15" x14ac:dyDescent="0.15">
      <c r="A1323" t="s">
        <v>21</v>
      </c>
      <c r="B1323">
        <v>1001412</v>
      </c>
      <c r="C1323">
        <v>352392</v>
      </c>
      <c r="F1323" s="7">
        <v>2</v>
      </c>
      <c r="G1323" s="7" t="s">
        <v>1227</v>
      </c>
      <c r="H1323" s="8" t="s">
        <v>1228</v>
      </c>
      <c r="J1323" t="s">
        <v>23</v>
      </c>
      <c r="K1323" s="7">
        <v>828</v>
      </c>
      <c r="L1323" s="9">
        <v>1</v>
      </c>
      <c r="M1323" t="s">
        <v>30</v>
      </c>
      <c r="N1323" t="s">
        <v>31</v>
      </c>
      <c r="O1323" s="27" t="str">
        <f>HYPERLINK("https://www.ncbi.nlm.nih.gov/nuccore/NZ_KB913030.1?report=graph&amp;from=2861399&amp;to=2862069", "TTA_codon")</f>
        <v>TTA_codon</v>
      </c>
    </row>
    <row r="1324" spans="1:15" x14ac:dyDescent="0.15">
      <c r="A1324" t="s">
        <v>21</v>
      </c>
      <c r="B1324">
        <v>1001412</v>
      </c>
      <c r="C1324">
        <v>354811</v>
      </c>
      <c r="F1324" s="7">
        <v>2</v>
      </c>
      <c r="G1324" s="7" t="s">
        <v>1229</v>
      </c>
      <c r="H1324" s="8" t="s">
        <v>1230</v>
      </c>
      <c r="J1324" t="s">
        <v>23</v>
      </c>
      <c r="K1324" s="7">
        <v>828</v>
      </c>
      <c r="L1324" s="9">
        <v>1</v>
      </c>
      <c r="M1324" t="s">
        <v>1231</v>
      </c>
      <c r="N1324" t="s">
        <v>25</v>
      </c>
      <c r="O1324" s="27" t="str">
        <f>HYPERLINK("https://www.ncbi.nlm.nih.gov/nuccore/NZ_JOFU01000007.1?report=graph&amp;from=170183&amp;to=170496", "TTA_codon")</f>
        <v>TTA_codon</v>
      </c>
    </row>
    <row r="1325" spans="1:15" x14ac:dyDescent="0.15">
      <c r="A1325" t="s">
        <v>21</v>
      </c>
      <c r="B1325">
        <v>1001412</v>
      </c>
      <c r="C1325">
        <v>355592</v>
      </c>
      <c r="F1325" s="7">
        <v>1</v>
      </c>
      <c r="G1325" s="7">
        <v>73</v>
      </c>
      <c r="H1325" s="8">
        <v>64</v>
      </c>
      <c r="J1325" t="s">
        <v>23</v>
      </c>
      <c r="K1325" s="7">
        <v>828</v>
      </c>
      <c r="L1325" s="9">
        <v>1</v>
      </c>
      <c r="M1325" t="s">
        <v>1232</v>
      </c>
      <c r="N1325" t="s">
        <v>278</v>
      </c>
      <c r="O1325" s="27" t="str">
        <f>HYPERLINK("https://www.ncbi.nlm.nih.gov/nuccore/NZ_JOID01000004.1?report=graph&amp;from=214246&amp;to=214250", "TTA_codon")</f>
        <v>TTA_codon</v>
      </c>
    </row>
    <row r="1326" spans="1:15" x14ac:dyDescent="0.15">
      <c r="A1326" t="s">
        <v>21</v>
      </c>
      <c r="B1326">
        <v>1001412</v>
      </c>
      <c r="C1326">
        <v>358554</v>
      </c>
      <c r="F1326" s="7">
        <v>1</v>
      </c>
      <c r="G1326" s="7">
        <v>79</v>
      </c>
      <c r="H1326" s="8">
        <v>70</v>
      </c>
      <c r="J1326" t="s">
        <v>23</v>
      </c>
      <c r="K1326" s="7">
        <v>828</v>
      </c>
      <c r="L1326" s="9">
        <v>1</v>
      </c>
      <c r="M1326" t="s">
        <v>1233</v>
      </c>
      <c r="N1326" t="s">
        <v>299</v>
      </c>
      <c r="O1326" s="27" t="str">
        <f>HYPERLINK("https://www.ncbi.nlm.nih.gov/nuccore/NZ_LIQY01000347.1?report=graph&amp;from=5421&amp;to=5425", "TTA_codon")</f>
        <v>TTA_codon</v>
      </c>
    </row>
    <row r="1327" spans="1:15" x14ac:dyDescent="0.15">
      <c r="A1327" t="s">
        <v>21</v>
      </c>
      <c r="B1327">
        <v>1001412</v>
      </c>
      <c r="C1327">
        <v>362180</v>
      </c>
      <c r="F1327" s="7">
        <v>2</v>
      </c>
      <c r="G1327" s="7" t="s">
        <v>1234</v>
      </c>
      <c r="H1327" s="8" t="s">
        <v>1235</v>
      </c>
      <c r="J1327" t="s">
        <v>23</v>
      </c>
      <c r="K1327" s="7">
        <v>825</v>
      </c>
      <c r="L1327" s="9">
        <v>1</v>
      </c>
      <c r="M1327" t="s">
        <v>39</v>
      </c>
      <c r="N1327" t="s">
        <v>40</v>
      </c>
      <c r="O1327" s="27" t="str">
        <f>HYPERLINK("https://www.ncbi.nlm.nih.gov/nuccore/NZ_CP017157.1?report=graph&amp;from=7414317&amp;to=7414966", "TTA_codon")</f>
        <v>TTA_codon</v>
      </c>
    </row>
    <row r="1328" spans="1:15" x14ac:dyDescent="0.15">
      <c r="A1328" t="s">
        <v>21</v>
      </c>
      <c r="B1328">
        <v>1001412</v>
      </c>
      <c r="C1328">
        <v>362194</v>
      </c>
      <c r="F1328" s="7">
        <v>2</v>
      </c>
      <c r="G1328" s="7" t="s">
        <v>1236</v>
      </c>
      <c r="H1328" s="8" t="s">
        <v>1237</v>
      </c>
      <c r="J1328" t="s">
        <v>23</v>
      </c>
      <c r="K1328" s="7">
        <v>801</v>
      </c>
      <c r="L1328" s="9">
        <v>1</v>
      </c>
      <c r="M1328" t="s">
        <v>39</v>
      </c>
      <c r="N1328" t="s">
        <v>40</v>
      </c>
      <c r="O1328" s="27" t="str">
        <f>HYPERLINK("https://www.ncbi.nlm.nih.gov/nuccore/NZ_CP017157.1?report=graph&amp;from=128145&amp;to=128182", "TTA_codon")</f>
        <v>TTA_codon</v>
      </c>
    </row>
    <row r="1329" spans="1:15" x14ac:dyDescent="0.15">
      <c r="A1329" t="s">
        <v>21</v>
      </c>
      <c r="B1329">
        <v>1001412</v>
      </c>
      <c r="C1329">
        <v>362195</v>
      </c>
      <c r="F1329" s="7">
        <v>1</v>
      </c>
      <c r="G1329" s="7">
        <v>79</v>
      </c>
      <c r="H1329" s="8">
        <v>70</v>
      </c>
      <c r="J1329" t="s">
        <v>23</v>
      </c>
      <c r="K1329" s="7">
        <v>828</v>
      </c>
      <c r="L1329" s="9">
        <v>1</v>
      </c>
      <c r="M1329" t="s">
        <v>39</v>
      </c>
      <c r="N1329" t="s">
        <v>40</v>
      </c>
      <c r="O1329" s="27" t="str">
        <f>HYPERLINK("https://www.ncbi.nlm.nih.gov/nuccore/NZ_CP017157.1?report=graph&amp;from=7628623&amp;to=7628627", "TTA_codon")</f>
        <v>TTA_codon</v>
      </c>
    </row>
    <row r="1330" spans="1:15" x14ac:dyDescent="0.15">
      <c r="A1330" t="s">
        <v>21</v>
      </c>
      <c r="B1330">
        <v>1001412</v>
      </c>
      <c r="C1330">
        <v>363581</v>
      </c>
      <c r="F1330" s="7">
        <v>1</v>
      </c>
      <c r="G1330" s="7">
        <v>229</v>
      </c>
      <c r="H1330" s="8">
        <v>220</v>
      </c>
      <c r="J1330" t="s">
        <v>23</v>
      </c>
      <c r="K1330" s="7">
        <v>834</v>
      </c>
      <c r="L1330" s="9">
        <v>1</v>
      </c>
      <c r="M1330" t="s">
        <v>101</v>
      </c>
      <c r="N1330" t="s">
        <v>102</v>
      </c>
      <c r="O1330" s="27" t="str">
        <f>HYPERLINK("https://www.ncbi.nlm.nih.gov/nuccore/NZ_CP019458.1?report=graph&amp;from=8615639&amp;to=8615643", "TTA_codon")</f>
        <v>TTA_codon</v>
      </c>
    </row>
    <row r="1331" spans="1:15" x14ac:dyDescent="0.15">
      <c r="A1331" t="s">
        <v>21</v>
      </c>
      <c r="B1331">
        <v>1001412</v>
      </c>
      <c r="C1331">
        <v>364654</v>
      </c>
      <c r="F1331" s="7">
        <v>1</v>
      </c>
      <c r="G1331" s="7">
        <v>73</v>
      </c>
      <c r="H1331" s="8">
        <v>64</v>
      </c>
      <c r="J1331" t="s">
        <v>23</v>
      </c>
      <c r="K1331" s="7">
        <v>828</v>
      </c>
      <c r="L1331" s="9">
        <v>1</v>
      </c>
      <c r="M1331" t="s">
        <v>1238</v>
      </c>
      <c r="N1331" t="s">
        <v>110</v>
      </c>
      <c r="O1331" s="27" t="str">
        <f>HYPERLINK("https://www.ncbi.nlm.nih.gov/nuccore/NZ_MUME01000224.1?report=graph&amp;from=713&amp;to=717", "TTA_codon")</f>
        <v>TTA_codon</v>
      </c>
    </row>
    <row r="1332" spans="1:15" x14ac:dyDescent="0.15">
      <c r="A1332" t="s">
        <v>21</v>
      </c>
      <c r="B1332" t="s">
        <v>1239</v>
      </c>
    </row>
    <row r="1333" spans="1:15" x14ac:dyDescent="0.15">
      <c r="A1333" t="s">
        <v>21</v>
      </c>
      <c r="B1333">
        <v>1001343</v>
      </c>
      <c r="C1333">
        <v>360550</v>
      </c>
      <c r="F1333" s="7">
        <v>1</v>
      </c>
      <c r="G1333" s="7">
        <v>178</v>
      </c>
      <c r="H1333" s="8">
        <v>172</v>
      </c>
      <c r="J1333" t="s">
        <v>23</v>
      </c>
      <c r="K1333" s="7">
        <v>2499</v>
      </c>
      <c r="L1333" s="9">
        <v>1</v>
      </c>
      <c r="M1333" t="s">
        <v>121</v>
      </c>
      <c r="N1333" t="s">
        <v>122</v>
      </c>
      <c r="O1333" s="27" t="str">
        <f>HYPERLINK("https://www.ncbi.nlm.nih.gov/nuccore/NZ_CP016279.1?report=graph&amp;from=3358488&amp;to=3358492", "TTA_codon")</f>
        <v>TTA_codon</v>
      </c>
    </row>
    <row r="1334" spans="1:15" x14ac:dyDescent="0.15">
      <c r="A1334" t="s">
        <v>21</v>
      </c>
      <c r="B1334">
        <v>1001343</v>
      </c>
      <c r="C1334">
        <v>360765</v>
      </c>
      <c r="F1334" s="7">
        <v>2</v>
      </c>
      <c r="G1334" s="7" t="s">
        <v>1240</v>
      </c>
      <c r="H1334" s="8" t="s">
        <v>1241</v>
      </c>
      <c r="J1334" t="s">
        <v>23</v>
      </c>
      <c r="K1334" s="7">
        <v>2472</v>
      </c>
      <c r="L1334" s="9">
        <v>1</v>
      </c>
      <c r="M1334" t="s">
        <v>94</v>
      </c>
      <c r="N1334" t="s">
        <v>95</v>
      </c>
      <c r="O1334" s="27" t="str">
        <f>HYPERLINK("https://www.ncbi.nlm.nih.gov/nuccore/NZ_JYIJ01000019.1?report=graph&amp;from=162104&amp;to=162405", "TTA_codon")</f>
        <v>TTA_codon</v>
      </c>
    </row>
    <row r="1335" spans="1:15" x14ac:dyDescent="0.15">
      <c r="A1335" t="s">
        <v>21</v>
      </c>
      <c r="B1335">
        <v>1001343</v>
      </c>
      <c r="C1335">
        <v>362299</v>
      </c>
      <c r="F1335" s="7">
        <v>1</v>
      </c>
      <c r="G1335" s="7">
        <v>268</v>
      </c>
      <c r="H1335" s="8">
        <v>268</v>
      </c>
      <c r="J1335" t="s">
        <v>23</v>
      </c>
      <c r="K1335" s="7">
        <v>2475</v>
      </c>
      <c r="L1335" s="9">
        <v>1</v>
      </c>
      <c r="M1335" t="s">
        <v>39</v>
      </c>
      <c r="N1335" t="s">
        <v>40</v>
      </c>
      <c r="O1335" s="27" t="str">
        <f>HYPERLINK("https://www.ncbi.nlm.nih.gov/nuccore/NZ_CP017157.1?report=graph&amp;from=7198680&amp;to=7198684", "TTA_codon")</f>
        <v>TTA_codon</v>
      </c>
    </row>
    <row r="1336" spans="1:15" x14ac:dyDescent="0.15">
      <c r="A1336" t="s">
        <v>21</v>
      </c>
      <c r="B1336" t="s">
        <v>1242</v>
      </c>
    </row>
    <row r="1337" spans="1:15" x14ac:dyDescent="0.15">
      <c r="A1337" t="s">
        <v>21</v>
      </c>
      <c r="B1337">
        <v>1000732</v>
      </c>
      <c r="C1337">
        <v>351214</v>
      </c>
      <c r="F1337" s="7">
        <v>1</v>
      </c>
      <c r="G1337" s="7">
        <v>64</v>
      </c>
      <c r="H1337" s="8">
        <v>64</v>
      </c>
      <c r="J1337" t="s">
        <v>23</v>
      </c>
      <c r="K1337" s="7">
        <v>846</v>
      </c>
      <c r="L1337" s="9">
        <v>-1</v>
      </c>
      <c r="M1337" t="s">
        <v>65</v>
      </c>
      <c r="N1337" t="s">
        <v>66</v>
      </c>
      <c r="O1337" s="27" t="str">
        <f>HYPERLINK("https://www.ncbi.nlm.nih.gov/nuccore/NC_020504.1?report=graph&amp;from=2661958&amp;to=2661962", "TTA_codon")</f>
        <v>TTA_codon</v>
      </c>
    </row>
    <row r="1338" spans="1:15" x14ac:dyDescent="0.15">
      <c r="A1338" t="s">
        <v>21</v>
      </c>
      <c r="B1338">
        <v>1000732</v>
      </c>
      <c r="C1338">
        <v>354552</v>
      </c>
      <c r="F1338" s="7">
        <v>1</v>
      </c>
      <c r="G1338" s="7">
        <v>64</v>
      </c>
      <c r="H1338" s="8">
        <v>64</v>
      </c>
      <c r="J1338" t="s">
        <v>23</v>
      </c>
      <c r="K1338" s="7">
        <v>861</v>
      </c>
      <c r="L1338" s="9">
        <v>-1</v>
      </c>
      <c r="M1338" t="s">
        <v>1243</v>
      </c>
      <c r="N1338" t="s">
        <v>272</v>
      </c>
      <c r="O1338" s="27" t="str">
        <f>HYPERLINK("https://www.ncbi.nlm.nih.gov/nuccore/NZ_JOEY01000022.1?report=graph&amp;from=53551&amp;to=53555", "TTA_codon")</f>
        <v>TTA_codon</v>
      </c>
    </row>
    <row r="1339" spans="1:15" x14ac:dyDescent="0.15">
      <c r="A1339" t="s">
        <v>21</v>
      </c>
      <c r="B1339">
        <v>1000732</v>
      </c>
      <c r="C1339">
        <v>362451</v>
      </c>
      <c r="F1339" s="7">
        <v>1</v>
      </c>
      <c r="G1339" s="7">
        <v>64</v>
      </c>
      <c r="H1339" s="8">
        <v>64</v>
      </c>
      <c r="J1339" t="s">
        <v>23</v>
      </c>
      <c r="K1339" s="7">
        <v>864</v>
      </c>
      <c r="L1339" s="9">
        <v>-1</v>
      </c>
      <c r="M1339" t="s">
        <v>32</v>
      </c>
      <c r="N1339" t="s">
        <v>33</v>
      </c>
      <c r="O1339" s="27" t="str">
        <f>HYPERLINK("https://www.ncbi.nlm.nih.gov/nuccore/NZ_CP017248.1?report=graph&amp;from=2682123&amp;to=2682127", "TTA_codon")</f>
        <v>TTA_codon</v>
      </c>
    </row>
    <row r="1340" spans="1:15" x14ac:dyDescent="0.15">
      <c r="A1340" t="s">
        <v>21</v>
      </c>
      <c r="B1340" t="s">
        <v>1244</v>
      </c>
    </row>
    <row r="1341" spans="1:15" x14ac:dyDescent="0.15">
      <c r="A1341" t="s">
        <v>21</v>
      </c>
      <c r="B1341">
        <v>1000970</v>
      </c>
      <c r="C1341">
        <v>353721</v>
      </c>
      <c r="F1341" s="7">
        <v>1</v>
      </c>
      <c r="G1341" s="7">
        <v>88</v>
      </c>
      <c r="H1341" s="8">
        <v>52</v>
      </c>
      <c r="J1341" t="s">
        <v>23</v>
      </c>
      <c r="K1341" s="7">
        <v>1254</v>
      </c>
      <c r="L1341" s="9">
        <v>1</v>
      </c>
      <c r="M1341" t="s">
        <v>1245</v>
      </c>
      <c r="N1341" t="s">
        <v>246</v>
      </c>
      <c r="O1341" s="27" t="str">
        <f>HYPERLINK("https://www.ncbi.nlm.nih.gov/nuccore/NZ_JNYR01000027.1?report=graph&amp;from=42885&amp;to=42889", "TTA_codon")</f>
        <v>TTA_codon</v>
      </c>
    </row>
    <row r="1342" spans="1:15" x14ac:dyDescent="0.15">
      <c r="A1342" t="s">
        <v>21</v>
      </c>
      <c r="B1342">
        <v>1000970</v>
      </c>
      <c r="C1342">
        <v>362267</v>
      </c>
      <c r="F1342" s="7">
        <v>1</v>
      </c>
      <c r="G1342" s="7">
        <v>109</v>
      </c>
      <c r="H1342" s="8">
        <v>109</v>
      </c>
      <c r="J1342" t="s">
        <v>23</v>
      </c>
      <c r="K1342" s="7">
        <v>1323</v>
      </c>
      <c r="L1342" s="9">
        <v>1</v>
      </c>
      <c r="M1342" t="s">
        <v>39</v>
      </c>
      <c r="N1342" t="s">
        <v>40</v>
      </c>
      <c r="O1342" s="27" t="str">
        <f>HYPERLINK("https://www.ncbi.nlm.nih.gov/nuccore/NZ_CP017157.1?report=graph&amp;from=7831022&amp;to=7831026", "TTA_codon")</f>
        <v>TTA_codon</v>
      </c>
    </row>
    <row r="1343" spans="1:15" x14ac:dyDescent="0.15">
      <c r="A1343" t="s">
        <v>21</v>
      </c>
      <c r="B1343" t="s">
        <v>1246</v>
      </c>
    </row>
    <row r="1344" spans="1:15" x14ac:dyDescent="0.15">
      <c r="A1344" t="s">
        <v>21</v>
      </c>
      <c r="B1344">
        <v>1000987</v>
      </c>
      <c r="C1344">
        <v>353996</v>
      </c>
      <c r="F1344" s="7">
        <v>1</v>
      </c>
      <c r="G1344" s="7">
        <v>844</v>
      </c>
      <c r="H1344" s="8">
        <v>760</v>
      </c>
      <c r="J1344" t="s">
        <v>23</v>
      </c>
      <c r="K1344" s="7">
        <v>3267</v>
      </c>
      <c r="L1344" s="9">
        <v>-1</v>
      </c>
      <c r="M1344" t="s">
        <v>1247</v>
      </c>
      <c r="N1344" t="s">
        <v>270</v>
      </c>
      <c r="O1344" s="27" t="str">
        <f>HYPERLINK("https://www.ncbi.nlm.nih.gov/nuccore/NZ_JOBH01000009.1?report=graph&amp;from=336500&amp;to=336504", "TTA_codon")</f>
        <v>TTA_codon</v>
      </c>
    </row>
    <row r="1345" spans="1:15" x14ac:dyDescent="0.15">
      <c r="A1345" t="s">
        <v>21</v>
      </c>
      <c r="B1345">
        <v>1000987</v>
      </c>
      <c r="C1345">
        <v>360906</v>
      </c>
      <c r="F1345" s="7">
        <v>2</v>
      </c>
      <c r="G1345" s="7" t="s">
        <v>1248</v>
      </c>
      <c r="H1345" s="8" t="s">
        <v>1249</v>
      </c>
      <c r="J1345" t="s">
        <v>23</v>
      </c>
      <c r="K1345" s="7">
        <v>3423</v>
      </c>
      <c r="L1345" s="9">
        <v>-1</v>
      </c>
      <c r="M1345" t="s">
        <v>1250</v>
      </c>
      <c r="N1345" t="s">
        <v>97</v>
      </c>
      <c r="O1345" s="27" t="str">
        <f>HYPERLINK("https://www.ncbi.nlm.nih.gov/nuccore/NZ_LOHS01000076.1?report=graph&amp;from=129030&amp;to=129652", "TTA_codon")</f>
        <v>TTA_codon</v>
      </c>
    </row>
    <row r="1346" spans="1:15" x14ac:dyDescent="0.15">
      <c r="A1346" t="s">
        <v>21</v>
      </c>
      <c r="B1346" t="s">
        <v>1251</v>
      </c>
    </row>
    <row r="1347" spans="1:15" x14ac:dyDescent="0.15">
      <c r="A1347" t="s">
        <v>21</v>
      </c>
      <c r="B1347">
        <v>1000003</v>
      </c>
      <c r="C1347">
        <v>324978</v>
      </c>
      <c r="F1347" s="7">
        <v>1</v>
      </c>
      <c r="G1347" s="7">
        <v>181</v>
      </c>
      <c r="H1347" s="8">
        <v>181</v>
      </c>
      <c r="J1347" t="s">
        <v>23</v>
      </c>
      <c r="K1347" s="7">
        <v>807</v>
      </c>
      <c r="L1347" s="9">
        <v>-1</v>
      </c>
      <c r="M1347" t="s">
        <v>875</v>
      </c>
      <c r="N1347" t="s">
        <v>246</v>
      </c>
      <c r="O1347" s="27" t="str">
        <f>HYPERLINK("https://www.ncbi.nlm.nih.gov/nuccore/NZ_JNYR01000014.1?report=graph&amp;from=290589&amp;to=290593", "TTA_codon")</f>
        <v>TTA_codon</v>
      </c>
    </row>
    <row r="1348" spans="1:15" x14ac:dyDescent="0.15">
      <c r="A1348" t="s">
        <v>21</v>
      </c>
      <c r="B1348">
        <v>1000003</v>
      </c>
      <c r="C1348">
        <v>325094</v>
      </c>
      <c r="F1348" s="7">
        <v>1</v>
      </c>
      <c r="G1348" s="7">
        <v>181</v>
      </c>
      <c r="H1348" s="8">
        <v>43</v>
      </c>
      <c r="J1348" t="s">
        <v>23</v>
      </c>
      <c r="K1348" s="7">
        <v>669</v>
      </c>
      <c r="L1348" s="9">
        <v>-1</v>
      </c>
      <c r="M1348" t="s">
        <v>1252</v>
      </c>
      <c r="N1348" t="s">
        <v>361</v>
      </c>
      <c r="O1348" s="27" t="str">
        <f>HYPERLINK("https://www.ncbi.nlm.nih.gov/nuccore/NZ_JODY01000037.1?report=graph&amp;from=88002&amp;to=88006", "TTA_codon")</f>
        <v>TTA_codon</v>
      </c>
    </row>
    <row r="1349" spans="1:15" x14ac:dyDescent="0.15">
      <c r="A1349" t="s">
        <v>21</v>
      </c>
      <c r="B1349" t="s">
        <v>1253</v>
      </c>
    </row>
    <row r="1350" spans="1:15" x14ac:dyDescent="0.15">
      <c r="A1350" t="s">
        <v>21</v>
      </c>
      <c r="B1350">
        <v>1001254</v>
      </c>
      <c r="C1350">
        <v>357962</v>
      </c>
      <c r="F1350" s="7">
        <v>1</v>
      </c>
      <c r="G1350" s="7">
        <v>2365</v>
      </c>
      <c r="H1350" s="8">
        <v>1630</v>
      </c>
      <c r="J1350" t="s">
        <v>23</v>
      </c>
      <c r="K1350" s="7">
        <v>2115</v>
      </c>
      <c r="L1350" s="9">
        <v>1</v>
      </c>
      <c r="M1350" t="s">
        <v>261</v>
      </c>
      <c r="N1350" t="s">
        <v>262</v>
      </c>
      <c r="O1350" s="27" t="str">
        <f>HYPERLINK("https://www.ncbi.nlm.nih.gov/nuccore/NZ_CP011340.1?report=graph&amp;from=3060203&amp;to=3060207", "TTA_codon")</f>
        <v>TTA_codon</v>
      </c>
    </row>
    <row r="1351" spans="1:15" x14ac:dyDescent="0.15">
      <c r="A1351" t="s">
        <v>21</v>
      </c>
      <c r="B1351">
        <v>1001254</v>
      </c>
      <c r="C1351">
        <v>361392</v>
      </c>
      <c r="F1351" s="7">
        <v>1</v>
      </c>
      <c r="G1351" s="7">
        <v>2401</v>
      </c>
      <c r="H1351" s="8">
        <v>2356</v>
      </c>
      <c r="J1351" t="s">
        <v>23</v>
      </c>
      <c r="K1351" s="7">
        <v>2850</v>
      </c>
      <c r="L1351" s="9">
        <v>1</v>
      </c>
      <c r="M1351" t="s">
        <v>200</v>
      </c>
      <c r="N1351" t="s">
        <v>201</v>
      </c>
      <c r="O1351" s="27" t="str">
        <f>HYPERLINK("https://www.ncbi.nlm.nih.gov/nuccore/NZ_CP016559.1?report=graph&amp;from=2074212&amp;to=2074216", "TTA_codon")</f>
        <v>TTA_codon</v>
      </c>
    </row>
    <row r="1352" spans="1:15" x14ac:dyDescent="0.15">
      <c r="A1352" t="s">
        <v>21</v>
      </c>
      <c r="B1352" t="s">
        <v>1254</v>
      </c>
    </row>
    <row r="1353" spans="1:15" x14ac:dyDescent="0.15">
      <c r="A1353" t="s">
        <v>21</v>
      </c>
      <c r="B1353">
        <v>1001278</v>
      </c>
      <c r="C1353">
        <v>357331</v>
      </c>
      <c r="F1353" s="7">
        <v>1</v>
      </c>
      <c r="G1353" s="7">
        <v>34</v>
      </c>
      <c r="H1353" s="8">
        <v>34</v>
      </c>
      <c r="J1353" t="s">
        <v>23</v>
      </c>
      <c r="K1353" s="7">
        <v>567</v>
      </c>
      <c r="L1353" s="9">
        <v>1</v>
      </c>
      <c r="M1353" t="s">
        <v>250</v>
      </c>
      <c r="N1353" t="s">
        <v>251</v>
      </c>
      <c r="O1353" s="27" t="str">
        <f>HYPERLINK("https://www.ncbi.nlm.nih.gov/nuccore/NZ_CP009922.2?report=graph&amp;from=1739433&amp;to=1739437", "TTA_codon")</f>
        <v>TTA_codon</v>
      </c>
    </row>
    <row r="1354" spans="1:15" x14ac:dyDescent="0.15">
      <c r="A1354" t="s">
        <v>21</v>
      </c>
      <c r="B1354">
        <v>1001278</v>
      </c>
      <c r="C1354">
        <v>358502</v>
      </c>
      <c r="F1354" s="7">
        <v>1</v>
      </c>
      <c r="G1354" s="7">
        <v>172</v>
      </c>
      <c r="H1354" s="8">
        <v>172</v>
      </c>
      <c r="J1354" t="s">
        <v>23</v>
      </c>
      <c r="K1354" s="7">
        <v>546</v>
      </c>
      <c r="L1354" s="9">
        <v>1</v>
      </c>
      <c r="M1354" t="s">
        <v>1255</v>
      </c>
      <c r="N1354" t="s">
        <v>85</v>
      </c>
      <c r="O1354" s="27" t="str">
        <f>HYPERLINK("https://www.ncbi.nlm.nih.gov/nuccore/NZ_LIQX01000154.1?report=graph&amp;from=21547&amp;to=21551", "TTA_codon")</f>
        <v>TTA_codon</v>
      </c>
    </row>
    <row r="1355" spans="1:15" x14ac:dyDescent="0.15">
      <c r="A1355" t="s">
        <v>21</v>
      </c>
      <c r="B1355" t="s">
        <v>1256</v>
      </c>
    </row>
    <row r="1356" spans="1:15" x14ac:dyDescent="0.15">
      <c r="A1356" t="s">
        <v>21</v>
      </c>
      <c r="B1356">
        <v>1001072</v>
      </c>
      <c r="C1356">
        <v>355220</v>
      </c>
      <c r="F1356" s="7">
        <v>1</v>
      </c>
      <c r="G1356" s="7">
        <v>169</v>
      </c>
      <c r="H1356" s="8">
        <v>169</v>
      </c>
      <c r="J1356" t="s">
        <v>23</v>
      </c>
      <c r="K1356" s="7">
        <v>708</v>
      </c>
      <c r="L1356" s="9">
        <v>-1</v>
      </c>
      <c r="M1356" t="s">
        <v>1257</v>
      </c>
      <c r="N1356" t="s">
        <v>433</v>
      </c>
      <c r="O1356" s="27" t="str">
        <f>HYPERLINK("https://www.ncbi.nlm.nih.gov/nuccore/NZ_JOBF01000002.1?report=graph&amp;from=252635&amp;to=252639", "TTA_codon")</f>
        <v>TTA_codon</v>
      </c>
    </row>
    <row r="1357" spans="1:15" x14ac:dyDescent="0.15">
      <c r="A1357" t="s">
        <v>21</v>
      </c>
      <c r="B1357">
        <v>1001072</v>
      </c>
      <c r="C1357">
        <v>365751</v>
      </c>
      <c r="F1357" s="7">
        <v>1</v>
      </c>
      <c r="G1357" s="7">
        <v>169</v>
      </c>
      <c r="H1357" s="8">
        <v>124</v>
      </c>
      <c r="J1357" t="s">
        <v>23</v>
      </c>
      <c r="K1357" s="7">
        <v>669</v>
      </c>
      <c r="L1357" s="9">
        <v>-1</v>
      </c>
      <c r="M1357" t="s">
        <v>213</v>
      </c>
      <c r="N1357" t="s">
        <v>214</v>
      </c>
      <c r="O1357" s="27" t="str">
        <f>HYPERLINK("https://www.ncbi.nlm.nih.gov/nuccore/NZ_FNST01000002.1?report=graph&amp;from=10175906&amp;to=10175910", "TTA_codon")</f>
        <v>TTA_codon</v>
      </c>
    </row>
    <row r="1358" spans="1:15" x14ac:dyDescent="0.15">
      <c r="A1358" t="s">
        <v>21</v>
      </c>
      <c r="B1358" t="s">
        <v>1258</v>
      </c>
    </row>
    <row r="1359" spans="1:15" x14ac:dyDescent="0.15">
      <c r="A1359" t="s">
        <v>21</v>
      </c>
      <c r="B1359">
        <v>1001141</v>
      </c>
      <c r="C1359">
        <v>356149</v>
      </c>
      <c r="F1359" s="7">
        <v>1</v>
      </c>
      <c r="G1359" s="7">
        <v>136</v>
      </c>
      <c r="H1359" s="8">
        <v>136</v>
      </c>
      <c r="J1359" t="s">
        <v>23</v>
      </c>
      <c r="K1359" s="7">
        <v>357</v>
      </c>
      <c r="L1359" s="9">
        <v>1</v>
      </c>
      <c r="M1359" t="s">
        <v>1259</v>
      </c>
      <c r="N1359" t="s">
        <v>77</v>
      </c>
      <c r="O1359" s="27" t="str">
        <f>HYPERLINK("https://www.ncbi.nlm.nih.gov/nuccore/NZ_JNXD01000003.1?report=graph&amp;from=259504&amp;to=259508", "TTA_codon")</f>
        <v>TTA_codon</v>
      </c>
    </row>
    <row r="1360" spans="1:15" x14ac:dyDescent="0.15">
      <c r="A1360" t="s">
        <v>21</v>
      </c>
      <c r="B1360">
        <v>1001141</v>
      </c>
      <c r="C1360">
        <v>357666</v>
      </c>
      <c r="F1360" s="7">
        <v>1</v>
      </c>
      <c r="G1360" s="7">
        <v>136</v>
      </c>
      <c r="H1360" s="8">
        <v>136</v>
      </c>
      <c r="J1360" t="s">
        <v>23</v>
      </c>
      <c r="K1360" s="7">
        <v>357</v>
      </c>
      <c r="L1360" s="9">
        <v>1</v>
      </c>
      <c r="M1360" t="s">
        <v>1260</v>
      </c>
      <c r="N1360" t="s">
        <v>83</v>
      </c>
      <c r="O1360" s="27" t="str">
        <f>HYPERLINK("https://www.ncbi.nlm.nih.gov/nuccore/NZ_DF968186.1?report=graph&amp;from=9820&amp;to=9824", "TTA_codon")</f>
        <v>TTA_codon</v>
      </c>
    </row>
    <row r="1361" spans="1:15" x14ac:dyDescent="0.15">
      <c r="A1361" t="s">
        <v>21</v>
      </c>
      <c r="B1361" t="s">
        <v>1261</v>
      </c>
    </row>
    <row r="1362" spans="1:15" x14ac:dyDescent="0.15">
      <c r="A1362" t="s">
        <v>21</v>
      </c>
      <c r="B1362">
        <v>1001242</v>
      </c>
      <c r="C1362">
        <v>357632</v>
      </c>
      <c r="F1362" s="7">
        <v>1</v>
      </c>
      <c r="G1362" s="7">
        <v>136</v>
      </c>
      <c r="H1362" s="8">
        <v>85</v>
      </c>
      <c r="J1362" t="s">
        <v>23</v>
      </c>
      <c r="K1362" s="7">
        <v>1023</v>
      </c>
      <c r="L1362" s="9">
        <v>1</v>
      </c>
      <c r="M1362" t="s">
        <v>1262</v>
      </c>
      <c r="N1362" t="s">
        <v>378</v>
      </c>
      <c r="O1362" s="27" t="str">
        <f>HYPERLINK("https://www.ncbi.nlm.nih.gov/nuccore/NZ_LFXA01000004.1?report=graph&amp;from=544355&amp;to=544359", "TTA_codon")</f>
        <v>TTA_codon</v>
      </c>
    </row>
    <row r="1363" spans="1:15" x14ac:dyDescent="0.15">
      <c r="A1363" t="s">
        <v>21</v>
      </c>
      <c r="B1363">
        <v>1001242</v>
      </c>
      <c r="C1363">
        <v>361934</v>
      </c>
      <c r="F1363" s="7">
        <v>1</v>
      </c>
      <c r="G1363" s="7">
        <v>121</v>
      </c>
      <c r="H1363" s="8">
        <v>121</v>
      </c>
      <c r="J1363" t="s">
        <v>23</v>
      </c>
      <c r="K1363" s="7">
        <v>1044</v>
      </c>
      <c r="L1363" s="9">
        <v>1</v>
      </c>
      <c r="M1363" t="s">
        <v>1263</v>
      </c>
      <c r="N1363" t="s">
        <v>187</v>
      </c>
      <c r="O1363" s="27" t="str">
        <f>HYPERLINK("https://www.ncbi.nlm.nih.gov/nuccore/NZ_MAXF01000095.1?report=graph&amp;from=155125&amp;to=155129", "TTA_codon")</f>
        <v>TTA_codon</v>
      </c>
    </row>
    <row r="1364" spans="1:15" x14ac:dyDescent="0.15">
      <c r="A1364" t="s">
        <v>21</v>
      </c>
      <c r="B1364" t="s">
        <v>1264</v>
      </c>
    </row>
    <row r="1365" spans="1:15" x14ac:dyDescent="0.15">
      <c r="A1365" t="s">
        <v>21</v>
      </c>
      <c r="B1365">
        <v>1001112</v>
      </c>
      <c r="C1365">
        <v>355695</v>
      </c>
      <c r="F1365" s="7">
        <v>1</v>
      </c>
      <c r="G1365" s="7">
        <v>1183</v>
      </c>
      <c r="H1365" s="8">
        <v>1177</v>
      </c>
      <c r="J1365" t="s">
        <v>23</v>
      </c>
      <c r="K1365" s="7">
        <v>2133</v>
      </c>
      <c r="L1365" s="9">
        <v>1</v>
      </c>
      <c r="M1365" t="s">
        <v>1265</v>
      </c>
      <c r="N1365" t="s">
        <v>278</v>
      </c>
      <c r="O1365" s="27" t="str">
        <f>HYPERLINK("https://www.ncbi.nlm.nih.gov/nuccore/NZ_JOID01000008.1?report=graph&amp;from=356007&amp;to=356011", "TTA_codon")</f>
        <v>TTA_codon</v>
      </c>
    </row>
    <row r="1366" spans="1:15" x14ac:dyDescent="0.15">
      <c r="A1366" t="s">
        <v>21</v>
      </c>
      <c r="B1366">
        <v>1001112</v>
      </c>
      <c r="C1366">
        <v>358207</v>
      </c>
      <c r="F1366" s="7">
        <v>1</v>
      </c>
      <c r="G1366" s="7">
        <v>1183</v>
      </c>
      <c r="H1366" s="8">
        <v>1162</v>
      </c>
      <c r="J1366" t="s">
        <v>23</v>
      </c>
      <c r="K1366" s="7">
        <v>2097</v>
      </c>
      <c r="L1366" s="9">
        <v>1</v>
      </c>
      <c r="M1366" t="s">
        <v>1152</v>
      </c>
      <c r="N1366" t="s">
        <v>119</v>
      </c>
      <c r="O1366" s="27" t="str">
        <f>HYPERLINK("https://www.ncbi.nlm.nih.gov/nuccore/NZ_LIPP01000014.1?report=graph&amp;from=17044&amp;to=17048", "TTA_codon")</f>
        <v>TTA_codon</v>
      </c>
    </row>
    <row r="1367" spans="1:15" x14ac:dyDescent="0.15">
      <c r="A1367" t="s">
        <v>21</v>
      </c>
      <c r="B1367" t="s">
        <v>1266</v>
      </c>
    </row>
    <row r="1368" spans="1:15" x14ac:dyDescent="0.15">
      <c r="A1368" t="s">
        <v>21</v>
      </c>
      <c r="B1368">
        <v>1001062</v>
      </c>
      <c r="C1368">
        <v>354982</v>
      </c>
      <c r="F1368" s="7">
        <v>1</v>
      </c>
      <c r="G1368" s="7">
        <v>1123</v>
      </c>
      <c r="H1368" s="8">
        <v>1114</v>
      </c>
      <c r="J1368" t="s">
        <v>23</v>
      </c>
      <c r="K1368" s="7">
        <v>2301</v>
      </c>
      <c r="L1368" s="9">
        <v>-1</v>
      </c>
      <c r="M1368" t="s">
        <v>1267</v>
      </c>
      <c r="N1368" t="s">
        <v>25</v>
      </c>
      <c r="O1368" s="27" t="str">
        <f>HYPERLINK("https://www.ncbi.nlm.nih.gov/nuccore/NZ_JOFU01000076.1?report=graph&amp;from=23307&amp;to=23311", "TTA_codon")</f>
        <v>TTA_codon</v>
      </c>
    </row>
    <row r="1369" spans="1:15" x14ac:dyDescent="0.15">
      <c r="A1369" t="s">
        <v>21</v>
      </c>
      <c r="B1369">
        <v>1001062</v>
      </c>
      <c r="C1369">
        <v>358317</v>
      </c>
      <c r="F1369" s="7">
        <v>3</v>
      </c>
      <c r="G1369" s="7" t="s">
        <v>1268</v>
      </c>
      <c r="H1369" s="8" t="s">
        <v>1269</v>
      </c>
      <c r="J1369" t="s">
        <v>23</v>
      </c>
      <c r="K1369" s="7">
        <v>2532</v>
      </c>
      <c r="L1369" s="9">
        <v>-1</v>
      </c>
      <c r="M1369" t="s">
        <v>1270</v>
      </c>
      <c r="N1369" t="s">
        <v>119</v>
      </c>
      <c r="O1369" s="27" t="str">
        <f>HYPERLINK("https://www.ncbi.nlm.nih.gov/nuccore/NZ_LIPP01000039.1?report=graph&amp;from=16361&amp;to=18585", "TTA_codon")</f>
        <v>TTA_codon</v>
      </c>
    </row>
    <row r="1370" spans="1:15" x14ac:dyDescent="0.15">
      <c r="A1370" t="s">
        <v>21</v>
      </c>
      <c r="B1370" t="s">
        <v>1271</v>
      </c>
    </row>
    <row r="1371" spans="1:15" x14ac:dyDescent="0.15">
      <c r="A1371" t="s">
        <v>21</v>
      </c>
      <c r="B1371">
        <v>1001139</v>
      </c>
      <c r="C1371">
        <v>356047</v>
      </c>
      <c r="F1371" s="7">
        <v>1</v>
      </c>
      <c r="G1371" s="7">
        <v>718</v>
      </c>
      <c r="H1371" s="8">
        <v>718</v>
      </c>
      <c r="J1371" t="s">
        <v>23</v>
      </c>
      <c r="K1371" s="7">
        <v>1242</v>
      </c>
      <c r="L1371" s="9">
        <v>1</v>
      </c>
      <c r="M1371" t="s">
        <v>1272</v>
      </c>
      <c r="N1371" t="s">
        <v>146</v>
      </c>
      <c r="O1371" s="27" t="str">
        <f>HYPERLINK("https://www.ncbi.nlm.nih.gov/nuccore/NZ_JOFH01000032.1?report=graph&amp;from=3690&amp;to=3694", "TTA_codon")</f>
        <v>TTA_codon</v>
      </c>
    </row>
    <row r="1372" spans="1:15" x14ac:dyDescent="0.15">
      <c r="A1372" t="s">
        <v>21</v>
      </c>
      <c r="B1372">
        <v>1001139</v>
      </c>
      <c r="C1372">
        <v>365239</v>
      </c>
      <c r="F1372" s="7">
        <v>1</v>
      </c>
      <c r="G1372" s="7">
        <v>784</v>
      </c>
      <c r="H1372" s="8">
        <v>742</v>
      </c>
      <c r="J1372" t="s">
        <v>23</v>
      </c>
      <c r="K1372" s="7">
        <v>1230</v>
      </c>
      <c r="L1372" s="9">
        <v>1</v>
      </c>
      <c r="M1372" t="s">
        <v>1273</v>
      </c>
      <c r="N1372" t="s">
        <v>347</v>
      </c>
      <c r="O1372" s="27" t="str">
        <f>HYPERLINK("https://www.ncbi.nlm.nih.gov/nuccore/NZ_FNFF01000019.1?report=graph&amp;from=90767&amp;to=90771", "TTA_codon")</f>
        <v>TTA_codon</v>
      </c>
    </row>
    <row r="1373" spans="1:15" x14ac:dyDescent="0.15">
      <c r="A1373" t="s">
        <v>21</v>
      </c>
      <c r="B1373">
        <v>1001139</v>
      </c>
      <c r="C1373">
        <v>365341</v>
      </c>
      <c r="F1373" s="7">
        <v>1</v>
      </c>
      <c r="G1373" s="7">
        <v>610</v>
      </c>
      <c r="H1373" s="8">
        <v>574</v>
      </c>
      <c r="J1373" t="s">
        <v>23</v>
      </c>
      <c r="K1373" s="7">
        <v>1206</v>
      </c>
      <c r="L1373" s="9">
        <v>1</v>
      </c>
      <c r="M1373" t="s">
        <v>1274</v>
      </c>
      <c r="N1373" t="s">
        <v>129</v>
      </c>
      <c r="O1373" s="27" t="str">
        <f>HYPERLINK("https://www.ncbi.nlm.nih.gov/nuccore/NZ_FNHI01000011.1?report=graph&amp;from=60781&amp;to=60785", "TTA_codon")</f>
        <v>TTA_codon</v>
      </c>
    </row>
    <row r="1374" spans="1:15" x14ac:dyDescent="0.15">
      <c r="A1374" t="s">
        <v>21</v>
      </c>
      <c r="B1374" t="s">
        <v>1275</v>
      </c>
    </row>
    <row r="1375" spans="1:15" x14ac:dyDescent="0.15">
      <c r="A1375" t="s">
        <v>21</v>
      </c>
      <c r="B1375">
        <v>1000857</v>
      </c>
      <c r="C1375">
        <v>352557</v>
      </c>
      <c r="F1375" s="7">
        <v>1</v>
      </c>
      <c r="G1375" s="7">
        <v>85</v>
      </c>
      <c r="H1375" s="8">
        <v>85</v>
      </c>
      <c r="J1375" t="s">
        <v>23</v>
      </c>
      <c r="K1375" s="7">
        <v>1155</v>
      </c>
      <c r="L1375" s="9">
        <v>-1</v>
      </c>
      <c r="M1375" t="s">
        <v>1276</v>
      </c>
      <c r="N1375" t="s">
        <v>436</v>
      </c>
      <c r="O1375" s="27" t="str">
        <f>HYPERLINK("https://www.ncbi.nlm.nih.gov/nuccore/NZ_AUBE01000022.1?report=graph&amp;from=73761&amp;to=73765", "TTA_codon")</f>
        <v>TTA_codon</v>
      </c>
    </row>
    <row r="1376" spans="1:15" x14ac:dyDescent="0.15">
      <c r="A1376" t="s">
        <v>21</v>
      </c>
      <c r="B1376">
        <v>1000857</v>
      </c>
      <c r="C1376">
        <v>363436</v>
      </c>
      <c r="F1376" s="7">
        <v>1</v>
      </c>
      <c r="G1376" s="7">
        <v>85</v>
      </c>
      <c r="H1376" s="8">
        <v>85</v>
      </c>
      <c r="J1376" t="s">
        <v>23</v>
      </c>
      <c r="K1376" s="7">
        <v>1152</v>
      </c>
      <c r="L1376" s="9">
        <v>-1</v>
      </c>
      <c r="M1376" t="s">
        <v>157</v>
      </c>
      <c r="N1376" t="s">
        <v>158</v>
      </c>
      <c r="O1376" s="27" t="str">
        <f>HYPERLINK("https://www.ncbi.nlm.nih.gov/nuccore/NZ_CP015588.1?report=graph&amp;from=1179316&amp;to=1179320", "TTA_codon")</f>
        <v>TTA_codon</v>
      </c>
    </row>
    <row r="1377" spans="1:15" x14ac:dyDescent="0.15">
      <c r="A1377" t="s">
        <v>21</v>
      </c>
      <c r="B1377">
        <v>1000857</v>
      </c>
      <c r="C1377">
        <v>365206</v>
      </c>
      <c r="F1377" s="7">
        <v>1</v>
      </c>
      <c r="G1377" s="7">
        <v>85</v>
      </c>
      <c r="H1377" s="8">
        <v>85</v>
      </c>
      <c r="J1377" t="s">
        <v>23</v>
      </c>
      <c r="K1377" s="7">
        <v>1146</v>
      </c>
      <c r="L1377" s="9">
        <v>-1</v>
      </c>
      <c r="M1377" t="s">
        <v>1277</v>
      </c>
      <c r="N1377" t="s">
        <v>347</v>
      </c>
      <c r="O1377" s="27" t="str">
        <f>HYPERLINK("https://www.ncbi.nlm.nih.gov/nuccore/NZ_FNFF01000001.1?report=graph&amp;from=622387&amp;to=622391", "TTA_codon")</f>
        <v>TTA_codon</v>
      </c>
    </row>
    <row r="1378" spans="1:15" x14ac:dyDescent="0.15">
      <c r="A1378" t="s">
        <v>21</v>
      </c>
      <c r="B1378">
        <v>1000857</v>
      </c>
      <c r="C1378">
        <v>365321</v>
      </c>
      <c r="F1378" s="7">
        <v>1</v>
      </c>
      <c r="G1378" s="7">
        <v>85</v>
      </c>
      <c r="H1378" s="8">
        <v>85</v>
      </c>
      <c r="J1378" t="s">
        <v>23</v>
      </c>
      <c r="K1378" s="7">
        <v>1146</v>
      </c>
      <c r="L1378" s="9">
        <v>-1</v>
      </c>
      <c r="M1378" t="s">
        <v>682</v>
      </c>
      <c r="N1378" t="s">
        <v>129</v>
      </c>
      <c r="O1378" s="27" t="str">
        <f>HYPERLINK("https://www.ncbi.nlm.nih.gov/nuccore/NZ_FNHI01000029.1?report=graph&amp;from=66973&amp;to=66977", "TTA_codon")</f>
        <v>TTA_codon</v>
      </c>
    </row>
    <row r="1379" spans="1:15" x14ac:dyDescent="0.15">
      <c r="A1379" t="s">
        <v>21</v>
      </c>
      <c r="B1379" t="s">
        <v>1278</v>
      </c>
    </row>
    <row r="1380" spans="1:15" x14ac:dyDescent="0.15">
      <c r="A1380" t="s">
        <v>21</v>
      </c>
      <c r="B1380">
        <v>1001194</v>
      </c>
      <c r="C1380">
        <v>356811</v>
      </c>
      <c r="F1380" s="7">
        <v>1</v>
      </c>
      <c r="G1380" s="7">
        <v>103</v>
      </c>
      <c r="H1380" s="8">
        <v>103</v>
      </c>
      <c r="J1380" t="s">
        <v>23</v>
      </c>
      <c r="K1380" s="7">
        <v>960</v>
      </c>
      <c r="L1380" s="9">
        <v>1</v>
      </c>
      <c r="M1380" t="s">
        <v>147</v>
      </c>
      <c r="N1380" t="s">
        <v>148</v>
      </c>
      <c r="O1380" s="27" t="str">
        <f>HYPERLINK("https://www.ncbi.nlm.nih.gov/nuccore/NZ_CP021080.1?report=graph&amp;from=2960836&amp;to=2960840", "TTA_codon")</f>
        <v>TTA_codon</v>
      </c>
    </row>
    <row r="1381" spans="1:15" x14ac:dyDescent="0.15">
      <c r="A1381" t="s">
        <v>21</v>
      </c>
      <c r="B1381">
        <v>1001194</v>
      </c>
      <c r="C1381">
        <v>364913</v>
      </c>
      <c r="F1381" s="7">
        <v>1</v>
      </c>
      <c r="G1381" s="7">
        <v>103</v>
      </c>
      <c r="H1381" s="8">
        <v>103</v>
      </c>
      <c r="J1381" t="s">
        <v>23</v>
      </c>
      <c r="K1381" s="7">
        <v>960</v>
      </c>
      <c r="L1381" s="9">
        <v>1</v>
      </c>
      <c r="M1381" t="s">
        <v>126</v>
      </c>
      <c r="N1381" t="s">
        <v>127</v>
      </c>
      <c r="O1381" s="27" t="str">
        <f>HYPERLINK("https://www.ncbi.nlm.nih.gov/nuccore/NZ_CP021748.1?report=graph&amp;from=15634&amp;to=15638", "TTA_codon")</f>
        <v>TTA_codon</v>
      </c>
    </row>
    <row r="1382" spans="1:15" x14ac:dyDescent="0.15">
      <c r="A1382" t="s">
        <v>21</v>
      </c>
      <c r="B1382" t="s">
        <v>1279</v>
      </c>
    </row>
    <row r="1383" spans="1:15" x14ac:dyDescent="0.15">
      <c r="A1383" t="s">
        <v>21</v>
      </c>
      <c r="B1383">
        <v>1000409</v>
      </c>
      <c r="C1383">
        <v>348533</v>
      </c>
      <c r="F1383" s="7">
        <v>2</v>
      </c>
      <c r="G1383" s="7" t="s">
        <v>1280</v>
      </c>
      <c r="H1383" s="8" t="s">
        <v>1281</v>
      </c>
      <c r="J1383" t="s">
        <v>23</v>
      </c>
      <c r="K1383" s="7">
        <v>1197</v>
      </c>
      <c r="L1383" s="9">
        <v>-1</v>
      </c>
      <c r="M1383" t="s">
        <v>61</v>
      </c>
      <c r="N1383" t="s">
        <v>62</v>
      </c>
      <c r="O1383" s="27" t="str">
        <f>HYPERLINK("https://www.ncbi.nlm.nih.gov/nuccore/NZ_DS999641.1?report=graph&amp;from=5402221&amp;to=5402237", "TTA_codon")</f>
        <v>TTA_codon</v>
      </c>
    </row>
    <row r="1384" spans="1:15" x14ac:dyDescent="0.15">
      <c r="A1384" t="s">
        <v>21</v>
      </c>
      <c r="B1384">
        <v>1000409</v>
      </c>
      <c r="C1384">
        <v>349767</v>
      </c>
      <c r="F1384" s="7">
        <v>1</v>
      </c>
      <c r="G1384" s="7">
        <v>367</v>
      </c>
      <c r="H1384" s="8">
        <v>349</v>
      </c>
      <c r="J1384" t="s">
        <v>23</v>
      </c>
      <c r="K1384" s="7">
        <v>1206</v>
      </c>
      <c r="L1384" s="9">
        <v>-1</v>
      </c>
      <c r="M1384" t="s">
        <v>265</v>
      </c>
      <c r="N1384" t="s">
        <v>266</v>
      </c>
      <c r="O1384" s="27" t="str">
        <f>HYPERLINK("https://www.ncbi.nlm.nih.gov/nuccore/NC_017586.1?report=graph&amp;from=3398294&amp;to=3398298", "TTA_codon")</f>
        <v>TTA_codon</v>
      </c>
    </row>
    <row r="1385" spans="1:15" x14ac:dyDescent="0.15">
      <c r="A1385" t="s">
        <v>21</v>
      </c>
      <c r="B1385">
        <v>1000409</v>
      </c>
      <c r="C1385">
        <v>351809</v>
      </c>
      <c r="F1385" s="7">
        <v>1</v>
      </c>
      <c r="G1385" s="7">
        <v>343</v>
      </c>
      <c r="H1385" s="8">
        <v>328</v>
      </c>
      <c r="J1385" t="s">
        <v>23</v>
      </c>
      <c r="K1385" s="7">
        <v>1239</v>
      </c>
      <c r="L1385" s="9">
        <v>-1</v>
      </c>
      <c r="M1385" t="s">
        <v>1282</v>
      </c>
      <c r="N1385" t="s">
        <v>68</v>
      </c>
      <c r="O1385" s="27" t="str">
        <f>HYPERLINK("https://www.ncbi.nlm.nih.gov/nuccore/NZ_BARG01000033.1?report=graph&amp;from=138562&amp;to=138566", "TTA_codon")</f>
        <v>TTA_codon</v>
      </c>
    </row>
    <row r="1386" spans="1:15" x14ac:dyDescent="0.15">
      <c r="A1386" t="s">
        <v>21</v>
      </c>
      <c r="B1386">
        <v>1000409</v>
      </c>
      <c r="C1386">
        <v>354588</v>
      </c>
      <c r="F1386" s="7">
        <v>2</v>
      </c>
      <c r="G1386" s="7" t="s">
        <v>1283</v>
      </c>
      <c r="H1386" s="8" t="s">
        <v>1284</v>
      </c>
      <c r="J1386" t="s">
        <v>23</v>
      </c>
      <c r="K1386" s="7">
        <v>1215</v>
      </c>
      <c r="L1386" s="9">
        <v>-1</v>
      </c>
      <c r="M1386" t="s">
        <v>1285</v>
      </c>
      <c r="N1386" t="s">
        <v>272</v>
      </c>
      <c r="O1386" s="27" t="str">
        <f>HYPERLINK("https://www.ncbi.nlm.nih.gov/nuccore/NZ_JOEY01000023.1?report=graph&amp;from=29106&amp;to=29599", "TTA_codon")</f>
        <v>TTA_codon</v>
      </c>
    </row>
    <row r="1387" spans="1:15" x14ac:dyDescent="0.15">
      <c r="A1387" t="s">
        <v>21</v>
      </c>
      <c r="B1387">
        <v>1000409</v>
      </c>
      <c r="C1387">
        <v>355802</v>
      </c>
      <c r="F1387" s="7">
        <v>1</v>
      </c>
      <c r="G1387" s="7">
        <v>538</v>
      </c>
      <c r="H1387" s="8">
        <v>520</v>
      </c>
      <c r="J1387" t="s">
        <v>23</v>
      </c>
      <c r="K1387" s="7">
        <v>1197</v>
      </c>
      <c r="L1387" s="9">
        <v>-1</v>
      </c>
      <c r="M1387" t="s">
        <v>460</v>
      </c>
      <c r="N1387" t="s">
        <v>75</v>
      </c>
      <c r="O1387" s="27" t="str">
        <f>HYPERLINK("https://www.ncbi.nlm.nih.gov/nuccore/NZ_JOII01000008.1?report=graph&amp;from=68492&amp;to=68496", "TTA_codon")</f>
        <v>TTA_codon</v>
      </c>
    </row>
    <row r="1388" spans="1:15" x14ac:dyDescent="0.15">
      <c r="A1388" t="s">
        <v>21</v>
      </c>
      <c r="B1388">
        <v>1000409</v>
      </c>
      <c r="C1388">
        <v>356525</v>
      </c>
      <c r="F1388" s="7">
        <v>2</v>
      </c>
      <c r="G1388" s="7" t="s">
        <v>1286</v>
      </c>
      <c r="H1388" s="8" t="s">
        <v>1287</v>
      </c>
      <c r="J1388" t="s">
        <v>23</v>
      </c>
      <c r="K1388" s="7">
        <v>1197</v>
      </c>
      <c r="L1388" s="9">
        <v>-1</v>
      </c>
      <c r="M1388" t="s">
        <v>508</v>
      </c>
      <c r="N1388" t="s">
        <v>509</v>
      </c>
      <c r="O1388" s="27" t="str">
        <f>HYPERLINK("https://www.ncbi.nlm.nih.gov/nuccore/NZ_CP009438.1?report=graph&amp;from=6724655&amp;to=6724674", "TTA_codon")</f>
        <v>TTA_codon</v>
      </c>
    </row>
    <row r="1389" spans="1:15" x14ac:dyDescent="0.15">
      <c r="A1389" t="s">
        <v>21</v>
      </c>
      <c r="B1389">
        <v>1000409</v>
      </c>
      <c r="C1389">
        <v>357021</v>
      </c>
      <c r="F1389" s="7">
        <v>1</v>
      </c>
      <c r="G1389" s="7">
        <v>598</v>
      </c>
      <c r="H1389" s="8">
        <v>574</v>
      </c>
      <c r="J1389" t="s">
        <v>23</v>
      </c>
      <c r="K1389" s="7">
        <v>1194</v>
      </c>
      <c r="L1389" s="9">
        <v>-1</v>
      </c>
      <c r="M1389" t="s">
        <v>162</v>
      </c>
      <c r="N1389" t="s">
        <v>163</v>
      </c>
      <c r="O1389" s="27" t="str">
        <f>HYPERLINK("https://www.ncbi.nlm.nih.gov/nuccore/NZ_CP010519.1?report=graph&amp;from=6407918&amp;to=6407922", "TTA_codon")</f>
        <v>TTA_codon</v>
      </c>
    </row>
    <row r="1390" spans="1:15" x14ac:dyDescent="0.15">
      <c r="A1390" t="s">
        <v>21</v>
      </c>
      <c r="B1390">
        <v>1000409</v>
      </c>
      <c r="C1390">
        <v>357146</v>
      </c>
      <c r="F1390" s="7">
        <v>1</v>
      </c>
      <c r="G1390" s="7">
        <v>331</v>
      </c>
      <c r="H1390" s="8">
        <v>313</v>
      </c>
      <c r="J1390" t="s">
        <v>23</v>
      </c>
      <c r="K1390" s="7">
        <v>1197</v>
      </c>
      <c r="L1390" s="9">
        <v>-1</v>
      </c>
      <c r="M1390" t="s">
        <v>205</v>
      </c>
      <c r="N1390" t="s">
        <v>206</v>
      </c>
      <c r="O1390" s="27" t="str">
        <f>HYPERLINK("https://www.ncbi.nlm.nih.gov/nuccore/NZ_CP010407.1?report=graph&amp;from=8692515&amp;to=8692519", "TTA_codon")</f>
        <v>TTA_codon</v>
      </c>
    </row>
    <row r="1391" spans="1:15" x14ac:dyDescent="0.15">
      <c r="A1391" t="s">
        <v>21</v>
      </c>
      <c r="B1391">
        <v>1000409</v>
      </c>
      <c r="C1391">
        <v>359846</v>
      </c>
      <c r="F1391" s="7">
        <v>1</v>
      </c>
      <c r="G1391" s="7">
        <v>547</v>
      </c>
      <c r="H1391" s="8">
        <v>541</v>
      </c>
      <c r="J1391" t="s">
        <v>23</v>
      </c>
      <c r="K1391" s="7">
        <v>1209</v>
      </c>
      <c r="L1391" s="9">
        <v>-1</v>
      </c>
      <c r="M1391" t="s">
        <v>641</v>
      </c>
      <c r="N1391" t="s">
        <v>91</v>
      </c>
      <c r="O1391" s="27" t="str">
        <f>HYPERLINK("https://www.ncbi.nlm.nih.gov/nuccore/NZ_KQ948308.1?report=graph&amp;from=204353&amp;to=204357", "TTA_codon")</f>
        <v>TTA_codon</v>
      </c>
    </row>
    <row r="1392" spans="1:15" x14ac:dyDescent="0.15">
      <c r="A1392" t="s">
        <v>21</v>
      </c>
      <c r="B1392">
        <v>1000409</v>
      </c>
      <c r="C1392">
        <v>365233</v>
      </c>
      <c r="F1392" s="7">
        <v>1</v>
      </c>
      <c r="G1392" s="7">
        <v>469</v>
      </c>
      <c r="H1392" s="8">
        <v>451</v>
      </c>
      <c r="J1392" t="s">
        <v>23</v>
      </c>
      <c r="K1392" s="7">
        <v>1200</v>
      </c>
      <c r="L1392" s="9">
        <v>-1</v>
      </c>
      <c r="M1392" t="s">
        <v>1288</v>
      </c>
      <c r="N1392" t="s">
        <v>347</v>
      </c>
      <c r="O1392" s="27" t="str">
        <f>HYPERLINK("https://www.ncbi.nlm.nih.gov/nuccore/NZ_FNFF01000009.1?report=graph&amp;from=11997&amp;to=12001", "TTA_codon")</f>
        <v>TTA_codon</v>
      </c>
    </row>
    <row r="1393" spans="1:15" x14ac:dyDescent="0.15">
      <c r="A1393" t="s">
        <v>21</v>
      </c>
      <c r="B1393">
        <v>1000409</v>
      </c>
      <c r="C1393">
        <v>365950</v>
      </c>
      <c r="F1393" s="7">
        <v>2</v>
      </c>
      <c r="G1393" s="7" t="s">
        <v>1289</v>
      </c>
      <c r="H1393" s="8" t="s">
        <v>1290</v>
      </c>
      <c r="J1393" t="s">
        <v>23</v>
      </c>
      <c r="K1393" s="7">
        <v>1248</v>
      </c>
      <c r="L1393" s="9">
        <v>-1</v>
      </c>
      <c r="M1393" t="s">
        <v>1291</v>
      </c>
      <c r="N1393" t="s">
        <v>115</v>
      </c>
      <c r="O1393" s="27" t="str">
        <f>HYPERLINK("https://www.ncbi.nlm.nih.gov/nuccore/NZ_FODD01000021.1?report=graph&amp;from=77274&amp;to=77701", "TTA_codon")</f>
        <v>TTA_codon</v>
      </c>
    </row>
    <row r="1394" spans="1:15" x14ac:dyDescent="0.15">
      <c r="A1394" t="s">
        <v>21</v>
      </c>
      <c r="B1394">
        <v>1000409</v>
      </c>
      <c r="C1394">
        <v>366583</v>
      </c>
      <c r="F1394" s="7">
        <v>3</v>
      </c>
      <c r="G1394" s="7" t="s">
        <v>1292</v>
      </c>
      <c r="H1394" s="8" t="s">
        <v>1293</v>
      </c>
      <c r="J1394" t="s">
        <v>23</v>
      </c>
      <c r="K1394" s="7">
        <v>1239</v>
      </c>
      <c r="L1394" s="9">
        <v>-1</v>
      </c>
      <c r="M1394" t="s">
        <v>1294</v>
      </c>
      <c r="N1394" t="s">
        <v>180</v>
      </c>
      <c r="O1394" s="27" t="str">
        <f>HYPERLINK("https://www.ncbi.nlm.nih.gov/nuccore/NZ_FRBI01000039.1?report=graph&amp;from=497&amp;to=1416", "TTA_codon")</f>
        <v>TTA_codon</v>
      </c>
    </row>
    <row r="1395" spans="1:15" x14ac:dyDescent="0.15">
      <c r="A1395" t="s">
        <v>21</v>
      </c>
      <c r="B1395" t="s">
        <v>1295</v>
      </c>
    </row>
    <row r="1396" spans="1:15" x14ac:dyDescent="0.15">
      <c r="A1396" t="s">
        <v>21</v>
      </c>
      <c r="B1396">
        <v>1000530</v>
      </c>
      <c r="C1396">
        <v>349621</v>
      </c>
      <c r="F1396" s="7">
        <v>1</v>
      </c>
      <c r="G1396" s="7">
        <v>139</v>
      </c>
      <c r="H1396" s="8">
        <v>133</v>
      </c>
      <c r="J1396" t="s">
        <v>23</v>
      </c>
      <c r="K1396" s="7">
        <v>693</v>
      </c>
      <c r="L1396" s="9">
        <v>-1</v>
      </c>
      <c r="M1396" t="s">
        <v>1296</v>
      </c>
      <c r="N1396" t="s">
        <v>335</v>
      </c>
      <c r="O1396" s="27" t="str">
        <f>HYPERLINK("https://www.ncbi.nlm.nih.gov/nuccore/NZ_AGBF01000056.1?report=graph&amp;from=27714&amp;to=27718", "TTA_codon")</f>
        <v>TTA_codon</v>
      </c>
    </row>
    <row r="1397" spans="1:15" x14ac:dyDescent="0.15">
      <c r="A1397" t="s">
        <v>21</v>
      </c>
      <c r="B1397">
        <v>1000530</v>
      </c>
      <c r="C1397">
        <v>350785</v>
      </c>
      <c r="F1397" s="7">
        <v>1</v>
      </c>
      <c r="G1397" s="7">
        <v>139</v>
      </c>
      <c r="H1397" s="8">
        <v>139</v>
      </c>
      <c r="J1397" t="s">
        <v>23</v>
      </c>
      <c r="K1397" s="7">
        <v>702</v>
      </c>
      <c r="L1397" s="9">
        <v>-1</v>
      </c>
      <c r="M1397" t="s">
        <v>1297</v>
      </c>
      <c r="N1397" t="s">
        <v>51</v>
      </c>
      <c r="O1397" s="27" t="str">
        <f>HYPERLINK("https://www.ncbi.nlm.nih.gov/nuccore/NZ_AEJB01000650.1?report=graph&amp;from=5395&amp;to=5399", "TTA_codon")</f>
        <v>TTA_codon</v>
      </c>
    </row>
    <row r="1398" spans="1:15" x14ac:dyDescent="0.15">
      <c r="A1398" t="s">
        <v>21</v>
      </c>
      <c r="B1398">
        <v>1000530</v>
      </c>
      <c r="C1398">
        <v>359855</v>
      </c>
      <c r="F1398" s="7">
        <v>1</v>
      </c>
      <c r="G1398" s="7">
        <v>139</v>
      </c>
      <c r="H1398" s="8">
        <v>133</v>
      </c>
      <c r="J1398" t="s">
        <v>23</v>
      </c>
      <c r="K1398" s="7">
        <v>675</v>
      </c>
      <c r="L1398" s="9">
        <v>-1</v>
      </c>
      <c r="M1398" t="s">
        <v>1086</v>
      </c>
      <c r="N1398" t="s">
        <v>91</v>
      </c>
      <c r="O1398" s="27" t="str">
        <f>HYPERLINK("https://www.ncbi.nlm.nih.gov/nuccore/NZ_KQ948307.1?report=graph&amp;from=230717&amp;to=230721", "TTA_codon")</f>
        <v>TTA_codon</v>
      </c>
    </row>
    <row r="1399" spans="1:15" x14ac:dyDescent="0.15">
      <c r="A1399" t="s">
        <v>21</v>
      </c>
      <c r="B1399" t="s">
        <v>1298</v>
      </c>
    </row>
    <row r="1400" spans="1:15" x14ac:dyDescent="0.15">
      <c r="A1400" t="s">
        <v>21</v>
      </c>
      <c r="B1400">
        <v>1000964</v>
      </c>
      <c r="C1400">
        <v>353645</v>
      </c>
      <c r="F1400" s="7">
        <v>1</v>
      </c>
      <c r="G1400" s="7">
        <v>259</v>
      </c>
      <c r="H1400" s="8">
        <v>238</v>
      </c>
      <c r="J1400" t="s">
        <v>23</v>
      </c>
      <c r="K1400" s="7">
        <v>1584</v>
      </c>
      <c r="L1400" s="9">
        <v>-1</v>
      </c>
      <c r="M1400" t="s">
        <v>1138</v>
      </c>
      <c r="N1400" t="s">
        <v>140</v>
      </c>
      <c r="O1400" s="27" t="str">
        <f>HYPERLINK("https://www.ncbi.nlm.nih.gov/nuccore/NZ_JNXG01000001.1?report=graph&amp;from=202037&amp;to=202041", "TTA_codon")</f>
        <v>TTA_codon</v>
      </c>
    </row>
    <row r="1401" spans="1:15" x14ac:dyDescent="0.15">
      <c r="A1401" t="s">
        <v>21</v>
      </c>
      <c r="B1401">
        <v>1000964</v>
      </c>
      <c r="C1401">
        <v>356747</v>
      </c>
      <c r="F1401" s="7">
        <v>1</v>
      </c>
      <c r="G1401" s="7">
        <v>337</v>
      </c>
      <c r="H1401" s="8">
        <v>337</v>
      </c>
      <c r="J1401" t="s">
        <v>23</v>
      </c>
      <c r="K1401" s="7">
        <v>1623</v>
      </c>
      <c r="L1401" s="9">
        <v>-1</v>
      </c>
      <c r="M1401" t="s">
        <v>147</v>
      </c>
      <c r="N1401" t="s">
        <v>148</v>
      </c>
      <c r="O1401" s="27" t="str">
        <f>HYPERLINK("https://www.ncbi.nlm.nih.gov/nuccore/NZ_CP021080.1?report=graph&amp;from=3269410&amp;to=3269414", "TTA_codon")</f>
        <v>TTA_codon</v>
      </c>
    </row>
    <row r="1402" spans="1:15" x14ac:dyDescent="0.15">
      <c r="A1402" t="s">
        <v>21</v>
      </c>
      <c r="B1402" t="s">
        <v>1299</v>
      </c>
    </row>
    <row r="1403" spans="1:15" x14ac:dyDescent="0.15">
      <c r="A1403" t="s">
        <v>21</v>
      </c>
      <c r="B1403">
        <v>1000423</v>
      </c>
      <c r="C1403">
        <v>348649</v>
      </c>
      <c r="F1403" s="7">
        <v>1</v>
      </c>
      <c r="G1403" s="7">
        <v>73</v>
      </c>
      <c r="H1403" s="8">
        <v>73</v>
      </c>
      <c r="J1403" t="s">
        <v>23</v>
      </c>
      <c r="K1403" s="7">
        <v>657</v>
      </c>
      <c r="L1403" s="9">
        <v>1</v>
      </c>
      <c r="M1403" t="s">
        <v>61</v>
      </c>
      <c r="N1403" t="s">
        <v>62</v>
      </c>
      <c r="O1403" s="27" t="str">
        <f>HYPERLINK("https://www.ncbi.nlm.nih.gov/nuccore/NZ_DS999641.1?report=graph&amp;from=2749492&amp;to=2749496", "TTA_codon")</f>
        <v>TTA_codon</v>
      </c>
    </row>
    <row r="1404" spans="1:15" x14ac:dyDescent="0.15">
      <c r="A1404" t="s">
        <v>21</v>
      </c>
      <c r="B1404">
        <v>1000423</v>
      </c>
      <c r="C1404">
        <v>351343</v>
      </c>
      <c r="F1404" s="7">
        <v>1</v>
      </c>
      <c r="G1404" s="7">
        <v>73</v>
      </c>
      <c r="H1404" s="8">
        <v>70</v>
      </c>
      <c r="J1404" t="s">
        <v>23</v>
      </c>
      <c r="K1404" s="7">
        <v>654</v>
      </c>
      <c r="L1404" s="9">
        <v>1</v>
      </c>
      <c r="M1404" t="s">
        <v>65</v>
      </c>
      <c r="N1404" t="s">
        <v>66</v>
      </c>
      <c r="O1404" s="27" t="str">
        <f>HYPERLINK("https://www.ncbi.nlm.nih.gov/nuccore/NC_020504.1?report=graph&amp;from=3610976&amp;to=3610980", "TTA_codon")</f>
        <v>TTA_codon</v>
      </c>
    </row>
    <row r="1405" spans="1:15" x14ac:dyDescent="0.15">
      <c r="A1405" t="s">
        <v>21</v>
      </c>
      <c r="B1405">
        <v>1000423</v>
      </c>
      <c r="C1405">
        <v>356141</v>
      </c>
      <c r="F1405" s="7">
        <v>2</v>
      </c>
      <c r="G1405" s="7" t="s">
        <v>1300</v>
      </c>
      <c r="H1405" s="8" t="s">
        <v>1300</v>
      </c>
      <c r="J1405" t="s">
        <v>23</v>
      </c>
      <c r="K1405" s="7">
        <v>657</v>
      </c>
      <c r="L1405" s="9">
        <v>1</v>
      </c>
      <c r="M1405" t="s">
        <v>339</v>
      </c>
      <c r="N1405" t="s">
        <v>146</v>
      </c>
      <c r="O1405" s="27" t="str">
        <f>HYPERLINK("https://www.ncbi.nlm.nih.gov/nuccore/NZ_JOFH01000006.1?report=graph&amp;from=44643&amp;to=44656", "TTA_codon")</f>
        <v>TTA_codon</v>
      </c>
    </row>
    <row r="1406" spans="1:15" x14ac:dyDescent="0.15">
      <c r="A1406" t="s">
        <v>21</v>
      </c>
      <c r="B1406">
        <v>1000423</v>
      </c>
      <c r="C1406">
        <v>357460</v>
      </c>
      <c r="F1406" s="7">
        <v>1</v>
      </c>
      <c r="G1406" s="7">
        <v>73</v>
      </c>
      <c r="H1406" s="8">
        <v>73</v>
      </c>
      <c r="J1406" t="s">
        <v>23</v>
      </c>
      <c r="K1406" s="7">
        <v>657</v>
      </c>
      <c r="L1406" s="9">
        <v>1</v>
      </c>
      <c r="M1406" t="s">
        <v>80</v>
      </c>
      <c r="N1406" t="s">
        <v>81</v>
      </c>
      <c r="O1406" s="27" t="str">
        <f>HYPERLINK("https://www.ncbi.nlm.nih.gov/nuccore/NZ_LN831790.1?report=graph&amp;from=3081041&amp;to=3081045", "TTA_codon")</f>
        <v>TTA_codon</v>
      </c>
    </row>
    <row r="1407" spans="1:15" x14ac:dyDescent="0.15">
      <c r="A1407" t="s">
        <v>21</v>
      </c>
      <c r="B1407">
        <v>1000423</v>
      </c>
      <c r="C1407">
        <v>358951</v>
      </c>
      <c r="F1407" s="7">
        <v>1</v>
      </c>
      <c r="G1407" s="7">
        <v>73</v>
      </c>
      <c r="H1407" s="8">
        <v>70</v>
      </c>
      <c r="J1407" t="s">
        <v>23</v>
      </c>
      <c r="K1407" s="7">
        <v>654</v>
      </c>
      <c r="L1407" s="9">
        <v>1</v>
      </c>
      <c r="M1407" t="s">
        <v>1301</v>
      </c>
      <c r="N1407" t="s">
        <v>87</v>
      </c>
      <c r="O1407" s="27" t="str">
        <f>HYPERLINK("https://www.ncbi.nlm.nih.gov/nuccore/NZ_LIQS01000013.1?report=graph&amp;from=15323&amp;to=15327", "TTA_codon")</f>
        <v>TTA_codon</v>
      </c>
    </row>
    <row r="1408" spans="1:15" x14ac:dyDescent="0.15">
      <c r="A1408" t="s">
        <v>21</v>
      </c>
      <c r="B1408">
        <v>1000423</v>
      </c>
      <c r="C1408">
        <v>359166</v>
      </c>
      <c r="F1408" s="7">
        <v>1</v>
      </c>
      <c r="G1408" s="7">
        <v>73</v>
      </c>
      <c r="H1408" s="8">
        <v>49</v>
      </c>
      <c r="J1408" t="s">
        <v>23</v>
      </c>
      <c r="K1408" s="7">
        <v>648</v>
      </c>
      <c r="L1408" s="9">
        <v>1</v>
      </c>
      <c r="M1408" t="s">
        <v>1302</v>
      </c>
      <c r="N1408" t="s">
        <v>451</v>
      </c>
      <c r="O1408" s="27" t="str">
        <f>HYPERLINK("https://www.ncbi.nlm.nih.gov/nuccore/NZ_LIQZ01000567.1?report=graph&amp;from=5228&amp;to=5232", "TTA_codon")</f>
        <v>TTA_codon</v>
      </c>
    </row>
    <row r="1409" spans="1:15" x14ac:dyDescent="0.15">
      <c r="A1409" t="s">
        <v>21</v>
      </c>
      <c r="B1409">
        <v>1000423</v>
      </c>
      <c r="C1409">
        <v>361510</v>
      </c>
      <c r="F1409" s="7">
        <v>1</v>
      </c>
      <c r="G1409" s="7">
        <v>73</v>
      </c>
      <c r="H1409" s="8">
        <v>58</v>
      </c>
      <c r="J1409" t="s">
        <v>23</v>
      </c>
      <c r="K1409" s="7">
        <v>720</v>
      </c>
      <c r="L1409" s="9">
        <v>1</v>
      </c>
      <c r="M1409" t="s">
        <v>200</v>
      </c>
      <c r="N1409" t="s">
        <v>201</v>
      </c>
      <c r="O1409" s="27" t="str">
        <f>HYPERLINK("https://www.ncbi.nlm.nih.gov/nuccore/NZ_CP016559.1?report=graph&amp;from=2178296&amp;to=2178300", "TTA_codon")</f>
        <v>TTA_codon</v>
      </c>
    </row>
    <row r="1410" spans="1:15" x14ac:dyDescent="0.15">
      <c r="A1410" t="s">
        <v>21</v>
      </c>
      <c r="B1410">
        <v>1000423</v>
      </c>
      <c r="C1410">
        <v>363386</v>
      </c>
      <c r="F1410" s="7">
        <v>2</v>
      </c>
      <c r="G1410" s="7" t="s">
        <v>1300</v>
      </c>
      <c r="H1410" s="8" t="s">
        <v>1303</v>
      </c>
      <c r="J1410" t="s">
        <v>23</v>
      </c>
      <c r="K1410" s="7">
        <v>654</v>
      </c>
      <c r="L1410" s="9">
        <v>1</v>
      </c>
      <c r="M1410" t="s">
        <v>1130</v>
      </c>
      <c r="N1410" t="s">
        <v>28</v>
      </c>
      <c r="O1410" s="27" t="str">
        <f>HYPERLINK("https://www.ncbi.nlm.nih.gov/nuccore/NZ_JUJA01000040.1?report=graph&amp;from=121953&amp;to=121966", "TTA_codon")</f>
        <v>TTA_codon</v>
      </c>
    </row>
    <row r="1411" spans="1:15" x14ac:dyDescent="0.15">
      <c r="A1411" t="s">
        <v>21</v>
      </c>
      <c r="B1411">
        <v>1000423</v>
      </c>
      <c r="C1411">
        <v>363975</v>
      </c>
      <c r="F1411" s="7">
        <v>1</v>
      </c>
      <c r="G1411" s="7">
        <v>73</v>
      </c>
      <c r="H1411" s="8">
        <v>40</v>
      </c>
      <c r="J1411" t="s">
        <v>23</v>
      </c>
      <c r="K1411" s="7">
        <v>657</v>
      </c>
      <c r="L1411" s="9">
        <v>1</v>
      </c>
      <c r="M1411" t="s">
        <v>1304</v>
      </c>
      <c r="N1411" t="s">
        <v>104</v>
      </c>
      <c r="O1411" s="27" t="str">
        <f>HYPERLINK("https://www.ncbi.nlm.nih.gov/nuccore/NZ_MVFC01000004.1?report=graph&amp;from=111988&amp;to=111992", "TTA_codon")</f>
        <v>TTA_codon</v>
      </c>
    </row>
    <row r="1412" spans="1:15" x14ac:dyDescent="0.15">
      <c r="A1412" t="s">
        <v>21</v>
      </c>
      <c r="B1412" t="s">
        <v>1305</v>
      </c>
    </row>
    <row r="1413" spans="1:15" x14ac:dyDescent="0.15">
      <c r="A1413" t="s">
        <v>21</v>
      </c>
      <c r="B1413">
        <v>1001250</v>
      </c>
      <c r="C1413">
        <v>357799</v>
      </c>
      <c r="F1413" s="7">
        <v>1</v>
      </c>
      <c r="G1413" s="7">
        <v>304</v>
      </c>
      <c r="H1413" s="8">
        <v>271</v>
      </c>
      <c r="J1413" t="s">
        <v>23</v>
      </c>
      <c r="K1413" s="7">
        <v>888</v>
      </c>
      <c r="L1413" s="9">
        <v>-1</v>
      </c>
      <c r="M1413" t="s">
        <v>1306</v>
      </c>
      <c r="N1413" t="s">
        <v>83</v>
      </c>
      <c r="O1413" s="27" t="str">
        <f>HYPERLINK("https://www.ncbi.nlm.nih.gov/nuccore/NZ_DF968242.1?report=graph&amp;from=12423&amp;to=12427", "TTA_codon")</f>
        <v>TTA_codon</v>
      </c>
    </row>
    <row r="1414" spans="1:15" x14ac:dyDescent="0.15">
      <c r="A1414" t="s">
        <v>21</v>
      </c>
      <c r="B1414">
        <v>1001250</v>
      </c>
      <c r="C1414">
        <v>358890</v>
      </c>
      <c r="F1414" s="7">
        <v>1</v>
      </c>
      <c r="G1414" s="7">
        <v>250</v>
      </c>
      <c r="H1414" s="8">
        <v>238</v>
      </c>
      <c r="J1414" t="s">
        <v>23</v>
      </c>
      <c r="K1414" s="7">
        <v>903</v>
      </c>
      <c r="L1414" s="9">
        <v>-1</v>
      </c>
      <c r="M1414" t="s">
        <v>1307</v>
      </c>
      <c r="N1414" t="s">
        <v>87</v>
      </c>
      <c r="O1414" s="27" t="str">
        <f>HYPERLINK("https://www.ncbi.nlm.nih.gov/nuccore/NZ_LIQS01000522.1?report=graph&amp;from=15087&amp;to=15091", "TTA_codon")</f>
        <v>TTA_codon</v>
      </c>
    </row>
    <row r="1415" spans="1:15" x14ac:dyDescent="0.15">
      <c r="A1415" t="s">
        <v>21</v>
      </c>
      <c r="B1415" t="s">
        <v>1308</v>
      </c>
    </row>
    <row r="1416" spans="1:15" x14ac:dyDescent="0.15">
      <c r="A1416" t="s">
        <v>21</v>
      </c>
      <c r="B1416">
        <v>1000171</v>
      </c>
      <c r="C1416">
        <v>347257</v>
      </c>
      <c r="F1416" s="7">
        <v>1</v>
      </c>
      <c r="G1416" s="7">
        <v>46</v>
      </c>
      <c r="H1416" s="8">
        <v>46</v>
      </c>
      <c r="J1416" t="s">
        <v>23</v>
      </c>
      <c r="K1416" s="7">
        <v>360</v>
      </c>
      <c r="L1416" s="9">
        <v>1</v>
      </c>
      <c r="M1416" t="s">
        <v>53</v>
      </c>
      <c r="N1416" t="s">
        <v>54</v>
      </c>
      <c r="O1416" s="27" t="str">
        <f>HYPERLINK("https://www.ncbi.nlm.nih.gov/nuccore/NC_003155.5?report=graph&amp;from=1557703&amp;to=1557707", "TTA_codon")</f>
        <v>TTA_codon</v>
      </c>
    </row>
    <row r="1417" spans="1:15" x14ac:dyDescent="0.15">
      <c r="A1417" t="s">
        <v>21</v>
      </c>
      <c r="B1417">
        <v>1000171</v>
      </c>
      <c r="C1417">
        <v>349954</v>
      </c>
      <c r="F1417" s="7">
        <v>1</v>
      </c>
      <c r="G1417" s="7">
        <v>46</v>
      </c>
      <c r="H1417" s="8">
        <v>46</v>
      </c>
      <c r="J1417" t="s">
        <v>23</v>
      </c>
      <c r="K1417" s="7">
        <v>360</v>
      </c>
      <c r="L1417" s="9">
        <v>1</v>
      </c>
      <c r="M1417" t="s">
        <v>1309</v>
      </c>
      <c r="N1417" t="s">
        <v>249</v>
      </c>
      <c r="O1417" s="27" t="str">
        <f>HYPERLINK("https://www.ncbi.nlm.nih.gov/nuccore/NZ_AHBF01000079.1?report=graph&amp;from=76505&amp;to=76509", "TTA_codon")</f>
        <v>TTA_codon</v>
      </c>
    </row>
    <row r="1418" spans="1:15" x14ac:dyDescent="0.15">
      <c r="A1418" t="s">
        <v>21</v>
      </c>
      <c r="B1418" t="s">
        <v>1310</v>
      </c>
    </row>
    <row r="1419" spans="1:15" x14ac:dyDescent="0.15">
      <c r="A1419" t="s">
        <v>21</v>
      </c>
      <c r="B1419">
        <v>1000303</v>
      </c>
      <c r="C1419">
        <v>347915</v>
      </c>
      <c r="F1419" s="7">
        <v>2</v>
      </c>
      <c r="G1419" s="7" t="s">
        <v>1311</v>
      </c>
      <c r="H1419" s="8" t="s">
        <v>1312</v>
      </c>
      <c r="J1419" t="s">
        <v>23</v>
      </c>
      <c r="K1419" s="7">
        <v>891</v>
      </c>
      <c r="L1419" s="9">
        <v>-1</v>
      </c>
      <c r="M1419" t="s">
        <v>57</v>
      </c>
      <c r="N1419" t="s">
        <v>58</v>
      </c>
      <c r="O1419" s="27" t="str">
        <f>HYPERLINK("https://www.ncbi.nlm.nih.gov/nuccore/NC_013929.1?report=graph&amp;from=5185044&amp;to=5185300", "TTA_codon")</f>
        <v>TTA_codon</v>
      </c>
    </row>
    <row r="1420" spans="1:15" x14ac:dyDescent="0.15">
      <c r="A1420" t="s">
        <v>21</v>
      </c>
      <c r="B1420">
        <v>1000303</v>
      </c>
      <c r="C1420">
        <v>348590</v>
      </c>
      <c r="F1420" s="7">
        <v>1</v>
      </c>
      <c r="G1420" s="7">
        <v>268</v>
      </c>
      <c r="H1420" s="8">
        <v>265</v>
      </c>
      <c r="J1420" t="s">
        <v>23</v>
      </c>
      <c r="K1420" s="7">
        <v>891</v>
      </c>
      <c r="L1420" s="9">
        <v>-1</v>
      </c>
      <c r="M1420" t="s">
        <v>61</v>
      </c>
      <c r="N1420" t="s">
        <v>62</v>
      </c>
      <c r="O1420" s="27" t="str">
        <f>HYPERLINK("https://www.ncbi.nlm.nih.gov/nuccore/NZ_DS999641.1?report=graph&amp;from=4012390&amp;to=4012394", "TTA_codon")</f>
        <v>TTA_codon</v>
      </c>
    </row>
    <row r="1421" spans="1:15" x14ac:dyDescent="0.15">
      <c r="A1421" t="s">
        <v>21</v>
      </c>
      <c r="B1421">
        <v>1000303</v>
      </c>
      <c r="C1421">
        <v>349559</v>
      </c>
      <c r="F1421" s="7">
        <v>1</v>
      </c>
      <c r="G1421" s="7">
        <v>268</v>
      </c>
      <c r="H1421" s="8">
        <v>265</v>
      </c>
      <c r="J1421" t="s">
        <v>23</v>
      </c>
      <c r="K1421" s="7">
        <v>891</v>
      </c>
      <c r="L1421" s="9">
        <v>-1</v>
      </c>
      <c r="M1421" t="s">
        <v>1079</v>
      </c>
      <c r="N1421" t="s">
        <v>64</v>
      </c>
      <c r="O1421" s="27" t="str">
        <f>HYPERLINK("https://www.ncbi.nlm.nih.gov/nuccore/NZ_AEYX01000038.1?report=graph&amp;from=78031&amp;to=78035", "TTA_codon")</f>
        <v>TTA_codon</v>
      </c>
    </row>
    <row r="1422" spans="1:15" x14ac:dyDescent="0.15">
      <c r="A1422" t="s">
        <v>21</v>
      </c>
      <c r="B1422">
        <v>1000303</v>
      </c>
      <c r="C1422">
        <v>349829</v>
      </c>
      <c r="F1422" s="7">
        <v>1</v>
      </c>
      <c r="G1422" s="7">
        <v>367</v>
      </c>
      <c r="H1422" s="8">
        <v>355</v>
      </c>
      <c r="J1422" t="s">
        <v>23</v>
      </c>
      <c r="K1422" s="7">
        <v>870</v>
      </c>
      <c r="L1422" s="9">
        <v>-1</v>
      </c>
      <c r="M1422" t="s">
        <v>265</v>
      </c>
      <c r="N1422" t="s">
        <v>266</v>
      </c>
      <c r="O1422" s="27" t="str">
        <f>HYPERLINK("https://www.ncbi.nlm.nih.gov/nuccore/NC_017586.1?report=graph&amp;from=3346543&amp;to=3346547", "TTA_codon")</f>
        <v>TTA_codon</v>
      </c>
    </row>
    <row r="1423" spans="1:15" x14ac:dyDescent="0.15">
      <c r="A1423" t="s">
        <v>21</v>
      </c>
      <c r="B1423">
        <v>1000303</v>
      </c>
      <c r="C1423">
        <v>351312</v>
      </c>
      <c r="F1423" s="7">
        <v>1</v>
      </c>
      <c r="G1423" s="7">
        <v>268</v>
      </c>
      <c r="H1423" s="8">
        <v>265</v>
      </c>
      <c r="J1423" t="s">
        <v>23</v>
      </c>
      <c r="K1423" s="7">
        <v>891</v>
      </c>
      <c r="L1423" s="9">
        <v>-1</v>
      </c>
      <c r="M1423" t="s">
        <v>65</v>
      </c>
      <c r="N1423" t="s">
        <v>66</v>
      </c>
      <c r="O1423" s="27" t="str">
        <f>HYPERLINK("https://www.ncbi.nlm.nih.gov/nuccore/NC_020504.1?report=graph&amp;from=5093947&amp;to=5093951", "TTA_codon")</f>
        <v>TTA_codon</v>
      </c>
    </row>
    <row r="1424" spans="1:15" x14ac:dyDescent="0.15">
      <c r="A1424" t="s">
        <v>21</v>
      </c>
      <c r="B1424">
        <v>1000303</v>
      </c>
      <c r="C1424">
        <v>351527</v>
      </c>
      <c r="F1424" s="7">
        <v>1</v>
      </c>
      <c r="G1424" s="7">
        <v>367</v>
      </c>
      <c r="H1424" s="8">
        <v>358</v>
      </c>
      <c r="J1424" t="s">
        <v>23</v>
      </c>
      <c r="K1424" s="7">
        <v>885</v>
      </c>
      <c r="L1424" s="9">
        <v>-1</v>
      </c>
      <c r="M1424" t="s">
        <v>1313</v>
      </c>
      <c r="N1424" t="s">
        <v>138</v>
      </c>
      <c r="O1424" s="27" t="str">
        <f>HYPERLINK("https://www.ncbi.nlm.nih.gov/nuccore/NZ_KB889730.1?report=graph&amp;from=223704&amp;to=223708", "TTA_codon")</f>
        <v>TTA_codon</v>
      </c>
    </row>
    <row r="1425" spans="1:15" x14ac:dyDescent="0.15">
      <c r="A1425" t="s">
        <v>21</v>
      </c>
      <c r="B1425">
        <v>1000303</v>
      </c>
      <c r="C1425">
        <v>352684</v>
      </c>
      <c r="F1425" s="7">
        <v>1</v>
      </c>
      <c r="G1425" s="7">
        <v>310</v>
      </c>
      <c r="H1425" s="8">
        <v>307</v>
      </c>
      <c r="J1425" t="s">
        <v>23</v>
      </c>
      <c r="K1425" s="7">
        <v>882</v>
      </c>
      <c r="L1425" s="9">
        <v>-1</v>
      </c>
      <c r="M1425" t="s">
        <v>1314</v>
      </c>
      <c r="N1425" t="s">
        <v>436</v>
      </c>
      <c r="O1425" s="27" t="str">
        <f>HYPERLINK("https://www.ncbi.nlm.nih.gov/nuccore/NZ_AUBE01000026.1?report=graph&amp;from=2452&amp;to=2456", "TTA_codon")</f>
        <v>TTA_codon</v>
      </c>
    </row>
    <row r="1426" spans="1:15" x14ac:dyDescent="0.15">
      <c r="A1426" t="s">
        <v>21</v>
      </c>
      <c r="B1426">
        <v>1000303</v>
      </c>
      <c r="C1426">
        <v>352803</v>
      </c>
      <c r="F1426" s="7">
        <v>2</v>
      </c>
      <c r="G1426" s="7" t="s">
        <v>1315</v>
      </c>
      <c r="H1426" s="8" t="s">
        <v>1316</v>
      </c>
      <c r="J1426" t="s">
        <v>23</v>
      </c>
      <c r="K1426" s="7">
        <v>882</v>
      </c>
      <c r="L1426" s="9">
        <v>-1</v>
      </c>
      <c r="M1426" t="s">
        <v>472</v>
      </c>
      <c r="N1426" t="s">
        <v>473</v>
      </c>
      <c r="O1426" s="27" t="str">
        <f>HYPERLINK("https://www.ncbi.nlm.nih.gov/nuccore/NZ_ASHX02000001.1?report=graph&amp;from=3289726&amp;to=3290288", "TTA_codon")</f>
        <v>TTA_codon</v>
      </c>
    </row>
    <row r="1427" spans="1:15" x14ac:dyDescent="0.15">
      <c r="A1427" t="s">
        <v>21</v>
      </c>
      <c r="B1427">
        <v>1000303</v>
      </c>
      <c r="C1427">
        <v>356303</v>
      </c>
      <c r="F1427" s="7">
        <v>1</v>
      </c>
      <c r="G1427" s="7">
        <v>268</v>
      </c>
      <c r="H1427" s="8">
        <v>265</v>
      </c>
      <c r="J1427" t="s">
        <v>23</v>
      </c>
      <c r="K1427" s="7">
        <v>891</v>
      </c>
      <c r="L1427" s="9">
        <v>-1</v>
      </c>
      <c r="M1427" t="s">
        <v>1317</v>
      </c>
      <c r="N1427" t="s">
        <v>77</v>
      </c>
      <c r="O1427" s="27" t="str">
        <f>HYPERLINK("https://www.ncbi.nlm.nih.gov/nuccore/NZ_JNXD01000011.1?report=graph&amp;from=342968&amp;to=342972", "TTA_codon")</f>
        <v>TTA_codon</v>
      </c>
    </row>
    <row r="1428" spans="1:15" x14ac:dyDescent="0.15">
      <c r="A1428" t="s">
        <v>21</v>
      </c>
      <c r="B1428">
        <v>1000303</v>
      </c>
      <c r="C1428">
        <v>357451</v>
      </c>
      <c r="F1428" s="7">
        <v>1</v>
      </c>
      <c r="G1428" s="7">
        <v>268</v>
      </c>
      <c r="H1428" s="8">
        <v>265</v>
      </c>
      <c r="J1428" t="s">
        <v>23</v>
      </c>
      <c r="K1428" s="7">
        <v>891</v>
      </c>
      <c r="L1428" s="9">
        <v>-1</v>
      </c>
      <c r="M1428" t="s">
        <v>80</v>
      </c>
      <c r="N1428" t="s">
        <v>81</v>
      </c>
      <c r="O1428" s="27" t="str">
        <f>HYPERLINK("https://www.ncbi.nlm.nih.gov/nuccore/NZ_LN831790.1?report=graph&amp;from=4302671&amp;to=4302675", "TTA_codon")</f>
        <v>TTA_codon</v>
      </c>
    </row>
    <row r="1429" spans="1:15" x14ac:dyDescent="0.15">
      <c r="A1429" t="s">
        <v>21</v>
      </c>
      <c r="B1429">
        <v>1000303</v>
      </c>
      <c r="C1429">
        <v>364724</v>
      </c>
      <c r="F1429" s="7">
        <v>1</v>
      </c>
      <c r="G1429" s="7">
        <v>268</v>
      </c>
      <c r="H1429" s="8">
        <v>265</v>
      </c>
      <c r="J1429" t="s">
        <v>23</v>
      </c>
      <c r="K1429" s="7">
        <v>891</v>
      </c>
      <c r="L1429" s="9">
        <v>-1</v>
      </c>
      <c r="M1429" t="s">
        <v>1318</v>
      </c>
      <c r="N1429" t="s">
        <v>110</v>
      </c>
      <c r="O1429" s="27" t="str">
        <f>HYPERLINK("https://www.ncbi.nlm.nih.gov/nuccore/NZ_MUME01000060.1?report=graph&amp;from=44772&amp;to=44776", "TTA_codon")</f>
        <v>TTA_codon</v>
      </c>
    </row>
    <row r="1430" spans="1:15" x14ac:dyDescent="0.15">
      <c r="A1430" t="s">
        <v>21</v>
      </c>
      <c r="B1430" t="s">
        <v>1319</v>
      </c>
    </row>
    <row r="1431" spans="1:15" x14ac:dyDescent="0.15">
      <c r="A1431" t="s">
        <v>21</v>
      </c>
      <c r="B1431">
        <v>1000734</v>
      </c>
      <c r="C1431">
        <v>351229</v>
      </c>
      <c r="F1431" s="7">
        <v>1</v>
      </c>
      <c r="G1431" s="7">
        <v>343</v>
      </c>
      <c r="H1431" s="8">
        <v>343</v>
      </c>
      <c r="J1431" t="s">
        <v>23</v>
      </c>
      <c r="K1431" s="7">
        <v>519</v>
      </c>
      <c r="L1431" s="9">
        <v>1</v>
      </c>
      <c r="M1431" t="s">
        <v>65</v>
      </c>
      <c r="N1431" t="s">
        <v>66</v>
      </c>
      <c r="O1431" s="27" t="str">
        <f>HYPERLINK("https://www.ncbi.nlm.nih.gov/nuccore/NC_020504.1?report=graph&amp;from=7236243&amp;to=7236247", "TTA_codon")</f>
        <v>TTA_codon</v>
      </c>
    </row>
    <row r="1432" spans="1:15" x14ac:dyDescent="0.15">
      <c r="A1432" t="s">
        <v>21</v>
      </c>
      <c r="B1432">
        <v>1000734</v>
      </c>
      <c r="C1432">
        <v>354574</v>
      </c>
      <c r="F1432" s="7">
        <v>1</v>
      </c>
      <c r="G1432" s="7">
        <v>415</v>
      </c>
      <c r="H1432" s="8">
        <v>415</v>
      </c>
      <c r="J1432" t="s">
        <v>23</v>
      </c>
      <c r="K1432" s="7">
        <v>564</v>
      </c>
      <c r="L1432" s="9">
        <v>1</v>
      </c>
      <c r="M1432" t="s">
        <v>1320</v>
      </c>
      <c r="N1432" t="s">
        <v>272</v>
      </c>
      <c r="O1432" s="27" t="str">
        <f>HYPERLINK("https://www.ncbi.nlm.nih.gov/nuccore/NZ_JOEY01000003.1?report=graph&amp;from=142113&amp;to=142117", "TTA_codon")</f>
        <v>TTA_codon</v>
      </c>
    </row>
    <row r="1433" spans="1:15" x14ac:dyDescent="0.15">
      <c r="A1433" t="s">
        <v>21</v>
      </c>
      <c r="B1433">
        <v>1000734</v>
      </c>
      <c r="C1433">
        <v>360073</v>
      </c>
      <c r="F1433" s="7">
        <v>1</v>
      </c>
      <c r="G1433" s="7">
        <v>415</v>
      </c>
      <c r="H1433" s="8">
        <v>415</v>
      </c>
      <c r="J1433" t="s">
        <v>23</v>
      </c>
      <c r="K1433" s="7">
        <v>567</v>
      </c>
      <c r="L1433" s="9">
        <v>1</v>
      </c>
      <c r="M1433" t="s">
        <v>617</v>
      </c>
      <c r="N1433" t="s">
        <v>125</v>
      </c>
      <c r="O1433" s="27" t="str">
        <f>HYPERLINK("https://www.ncbi.nlm.nih.gov/nuccore/NZ_KQ948452.1?report=graph&amp;from=509561&amp;to=509565", "TTA_codon")</f>
        <v>TTA_codon</v>
      </c>
    </row>
    <row r="1434" spans="1:15" x14ac:dyDescent="0.15">
      <c r="A1434" t="s">
        <v>21</v>
      </c>
      <c r="B1434" t="s">
        <v>1321</v>
      </c>
    </row>
    <row r="1435" spans="1:15" x14ac:dyDescent="0.15">
      <c r="A1435" t="s">
        <v>21</v>
      </c>
      <c r="B1435">
        <v>1001086</v>
      </c>
      <c r="C1435">
        <v>355389</v>
      </c>
      <c r="F1435" s="7">
        <v>1</v>
      </c>
      <c r="G1435" s="7">
        <v>115</v>
      </c>
      <c r="H1435" s="8">
        <v>109</v>
      </c>
      <c r="J1435" t="s">
        <v>23</v>
      </c>
      <c r="K1435" s="7">
        <v>735</v>
      </c>
      <c r="L1435" s="9">
        <v>-1</v>
      </c>
      <c r="M1435" t="s">
        <v>1181</v>
      </c>
      <c r="N1435" t="s">
        <v>198</v>
      </c>
      <c r="O1435" s="27" t="str">
        <f>HYPERLINK("https://www.ncbi.nlm.nih.gov/nuccore/NZ_JOFL01000007.1?report=graph&amp;from=232779&amp;to=232783", "TTA_codon")</f>
        <v>TTA_codon</v>
      </c>
    </row>
    <row r="1436" spans="1:15" x14ac:dyDescent="0.15">
      <c r="A1436" t="s">
        <v>21</v>
      </c>
      <c r="B1436">
        <v>1001086</v>
      </c>
      <c r="C1436">
        <v>365105</v>
      </c>
      <c r="F1436" s="7">
        <v>1</v>
      </c>
      <c r="G1436" s="7">
        <v>115</v>
      </c>
      <c r="H1436" s="8">
        <v>115</v>
      </c>
      <c r="J1436" t="s">
        <v>23</v>
      </c>
      <c r="K1436" s="7">
        <v>729</v>
      </c>
      <c r="L1436" s="9">
        <v>-1</v>
      </c>
      <c r="M1436" t="s">
        <v>111</v>
      </c>
      <c r="N1436" t="s">
        <v>112</v>
      </c>
      <c r="O1436" s="27" t="str">
        <f>HYPERLINK("https://www.ncbi.nlm.nih.gov/nuccore/NZ_CP021744.1?report=graph&amp;from=2044699&amp;to=2044703", "TTA_codon")</f>
        <v>TTA_codon</v>
      </c>
    </row>
    <row r="1437" spans="1:15" x14ac:dyDescent="0.15">
      <c r="A1437" t="s">
        <v>21</v>
      </c>
      <c r="B1437" t="s">
        <v>1322</v>
      </c>
    </row>
    <row r="1438" spans="1:15" x14ac:dyDescent="0.15">
      <c r="A1438" t="s">
        <v>21</v>
      </c>
      <c r="B1438">
        <v>1000624</v>
      </c>
      <c r="C1438">
        <v>350423</v>
      </c>
      <c r="F1438" s="7">
        <v>2</v>
      </c>
      <c r="G1438" s="7" t="s">
        <v>1323</v>
      </c>
      <c r="H1438" s="8" t="s">
        <v>1324</v>
      </c>
      <c r="J1438" t="s">
        <v>23</v>
      </c>
      <c r="K1438" s="7">
        <v>2109</v>
      </c>
      <c r="L1438" s="9">
        <v>1</v>
      </c>
      <c r="M1438" t="s">
        <v>35</v>
      </c>
      <c r="N1438" t="s">
        <v>36</v>
      </c>
      <c r="O1438" s="27" t="str">
        <f>HYPERLINK("https://www.ncbi.nlm.nih.gov/nuccore/NZ_JH725387.1?report=graph&amp;from=3524303&amp;to=3525300", "TTA_codon")</f>
        <v>TTA_codon</v>
      </c>
    </row>
    <row r="1439" spans="1:15" x14ac:dyDescent="0.15">
      <c r="A1439" t="s">
        <v>21</v>
      </c>
      <c r="B1439">
        <v>1000624</v>
      </c>
      <c r="C1439">
        <v>356431</v>
      </c>
      <c r="F1439" s="7">
        <v>1</v>
      </c>
      <c r="G1439" s="7">
        <v>850</v>
      </c>
      <c r="H1439" s="8">
        <v>793</v>
      </c>
      <c r="J1439" t="s">
        <v>23</v>
      </c>
      <c r="K1439" s="7">
        <v>2058</v>
      </c>
      <c r="L1439" s="9">
        <v>1</v>
      </c>
      <c r="M1439" t="s">
        <v>1325</v>
      </c>
      <c r="N1439" t="s">
        <v>354</v>
      </c>
      <c r="O1439" s="27" t="str">
        <f>HYPERLINK("https://www.ncbi.nlm.nih.gov/nuccore/NZ_JQJU01000014.1?report=graph&amp;from=115301&amp;to=115305", "TTA_codon")</f>
        <v>TTA_codon</v>
      </c>
    </row>
    <row r="1440" spans="1:15" x14ac:dyDescent="0.15">
      <c r="A1440" t="s">
        <v>195</v>
      </c>
      <c r="B1440" t="s">
        <v>1326</v>
      </c>
    </row>
    <row r="1441" spans="1:15" x14ac:dyDescent="0.15">
      <c r="A1441" t="s">
        <v>195</v>
      </c>
      <c r="B1441">
        <v>1000146</v>
      </c>
      <c r="C1441">
        <v>347040</v>
      </c>
      <c r="F1441" s="7">
        <v>1</v>
      </c>
      <c r="G1441" s="7">
        <v>8770</v>
      </c>
      <c r="H1441" s="8">
        <v>589</v>
      </c>
      <c r="J1441" t="s">
        <v>23</v>
      </c>
      <c r="K1441" s="7">
        <v>11787</v>
      </c>
      <c r="L1441" s="9">
        <v>-1</v>
      </c>
      <c r="M1441" t="s">
        <v>126</v>
      </c>
      <c r="N1441" t="s">
        <v>127</v>
      </c>
      <c r="O1441" s="27" t="str">
        <f>HYPERLINK("https://www.ncbi.nlm.nih.gov/nuccore/NZ_CP021748.1?report=graph&amp;from=509956&amp;to=509960", "TTA_codon")</f>
        <v>TTA_codon</v>
      </c>
    </row>
    <row r="1442" spans="1:15" x14ac:dyDescent="0.15">
      <c r="A1442" t="s">
        <v>21</v>
      </c>
      <c r="B1442">
        <v>1000146</v>
      </c>
      <c r="C1442">
        <v>347372</v>
      </c>
      <c r="F1442" s="7">
        <v>2</v>
      </c>
      <c r="G1442" s="7" t="s">
        <v>1327</v>
      </c>
      <c r="H1442" s="8" t="s">
        <v>1328</v>
      </c>
      <c r="J1442" t="s">
        <v>23</v>
      </c>
      <c r="K1442" s="7">
        <v>5985</v>
      </c>
      <c r="L1442" s="9">
        <v>-1</v>
      </c>
      <c r="M1442" t="s">
        <v>217</v>
      </c>
      <c r="N1442" t="s">
        <v>218</v>
      </c>
      <c r="O1442" s="27" t="str">
        <f>HYPERLINK("https://www.ncbi.nlm.nih.gov/nuccore/NC_021985.1?report=graph&amp;from=484228&amp;to=489050", "TTA_codon")</f>
        <v>TTA_codon</v>
      </c>
    </row>
    <row r="1443" spans="1:15" x14ac:dyDescent="0.15">
      <c r="A1443" t="s">
        <v>21</v>
      </c>
      <c r="B1443">
        <v>1000146</v>
      </c>
      <c r="C1443">
        <v>348092</v>
      </c>
      <c r="F1443" s="7">
        <v>2</v>
      </c>
      <c r="G1443" s="7" t="s">
        <v>1329</v>
      </c>
      <c r="H1443" s="8" t="s">
        <v>1330</v>
      </c>
      <c r="J1443" t="s">
        <v>23</v>
      </c>
      <c r="K1443" s="7">
        <v>23250</v>
      </c>
      <c r="L1443" s="9">
        <v>-1</v>
      </c>
      <c r="M1443" t="s">
        <v>59</v>
      </c>
      <c r="N1443" t="s">
        <v>60</v>
      </c>
      <c r="O1443" s="27" t="str">
        <f>HYPERLINK("https://www.ncbi.nlm.nih.gov/nuccore/NC_016582.1?report=graph&amp;from=11502934&amp;to=11503523", "TTA_codon")</f>
        <v>TTA_codon</v>
      </c>
    </row>
    <row r="1444" spans="1:15" x14ac:dyDescent="0.15">
      <c r="A1444" t="s">
        <v>21</v>
      </c>
      <c r="B1444">
        <v>1000146</v>
      </c>
      <c r="C1444">
        <v>357041</v>
      </c>
      <c r="F1444" s="7">
        <v>1</v>
      </c>
      <c r="G1444" s="7">
        <v>9256</v>
      </c>
      <c r="H1444" s="8">
        <v>1063</v>
      </c>
      <c r="J1444" t="s">
        <v>23</v>
      </c>
      <c r="K1444" s="7">
        <v>3420</v>
      </c>
      <c r="L1444" s="9">
        <v>-1</v>
      </c>
      <c r="M1444" t="s">
        <v>162</v>
      </c>
      <c r="N1444" t="s">
        <v>163</v>
      </c>
      <c r="O1444" s="27" t="str">
        <f>HYPERLINK("https://www.ncbi.nlm.nih.gov/nuccore/NZ_CP010519.1?report=graph&amp;from=2755863&amp;to=2755867", "TTA_codon")</f>
        <v>TTA_codon</v>
      </c>
    </row>
    <row r="1445" spans="1:15" x14ac:dyDescent="0.15">
      <c r="A1445" t="s">
        <v>21</v>
      </c>
      <c r="B1445">
        <v>1000146</v>
      </c>
      <c r="C1445">
        <v>361185</v>
      </c>
      <c r="F1445" s="7">
        <v>2</v>
      </c>
      <c r="G1445" s="7" t="s">
        <v>1331</v>
      </c>
      <c r="H1445" s="8" t="s">
        <v>1332</v>
      </c>
      <c r="J1445" t="s">
        <v>23</v>
      </c>
      <c r="K1445" s="7">
        <v>4422</v>
      </c>
      <c r="L1445" s="9">
        <v>-1</v>
      </c>
      <c r="M1445" t="s">
        <v>98</v>
      </c>
      <c r="N1445" t="s">
        <v>99</v>
      </c>
      <c r="O1445" s="27" t="str">
        <f>HYPERLINK("https://www.ncbi.nlm.nih.gov/nuccore/NZ_CP016438.1?report=graph&amp;from=10190871&amp;to=10191490", "TTA_codon")</f>
        <v>TTA_codon</v>
      </c>
    </row>
    <row r="1446" spans="1:15" x14ac:dyDescent="0.15">
      <c r="A1446" t="s">
        <v>21</v>
      </c>
      <c r="B1446">
        <v>1000146</v>
      </c>
      <c r="C1446">
        <v>362003</v>
      </c>
      <c r="F1446" s="7">
        <v>1</v>
      </c>
      <c r="G1446" s="7">
        <v>8662</v>
      </c>
      <c r="H1446" s="8">
        <v>184</v>
      </c>
      <c r="J1446" t="s">
        <v>23</v>
      </c>
      <c r="K1446" s="7">
        <v>2070</v>
      </c>
      <c r="L1446" s="9">
        <v>-1</v>
      </c>
      <c r="M1446" t="s">
        <v>1333</v>
      </c>
      <c r="N1446" t="s">
        <v>187</v>
      </c>
      <c r="O1446" s="27" t="str">
        <f>HYPERLINK("https://www.ncbi.nlm.nih.gov/nuccore/NZ_MAXF01000003.1?report=graph&amp;from=13089&amp;to=13093", "TTA_codon")</f>
        <v>TTA_codon</v>
      </c>
    </row>
    <row r="1447" spans="1:15" x14ac:dyDescent="0.15">
      <c r="A1447" t="s">
        <v>21</v>
      </c>
      <c r="B1447" t="s">
        <v>1334</v>
      </c>
    </row>
    <row r="1448" spans="1:15" x14ac:dyDescent="0.15">
      <c r="A1448" t="s">
        <v>21</v>
      </c>
      <c r="B1448">
        <v>1001101</v>
      </c>
      <c r="C1448">
        <v>355602</v>
      </c>
      <c r="F1448" s="7">
        <v>1</v>
      </c>
      <c r="G1448" s="7">
        <v>106</v>
      </c>
      <c r="H1448" s="8">
        <v>106</v>
      </c>
      <c r="J1448" t="s">
        <v>23</v>
      </c>
      <c r="K1448" s="7">
        <v>1380</v>
      </c>
      <c r="L1448" s="9">
        <v>1</v>
      </c>
      <c r="M1448" t="s">
        <v>1335</v>
      </c>
      <c r="N1448" t="s">
        <v>278</v>
      </c>
      <c r="O1448" s="27" t="str">
        <f>HYPERLINK("https://www.ncbi.nlm.nih.gov/nuccore/NZ_JOID01000002.1?report=graph&amp;from=190938&amp;to=190942", "TTA_codon")</f>
        <v>TTA_codon</v>
      </c>
    </row>
    <row r="1449" spans="1:15" x14ac:dyDescent="0.15">
      <c r="A1449" t="s">
        <v>21</v>
      </c>
      <c r="B1449">
        <v>1001101</v>
      </c>
      <c r="C1449">
        <v>361368</v>
      </c>
      <c r="F1449" s="7">
        <v>1</v>
      </c>
      <c r="G1449" s="7">
        <v>226</v>
      </c>
      <c r="H1449" s="8">
        <v>223</v>
      </c>
      <c r="J1449" t="s">
        <v>23</v>
      </c>
      <c r="K1449" s="7">
        <v>1365</v>
      </c>
      <c r="L1449" s="9">
        <v>1</v>
      </c>
      <c r="M1449" t="s">
        <v>200</v>
      </c>
      <c r="N1449" t="s">
        <v>201</v>
      </c>
      <c r="O1449" s="27" t="str">
        <f>HYPERLINK("https://www.ncbi.nlm.nih.gov/nuccore/NZ_CP016559.1?report=graph&amp;from=3993484&amp;to=3993488", "TTA_codon")</f>
        <v>TTA_codon</v>
      </c>
    </row>
    <row r="1450" spans="1:15" x14ac:dyDescent="0.15">
      <c r="A1450" t="s">
        <v>21</v>
      </c>
      <c r="B1450">
        <v>1001101</v>
      </c>
      <c r="C1450">
        <v>362808</v>
      </c>
      <c r="F1450" s="7">
        <v>1</v>
      </c>
      <c r="G1450" s="7">
        <v>115</v>
      </c>
      <c r="H1450" s="8">
        <v>115</v>
      </c>
      <c r="J1450" t="s">
        <v>23</v>
      </c>
      <c r="K1450" s="7">
        <v>1377</v>
      </c>
      <c r="L1450" s="9">
        <v>1</v>
      </c>
      <c r="M1450" t="s">
        <v>1336</v>
      </c>
      <c r="N1450" t="s">
        <v>156</v>
      </c>
      <c r="O1450" s="27" t="str">
        <f>HYPERLINK("https://www.ncbi.nlm.nih.gov/nuccore/NZ_LJGW01000107.1?report=graph&amp;from=40333&amp;to=40337", "TTA_codon")</f>
        <v>TTA_codon</v>
      </c>
    </row>
    <row r="1451" spans="1:15" x14ac:dyDescent="0.15">
      <c r="A1451" t="s">
        <v>21</v>
      </c>
      <c r="B1451" t="s">
        <v>1337</v>
      </c>
    </row>
    <row r="1452" spans="1:15" x14ac:dyDescent="0.15">
      <c r="A1452" t="s">
        <v>21</v>
      </c>
      <c r="B1452">
        <v>1000525</v>
      </c>
      <c r="C1452">
        <v>349570</v>
      </c>
      <c r="F1452" s="7">
        <v>1</v>
      </c>
      <c r="G1452" s="7">
        <v>157</v>
      </c>
      <c r="H1452" s="8">
        <v>106</v>
      </c>
      <c r="J1452" t="s">
        <v>23</v>
      </c>
      <c r="K1452" s="7">
        <v>1548</v>
      </c>
      <c r="L1452" s="9">
        <v>-1</v>
      </c>
      <c r="M1452" t="s">
        <v>485</v>
      </c>
      <c r="N1452" t="s">
        <v>64</v>
      </c>
      <c r="O1452" s="27" t="str">
        <f>HYPERLINK("https://www.ncbi.nlm.nih.gov/nuccore/NZ_AEYX01000002.1?report=graph&amp;from=90032&amp;to=90036", "TTA_codon")</f>
        <v>TTA_codon</v>
      </c>
    </row>
    <row r="1453" spans="1:15" x14ac:dyDescent="0.15">
      <c r="A1453" t="s">
        <v>21</v>
      </c>
      <c r="B1453">
        <v>1000525</v>
      </c>
      <c r="C1453">
        <v>354718</v>
      </c>
      <c r="F1453" s="7">
        <v>1</v>
      </c>
      <c r="G1453" s="7">
        <v>118</v>
      </c>
      <c r="H1453" s="8">
        <v>118</v>
      </c>
      <c r="J1453" t="s">
        <v>23</v>
      </c>
      <c r="K1453" s="7">
        <v>1605</v>
      </c>
      <c r="L1453" s="9">
        <v>-1</v>
      </c>
      <c r="M1453" t="s">
        <v>1338</v>
      </c>
      <c r="N1453" t="s">
        <v>272</v>
      </c>
      <c r="O1453" s="27" t="str">
        <f>HYPERLINK("https://www.ncbi.nlm.nih.gov/nuccore/NZ_JOEY01000013.1?report=graph&amp;from=43470&amp;to=43474", "TTA_codon")</f>
        <v>TTA_codon</v>
      </c>
    </row>
    <row r="1454" spans="1:15" x14ac:dyDescent="0.15">
      <c r="A1454" t="s">
        <v>21</v>
      </c>
      <c r="B1454" t="s">
        <v>1339</v>
      </c>
    </row>
    <row r="1455" spans="1:15" x14ac:dyDescent="0.15">
      <c r="A1455" t="s">
        <v>21</v>
      </c>
      <c r="B1455">
        <v>1001407</v>
      </c>
      <c r="C1455">
        <v>349195</v>
      </c>
      <c r="F1455" s="7">
        <v>2</v>
      </c>
      <c r="G1455" s="7" t="s">
        <v>1340</v>
      </c>
      <c r="H1455" s="8" t="s">
        <v>1341</v>
      </c>
      <c r="J1455" t="s">
        <v>23</v>
      </c>
      <c r="K1455" s="7">
        <v>4200</v>
      </c>
      <c r="L1455" s="9">
        <v>1</v>
      </c>
      <c r="M1455" t="s">
        <v>211</v>
      </c>
      <c r="N1455" t="s">
        <v>212</v>
      </c>
      <c r="O1455" s="27" t="str">
        <f>HYPERLINK("https://www.ncbi.nlm.nih.gov/nuccore/NZ_GG657754.1?report=graph&amp;from=1892729&amp;to=1893300", "TTA_codon")</f>
        <v>TTA_codon</v>
      </c>
    </row>
    <row r="1456" spans="1:15" x14ac:dyDescent="0.15">
      <c r="A1456" t="s">
        <v>21</v>
      </c>
      <c r="B1456">
        <v>1001407</v>
      </c>
      <c r="C1456">
        <v>362131</v>
      </c>
      <c r="F1456" s="7">
        <v>1</v>
      </c>
      <c r="G1456" s="7">
        <v>469</v>
      </c>
      <c r="H1456" s="8">
        <v>370</v>
      </c>
      <c r="J1456" t="s">
        <v>23</v>
      </c>
      <c r="K1456" s="7">
        <v>3717</v>
      </c>
      <c r="L1456" s="9">
        <v>1</v>
      </c>
      <c r="M1456" t="s">
        <v>1342</v>
      </c>
      <c r="N1456" t="s">
        <v>187</v>
      </c>
      <c r="O1456" s="27" t="str">
        <f>HYPERLINK("https://www.ncbi.nlm.nih.gov/nuccore/NZ_MAXF01000223.1?report=graph&amp;from=1055&amp;to=1059", "TTA_codon")</f>
        <v>TTA_codon</v>
      </c>
    </row>
    <row r="1457" spans="1:15" x14ac:dyDescent="0.15">
      <c r="A1457" t="s">
        <v>21</v>
      </c>
      <c r="B1457" t="s">
        <v>1343</v>
      </c>
    </row>
    <row r="1458" spans="1:15" x14ac:dyDescent="0.15">
      <c r="A1458" t="s">
        <v>21</v>
      </c>
      <c r="B1458">
        <v>1000570</v>
      </c>
      <c r="C1458">
        <v>349977</v>
      </c>
      <c r="F1458" s="7">
        <v>1</v>
      </c>
      <c r="G1458" s="7">
        <v>601</v>
      </c>
      <c r="H1458" s="8">
        <v>601</v>
      </c>
      <c r="J1458" t="s">
        <v>23</v>
      </c>
      <c r="K1458" s="7">
        <v>1341</v>
      </c>
      <c r="L1458" s="9">
        <v>-1</v>
      </c>
      <c r="M1458" t="s">
        <v>1344</v>
      </c>
      <c r="N1458" t="s">
        <v>249</v>
      </c>
      <c r="O1458" s="27" t="str">
        <f>HYPERLINK("https://www.ncbi.nlm.nih.gov/nuccore/NZ_AHBF01000055.1?report=graph&amp;from=6757&amp;to=6761", "TTA_codon")</f>
        <v>TTA_codon</v>
      </c>
    </row>
    <row r="1459" spans="1:15" x14ac:dyDescent="0.15">
      <c r="A1459" t="s">
        <v>21</v>
      </c>
      <c r="B1459">
        <v>1000570</v>
      </c>
      <c r="C1459">
        <v>350271</v>
      </c>
      <c r="F1459" s="7">
        <v>1</v>
      </c>
      <c r="G1459" s="7">
        <v>601</v>
      </c>
      <c r="H1459" s="8">
        <v>601</v>
      </c>
      <c r="J1459" t="s">
        <v>23</v>
      </c>
      <c r="K1459" s="7">
        <v>1341</v>
      </c>
      <c r="L1459" s="9">
        <v>-1</v>
      </c>
      <c r="M1459" t="s">
        <v>35</v>
      </c>
      <c r="N1459" t="s">
        <v>36</v>
      </c>
      <c r="O1459" s="27" t="str">
        <f>HYPERLINK("https://www.ncbi.nlm.nih.gov/nuccore/NZ_JH725387.1?report=graph&amp;from=2014027&amp;to=2014031", "TTA_codon")</f>
        <v>TTA_codon</v>
      </c>
    </row>
    <row r="1460" spans="1:15" x14ac:dyDescent="0.15">
      <c r="A1460" t="s">
        <v>21</v>
      </c>
      <c r="B1460">
        <v>1000570</v>
      </c>
      <c r="C1460">
        <v>351790</v>
      </c>
      <c r="F1460" s="7">
        <v>1</v>
      </c>
      <c r="G1460" s="7">
        <v>601</v>
      </c>
      <c r="H1460" s="8">
        <v>601</v>
      </c>
      <c r="J1460" t="s">
        <v>23</v>
      </c>
      <c r="K1460" s="7">
        <v>1341</v>
      </c>
      <c r="L1460" s="9">
        <v>-1</v>
      </c>
      <c r="M1460" t="s">
        <v>1345</v>
      </c>
      <c r="N1460" t="s">
        <v>68</v>
      </c>
      <c r="O1460" s="27" t="str">
        <f>HYPERLINK("https://www.ncbi.nlm.nih.gov/nuccore/NZ_BARG01000055.1?report=graph&amp;from=65355&amp;to=65359", "TTA_codon")</f>
        <v>TTA_codon</v>
      </c>
    </row>
    <row r="1461" spans="1:15" x14ac:dyDescent="0.15">
      <c r="A1461" t="s">
        <v>21</v>
      </c>
      <c r="B1461">
        <v>1000570</v>
      </c>
      <c r="C1461">
        <v>356370</v>
      </c>
      <c r="F1461" s="7">
        <v>1</v>
      </c>
      <c r="G1461" s="7">
        <v>601</v>
      </c>
      <c r="H1461" s="8">
        <v>601</v>
      </c>
      <c r="J1461" t="s">
        <v>23</v>
      </c>
      <c r="K1461" s="7">
        <v>1341</v>
      </c>
      <c r="L1461" s="9">
        <v>-1</v>
      </c>
      <c r="M1461" t="s">
        <v>504</v>
      </c>
      <c r="N1461" t="s">
        <v>354</v>
      </c>
      <c r="O1461" s="27" t="str">
        <f>HYPERLINK("https://www.ncbi.nlm.nih.gov/nuccore/NZ_JQJU01000001.1?report=graph&amp;from=678297&amp;to=678301", "TTA_codon")</f>
        <v>TTA_codon</v>
      </c>
    </row>
    <row r="1462" spans="1:15" x14ac:dyDescent="0.15">
      <c r="A1462" t="s">
        <v>21</v>
      </c>
      <c r="B1462">
        <v>1000570</v>
      </c>
      <c r="C1462">
        <v>357950</v>
      </c>
      <c r="F1462" s="7">
        <v>1</v>
      </c>
      <c r="G1462" s="7">
        <v>601</v>
      </c>
      <c r="H1462" s="8">
        <v>601</v>
      </c>
      <c r="J1462" t="s">
        <v>23</v>
      </c>
      <c r="K1462" s="7">
        <v>1341</v>
      </c>
      <c r="L1462" s="9">
        <v>-1</v>
      </c>
      <c r="M1462" t="s">
        <v>261</v>
      </c>
      <c r="N1462" t="s">
        <v>262</v>
      </c>
      <c r="O1462" s="27" t="str">
        <f>HYPERLINK("https://www.ncbi.nlm.nih.gov/nuccore/NZ_CP011340.1?report=graph&amp;from=3312602&amp;to=3312606", "TTA_codon")</f>
        <v>TTA_codon</v>
      </c>
    </row>
    <row r="1463" spans="1:15" x14ac:dyDescent="0.15">
      <c r="A1463" t="s">
        <v>21</v>
      </c>
      <c r="B1463">
        <v>1000570</v>
      </c>
      <c r="C1463">
        <v>361943</v>
      </c>
      <c r="F1463" s="7">
        <v>1</v>
      </c>
      <c r="G1463" s="7">
        <v>601</v>
      </c>
      <c r="H1463" s="8">
        <v>601</v>
      </c>
      <c r="J1463" t="s">
        <v>23</v>
      </c>
      <c r="K1463" s="7">
        <v>1341</v>
      </c>
      <c r="L1463" s="9">
        <v>-1</v>
      </c>
      <c r="M1463" t="s">
        <v>1263</v>
      </c>
      <c r="N1463" t="s">
        <v>187</v>
      </c>
      <c r="O1463" s="27" t="str">
        <f>HYPERLINK("https://www.ncbi.nlm.nih.gov/nuccore/NZ_MAXF01000095.1?report=graph&amp;from=184297&amp;to=184301", "TTA_codon")</f>
        <v>TTA_codon</v>
      </c>
    </row>
    <row r="1464" spans="1:15" x14ac:dyDescent="0.15">
      <c r="A1464" t="s">
        <v>21</v>
      </c>
      <c r="B1464">
        <v>1000570</v>
      </c>
      <c r="C1464">
        <v>364306</v>
      </c>
      <c r="F1464" s="7">
        <v>1</v>
      </c>
      <c r="G1464" s="7">
        <v>601</v>
      </c>
      <c r="H1464" s="8">
        <v>601</v>
      </c>
      <c r="J1464" t="s">
        <v>23</v>
      </c>
      <c r="K1464" s="7">
        <v>1341</v>
      </c>
      <c r="L1464" s="9">
        <v>-1</v>
      </c>
      <c r="M1464" t="s">
        <v>105</v>
      </c>
      <c r="N1464" t="s">
        <v>106</v>
      </c>
      <c r="O1464" s="27" t="str">
        <f>HYPERLINK("https://www.ncbi.nlm.nih.gov/nuccore/NZ_CP020042.1?report=graph&amp;from=2258856&amp;to=2258860", "TTA_codon")</f>
        <v>TTA_codon</v>
      </c>
    </row>
    <row r="1465" spans="1:15" x14ac:dyDescent="0.15">
      <c r="A1465" t="s">
        <v>21</v>
      </c>
      <c r="B1465" t="s">
        <v>1346</v>
      </c>
    </row>
    <row r="1466" spans="1:15" x14ac:dyDescent="0.15">
      <c r="A1466" t="s">
        <v>21</v>
      </c>
      <c r="B1466">
        <v>1001028</v>
      </c>
      <c r="C1466">
        <v>354598</v>
      </c>
      <c r="F1466" s="7">
        <v>2</v>
      </c>
      <c r="G1466" s="7" t="s">
        <v>1347</v>
      </c>
      <c r="H1466" s="8" t="s">
        <v>1347</v>
      </c>
      <c r="J1466" t="s">
        <v>23</v>
      </c>
      <c r="K1466" s="7">
        <v>909</v>
      </c>
      <c r="L1466" s="9">
        <v>-1</v>
      </c>
      <c r="M1466" t="s">
        <v>1348</v>
      </c>
      <c r="N1466" t="s">
        <v>272</v>
      </c>
      <c r="O1466" s="27" t="str">
        <f>HYPERLINK("https://www.ncbi.nlm.nih.gov/nuccore/NZ_JOEY01000086.1?report=graph&amp;from=23377&amp;to=23399", "TTA_codon")</f>
        <v>TTA_codon</v>
      </c>
    </row>
    <row r="1467" spans="1:15" x14ac:dyDescent="0.15">
      <c r="A1467" t="s">
        <v>21</v>
      </c>
      <c r="B1467">
        <v>1001028</v>
      </c>
      <c r="C1467">
        <v>354697</v>
      </c>
      <c r="F1467" s="7">
        <v>3</v>
      </c>
      <c r="G1467" s="7" t="s">
        <v>1349</v>
      </c>
      <c r="H1467" s="8" t="s">
        <v>1350</v>
      </c>
      <c r="J1467" t="s">
        <v>23</v>
      </c>
      <c r="K1467" s="7">
        <v>327</v>
      </c>
      <c r="L1467" s="9">
        <v>-1</v>
      </c>
      <c r="M1467" t="s">
        <v>1348</v>
      </c>
      <c r="N1467" t="s">
        <v>272</v>
      </c>
      <c r="O1467" s="27" t="str">
        <f>HYPERLINK("https://www.ncbi.nlm.nih.gov/nuccore/NZ_JOEY01000086.1?report=graph&amp;from=32898&amp;to=33154", "TTA_codon")</f>
        <v>TTA_codon</v>
      </c>
    </row>
    <row r="1468" spans="1:15" x14ac:dyDescent="0.15">
      <c r="A1468" t="s">
        <v>21</v>
      </c>
      <c r="B1468" t="s">
        <v>1351</v>
      </c>
    </row>
    <row r="1469" spans="1:15" x14ac:dyDescent="0.15">
      <c r="A1469" t="s">
        <v>21</v>
      </c>
      <c r="B1469">
        <v>1000669</v>
      </c>
      <c r="C1469">
        <v>350737</v>
      </c>
      <c r="F1469" s="7">
        <v>1</v>
      </c>
      <c r="G1469" s="7">
        <v>352</v>
      </c>
      <c r="H1469" s="8">
        <v>352</v>
      </c>
      <c r="J1469" t="s">
        <v>23</v>
      </c>
      <c r="K1469" s="7">
        <v>927</v>
      </c>
      <c r="L1469" s="9">
        <v>1</v>
      </c>
      <c r="M1469" t="s">
        <v>1352</v>
      </c>
      <c r="N1469" t="s">
        <v>51</v>
      </c>
      <c r="O1469" s="27" t="str">
        <f>HYPERLINK("https://www.ncbi.nlm.nih.gov/nuccore/NZ_AEJB01000508.1?report=graph&amp;from=33325&amp;to=33329", "TTA_codon")</f>
        <v>TTA_codon</v>
      </c>
    </row>
    <row r="1470" spans="1:15" x14ac:dyDescent="0.15">
      <c r="A1470" t="s">
        <v>21</v>
      </c>
      <c r="B1470">
        <v>1000669</v>
      </c>
      <c r="C1470">
        <v>360358</v>
      </c>
      <c r="F1470" s="7">
        <v>1</v>
      </c>
      <c r="G1470" s="7">
        <v>352</v>
      </c>
      <c r="H1470" s="8">
        <v>343</v>
      </c>
      <c r="J1470" t="s">
        <v>23</v>
      </c>
      <c r="K1470" s="7">
        <v>918</v>
      </c>
      <c r="L1470" s="9">
        <v>1</v>
      </c>
      <c r="M1470" t="s">
        <v>121</v>
      </c>
      <c r="N1470" t="s">
        <v>122</v>
      </c>
      <c r="O1470" s="27" t="str">
        <f>HYPERLINK("https://www.ncbi.nlm.nih.gov/nuccore/NZ_CP016279.1?report=graph&amp;from=2836576&amp;to=2836580", "TTA_codon")</f>
        <v>TTA_codon</v>
      </c>
    </row>
    <row r="1471" spans="1:15" x14ac:dyDescent="0.15">
      <c r="A1471" t="s">
        <v>195</v>
      </c>
      <c r="B1471" t="s">
        <v>1353</v>
      </c>
    </row>
    <row r="1472" spans="1:15" x14ac:dyDescent="0.15">
      <c r="A1472" t="s">
        <v>195</v>
      </c>
      <c r="B1472">
        <v>1000028</v>
      </c>
      <c r="C1472">
        <v>346144</v>
      </c>
      <c r="F1472" s="7">
        <v>1</v>
      </c>
      <c r="G1472" s="7">
        <v>592</v>
      </c>
      <c r="H1472" s="8">
        <v>556</v>
      </c>
      <c r="J1472" t="s">
        <v>23</v>
      </c>
      <c r="K1472" s="7">
        <v>1962</v>
      </c>
      <c r="L1472" s="9">
        <v>-1</v>
      </c>
      <c r="M1472" t="s">
        <v>1354</v>
      </c>
      <c r="N1472" t="s">
        <v>249</v>
      </c>
      <c r="O1472" s="27" t="str">
        <f>HYPERLINK("https://www.ncbi.nlm.nih.gov/nuccore/NZ_AHBF01000006.1?report=graph&amp;from=118400&amp;to=118404", "TTA_codon")</f>
        <v>TTA_codon</v>
      </c>
    </row>
    <row r="1473" spans="1:15" x14ac:dyDescent="0.15">
      <c r="A1473" t="s">
        <v>21</v>
      </c>
      <c r="B1473">
        <v>1000028</v>
      </c>
      <c r="C1473">
        <v>365180</v>
      </c>
      <c r="F1473" s="7">
        <v>2</v>
      </c>
      <c r="G1473" s="7" t="s">
        <v>1355</v>
      </c>
      <c r="H1473" s="8" t="s">
        <v>1356</v>
      </c>
      <c r="J1473" t="s">
        <v>23</v>
      </c>
      <c r="K1473" s="7">
        <v>1938</v>
      </c>
      <c r="L1473" s="9">
        <v>-1</v>
      </c>
      <c r="M1473" t="s">
        <v>111</v>
      </c>
      <c r="N1473" t="s">
        <v>112</v>
      </c>
      <c r="O1473" s="27" t="str">
        <f>HYPERLINK("https://www.ncbi.nlm.nih.gov/nuccore/NZ_CP021744.1?report=graph&amp;from=1893719&amp;to=1893747", "TTA_codon")</f>
        <v>TTA_codon</v>
      </c>
    </row>
    <row r="1474" spans="1:15" x14ac:dyDescent="0.15">
      <c r="A1474" t="s">
        <v>21</v>
      </c>
      <c r="B1474" t="s">
        <v>1357</v>
      </c>
    </row>
    <row r="1475" spans="1:15" x14ac:dyDescent="0.15">
      <c r="A1475" t="s">
        <v>21</v>
      </c>
      <c r="B1475">
        <v>1000705</v>
      </c>
      <c r="C1475">
        <v>351042</v>
      </c>
      <c r="F1475" s="7">
        <v>1</v>
      </c>
      <c r="G1475" s="7">
        <v>154</v>
      </c>
      <c r="H1475" s="8">
        <v>154</v>
      </c>
      <c r="J1475" t="s">
        <v>23</v>
      </c>
      <c r="K1475" s="7">
        <v>1215</v>
      </c>
      <c r="L1475" s="9">
        <v>-1</v>
      </c>
      <c r="M1475" t="s">
        <v>1358</v>
      </c>
      <c r="N1475" t="s">
        <v>136</v>
      </c>
      <c r="O1475" s="27" t="str">
        <f>HYPERLINK("https://www.ncbi.nlm.nih.gov/nuccore/NZ_AORZ01000057.1?report=graph&amp;from=30740&amp;to=30744", "TTA_codon")</f>
        <v>TTA_codon</v>
      </c>
    </row>
    <row r="1476" spans="1:15" x14ac:dyDescent="0.15">
      <c r="A1476" t="s">
        <v>21</v>
      </c>
      <c r="B1476">
        <v>1000705</v>
      </c>
      <c r="C1476">
        <v>352899</v>
      </c>
      <c r="F1476" s="7">
        <v>1</v>
      </c>
      <c r="G1476" s="7">
        <v>268</v>
      </c>
      <c r="H1476" s="8">
        <v>163</v>
      </c>
      <c r="J1476" t="s">
        <v>23</v>
      </c>
      <c r="K1476" s="7">
        <v>1125</v>
      </c>
      <c r="L1476" s="9">
        <v>-1</v>
      </c>
      <c r="M1476" t="s">
        <v>1359</v>
      </c>
      <c r="N1476" t="s">
        <v>306</v>
      </c>
      <c r="O1476" s="27" t="str">
        <f>HYPERLINK("https://www.ncbi.nlm.nih.gov/nuccore/NZ_KL571077.1?report=graph&amp;from=162831&amp;to=162835", "TTA_codon")</f>
        <v>TTA_codon</v>
      </c>
    </row>
    <row r="1477" spans="1:15" x14ac:dyDescent="0.15">
      <c r="A1477" t="s">
        <v>21</v>
      </c>
      <c r="B1477" t="s">
        <v>1360</v>
      </c>
    </row>
    <row r="1478" spans="1:15" x14ac:dyDescent="0.15">
      <c r="A1478" t="s">
        <v>21</v>
      </c>
      <c r="B1478">
        <v>1001526</v>
      </c>
      <c r="C1478">
        <v>354814</v>
      </c>
      <c r="F1478" s="7">
        <v>2</v>
      </c>
      <c r="G1478" s="7" t="s">
        <v>1361</v>
      </c>
      <c r="H1478" s="8" t="s">
        <v>1362</v>
      </c>
      <c r="J1478" t="s">
        <v>23</v>
      </c>
      <c r="K1478" s="7">
        <v>1329</v>
      </c>
      <c r="L1478" s="9">
        <v>1</v>
      </c>
      <c r="M1478" t="s">
        <v>1363</v>
      </c>
      <c r="N1478" t="s">
        <v>25</v>
      </c>
      <c r="O1478" s="27" t="str">
        <f>HYPERLINK("https://www.ncbi.nlm.nih.gov/nuccore/NZ_JOFU01000025.1?report=graph&amp;from=51892&amp;to=52193", "TTA_codon")</f>
        <v>TTA_codon</v>
      </c>
    </row>
    <row r="1479" spans="1:15" x14ac:dyDescent="0.15">
      <c r="A1479" t="s">
        <v>21</v>
      </c>
      <c r="B1479">
        <v>1001526</v>
      </c>
      <c r="C1479">
        <v>366540</v>
      </c>
      <c r="F1479" s="7">
        <v>2</v>
      </c>
      <c r="G1479" s="7" t="s">
        <v>1364</v>
      </c>
      <c r="H1479" s="8" t="s">
        <v>1365</v>
      </c>
      <c r="J1479" t="s">
        <v>23</v>
      </c>
      <c r="K1479" s="7">
        <v>1329</v>
      </c>
      <c r="L1479" s="9">
        <v>1</v>
      </c>
      <c r="M1479" t="s">
        <v>1366</v>
      </c>
      <c r="N1479" t="s">
        <v>180</v>
      </c>
      <c r="O1479" s="27" t="str">
        <f>HYPERLINK("https://www.ncbi.nlm.nih.gov/nuccore/NZ_FRBI01000047.1?report=graph&amp;from=19823&amp;to=20337", "TTA_codon")</f>
        <v>TTA_codon</v>
      </c>
    </row>
    <row r="1480" spans="1:15" x14ac:dyDescent="0.15">
      <c r="A1480" t="s">
        <v>21</v>
      </c>
      <c r="B1480">
        <v>1001526</v>
      </c>
      <c r="C1480">
        <v>366761</v>
      </c>
      <c r="F1480" s="7">
        <v>1</v>
      </c>
      <c r="G1480" s="7">
        <v>259</v>
      </c>
      <c r="H1480" s="8">
        <v>259</v>
      </c>
      <c r="J1480" t="s">
        <v>23</v>
      </c>
      <c r="K1480" s="7">
        <v>1332</v>
      </c>
      <c r="L1480" s="9">
        <v>1</v>
      </c>
      <c r="M1480" t="s">
        <v>1367</v>
      </c>
      <c r="N1480" t="s">
        <v>209</v>
      </c>
      <c r="O1480" s="27" t="str">
        <f>HYPERLINK("https://www.ncbi.nlm.nih.gov/nuccore/NZ_FZOF01000004.1?report=graph&amp;from=393459&amp;to=393463", "TTA_codon")</f>
        <v>TTA_codon</v>
      </c>
    </row>
    <row r="1481" spans="1:15" x14ac:dyDescent="0.15">
      <c r="A1481" t="s">
        <v>21</v>
      </c>
      <c r="B1481" t="s">
        <v>1368</v>
      </c>
    </row>
    <row r="1482" spans="1:15" x14ac:dyDescent="0.15">
      <c r="A1482" t="s">
        <v>21</v>
      </c>
      <c r="B1482">
        <v>1000397</v>
      </c>
      <c r="C1482">
        <v>348479</v>
      </c>
      <c r="F1482" s="7">
        <v>1</v>
      </c>
      <c r="G1482" s="7">
        <v>271</v>
      </c>
      <c r="H1482" s="8">
        <v>265</v>
      </c>
      <c r="J1482" t="s">
        <v>23</v>
      </c>
      <c r="K1482" s="7">
        <v>360</v>
      </c>
      <c r="L1482" s="9">
        <v>-1</v>
      </c>
      <c r="M1482" t="s">
        <v>61</v>
      </c>
      <c r="N1482" t="s">
        <v>62</v>
      </c>
      <c r="O1482" s="27" t="str">
        <f>HYPERLINK("https://www.ncbi.nlm.nih.gov/nuccore/NZ_DS999641.1?report=graph&amp;from=7286375&amp;to=7286379", "TTA_codon")</f>
        <v>TTA_codon</v>
      </c>
    </row>
    <row r="1483" spans="1:15" x14ac:dyDescent="0.15">
      <c r="A1483" t="s">
        <v>21</v>
      </c>
      <c r="B1483">
        <v>1000397</v>
      </c>
      <c r="C1483">
        <v>349726</v>
      </c>
      <c r="F1483" s="7">
        <v>2</v>
      </c>
      <c r="G1483" s="7" t="s">
        <v>1369</v>
      </c>
      <c r="H1483" s="8" t="s">
        <v>1370</v>
      </c>
      <c r="J1483" t="s">
        <v>23</v>
      </c>
      <c r="K1483" s="7">
        <v>360</v>
      </c>
      <c r="L1483" s="9">
        <v>-1</v>
      </c>
      <c r="M1483" t="s">
        <v>420</v>
      </c>
      <c r="N1483" t="s">
        <v>266</v>
      </c>
      <c r="O1483" s="27" t="str">
        <f>HYPERLINK("https://www.ncbi.nlm.nih.gov/nuccore/NC_017585.1?report=graph&amp;from=1267730&amp;to=1267752", "TTA_codon")</f>
        <v>TTA_codon</v>
      </c>
    </row>
    <row r="1484" spans="1:15" x14ac:dyDescent="0.15">
      <c r="A1484" t="s">
        <v>21</v>
      </c>
      <c r="B1484">
        <v>1000397</v>
      </c>
      <c r="C1484">
        <v>350700</v>
      </c>
      <c r="F1484" s="7">
        <v>1</v>
      </c>
      <c r="G1484" s="7">
        <v>271</v>
      </c>
      <c r="H1484" s="8">
        <v>271</v>
      </c>
      <c r="J1484" t="s">
        <v>23</v>
      </c>
      <c r="K1484" s="7">
        <v>366</v>
      </c>
      <c r="L1484" s="9">
        <v>-1</v>
      </c>
      <c r="M1484" t="s">
        <v>1371</v>
      </c>
      <c r="N1484" t="s">
        <v>51</v>
      </c>
      <c r="O1484" s="27" t="str">
        <f>HYPERLINK("https://www.ncbi.nlm.nih.gov/nuccore/NZ_AEJB01000478.1?report=graph&amp;from=2070&amp;to=2074", "TTA_codon")</f>
        <v>TTA_codon</v>
      </c>
    </row>
    <row r="1485" spans="1:15" x14ac:dyDescent="0.15">
      <c r="A1485" t="s">
        <v>21</v>
      </c>
      <c r="B1485">
        <v>1000397</v>
      </c>
      <c r="C1485">
        <v>356988</v>
      </c>
      <c r="F1485" s="7">
        <v>1</v>
      </c>
      <c r="G1485" s="7">
        <v>271</v>
      </c>
      <c r="H1485" s="8">
        <v>265</v>
      </c>
      <c r="J1485" t="s">
        <v>23</v>
      </c>
      <c r="K1485" s="7">
        <v>360</v>
      </c>
      <c r="L1485" s="9">
        <v>-1</v>
      </c>
      <c r="M1485" t="s">
        <v>162</v>
      </c>
      <c r="N1485" t="s">
        <v>163</v>
      </c>
      <c r="O1485" s="27" t="str">
        <f>HYPERLINK("https://www.ncbi.nlm.nih.gov/nuccore/NZ_CP010519.1?report=graph&amp;from=5285522&amp;to=5285526", "TTA_codon")</f>
        <v>TTA_codon</v>
      </c>
    </row>
    <row r="1486" spans="1:15" x14ac:dyDescent="0.15">
      <c r="A1486" t="s">
        <v>21</v>
      </c>
      <c r="B1486">
        <v>1000397</v>
      </c>
      <c r="C1486">
        <v>359798</v>
      </c>
      <c r="F1486" s="7">
        <v>1</v>
      </c>
      <c r="G1486" s="7">
        <v>271</v>
      </c>
      <c r="H1486" s="8">
        <v>265</v>
      </c>
      <c r="J1486" t="s">
        <v>23</v>
      </c>
      <c r="K1486" s="7">
        <v>363</v>
      </c>
      <c r="L1486" s="9">
        <v>-1</v>
      </c>
      <c r="M1486" t="s">
        <v>675</v>
      </c>
      <c r="N1486" t="s">
        <v>91</v>
      </c>
      <c r="O1486" s="27" t="str">
        <f>HYPERLINK("https://www.ncbi.nlm.nih.gov/nuccore/NZ_KQ948306.1?report=graph&amp;from=419150&amp;to=419154", "TTA_codon")</f>
        <v>TTA_codon</v>
      </c>
    </row>
    <row r="1487" spans="1:15" x14ac:dyDescent="0.15">
      <c r="A1487" t="s">
        <v>21</v>
      </c>
      <c r="B1487">
        <v>1000397</v>
      </c>
      <c r="C1487">
        <v>361062</v>
      </c>
      <c r="F1487" s="7">
        <v>1</v>
      </c>
      <c r="G1487" s="7">
        <v>271</v>
      </c>
      <c r="H1487" s="8">
        <v>265</v>
      </c>
      <c r="J1487" t="s">
        <v>23</v>
      </c>
      <c r="K1487" s="7">
        <v>360</v>
      </c>
      <c r="L1487" s="9">
        <v>-1</v>
      </c>
      <c r="M1487" t="s">
        <v>98</v>
      </c>
      <c r="N1487" t="s">
        <v>99</v>
      </c>
      <c r="O1487" s="27" t="str">
        <f>HYPERLINK("https://www.ncbi.nlm.nih.gov/nuccore/NZ_CP016438.1?report=graph&amp;from=4238722&amp;to=4238726", "TTA_codon")</f>
        <v>TTA_codon</v>
      </c>
    </row>
    <row r="1488" spans="1:15" x14ac:dyDescent="0.15">
      <c r="A1488" t="s">
        <v>195</v>
      </c>
      <c r="B1488" t="s">
        <v>1372</v>
      </c>
    </row>
    <row r="1489" spans="1:15" x14ac:dyDescent="0.15">
      <c r="A1489" t="s">
        <v>195</v>
      </c>
      <c r="B1489">
        <v>1000597</v>
      </c>
      <c r="C1489">
        <v>347192</v>
      </c>
      <c r="F1489" s="7">
        <v>2</v>
      </c>
      <c r="G1489" s="7" t="s">
        <v>1373</v>
      </c>
      <c r="H1489" s="8" t="s">
        <v>1374</v>
      </c>
      <c r="J1489" t="s">
        <v>23</v>
      </c>
      <c r="K1489" s="7">
        <v>1446</v>
      </c>
      <c r="L1489" s="9">
        <v>-1</v>
      </c>
      <c r="M1489" t="s">
        <v>1375</v>
      </c>
      <c r="N1489" t="s">
        <v>180</v>
      </c>
      <c r="O1489" s="27" t="str">
        <f>HYPERLINK("https://www.ncbi.nlm.nih.gov/nuccore/NZ_FRBI01000010.1?report=graph&amp;from=153745&amp;to=154127", "TTA_codon")</f>
        <v>TTA_codon</v>
      </c>
    </row>
    <row r="1490" spans="1:15" x14ac:dyDescent="0.15">
      <c r="A1490" t="s">
        <v>21</v>
      </c>
      <c r="B1490">
        <v>1000597</v>
      </c>
      <c r="C1490">
        <v>350261</v>
      </c>
      <c r="F1490" s="7">
        <v>1</v>
      </c>
      <c r="G1490" s="7">
        <v>193</v>
      </c>
      <c r="H1490" s="8">
        <v>193</v>
      </c>
      <c r="J1490" t="s">
        <v>23</v>
      </c>
      <c r="K1490" s="7">
        <v>1404</v>
      </c>
      <c r="L1490" s="9">
        <v>-1</v>
      </c>
      <c r="M1490" t="s">
        <v>35</v>
      </c>
      <c r="N1490" t="s">
        <v>36</v>
      </c>
      <c r="O1490" s="27" t="str">
        <f>HYPERLINK("https://www.ncbi.nlm.nih.gov/nuccore/NZ_JH725387.1?report=graph&amp;from=1079015&amp;to=1079019", "TTA_codon")</f>
        <v>TTA_codon</v>
      </c>
    </row>
    <row r="1491" spans="1:15" x14ac:dyDescent="0.15">
      <c r="A1491" t="s">
        <v>21</v>
      </c>
      <c r="B1491" t="s">
        <v>1376</v>
      </c>
    </row>
    <row r="1492" spans="1:15" x14ac:dyDescent="0.15">
      <c r="A1492" t="s">
        <v>21</v>
      </c>
      <c r="B1492">
        <v>1000400</v>
      </c>
      <c r="C1492">
        <v>348488</v>
      </c>
      <c r="F1492" s="7">
        <v>1</v>
      </c>
      <c r="G1492" s="7">
        <v>169</v>
      </c>
      <c r="H1492" s="8">
        <v>169</v>
      </c>
      <c r="J1492" t="s">
        <v>23</v>
      </c>
      <c r="K1492" s="7">
        <v>1347</v>
      </c>
      <c r="L1492" s="9">
        <v>-1</v>
      </c>
      <c r="M1492" t="s">
        <v>61</v>
      </c>
      <c r="N1492" t="s">
        <v>62</v>
      </c>
      <c r="O1492" s="27" t="str">
        <f>HYPERLINK("https://www.ncbi.nlm.nih.gov/nuccore/NZ_DS999641.1?report=graph&amp;from=5775729&amp;to=5775733", "TTA_codon")</f>
        <v>TTA_codon</v>
      </c>
    </row>
    <row r="1493" spans="1:15" x14ac:dyDescent="0.15">
      <c r="A1493" t="s">
        <v>21</v>
      </c>
      <c r="B1493">
        <v>1000400</v>
      </c>
      <c r="C1493">
        <v>355371</v>
      </c>
      <c r="F1493" s="7">
        <v>1</v>
      </c>
      <c r="G1493" s="7">
        <v>172</v>
      </c>
      <c r="H1493" s="8">
        <v>142</v>
      </c>
      <c r="J1493" t="s">
        <v>23</v>
      </c>
      <c r="K1493" s="7">
        <v>1326</v>
      </c>
      <c r="L1493" s="9">
        <v>-1</v>
      </c>
      <c r="M1493" t="s">
        <v>573</v>
      </c>
      <c r="N1493" t="s">
        <v>198</v>
      </c>
      <c r="O1493" s="27" t="str">
        <f>HYPERLINK("https://www.ncbi.nlm.nih.gov/nuccore/NZ_JOFL01000002.1?report=graph&amp;from=266459&amp;to=266463", "TTA_codon")</f>
        <v>TTA_codon</v>
      </c>
    </row>
    <row r="1494" spans="1:15" x14ac:dyDescent="0.15">
      <c r="A1494" t="s">
        <v>21</v>
      </c>
      <c r="B1494" t="s">
        <v>1377</v>
      </c>
    </row>
    <row r="1495" spans="1:15" x14ac:dyDescent="0.15">
      <c r="A1495" t="s">
        <v>21</v>
      </c>
      <c r="B1495">
        <v>1000658</v>
      </c>
      <c r="C1495">
        <v>350674</v>
      </c>
      <c r="F1495" s="7">
        <v>1</v>
      </c>
      <c r="G1495" s="7">
        <v>73</v>
      </c>
      <c r="H1495" s="8">
        <v>73</v>
      </c>
      <c r="J1495" t="s">
        <v>23</v>
      </c>
      <c r="K1495" s="7">
        <v>861</v>
      </c>
      <c r="L1495" s="9">
        <v>-1</v>
      </c>
      <c r="M1495" t="s">
        <v>1378</v>
      </c>
      <c r="N1495" t="s">
        <v>134</v>
      </c>
      <c r="O1495" s="27" t="str">
        <f>HYPERLINK("https://www.ncbi.nlm.nih.gov/nuccore/NZ_AJSZ01000353.1?report=graph&amp;from=13251&amp;to=13255", "TTA_codon")</f>
        <v>TTA_codon</v>
      </c>
    </row>
    <row r="1496" spans="1:15" x14ac:dyDescent="0.15">
      <c r="A1496" t="s">
        <v>21</v>
      </c>
      <c r="B1496">
        <v>1000658</v>
      </c>
      <c r="C1496">
        <v>356587</v>
      </c>
      <c r="F1496" s="7">
        <v>1</v>
      </c>
      <c r="G1496" s="7">
        <v>217</v>
      </c>
      <c r="H1496" s="8">
        <v>214</v>
      </c>
      <c r="J1496" t="s">
        <v>23</v>
      </c>
      <c r="K1496" s="7">
        <v>1053</v>
      </c>
      <c r="L1496" s="9">
        <v>-1</v>
      </c>
      <c r="M1496" t="s">
        <v>508</v>
      </c>
      <c r="N1496" t="s">
        <v>509</v>
      </c>
      <c r="O1496" s="27" t="str">
        <f>HYPERLINK("https://www.ncbi.nlm.nih.gov/nuccore/NZ_CP009438.1?report=graph&amp;from=237148&amp;to=237152", "TTA_codon")</f>
        <v>TTA_codon</v>
      </c>
    </row>
    <row r="1497" spans="1:15" x14ac:dyDescent="0.15">
      <c r="A1497" t="s">
        <v>21</v>
      </c>
      <c r="B1497">
        <v>1000658</v>
      </c>
      <c r="C1497">
        <v>361755</v>
      </c>
      <c r="F1497" s="7">
        <v>2</v>
      </c>
      <c r="G1497" s="7" t="s">
        <v>1379</v>
      </c>
      <c r="H1497" s="8" t="s">
        <v>1380</v>
      </c>
      <c r="J1497" t="s">
        <v>23</v>
      </c>
      <c r="K1497" s="7">
        <v>861</v>
      </c>
      <c r="L1497" s="9">
        <v>-1</v>
      </c>
      <c r="M1497" t="s">
        <v>37</v>
      </c>
      <c r="N1497" t="s">
        <v>38</v>
      </c>
      <c r="O1497" s="27" t="str">
        <f>HYPERLINK("https://www.ncbi.nlm.nih.gov/nuccore/NZ_CP011533.1?report=graph&amp;from=2278174&amp;to=2278637", "TTA_codon")</f>
        <v>TTA_codon</v>
      </c>
    </row>
    <row r="1498" spans="1:15" x14ac:dyDescent="0.15">
      <c r="A1498" t="s">
        <v>21</v>
      </c>
      <c r="B1498" t="s">
        <v>1381</v>
      </c>
    </row>
    <row r="1499" spans="1:15" x14ac:dyDescent="0.15">
      <c r="A1499" t="s">
        <v>21</v>
      </c>
      <c r="B1499">
        <v>1000514</v>
      </c>
      <c r="C1499">
        <v>349450</v>
      </c>
      <c r="F1499" s="7">
        <v>1</v>
      </c>
      <c r="G1499" s="7">
        <v>1180</v>
      </c>
      <c r="H1499" s="8">
        <v>1174</v>
      </c>
      <c r="J1499" t="s">
        <v>23</v>
      </c>
      <c r="K1499" s="7">
        <v>1248</v>
      </c>
      <c r="L1499" s="9">
        <v>-1</v>
      </c>
      <c r="M1499" t="s">
        <v>1382</v>
      </c>
      <c r="N1499" t="s">
        <v>64</v>
      </c>
      <c r="O1499" s="27" t="str">
        <f>HYPERLINK("https://www.ncbi.nlm.nih.gov/nuccore/NZ_AEYX01000039.1?report=graph&amp;from=369532&amp;to=369536", "TTA_codon")</f>
        <v>TTA_codon</v>
      </c>
    </row>
    <row r="1500" spans="1:15" x14ac:dyDescent="0.15">
      <c r="A1500" t="s">
        <v>21</v>
      </c>
      <c r="B1500">
        <v>1000514</v>
      </c>
      <c r="C1500">
        <v>355587</v>
      </c>
      <c r="F1500" s="7">
        <v>1</v>
      </c>
      <c r="G1500" s="7">
        <v>1039</v>
      </c>
      <c r="H1500" s="8">
        <v>1039</v>
      </c>
      <c r="J1500" t="s">
        <v>23</v>
      </c>
      <c r="K1500" s="7">
        <v>1254</v>
      </c>
      <c r="L1500" s="9">
        <v>-1</v>
      </c>
      <c r="M1500" t="s">
        <v>1383</v>
      </c>
      <c r="N1500" t="s">
        <v>278</v>
      </c>
      <c r="O1500" s="27" t="str">
        <f>HYPERLINK("https://www.ncbi.nlm.nih.gov/nuccore/NZ_JOID01000001.1?report=graph&amp;from=494703&amp;to=494707", "TTA_codon")</f>
        <v>TTA_codon</v>
      </c>
    </row>
    <row r="1501" spans="1:15" x14ac:dyDescent="0.15">
      <c r="A1501" t="s">
        <v>21</v>
      </c>
      <c r="B1501">
        <v>1000514</v>
      </c>
      <c r="C1501">
        <v>366753</v>
      </c>
      <c r="F1501" s="7">
        <v>1</v>
      </c>
      <c r="G1501" s="7">
        <v>1168</v>
      </c>
      <c r="H1501" s="8">
        <v>1165</v>
      </c>
      <c r="J1501" t="s">
        <v>23</v>
      </c>
      <c r="K1501" s="7">
        <v>1326</v>
      </c>
      <c r="L1501" s="9">
        <v>-1</v>
      </c>
      <c r="M1501" t="s">
        <v>1384</v>
      </c>
      <c r="N1501" t="s">
        <v>209</v>
      </c>
      <c r="O1501" s="27" t="str">
        <f>HYPERLINK("https://www.ncbi.nlm.nih.gov/nuccore/NZ_FZOF01000014.1?report=graph&amp;from=155129&amp;to=155133", "TTA_codon")</f>
        <v>TTA_codon</v>
      </c>
    </row>
    <row r="1502" spans="1:15" x14ac:dyDescent="0.15">
      <c r="A1502" t="s">
        <v>21</v>
      </c>
      <c r="B1502" t="s">
        <v>1385</v>
      </c>
    </row>
    <row r="1503" spans="1:15" x14ac:dyDescent="0.15">
      <c r="A1503" t="s">
        <v>21</v>
      </c>
      <c r="B1503">
        <v>1000703</v>
      </c>
      <c r="C1503">
        <v>351032</v>
      </c>
      <c r="F1503" s="7">
        <v>1</v>
      </c>
      <c r="G1503" s="7">
        <v>85</v>
      </c>
      <c r="H1503" s="8">
        <v>85</v>
      </c>
      <c r="J1503" t="s">
        <v>23</v>
      </c>
      <c r="K1503" s="7">
        <v>1113</v>
      </c>
      <c r="L1503" s="9">
        <v>-1</v>
      </c>
      <c r="M1503" t="s">
        <v>1386</v>
      </c>
      <c r="N1503" t="s">
        <v>136</v>
      </c>
      <c r="O1503" s="27" t="str">
        <f>HYPERLINK("https://www.ncbi.nlm.nih.gov/nuccore/NZ_AORZ01000115.1?report=graph&amp;from=13070&amp;to=13074", "TTA_codon")</f>
        <v>TTA_codon</v>
      </c>
    </row>
    <row r="1504" spans="1:15" x14ac:dyDescent="0.15">
      <c r="A1504" t="s">
        <v>21</v>
      </c>
      <c r="B1504">
        <v>1000703</v>
      </c>
      <c r="C1504">
        <v>352084</v>
      </c>
      <c r="F1504" s="7">
        <v>1</v>
      </c>
      <c r="G1504" s="7">
        <v>481</v>
      </c>
      <c r="H1504" s="8">
        <v>469</v>
      </c>
      <c r="J1504" t="s">
        <v>23</v>
      </c>
      <c r="K1504" s="7">
        <v>990</v>
      </c>
      <c r="L1504" s="9">
        <v>-1</v>
      </c>
      <c r="M1504" t="s">
        <v>1387</v>
      </c>
      <c r="N1504" t="s">
        <v>70</v>
      </c>
      <c r="O1504" s="27" t="str">
        <f>HYPERLINK("https://www.ncbi.nlm.nih.gov/nuccore/NZ_KB904691.1?report=graph&amp;from=94504&amp;to=94508", "TTA_codon")</f>
        <v>TTA_codon</v>
      </c>
    </row>
    <row r="1505" spans="1:15" x14ac:dyDescent="0.15">
      <c r="A1505" t="s">
        <v>21</v>
      </c>
      <c r="B1505">
        <v>1000703</v>
      </c>
      <c r="C1505">
        <v>352757</v>
      </c>
      <c r="F1505" s="7">
        <v>1</v>
      </c>
      <c r="G1505" s="7">
        <v>349</v>
      </c>
      <c r="H1505" s="8">
        <v>337</v>
      </c>
      <c r="J1505" t="s">
        <v>23</v>
      </c>
      <c r="K1505" s="7">
        <v>939</v>
      </c>
      <c r="L1505" s="9">
        <v>-1</v>
      </c>
      <c r="M1505" t="s">
        <v>472</v>
      </c>
      <c r="N1505" t="s">
        <v>473</v>
      </c>
      <c r="O1505" s="27" t="str">
        <f>HYPERLINK("https://www.ncbi.nlm.nih.gov/nuccore/NZ_ASHX02000001.1?report=graph&amp;from=2012463&amp;to=2012467", "TTA_codon")</f>
        <v>TTA_codon</v>
      </c>
    </row>
    <row r="1506" spans="1:15" x14ac:dyDescent="0.15">
      <c r="A1506" t="s">
        <v>21</v>
      </c>
      <c r="B1506">
        <v>1000703</v>
      </c>
      <c r="C1506">
        <v>355885</v>
      </c>
      <c r="F1506" s="7">
        <v>2</v>
      </c>
      <c r="G1506" s="7" t="s">
        <v>1388</v>
      </c>
      <c r="H1506" s="8" t="s">
        <v>1389</v>
      </c>
      <c r="J1506" t="s">
        <v>23</v>
      </c>
      <c r="K1506" s="7">
        <v>921</v>
      </c>
      <c r="L1506" s="9">
        <v>-1</v>
      </c>
      <c r="M1506" t="s">
        <v>1390</v>
      </c>
      <c r="N1506" t="s">
        <v>384</v>
      </c>
      <c r="O1506" s="27" t="str">
        <f>HYPERLINK("https://www.ncbi.nlm.nih.gov/nuccore/NZ_JOAK01000005.1?report=graph&amp;from=309680&amp;to=310131", "TTA_codon")</f>
        <v>TTA_codon</v>
      </c>
    </row>
    <row r="1507" spans="1:15" x14ac:dyDescent="0.15">
      <c r="A1507" t="s">
        <v>21</v>
      </c>
      <c r="B1507">
        <v>1000703</v>
      </c>
      <c r="C1507">
        <v>357947</v>
      </c>
      <c r="F1507" s="7">
        <v>1</v>
      </c>
      <c r="G1507" s="7">
        <v>475</v>
      </c>
      <c r="H1507" s="8">
        <v>463</v>
      </c>
      <c r="J1507" t="s">
        <v>23</v>
      </c>
      <c r="K1507" s="7">
        <v>966</v>
      </c>
      <c r="L1507" s="9">
        <v>-1</v>
      </c>
      <c r="M1507" t="s">
        <v>261</v>
      </c>
      <c r="N1507" t="s">
        <v>262</v>
      </c>
      <c r="O1507" s="27" t="str">
        <f>HYPERLINK("https://www.ncbi.nlm.nih.gov/nuccore/NZ_CP011340.1?report=graph&amp;from=3116534&amp;to=3116538", "TTA_codon")</f>
        <v>TTA_codon</v>
      </c>
    </row>
    <row r="1508" spans="1:15" x14ac:dyDescent="0.15">
      <c r="A1508" t="s">
        <v>21</v>
      </c>
      <c r="B1508" t="s">
        <v>1391</v>
      </c>
    </row>
    <row r="1509" spans="1:15" x14ac:dyDescent="0.15">
      <c r="A1509" t="s">
        <v>21</v>
      </c>
      <c r="B1509">
        <v>1000376</v>
      </c>
      <c r="C1509">
        <v>348303</v>
      </c>
      <c r="F1509" s="7">
        <v>1</v>
      </c>
      <c r="G1509" s="7">
        <v>97</v>
      </c>
      <c r="H1509" s="8">
        <v>91</v>
      </c>
      <c r="J1509" t="s">
        <v>23</v>
      </c>
      <c r="K1509" s="7">
        <v>750</v>
      </c>
      <c r="L1509" s="9">
        <v>1</v>
      </c>
      <c r="M1509" t="s">
        <v>59</v>
      </c>
      <c r="N1509" t="s">
        <v>60</v>
      </c>
      <c r="O1509" s="27" t="str">
        <f>HYPERLINK("https://www.ncbi.nlm.nih.gov/nuccore/NC_016582.1?report=graph&amp;from=5797977&amp;to=5797981", "TTA_codon")</f>
        <v>TTA_codon</v>
      </c>
    </row>
    <row r="1510" spans="1:15" x14ac:dyDescent="0.15">
      <c r="A1510" t="s">
        <v>21</v>
      </c>
      <c r="B1510">
        <v>1000376</v>
      </c>
      <c r="C1510">
        <v>353011</v>
      </c>
      <c r="F1510" s="7">
        <v>1</v>
      </c>
      <c r="G1510" s="7">
        <v>100</v>
      </c>
      <c r="H1510" s="8">
        <v>94</v>
      </c>
      <c r="J1510" t="s">
        <v>23</v>
      </c>
      <c r="K1510" s="7">
        <v>753</v>
      </c>
      <c r="L1510" s="9">
        <v>1</v>
      </c>
      <c r="M1510" t="s">
        <v>1392</v>
      </c>
      <c r="N1510" t="s">
        <v>306</v>
      </c>
      <c r="O1510" s="27" t="str">
        <f>HYPERLINK("https://www.ncbi.nlm.nih.gov/nuccore/NZ_JNYL01000208.1?report=graph&amp;from=26179&amp;to=26183", "TTA_codon")</f>
        <v>TTA_codon</v>
      </c>
    </row>
    <row r="1511" spans="1:15" x14ac:dyDescent="0.15">
      <c r="A1511" t="s">
        <v>21</v>
      </c>
      <c r="B1511">
        <v>1000376</v>
      </c>
      <c r="C1511">
        <v>354131</v>
      </c>
      <c r="F1511" s="7">
        <v>1</v>
      </c>
      <c r="G1511" s="7">
        <v>100</v>
      </c>
      <c r="H1511" s="8">
        <v>100</v>
      </c>
      <c r="J1511" t="s">
        <v>23</v>
      </c>
      <c r="K1511" s="7">
        <v>756</v>
      </c>
      <c r="L1511" s="9">
        <v>1</v>
      </c>
      <c r="M1511" t="s">
        <v>1393</v>
      </c>
      <c r="N1511" t="s">
        <v>270</v>
      </c>
      <c r="O1511" s="27" t="str">
        <f>HYPERLINK("https://www.ncbi.nlm.nih.gov/nuccore/NZ_JOBH01000005.1?report=graph&amp;from=19800&amp;to=19804", "TTA_codon")</f>
        <v>TTA_codon</v>
      </c>
    </row>
    <row r="1512" spans="1:15" x14ac:dyDescent="0.15">
      <c r="A1512" t="s">
        <v>21</v>
      </c>
      <c r="B1512" t="s">
        <v>1394</v>
      </c>
    </row>
    <row r="1513" spans="1:15" x14ac:dyDescent="0.15">
      <c r="A1513" t="s">
        <v>21</v>
      </c>
      <c r="B1513">
        <v>1000268</v>
      </c>
      <c r="C1513">
        <v>347763</v>
      </c>
      <c r="F1513" s="7">
        <v>2</v>
      </c>
      <c r="G1513" s="7" t="s">
        <v>1395</v>
      </c>
      <c r="H1513" s="8" t="s">
        <v>1396</v>
      </c>
      <c r="J1513" t="s">
        <v>23</v>
      </c>
      <c r="K1513" s="7">
        <v>1491</v>
      </c>
      <c r="L1513" s="9">
        <v>-1</v>
      </c>
      <c r="M1513" t="s">
        <v>57</v>
      </c>
      <c r="N1513" t="s">
        <v>58</v>
      </c>
      <c r="O1513" s="27" t="str">
        <f>HYPERLINK("https://www.ncbi.nlm.nih.gov/nuccore/NC_013929.1?report=graph&amp;from=8580393&amp;to=8580430", "TTA_codon")</f>
        <v>TTA_codon</v>
      </c>
    </row>
    <row r="1514" spans="1:15" x14ac:dyDescent="0.15">
      <c r="A1514" t="s">
        <v>21</v>
      </c>
      <c r="B1514">
        <v>1000268</v>
      </c>
      <c r="C1514">
        <v>349310</v>
      </c>
      <c r="F1514" s="7">
        <v>1</v>
      </c>
      <c r="G1514" s="7">
        <v>394</v>
      </c>
      <c r="H1514" s="8">
        <v>364</v>
      </c>
      <c r="J1514" t="s">
        <v>23</v>
      </c>
      <c r="K1514" s="7">
        <v>1527</v>
      </c>
      <c r="L1514" s="9">
        <v>-1</v>
      </c>
      <c r="M1514" t="s">
        <v>458</v>
      </c>
      <c r="N1514" t="s">
        <v>315</v>
      </c>
      <c r="O1514" s="27" t="str">
        <f>HYPERLINK("https://www.ncbi.nlm.nih.gov/nuccore/NC_003888.3?report=graph&amp;from=3830218&amp;to=3830222", "TTA_codon")</f>
        <v>TTA_codon</v>
      </c>
    </row>
    <row r="1515" spans="1:15" x14ac:dyDescent="0.15">
      <c r="A1515" t="s">
        <v>21</v>
      </c>
      <c r="B1515">
        <v>1000268</v>
      </c>
      <c r="C1515">
        <v>351203</v>
      </c>
      <c r="F1515" s="7">
        <v>2</v>
      </c>
      <c r="G1515" s="7" t="s">
        <v>1397</v>
      </c>
      <c r="H1515" s="8" t="s">
        <v>1398</v>
      </c>
      <c r="J1515" t="s">
        <v>23</v>
      </c>
      <c r="K1515" s="7">
        <v>939</v>
      </c>
      <c r="L1515" s="9">
        <v>-1</v>
      </c>
      <c r="M1515" t="s">
        <v>65</v>
      </c>
      <c r="N1515" t="s">
        <v>66</v>
      </c>
      <c r="O1515" s="27" t="str">
        <f>HYPERLINK("https://www.ncbi.nlm.nih.gov/nuccore/NC_020504.1?report=graph&amp;from=84678&amp;to=85246", "TTA_codon")</f>
        <v>TTA_codon</v>
      </c>
    </row>
    <row r="1516" spans="1:15" x14ac:dyDescent="0.15">
      <c r="A1516" t="s">
        <v>21</v>
      </c>
      <c r="B1516">
        <v>1000268</v>
      </c>
      <c r="C1516">
        <v>351515</v>
      </c>
      <c r="F1516" s="7">
        <v>1</v>
      </c>
      <c r="G1516" s="7">
        <v>394</v>
      </c>
      <c r="H1516" s="8">
        <v>340</v>
      </c>
      <c r="J1516" t="s">
        <v>23</v>
      </c>
      <c r="K1516" s="7">
        <v>1503</v>
      </c>
      <c r="L1516" s="9">
        <v>-1</v>
      </c>
      <c r="M1516" t="s">
        <v>1399</v>
      </c>
      <c r="N1516" t="s">
        <v>138</v>
      </c>
      <c r="O1516" s="27" t="str">
        <f>HYPERLINK("https://www.ncbi.nlm.nih.gov/nuccore/NZ_KB889642.1?report=graph&amp;from=1412&amp;to=1416", "TTA_codon")</f>
        <v>TTA_codon</v>
      </c>
    </row>
    <row r="1517" spans="1:15" x14ac:dyDescent="0.15">
      <c r="A1517" t="s">
        <v>21</v>
      </c>
      <c r="B1517">
        <v>1000268</v>
      </c>
      <c r="C1517">
        <v>353185</v>
      </c>
      <c r="F1517" s="7">
        <v>1</v>
      </c>
      <c r="G1517" s="7">
        <v>418</v>
      </c>
      <c r="H1517" s="8">
        <v>379</v>
      </c>
      <c r="J1517" t="s">
        <v>23</v>
      </c>
      <c r="K1517" s="7">
        <v>1581</v>
      </c>
      <c r="L1517" s="9">
        <v>-1</v>
      </c>
      <c r="M1517" t="s">
        <v>1400</v>
      </c>
      <c r="N1517" t="s">
        <v>169</v>
      </c>
      <c r="O1517" s="27" t="str">
        <f>HYPERLINK("https://www.ncbi.nlm.nih.gov/nuccore/NZ_JNWJ01000093.1?report=graph&amp;from=3612&amp;to=3616", "TTA_codon")</f>
        <v>TTA_codon</v>
      </c>
    </row>
    <row r="1518" spans="1:15" x14ac:dyDescent="0.15">
      <c r="A1518" t="s">
        <v>21</v>
      </c>
      <c r="B1518">
        <v>1000268</v>
      </c>
      <c r="C1518">
        <v>354543</v>
      </c>
      <c r="F1518" s="7">
        <v>2</v>
      </c>
      <c r="G1518" s="7" t="s">
        <v>1401</v>
      </c>
      <c r="H1518" s="8" t="s">
        <v>1402</v>
      </c>
      <c r="J1518" t="s">
        <v>23</v>
      </c>
      <c r="K1518" s="7">
        <v>1596</v>
      </c>
      <c r="L1518" s="9">
        <v>-1</v>
      </c>
      <c r="M1518" t="s">
        <v>1403</v>
      </c>
      <c r="N1518" t="s">
        <v>272</v>
      </c>
      <c r="O1518" s="27" t="str">
        <f>HYPERLINK("https://www.ncbi.nlm.nih.gov/nuccore/NZ_JOEY01000108.1?report=graph&amp;from=11145&amp;to=11203", "TTA_codon")</f>
        <v>TTA_codon</v>
      </c>
    </row>
    <row r="1519" spans="1:15" x14ac:dyDescent="0.15">
      <c r="A1519" t="s">
        <v>21</v>
      </c>
      <c r="B1519">
        <v>1000268</v>
      </c>
      <c r="C1519">
        <v>356844</v>
      </c>
      <c r="F1519" s="7">
        <v>1</v>
      </c>
      <c r="G1519" s="7">
        <v>256</v>
      </c>
      <c r="H1519" s="8">
        <v>226</v>
      </c>
      <c r="J1519" t="s">
        <v>23</v>
      </c>
      <c r="K1519" s="7">
        <v>1581</v>
      </c>
      <c r="L1519" s="9">
        <v>-1</v>
      </c>
      <c r="M1519" t="s">
        <v>78</v>
      </c>
      <c r="N1519" t="s">
        <v>79</v>
      </c>
      <c r="O1519" s="27" t="str">
        <f>HYPERLINK("https://www.ncbi.nlm.nih.gov/nuccore/NZ_CP009313.1?report=graph&amp;from=7713070&amp;to=7713074", "TTA_codon")</f>
        <v>TTA_codon</v>
      </c>
    </row>
    <row r="1520" spans="1:15" x14ac:dyDescent="0.15">
      <c r="A1520" t="s">
        <v>21</v>
      </c>
      <c r="B1520">
        <v>1000268</v>
      </c>
      <c r="C1520">
        <v>358681</v>
      </c>
      <c r="F1520" s="7">
        <v>2</v>
      </c>
      <c r="G1520" s="7" t="s">
        <v>1404</v>
      </c>
      <c r="H1520" s="8" t="s">
        <v>1405</v>
      </c>
      <c r="J1520" t="s">
        <v>23</v>
      </c>
      <c r="K1520" s="7">
        <v>1524</v>
      </c>
      <c r="L1520" s="9">
        <v>-1</v>
      </c>
      <c r="M1520" t="s">
        <v>1406</v>
      </c>
      <c r="N1520" t="s">
        <v>757</v>
      </c>
      <c r="O1520" s="27" t="str">
        <f>HYPERLINK("https://www.ncbi.nlm.nih.gov/nuccore/NZ_LIQR01000152.1?report=graph&amp;from=21220&amp;to=21542", "TTA_codon")</f>
        <v>TTA_codon</v>
      </c>
    </row>
    <row r="1521" spans="1:15" x14ac:dyDescent="0.15">
      <c r="A1521" t="s">
        <v>21</v>
      </c>
      <c r="B1521">
        <v>1000268</v>
      </c>
      <c r="C1521">
        <v>359636</v>
      </c>
      <c r="F1521" s="7">
        <v>1</v>
      </c>
      <c r="G1521" s="7">
        <v>256</v>
      </c>
      <c r="H1521" s="8">
        <v>115</v>
      </c>
      <c r="J1521" t="s">
        <v>23</v>
      </c>
      <c r="K1521" s="7">
        <v>1470</v>
      </c>
      <c r="L1521" s="9">
        <v>-1</v>
      </c>
      <c r="M1521" t="s">
        <v>650</v>
      </c>
      <c r="N1521" t="s">
        <v>651</v>
      </c>
      <c r="O1521" s="27" t="str">
        <f>HYPERLINK("https://www.ncbi.nlm.nih.gov/nuccore/NZ_LN929838.1?report=graph&amp;from=144676&amp;to=144680", "TTA_codon")</f>
        <v>TTA_codon</v>
      </c>
    </row>
    <row r="1522" spans="1:15" x14ac:dyDescent="0.15">
      <c r="A1522" t="s">
        <v>21</v>
      </c>
      <c r="B1522">
        <v>1000268</v>
      </c>
      <c r="C1522">
        <v>360661</v>
      </c>
      <c r="F1522" s="7">
        <v>1</v>
      </c>
      <c r="G1522" s="7">
        <v>430</v>
      </c>
      <c r="H1522" s="8">
        <v>310</v>
      </c>
      <c r="J1522" t="s">
        <v>23</v>
      </c>
      <c r="K1522" s="7">
        <v>1521</v>
      </c>
      <c r="L1522" s="9">
        <v>-1</v>
      </c>
      <c r="M1522" t="s">
        <v>1407</v>
      </c>
      <c r="N1522" t="s">
        <v>95</v>
      </c>
      <c r="O1522" s="27" t="str">
        <f>HYPERLINK("https://www.ncbi.nlm.nih.gov/nuccore/NZ_JYIJ01000009.1?report=graph&amp;from=38265&amp;to=38269", "TTA_codon")</f>
        <v>TTA_codon</v>
      </c>
    </row>
    <row r="1523" spans="1:15" x14ac:dyDescent="0.15">
      <c r="A1523" t="s">
        <v>21</v>
      </c>
      <c r="B1523">
        <v>1000268</v>
      </c>
      <c r="C1523">
        <v>360662</v>
      </c>
      <c r="F1523" s="7">
        <v>1</v>
      </c>
      <c r="G1523" s="7">
        <v>430</v>
      </c>
      <c r="H1523" s="8">
        <v>310</v>
      </c>
      <c r="J1523" t="s">
        <v>23</v>
      </c>
      <c r="K1523" s="7">
        <v>1521</v>
      </c>
      <c r="L1523" s="9">
        <v>-1</v>
      </c>
      <c r="M1523" t="s">
        <v>1408</v>
      </c>
      <c r="N1523" t="s">
        <v>95</v>
      </c>
      <c r="O1523" s="27" t="str">
        <f>HYPERLINK("https://www.ncbi.nlm.nih.gov/nuccore/NZ_JYIJ01000002.1?report=graph&amp;from=1264&amp;to=1268", "TTA_codon")</f>
        <v>TTA_codon</v>
      </c>
    </row>
    <row r="1524" spans="1:15" x14ac:dyDescent="0.15">
      <c r="A1524" t="s">
        <v>21</v>
      </c>
      <c r="B1524">
        <v>1000268</v>
      </c>
      <c r="C1524">
        <v>360663</v>
      </c>
      <c r="F1524" s="7">
        <v>1</v>
      </c>
      <c r="G1524" s="7">
        <v>430</v>
      </c>
      <c r="H1524" s="8">
        <v>310</v>
      </c>
      <c r="J1524" t="s">
        <v>23</v>
      </c>
      <c r="K1524" s="7">
        <v>1521</v>
      </c>
      <c r="L1524" s="9">
        <v>-1</v>
      </c>
      <c r="M1524" t="s">
        <v>1409</v>
      </c>
      <c r="N1524" t="s">
        <v>95</v>
      </c>
      <c r="O1524" s="27" t="str">
        <f>HYPERLINK("https://www.ncbi.nlm.nih.gov/nuccore/NZ_JYIJ01000012.1?report=graph&amp;from=129151&amp;to=129155", "TTA_codon")</f>
        <v>TTA_codon</v>
      </c>
    </row>
    <row r="1525" spans="1:15" x14ac:dyDescent="0.15">
      <c r="A1525" t="s">
        <v>21</v>
      </c>
      <c r="B1525">
        <v>1000268</v>
      </c>
      <c r="C1525">
        <v>360665</v>
      </c>
      <c r="F1525" s="7">
        <v>1</v>
      </c>
      <c r="G1525" s="7">
        <v>430</v>
      </c>
      <c r="H1525" s="8">
        <v>310</v>
      </c>
      <c r="J1525" t="s">
        <v>23</v>
      </c>
      <c r="K1525" s="7">
        <v>1521</v>
      </c>
      <c r="L1525" s="9">
        <v>-1</v>
      </c>
      <c r="M1525" t="s">
        <v>310</v>
      </c>
      <c r="N1525" t="s">
        <v>95</v>
      </c>
      <c r="O1525" s="27" t="str">
        <f>HYPERLINK("https://www.ncbi.nlm.nih.gov/nuccore/NZ_JYIJ01000011.1?report=graph&amp;from=200021&amp;to=200025", "TTA_codon")</f>
        <v>TTA_codon</v>
      </c>
    </row>
    <row r="1526" spans="1:15" x14ac:dyDescent="0.15">
      <c r="A1526" t="s">
        <v>21</v>
      </c>
      <c r="B1526">
        <v>1000268</v>
      </c>
      <c r="C1526">
        <v>361574</v>
      </c>
      <c r="F1526" s="7">
        <v>1</v>
      </c>
      <c r="G1526" s="7">
        <v>394</v>
      </c>
      <c r="H1526" s="8">
        <v>349</v>
      </c>
      <c r="J1526" t="s">
        <v>23</v>
      </c>
      <c r="K1526" s="7">
        <v>1509</v>
      </c>
      <c r="L1526" s="9">
        <v>-1</v>
      </c>
      <c r="M1526" t="s">
        <v>37</v>
      </c>
      <c r="N1526" t="s">
        <v>38</v>
      </c>
      <c r="O1526" s="27" t="str">
        <f>HYPERLINK("https://www.ncbi.nlm.nih.gov/nuccore/NZ_CP011533.1?report=graph&amp;from=9549816&amp;to=9549820", "TTA_codon")</f>
        <v>TTA_codon</v>
      </c>
    </row>
    <row r="1527" spans="1:15" x14ac:dyDescent="0.15">
      <c r="A1527" t="s">
        <v>21</v>
      </c>
      <c r="B1527">
        <v>1000268</v>
      </c>
      <c r="C1527">
        <v>365327</v>
      </c>
      <c r="F1527" s="7">
        <v>1</v>
      </c>
      <c r="G1527" s="7">
        <v>394</v>
      </c>
      <c r="H1527" s="8">
        <v>364</v>
      </c>
      <c r="J1527" t="s">
        <v>23</v>
      </c>
      <c r="K1527" s="7">
        <v>1527</v>
      </c>
      <c r="L1527" s="9">
        <v>-1</v>
      </c>
      <c r="M1527" t="s">
        <v>1410</v>
      </c>
      <c r="N1527" t="s">
        <v>129</v>
      </c>
      <c r="O1527" s="27" t="str">
        <f>HYPERLINK("https://www.ncbi.nlm.nih.gov/nuccore/NZ_FNHI01000034.1?report=graph&amp;from=37443&amp;to=37447", "TTA_codon")</f>
        <v>TTA_codon</v>
      </c>
    </row>
    <row r="1528" spans="1:15" x14ac:dyDescent="0.15">
      <c r="A1528" t="s">
        <v>21</v>
      </c>
      <c r="B1528">
        <v>1000268</v>
      </c>
      <c r="C1528">
        <v>366551</v>
      </c>
      <c r="F1528" s="7">
        <v>1</v>
      </c>
      <c r="G1528" s="7">
        <v>394</v>
      </c>
      <c r="H1528" s="8">
        <v>331</v>
      </c>
      <c r="J1528" t="s">
        <v>23</v>
      </c>
      <c r="K1528" s="7">
        <v>1494</v>
      </c>
      <c r="L1528" s="9">
        <v>-1</v>
      </c>
      <c r="M1528" t="s">
        <v>1411</v>
      </c>
      <c r="N1528" t="s">
        <v>180</v>
      </c>
      <c r="O1528" s="27" t="str">
        <f>HYPERLINK("https://www.ncbi.nlm.nih.gov/nuccore/NZ_FRBI01000046.1?report=graph&amp;from=3813&amp;to=3817", "TTA_codon")</f>
        <v>TTA_codon</v>
      </c>
    </row>
    <row r="1529" spans="1:15" x14ac:dyDescent="0.15">
      <c r="A1529" t="s">
        <v>21</v>
      </c>
      <c r="B1529">
        <v>1000268</v>
      </c>
      <c r="C1529">
        <v>366552</v>
      </c>
      <c r="F1529" s="7">
        <v>1</v>
      </c>
      <c r="G1529" s="7">
        <v>190</v>
      </c>
      <c r="H1529" s="8">
        <v>70</v>
      </c>
      <c r="J1529" t="s">
        <v>23</v>
      </c>
      <c r="K1529" s="7">
        <v>1485</v>
      </c>
      <c r="L1529" s="9">
        <v>-1</v>
      </c>
      <c r="M1529" t="s">
        <v>1412</v>
      </c>
      <c r="N1529" t="s">
        <v>180</v>
      </c>
      <c r="O1529" s="27" t="str">
        <f>HYPERLINK("https://www.ncbi.nlm.nih.gov/nuccore/NZ_FRBI01000041.1?report=graph&amp;from=9153&amp;to=9157", "TTA_codon")</f>
        <v>TTA_codon</v>
      </c>
    </row>
    <row r="1530" spans="1:15" x14ac:dyDescent="0.15">
      <c r="A1530" t="s">
        <v>21</v>
      </c>
      <c r="B1530" t="s">
        <v>1413</v>
      </c>
    </row>
    <row r="1531" spans="1:15" x14ac:dyDescent="0.15">
      <c r="A1531" t="s">
        <v>21</v>
      </c>
      <c r="B1531">
        <v>1001182</v>
      </c>
      <c r="C1531">
        <v>356639</v>
      </c>
      <c r="F1531" s="7">
        <v>1</v>
      </c>
      <c r="G1531" s="7">
        <v>268</v>
      </c>
      <c r="H1531" s="8">
        <v>265</v>
      </c>
      <c r="J1531" t="s">
        <v>23</v>
      </c>
      <c r="K1531" s="7">
        <v>1476</v>
      </c>
      <c r="L1531" s="9">
        <v>-1</v>
      </c>
      <c r="M1531" t="s">
        <v>147</v>
      </c>
      <c r="N1531" t="s">
        <v>148</v>
      </c>
      <c r="O1531" s="27" t="str">
        <f>HYPERLINK("https://www.ncbi.nlm.nih.gov/nuccore/NZ_CP021080.1?report=graph&amp;from=6004910&amp;to=6004914", "TTA_codon")</f>
        <v>TTA_codon</v>
      </c>
    </row>
    <row r="1532" spans="1:15" x14ac:dyDescent="0.15">
      <c r="A1532" t="s">
        <v>21</v>
      </c>
      <c r="B1532">
        <v>1001182</v>
      </c>
      <c r="C1532">
        <v>358558</v>
      </c>
      <c r="F1532" s="7">
        <v>1</v>
      </c>
      <c r="G1532" s="7">
        <v>190</v>
      </c>
      <c r="H1532" s="8">
        <v>190</v>
      </c>
      <c r="J1532" t="s">
        <v>23</v>
      </c>
      <c r="K1532" s="7">
        <v>2382</v>
      </c>
      <c r="L1532" s="9">
        <v>-1</v>
      </c>
      <c r="M1532" t="s">
        <v>1414</v>
      </c>
      <c r="N1532" t="s">
        <v>299</v>
      </c>
      <c r="O1532" s="27" t="str">
        <f>HYPERLINK("https://www.ncbi.nlm.nih.gov/nuccore/NZ_LIQY01000156.1?report=graph&amp;from=17762&amp;to=17766", "TTA_codon")</f>
        <v>TTA_codon</v>
      </c>
    </row>
    <row r="1533" spans="1:15" x14ac:dyDescent="0.15">
      <c r="A1533" t="s">
        <v>21</v>
      </c>
      <c r="B1533" t="s">
        <v>1415</v>
      </c>
    </row>
    <row r="1534" spans="1:15" x14ac:dyDescent="0.15">
      <c r="A1534" t="s">
        <v>21</v>
      </c>
      <c r="B1534">
        <v>1001000</v>
      </c>
      <c r="C1534">
        <v>354218</v>
      </c>
      <c r="F1534" s="7">
        <v>1</v>
      </c>
      <c r="G1534" s="7">
        <v>712</v>
      </c>
      <c r="H1534" s="8">
        <v>706</v>
      </c>
      <c r="J1534" t="s">
        <v>23</v>
      </c>
      <c r="K1534" s="7">
        <v>1221</v>
      </c>
      <c r="L1534" s="9">
        <v>1</v>
      </c>
      <c r="M1534" t="s">
        <v>1416</v>
      </c>
      <c r="N1534" t="s">
        <v>361</v>
      </c>
      <c r="O1534" s="27" t="str">
        <f>HYPERLINK("https://www.ncbi.nlm.nih.gov/nuccore/NZ_JODY01000032.1?report=graph&amp;from=69502&amp;to=69506", "TTA_codon")</f>
        <v>TTA_codon</v>
      </c>
    </row>
    <row r="1535" spans="1:15" x14ac:dyDescent="0.15">
      <c r="A1535" t="s">
        <v>21</v>
      </c>
      <c r="B1535">
        <v>1001000</v>
      </c>
      <c r="C1535">
        <v>363136</v>
      </c>
      <c r="F1535" s="7">
        <v>1</v>
      </c>
      <c r="G1535" s="7">
        <v>712</v>
      </c>
      <c r="H1535" s="8">
        <v>619</v>
      </c>
      <c r="J1535" t="s">
        <v>23</v>
      </c>
      <c r="K1535" s="7">
        <v>1143</v>
      </c>
      <c r="L1535" s="9">
        <v>1</v>
      </c>
      <c r="M1535" t="s">
        <v>1025</v>
      </c>
      <c r="N1535" t="s">
        <v>401</v>
      </c>
      <c r="O1535" s="27" t="str">
        <f>HYPERLINK("https://www.ncbi.nlm.nih.gov/nuccore/NZ_LFBV01000009.1?report=graph&amp;from=260693&amp;to=260697", "TTA_codon")</f>
        <v>TTA_codon</v>
      </c>
    </row>
    <row r="1536" spans="1:15" x14ac:dyDescent="0.15">
      <c r="A1536" t="s">
        <v>21</v>
      </c>
      <c r="B1536">
        <v>1001000</v>
      </c>
      <c r="C1536">
        <v>364077</v>
      </c>
      <c r="F1536" s="7">
        <v>1</v>
      </c>
      <c r="G1536" s="7">
        <v>712</v>
      </c>
      <c r="H1536" s="8">
        <v>685</v>
      </c>
      <c r="J1536" t="s">
        <v>23</v>
      </c>
      <c r="K1536" s="7">
        <v>1203</v>
      </c>
      <c r="L1536" s="9">
        <v>1</v>
      </c>
      <c r="M1536" t="s">
        <v>1417</v>
      </c>
      <c r="N1536" t="s">
        <v>104</v>
      </c>
      <c r="O1536" s="27" t="str">
        <f>HYPERLINK("https://www.ncbi.nlm.nih.gov/nuccore/NZ_MVFC01000018.1?report=graph&amp;from=49315&amp;to=49319", "TTA_codon")</f>
        <v>TTA_codon</v>
      </c>
    </row>
    <row r="1537" spans="1:15" x14ac:dyDescent="0.15">
      <c r="A1537" t="s">
        <v>195</v>
      </c>
      <c r="B1537" t="s">
        <v>1418</v>
      </c>
    </row>
    <row r="1538" spans="1:15" x14ac:dyDescent="0.15">
      <c r="A1538" t="s">
        <v>195</v>
      </c>
      <c r="B1538">
        <v>1000029</v>
      </c>
      <c r="C1538">
        <v>346145</v>
      </c>
      <c r="F1538" s="7">
        <v>1</v>
      </c>
      <c r="G1538" s="7">
        <v>49</v>
      </c>
      <c r="H1538" s="8">
        <v>49</v>
      </c>
      <c r="J1538" t="s">
        <v>23</v>
      </c>
      <c r="K1538" s="7">
        <v>1701</v>
      </c>
      <c r="L1538" s="9">
        <v>-1</v>
      </c>
      <c r="M1538" t="s">
        <v>920</v>
      </c>
      <c r="N1538" t="s">
        <v>249</v>
      </c>
      <c r="O1538" s="27" t="str">
        <f>HYPERLINK("https://www.ncbi.nlm.nih.gov/nuccore/NZ_AHBF01000010.1?report=graph&amp;from=122585&amp;to=122589", "TTA_codon")</f>
        <v>TTA_codon</v>
      </c>
    </row>
    <row r="1539" spans="1:15" x14ac:dyDescent="0.15">
      <c r="A1539" t="s">
        <v>195</v>
      </c>
      <c r="B1539">
        <v>1000029</v>
      </c>
      <c r="C1539">
        <v>346571</v>
      </c>
      <c r="F1539" s="7">
        <v>1</v>
      </c>
      <c r="G1539" s="7">
        <v>49</v>
      </c>
      <c r="H1539" s="8">
        <v>49</v>
      </c>
      <c r="J1539" t="s">
        <v>23</v>
      </c>
      <c r="K1539" s="7">
        <v>1701</v>
      </c>
      <c r="L1539" s="9">
        <v>-1</v>
      </c>
      <c r="M1539" t="s">
        <v>205</v>
      </c>
      <c r="N1539" t="s">
        <v>206</v>
      </c>
      <c r="O1539" s="27" t="str">
        <f>HYPERLINK("https://www.ncbi.nlm.nih.gov/nuccore/NZ_CP010407.1?report=graph&amp;from=7480903&amp;to=7480907", "TTA_codon")</f>
        <v>TTA_codon</v>
      </c>
    </row>
    <row r="1540" spans="1:15" x14ac:dyDescent="0.15">
      <c r="A1540" t="s">
        <v>21</v>
      </c>
      <c r="B1540">
        <v>1000029</v>
      </c>
      <c r="C1540">
        <v>355084</v>
      </c>
      <c r="F1540" s="7">
        <v>1</v>
      </c>
      <c r="G1540" s="7">
        <v>49</v>
      </c>
      <c r="H1540" s="8">
        <v>49</v>
      </c>
      <c r="J1540" t="s">
        <v>23</v>
      </c>
      <c r="K1540" s="7">
        <v>1701</v>
      </c>
      <c r="L1540" s="9">
        <v>-1</v>
      </c>
      <c r="M1540" t="s">
        <v>1419</v>
      </c>
      <c r="N1540" t="s">
        <v>433</v>
      </c>
      <c r="O1540" s="27" t="str">
        <f>HYPERLINK("https://www.ncbi.nlm.nih.gov/nuccore/NZ_JOBF01000006.1?report=graph&amp;from=162713&amp;to=162717", "TTA_codon")</f>
        <v>TTA_codon</v>
      </c>
    </row>
    <row r="1541" spans="1:15" x14ac:dyDescent="0.15">
      <c r="A1541" t="s">
        <v>21</v>
      </c>
      <c r="B1541" t="s">
        <v>1420</v>
      </c>
    </row>
    <row r="1542" spans="1:15" x14ac:dyDescent="0.15">
      <c r="A1542" t="s">
        <v>21</v>
      </c>
      <c r="B1542">
        <v>1000256</v>
      </c>
      <c r="C1542">
        <v>347684</v>
      </c>
      <c r="F1542" s="7">
        <v>1</v>
      </c>
      <c r="G1542" s="7">
        <v>76</v>
      </c>
      <c r="H1542" s="8">
        <v>76</v>
      </c>
      <c r="J1542" t="s">
        <v>23</v>
      </c>
      <c r="K1542" s="7">
        <v>1356</v>
      </c>
      <c r="L1542" s="9">
        <v>1</v>
      </c>
      <c r="M1542" t="s">
        <v>55</v>
      </c>
      <c r="N1542" t="s">
        <v>56</v>
      </c>
      <c r="O1542" s="27" t="str">
        <f>HYPERLINK("https://www.ncbi.nlm.nih.gov/nuccore/NC_010572.1?report=graph&amp;from=822513&amp;to=822517", "TTA_codon")</f>
        <v>TTA_codon</v>
      </c>
    </row>
    <row r="1543" spans="1:15" x14ac:dyDescent="0.15">
      <c r="A1543" t="s">
        <v>21</v>
      </c>
      <c r="B1543">
        <v>1000256</v>
      </c>
      <c r="C1543">
        <v>352693</v>
      </c>
      <c r="F1543" s="7">
        <v>1</v>
      </c>
      <c r="G1543" s="7">
        <v>76</v>
      </c>
      <c r="H1543" s="8">
        <v>61</v>
      </c>
      <c r="J1543" t="s">
        <v>23</v>
      </c>
      <c r="K1543" s="7">
        <v>1263</v>
      </c>
      <c r="L1543" s="9">
        <v>1</v>
      </c>
      <c r="M1543" t="s">
        <v>1276</v>
      </c>
      <c r="N1543" t="s">
        <v>436</v>
      </c>
      <c r="O1543" s="27" t="str">
        <f>HYPERLINK("https://www.ncbi.nlm.nih.gov/nuccore/NZ_AUBE01000022.1?report=graph&amp;from=22351&amp;to=22355", "TTA_codon")</f>
        <v>TTA_codon</v>
      </c>
    </row>
    <row r="1544" spans="1:15" x14ac:dyDescent="0.15">
      <c r="A1544" t="s">
        <v>21</v>
      </c>
      <c r="B1544">
        <v>1000256</v>
      </c>
      <c r="C1544">
        <v>353437</v>
      </c>
      <c r="F1544" s="7">
        <v>1</v>
      </c>
      <c r="G1544" s="7">
        <v>223</v>
      </c>
      <c r="H1544" s="8">
        <v>214</v>
      </c>
      <c r="J1544" t="s">
        <v>23</v>
      </c>
      <c r="K1544" s="7">
        <v>1362</v>
      </c>
      <c r="L1544" s="9">
        <v>1</v>
      </c>
      <c r="M1544" t="s">
        <v>590</v>
      </c>
      <c r="N1544" t="s">
        <v>169</v>
      </c>
      <c r="O1544" s="27" t="str">
        <f>HYPERLINK("https://www.ncbi.nlm.nih.gov/nuccore/NZ_JNWJ01000005.1?report=graph&amp;from=180927&amp;to=180931", "TTA_codon")</f>
        <v>TTA_codon</v>
      </c>
    </row>
    <row r="1545" spans="1:15" x14ac:dyDescent="0.15">
      <c r="A1545" t="s">
        <v>21</v>
      </c>
      <c r="B1545" t="s">
        <v>1421</v>
      </c>
    </row>
    <row r="1546" spans="1:15" x14ac:dyDescent="0.15">
      <c r="A1546" t="s">
        <v>21</v>
      </c>
      <c r="B1546">
        <v>1001273</v>
      </c>
      <c r="C1546">
        <v>358323</v>
      </c>
      <c r="F1546" s="7">
        <v>1</v>
      </c>
      <c r="G1546" s="7">
        <v>37</v>
      </c>
      <c r="H1546" s="8">
        <v>37</v>
      </c>
      <c r="J1546" t="s">
        <v>23</v>
      </c>
      <c r="K1546" s="7">
        <v>843</v>
      </c>
      <c r="L1546" s="9">
        <v>1</v>
      </c>
      <c r="M1546" t="s">
        <v>1422</v>
      </c>
      <c r="N1546" t="s">
        <v>85</v>
      </c>
      <c r="O1546" s="27" t="str">
        <f>HYPERLINK("https://www.ncbi.nlm.nih.gov/nuccore/NZ_LIQX01000337.1?report=graph&amp;from=14709&amp;to=14713", "TTA_codon")</f>
        <v>TTA_codon</v>
      </c>
    </row>
    <row r="1547" spans="1:15" x14ac:dyDescent="0.15">
      <c r="A1547" t="s">
        <v>21</v>
      </c>
      <c r="B1547">
        <v>1001273</v>
      </c>
      <c r="C1547">
        <v>359010</v>
      </c>
      <c r="F1547" s="7">
        <v>1</v>
      </c>
      <c r="G1547" s="7">
        <v>52</v>
      </c>
      <c r="H1547" s="8">
        <v>52</v>
      </c>
      <c r="J1547" t="s">
        <v>23</v>
      </c>
      <c r="K1547" s="7">
        <v>927</v>
      </c>
      <c r="L1547" s="9">
        <v>1</v>
      </c>
      <c r="M1547" t="s">
        <v>1423</v>
      </c>
      <c r="N1547" t="s">
        <v>451</v>
      </c>
      <c r="O1547" s="27" t="str">
        <f>HYPERLINK("https://www.ncbi.nlm.nih.gov/nuccore/NZ_LIQZ01000270.1?report=graph&amp;from=18604&amp;to=18608", "TTA_codon")</f>
        <v>TTA_codon</v>
      </c>
    </row>
    <row r="1548" spans="1:15" x14ac:dyDescent="0.15">
      <c r="A1548" t="s">
        <v>21</v>
      </c>
      <c r="B1548">
        <v>1001273</v>
      </c>
      <c r="C1548">
        <v>359427</v>
      </c>
      <c r="F1548" s="7">
        <v>1</v>
      </c>
      <c r="G1548" s="7">
        <v>40</v>
      </c>
      <c r="H1548" s="8">
        <v>40</v>
      </c>
      <c r="J1548" t="s">
        <v>23</v>
      </c>
      <c r="K1548" s="7">
        <v>867</v>
      </c>
      <c r="L1548" s="9">
        <v>1</v>
      </c>
      <c r="M1548" t="s">
        <v>151</v>
      </c>
      <c r="N1548" t="s">
        <v>152</v>
      </c>
      <c r="O1548" s="27" t="str">
        <f>HYPERLINK("https://www.ncbi.nlm.nih.gov/nuccore/NZ_CP013129.1?report=graph&amp;from=8849392&amp;to=8849396", "TTA_codon")</f>
        <v>TTA_codon</v>
      </c>
    </row>
    <row r="1549" spans="1:15" x14ac:dyDescent="0.15">
      <c r="A1549" t="s">
        <v>21</v>
      </c>
      <c r="B1549">
        <v>1001273</v>
      </c>
      <c r="C1549">
        <v>359800</v>
      </c>
      <c r="F1549" s="7">
        <v>1</v>
      </c>
      <c r="G1549" s="7">
        <v>37</v>
      </c>
      <c r="H1549" s="8">
        <v>37</v>
      </c>
      <c r="J1549" t="s">
        <v>23</v>
      </c>
      <c r="K1549" s="7">
        <v>387</v>
      </c>
      <c r="L1549" s="9">
        <v>1</v>
      </c>
      <c r="M1549" t="s">
        <v>1424</v>
      </c>
      <c r="N1549" t="s">
        <v>91</v>
      </c>
      <c r="O1549" s="27" t="str">
        <f>HYPERLINK("https://www.ncbi.nlm.nih.gov/nuccore/NZ_KQ948327.1?report=graph&amp;from=91116&amp;to=91120", "TTA_codon")</f>
        <v>TTA_codon</v>
      </c>
    </row>
    <row r="1550" spans="1:15" x14ac:dyDescent="0.15">
      <c r="A1550" t="s">
        <v>21</v>
      </c>
      <c r="B1550" t="s">
        <v>1425</v>
      </c>
    </row>
    <row r="1551" spans="1:15" x14ac:dyDescent="0.15">
      <c r="A1551" t="s">
        <v>21</v>
      </c>
      <c r="B1551">
        <v>1001280</v>
      </c>
      <c r="C1551">
        <v>354679</v>
      </c>
      <c r="F1551" s="7">
        <v>2</v>
      </c>
      <c r="G1551" s="7" t="s">
        <v>1426</v>
      </c>
      <c r="H1551" s="8" t="s">
        <v>1427</v>
      </c>
      <c r="J1551" t="s">
        <v>23</v>
      </c>
      <c r="K1551" s="7">
        <v>903</v>
      </c>
      <c r="L1551" s="9">
        <v>-1</v>
      </c>
      <c r="M1551" t="s">
        <v>1285</v>
      </c>
      <c r="N1551" t="s">
        <v>272</v>
      </c>
      <c r="O1551" s="27" t="str">
        <f>HYPERLINK("https://www.ncbi.nlm.nih.gov/nuccore/NZ_JOEY01000023.1?report=graph&amp;from=66181&amp;to=66509", "TTA_codon")</f>
        <v>TTA_codon</v>
      </c>
    </row>
    <row r="1552" spans="1:15" x14ac:dyDescent="0.15">
      <c r="A1552" t="s">
        <v>21</v>
      </c>
      <c r="B1552">
        <v>1001280</v>
      </c>
      <c r="C1552">
        <v>356426</v>
      </c>
      <c r="F1552" s="7">
        <v>1</v>
      </c>
      <c r="G1552" s="7">
        <v>514</v>
      </c>
      <c r="H1552" s="8">
        <v>475</v>
      </c>
      <c r="J1552" t="s">
        <v>23</v>
      </c>
      <c r="K1552" s="7">
        <v>885</v>
      </c>
      <c r="L1552" s="9">
        <v>-1</v>
      </c>
      <c r="M1552" t="s">
        <v>370</v>
      </c>
      <c r="N1552" t="s">
        <v>354</v>
      </c>
      <c r="O1552" s="27" t="str">
        <f>HYPERLINK("https://www.ncbi.nlm.nih.gov/nuccore/NZ_KN050729.1?report=graph&amp;from=63888&amp;to=63892", "TTA_codon")</f>
        <v>TTA_codon</v>
      </c>
    </row>
    <row r="1553" spans="1:15" x14ac:dyDescent="0.15">
      <c r="A1553" t="s">
        <v>21</v>
      </c>
      <c r="B1553">
        <v>1001280</v>
      </c>
      <c r="C1553">
        <v>357995</v>
      </c>
      <c r="F1553" s="7">
        <v>1</v>
      </c>
      <c r="G1553" s="7">
        <v>421</v>
      </c>
      <c r="H1553" s="8">
        <v>391</v>
      </c>
      <c r="J1553" t="s">
        <v>23</v>
      </c>
      <c r="K1553" s="7">
        <v>894</v>
      </c>
      <c r="L1553" s="9">
        <v>-1</v>
      </c>
      <c r="M1553" t="s">
        <v>261</v>
      </c>
      <c r="N1553" t="s">
        <v>262</v>
      </c>
      <c r="O1553" s="27" t="str">
        <f>HYPERLINK("https://www.ncbi.nlm.nih.gov/nuccore/NZ_CP011340.1?report=graph&amp;from=6726424&amp;to=6726428", "TTA_codon")</f>
        <v>TTA_codon</v>
      </c>
    </row>
    <row r="1554" spans="1:15" x14ac:dyDescent="0.15">
      <c r="A1554" t="s">
        <v>21</v>
      </c>
      <c r="B1554">
        <v>1001280</v>
      </c>
      <c r="C1554">
        <v>358524</v>
      </c>
      <c r="F1554" s="7">
        <v>1</v>
      </c>
      <c r="G1554" s="7">
        <v>52</v>
      </c>
      <c r="H1554" s="8">
        <v>46</v>
      </c>
      <c r="J1554" t="s">
        <v>23</v>
      </c>
      <c r="K1554" s="7">
        <v>900</v>
      </c>
      <c r="L1554" s="9">
        <v>-1</v>
      </c>
      <c r="M1554" t="s">
        <v>1428</v>
      </c>
      <c r="N1554" t="s">
        <v>85</v>
      </c>
      <c r="O1554" s="27" t="str">
        <f>HYPERLINK("https://www.ncbi.nlm.nih.gov/nuccore/NZ_LIQX01000339.1?report=graph&amp;from=1988&amp;to=1992", "TTA_codon")</f>
        <v>TTA_codon</v>
      </c>
    </row>
    <row r="1555" spans="1:15" x14ac:dyDescent="0.15">
      <c r="A1555" t="s">
        <v>21</v>
      </c>
      <c r="B1555">
        <v>1001280</v>
      </c>
      <c r="C1555">
        <v>359897</v>
      </c>
      <c r="F1555" s="7">
        <v>1</v>
      </c>
      <c r="G1555" s="7">
        <v>565</v>
      </c>
      <c r="H1555" s="8">
        <v>541</v>
      </c>
      <c r="J1555" t="s">
        <v>23</v>
      </c>
      <c r="K1555" s="7">
        <v>900</v>
      </c>
      <c r="L1555" s="9">
        <v>-1</v>
      </c>
      <c r="M1555" t="s">
        <v>641</v>
      </c>
      <c r="N1555" t="s">
        <v>91</v>
      </c>
      <c r="O1555" s="27" t="str">
        <f>HYPERLINK("https://www.ncbi.nlm.nih.gov/nuccore/NZ_KQ948308.1?report=graph&amp;from=229613&amp;to=229617", "TTA_codon")</f>
        <v>TTA_codon</v>
      </c>
    </row>
    <row r="1556" spans="1:15" x14ac:dyDescent="0.15">
      <c r="A1556" t="s">
        <v>21</v>
      </c>
      <c r="B1556">
        <v>1001280</v>
      </c>
      <c r="C1556">
        <v>361291</v>
      </c>
      <c r="F1556" s="7">
        <v>2</v>
      </c>
      <c r="G1556" s="7" t="s">
        <v>1429</v>
      </c>
      <c r="H1556" s="8" t="s">
        <v>1430</v>
      </c>
      <c r="J1556" t="s">
        <v>23</v>
      </c>
      <c r="K1556" s="7">
        <v>900</v>
      </c>
      <c r="L1556" s="9">
        <v>-1</v>
      </c>
      <c r="M1556" t="s">
        <v>98</v>
      </c>
      <c r="N1556" t="s">
        <v>99</v>
      </c>
      <c r="O1556" s="27" t="str">
        <f>HYPERLINK("https://www.ncbi.nlm.nih.gov/nuccore/NZ_CP016438.1?report=graph&amp;from=3319939&amp;to=3320399", "TTA_codon")</f>
        <v>TTA_codon</v>
      </c>
    </row>
    <row r="1557" spans="1:15" x14ac:dyDescent="0.15">
      <c r="A1557" t="s">
        <v>21</v>
      </c>
      <c r="B1557">
        <v>1001280</v>
      </c>
      <c r="C1557">
        <v>365513</v>
      </c>
      <c r="F1557" s="7">
        <v>1</v>
      </c>
      <c r="G1557" s="7">
        <v>514</v>
      </c>
      <c r="H1557" s="8">
        <v>499</v>
      </c>
      <c r="J1557" t="s">
        <v>23</v>
      </c>
      <c r="K1557" s="7">
        <v>909</v>
      </c>
      <c r="L1557" s="9">
        <v>-1</v>
      </c>
      <c r="M1557" t="s">
        <v>113</v>
      </c>
      <c r="N1557" t="s">
        <v>45</v>
      </c>
      <c r="O1557" s="27" t="str">
        <f>HYPERLINK("https://www.ncbi.nlm.nih.gov/nuccore/NZ_FNIE01000005.1?report=graph&amp;from=518111&amp;to=518115", "TTA_codon")</f>
        <v>TTA_codon</v>
      </c>
    </row>
    <row r="1558" spans="1:15" x14ac:dyDescent="0.15">
      <c r="A1558" t="s">
        <v>21</v>
      </c>
      <c r="B1558" t="s">
        <v>1431</v>
      </c>
    </row>
    <row r="1559" spans="1:15" x14ac:dyDescent="0.15">
      <c r="A1559" t="s">
        <v>21</v>
      </c>
      <c r="B1559">
        <v>1000962</v>
      </c>
      <c r="C1559">
        <v>353612</v>
      </c>
      <c r="F1559" s="7">
        <v>1</v>
      </c>
      <c r="G1559" s="7">
        <v>49</v>
      </c>
      <c r="H1559" s="8">
        <v>49</v>
      </c>
      <c r="J1559" t="s">
        <v>23</v>
      </c>
      <c r="K1559" s="7">
        <v>717</v>
      </c>
      <c r="L1559" s="9">
        <v>1</v>
      </c>
      <c r="M1559" t="s">
        <v>1138</v>
      </c>
      <c r="N1559" t="s">
        <v>140</v>
      </c>
      <c r="O1559" s="27" t="str">
        <f>HYPERLINK("https://www.ncbi.nlm.nih.gov/nuccore/NZ_JNXG01000001.1?report=graph&amp;from=613251&amp;to=613255", "TTA_codon")</f>
        <v>TTA_codon</v>
      </c>
    </row>
    <row r="1560" spans="1:15" x14ac:dyDescent="0.15">
      <c r="A1560" t="s">
        <v>21</v>
      </c>
      <c r="B1560">
        <v>1000962</v>
      </c>
      <c r="C1560">
        <v>358869</v>
      </c>
      <c r="F1560" s="7">
        <v>1</v>
      </c>
      <c r="G1560" s="7">
        <v>49</v>
      </c>
      <c r="H1560" s="8">
        <v>49</v>
      </c>
      <c r="J1560" t="s">
        <v>23</v>
      </c>
      <c r="K1560" s="7">
        <v>717</v>
      </c>
      <c r="L1560" s="9">
        <v>1</v>
      </c>
      <c r="M1560" t="s">
        <v>1432</v>
      </c>
      <c r="N1560" t="s">
        <v>87</v>
      </c>
      <c r="O1560" s="27" t="str">
        <f>HYPERLINK("https://www.ncbi.nlm.nih.gov/nuccore/NZ_LIQS01000127.1?report=graph&amp;from=18723&amp;to=18727", "TTA_codon")</f>
        <v>TTA_codon</v>
      </c>
    </row>
    <row r="1561" spans="1:15" x14ac:dyDescent="0.15">
      <c r="A1561" t="s">
        <v>21</v>
      </c>
      <c r="B1561" t="s">
        <v>1433</v>
      </c>
    </row>
    <row r="1562" spans="1:15" x14ac:dyDescent="0.15">
      <c r="A1562" t="s">
        <v>21</v>
      </c>
      <c r="B1562">
        <v>1001007</v>
      </c>
      <c r="C1562">
        <v>354294</v>
      </c>
      <c r="F1562" s="7">
        <v>1</v>
      </c>
      <c r="G1562" s="7">
        <v>349</v>
      </c>
      <c r="H1562" s="8">
        <v>349</v>
      </c>
      <c r="J1562" t="s">
        <v>23</v>
      </c>
      <c r="K1562" s="7">
        <v>918</v>
      </c>
      <c r="L1562" s="9">
        <v>-1</v>
      </c>
      <c r="M1562" t="s">
        <v>1434</v>
      </c>
      <c r="N1562" t="s">
        <v>142</v>
      </c>
      <c r="O1562" s="27" t="str">
        <f>HYPERLINK("https://www.ncbi.nlm.nih.gov/nuccore/NZ_JOEI01000015.1?report=graph&amp;from=143574&amp;to=143578", "TTA_codon")</f>
        <v>TTA_codon</v>
      </c>
    </row>
    <row r="1563" spans="1:15" x14ac:dyDescent="0.15">
      <c r="A1563" t="s">
        <v>21</v>
      </c>
      <c r="B1563">
        <v>1001007</v>
      </c>
      <c r="C1563">
        <v>356351</v>
      </c>
      <c r="F1563" s="7">
        <v>1</v>
      </c>
      <c r="G1563" s="7">
        <v>250</v>
      </c>
      <c r="H1563" s="8">
        <v>238</v>
      </c>
      <c r="J1563" t="s">
        <v>23</v>
      </c>
      <c r="K1563" s="7">
        <v>924</v>
      </c>
      <c r="L1563" s="9">
        <v>-1</v>
      </c>
      <c r="M1563" t="s">
        <v>1435</v>
      </c>
      <c r="N1563" t="s">
        <v>354</v>
      </c>
      <c r="O1563" s="27" t="str">
        <f>HYPERLINK("https://www.ncbi.nlm.nih.gov/nuccore/NZ_JQJU01000005.1?report=graph&amp;from=172459&amp;to=172463", "TTA_codon")</f>
        <v>TTA_codon</v>
      </c>
    </row>
    <row r="1564" spans="1:15" x14ac:dyDescent="0.15">
      <c r="A1564" t="s">
        <v>21</v>
      </c>
      <c r="B1564">
        <v>1001007</v>
      </c>
      <c r="C1564">
        <v>357265</v>
      </c>
      <c r="F1564" s="7">
        <v>1</v>
      </c>
      <c r="G1564" s="7">
        <v>232</v>
      </c>
      <c r="H1564" s="8">
        <v>214</v>
      </c>
      <c r="J1564" t="s">
        <v>23</v>
      </c>
      <c r="K1564" s="7">
        <v>912</v>
      </c>
      <c r="L1564" s="9">
        <v>-1</v>
      </c>
      <c r="M1564" t="s">
        <v>250</v>
      </c>
      <c r="N1564" t="s">
        <v>251</v>
      </c>
      <c r="O1564" s="27" t="str">
        <f>HYPERLINK("https://www.ncbi.nlm.nih.gov/nuccore/NZ_CP009922.2?report=graph&amp;from=2498514&amp;to=2498518", "TTA_codon")</f>
        <v>TTA_codon</v>
      </c>
    </row>
    <row r="1565" spans="1:15" x14ac:dyDescent="0.15">
      <c r="A1565" t="s">
        <v>21</v>
      </c>
      <c r="B1565">
        <v>1001007</v>
      </c>
      <c r="C1565">
        <v>360654</v>
      </c>
      <c r="F1565" s="7">
        <v>1</v>
      </c>
      <c r="G1565" s="7">
        <v>232</v>
      </c>
      <c r="H1565" s="8">
        <v>211</v>
      </c>
      <c r="J1565" t="s">
        <v>23</v>
      </c>
      <c r="K1565" s="7">
        <v>1245</v>
      </c>
      <c r="L1565" s="9">
        <v>-1</v>
      </c>
      <c r="M1565" t="s">
        <v>1436</v>
      </c>
      <c r="N1565" t="s">
        <v>95</v>
      </c>
      <c r="O1565" s="27" t="str">
        <f>HYPERLINK("https://www.ncbi.nlm.nih.gov/nuccore/NZ_JYIJ01000015.1?report=graph&amp;from=247059&amp;to=247063", "TTA_codon")</f>
        <v>TTA_codon</v>
      </c>
    </row>
    <row r="1566" spans="1:15" x14ac:dyDescent="0.15">
      <c r="A1566" t="s">
        <v>21</v>
      </c>
      <c r="B1566" t="s">
        <v>1437</v>
      </c>
    </row>
    <row r="1567" spans="1:15" x14ac:dyDescent="0.15">
      <c r="A1567" t="s">
        <v>21</v>
      </c>
      <c r="B1567">
        <v>1001561</v>
      </c>
      <c r="C1567">
        <v>367260</v>
      </c>
      <c r="F1567" s="7">
        <v>1</v>
      </c>
      <c r="G1567" s="7">
        <v>88</v>
      </c>
      <c r="H1567" s="8">
        <v>88</v>
      </c>
      <c r="J1567" t="s">
        <v>23</v>
      </c>
      <c r="K1567" s="7">
        <v>255</v>
      </c>
      <c r="L1567" s="9">
        <v>1</v>
      </c>
      <c r="M1567" t="s">
        <v>1438</v>
      </c>
      <c r="N1567" t="s">
        <v>1439</v>
      </c>
      <c r="O1567" s="27" t="str">
        <f>HYPERLINK("https://www.ncbi.nlm.nih.gov/nuccore/NC_028952.1?report=graph&amp;from=23162&amp;to=23166", "TTA_codon")</f>
        <v>TTA_codon</v>
      </c>
    </row>
    <row r="1568" spans="1:15" x14ac:dyDescent="0.15">
      <c r="A1568" t="s">
        <v>21</v>
      </c>
      <c r="B1568">
        <v>1001561</v>
      </c>
      <c r="C1568">
        <v>367263</v>
      </c>
      <c r="F1568" s="7">
        <v>1</v>
      </c>
      <c r="G1568" s="7">
        <v>88</v>
      </c>
      <c r="H1568" s="8">
        <v>88</v>
      </c>
      <c r="J1568" t="s">
        <v>23</v>
      </c>
      <c r="K1568" s="7">
        <v>255</v>
      </c>
      <c r="L1568" s="9">
        <v>1</v>
      </c>
      <c r="M1568" t="s">
        <v>1440</v>
      </c>
      <c r="N1568" t="s">
        <v>1441</v>
      </c>
      <c r="O1568" s="27" t="str">
        <f>HYPERLINK("https://www.ncbi.nlm.nih.gov/nuccore/NC_028807.1?report=graph&amp;from=40862&amp;to=40866", "TTA_codon")</f>
        <v>TTA_codon</v>
      </c>
    </row>
    <row r="1569" spans="1:15" x14ac:dyDescent="0.15">
      <c r="A1569" t="s">
        <v>21</v>
      </c>
      <c r="B1569" t="s">
        <v>1442</v>
      </c>
    </row>
    <row r="1570" spans="1:15" x14ac:dyDescent="0.15">
      <c r="A1570" t="s">
        <v>21</v>
      </c>
      <c r="B1570">
        <v>1001358</v>
      </c>
      <c r="C1570">
        <v>351173</v>
      </c>
      <c r="F1570" s="7">
        <v>1</v>
      </c>
      <c r="G1570" s="7">
        <v>97</v>
      </c>
      <c r="H1570" s="8">
        <v>76</v>
      </c>
      <c r="J1570" t="s">
        <v>23</v>
      </c>
      <c r="K1570" s="7">
        <v>1077</v>
      </c>
      <c r="L1570" s="9">
        <v>-1</v>
      </c>
      <c r="M1570" t="s">
        <v>65</v>
      </c>
      <c r="N1570" t="s">
        <v>66</v>
      </c>
      <c r="O1570" s="27" t="str">
        <f>HYPERLINK("https://www.ncbi.nlm.nih.gov/nuccore/NC_020504.1?report=graph&amp;from=2340428&amp;to=2340432", "TTA_codon")</f>
        <v>TTA_codon</v>
      </c>
    </row>
    <row r="1571" spans="1:15" x14ac:dyDescent="0.15">
      <c r="A1571" t="s">
        <v>21</v>
      </c>
      <c r="B1571">
        <v>1001358</v>
      </c>
      <c r="C1571">
        <v>354805</v>
      </c>
      <c r="F1571" s="7">
        <v>1</v>
      </c>
      <c r="G1571" s="7">
        <v>64</v>
      </c>
      <c r="H1571" s="8">
        <v>40</v>
      </c>
      <c r="J1571" t="s">
        <v>23</v>
      </c>
      <c r="K1571" s="7">
        <v>1077</v>
      </c>
      <c r="L1571" s="9">
        <v>-1</v>
      </c>
      <c r="M1571" t="s">
        <v>1443</v>
      </c>
      <c r="N1571" t="s">
        <v>25</v>
      </c>
      <c r="O1571" s="27" t="str">
        <f>HYPERLINK("https://www.ncbi.nlm.nih.gov/nuccore/NZ_JOFU01000072.1?report=graph&amp;from=22220&amp;to=22224", "TTA_codon")</f>
        <v>TTA_codon</v>
      </c>
    </row>
    <row r="1572" spans="1:15" x14ac:dyDescent="0.15">
      <c r="A1572" t="s">
        <v>21</v>
      </c>
      <c r="B1572">
        <v>1001358</v>
      </c>
      <c r="C1572">
        <v>361076</v>
      </c>
      <c r="F1572" s="7">
        <v>2</v>
      </c>
      <c r="G1572" s="7" t="s">
        <v>1444</v>
      </c>
      <c r="H1572" s="8" t="s">
        <v>1444</v>
      </c>
      <c r="J1572" t="s">
        <v>23</v>
      </c>
      <c r="K1572" s="7">
        <v>987</v>
      </c>
      <c r="L1572" s="9">
        <v>-1</v>
      </c>
      <c r="M1572" t="s">
        <v>98</v>
      </c>
      <c r="N1572" t="s">
        <v>99</v>
      </c>
      <c r="O1572" s="27" t="str">
        <f>HYPERLINK("https://www.ncbi.nlm.nih.gov/nuccore/NZ_CP016438.1?report=graph&amp;from=168359&amp;to=168387", "TTA_codon")</f>
        <v>TTA_codon</v>
      </c>
    </row>
    <row r="1573" spans="1:15" x14ac:dyDescent="0.15">
      <c r="A1573" t="s">
        <v>21</v>
      </c>
      <c r="B1573" t="s">
        <v>1445</v>
      </c>
    </row>
    <row r="1574" spans="1:15" x14ac:dyDescent="0.15">
      <c r="A1574" t="s">
        <v>21</v>
      </c>
      <c r="B1574">
        <v>1001474</v>
      </c>
      <c r="C1574">
        <v>363885</v>
      </c>
      <c r="F1574" s="7">
        <v>2</v>
      </c>
      <c r="G1574" s="7" t="s">
        <v>1446</v>
      </c>
      <c r="H1574" s="8" t="s">
        <v>1447</v>
      </c>
      <c r="J1574" t="s">
        <v>23</v>
      </c>
      <c r="K1574" s="7">
        <v>3930</v>
      </c>
      <c r="L1574" s="9">
        <v>1</v>
      </c>
      <c r="M1574" t="s">
        <v>101</v>
      </c>
      <c r="N1574" t="s">
        <v>102</v>
      </c>
      <c r="O1574" s="27" t="str">
        <f>HYPERLINK("https://www.ncbi.nlm.nih.gov/nuccore/NZ_CP019458.1?report=graph&amp;from=9163186&amp;to=9164984", "TTA_codon")</f>
        <v>TTA_codon</v>
      </c>
    </row>
    <row r="1575" spans="1:15" x14ac:dyDescent="0.15">
      <c r="A1575" t="s">
        <v>21</v>
      </c>
      <c r="B1575">
        <v>1001474</v>
      </c>
      <c r="C1575">
        <v>364036</v>
      </c>
      <c r="F1575" s="7">
        <v>2</v>
      </c>
      <c r="G1575" s="7" t="s">
        <v>1448</v>
      </c>
      <c r="H1575" s="8" t="s">
        <v>1449</v>
      </c>
      <c r="J1575" t="s">
        <v>23</v>
      </c>
      <c r="K1575" s="7">
        <v>4431</v>
      </c>
      <c r="L1575" s="9">
        <v>1</v>
      </c>
      <c r="M1575" t="s">
        <v>1450</v>
      </c>
      <c r="N1575" t="s">
        <v>104</v>
      </c>
      <c r="O1575" s="27" t="str">
        <f>HYPERLINK("https://www.ncbi.nlm.nih.gov/nuccore/NZ_MVFC01000038.1?report=graph&amp;from=67485&amp;to=67594", "TTA_codon")</f>
        <v>TTA_codon</v>
      </c>
    </row>
    <row r="1576" spans="1:15" x14ac:dyDescent="0.15">
      <c r="A1576" t="s">
        <v>21</v>
      </c>
      <c r="B1576" t="s">
        <v>1451</v>
      </c>
    </row>
    <row r="1577" spans="1:15" x14ac:dyDescent="0.15">
      <c r="A1577" t="s">
        <v>21</v>
      </c>
      <c r="B1577">
        <v>1000934</v>
      </c>
      <c r="C1577">
        <v>353292</v>
      </c>
      <c r="F1577" s="7">
        <v>1</v>
      </c>
      <c r="G1577" s="7">
        <v>148</v>
      </c>
      <c r="H1577" s="8">
        <v>109</v>
      </c>
      <c r="J1577" t="s">
        <v>23</v>
      </c>
      <c r="K1577" s="7">
        <v>720</v>
      </c>
      <c r="L1577" s="9">
        <v>-1</v>
      </c>
      <c r="M1577" t="s">
        <v>1452</v>
      </c>
      <c r="N1577" t="s">
        <v>169</v>
      </c>
      <c r="O1577" s="27" t="str">
        <f>HYPERLINK("https://www.ncbi.nlm.nih.gov/nuccore/NZ_JNWJ01000084.1?report=graph&amp;from=17564&amp;to=17568", "TTA_codon")</f>
        <v>TTA_codon</v>
      </c>
    </row>
    <row r="1578" spans="1:15" x14ac:dyDescent="0.15">
      <c r="A1578" t="s">
        <v>21</v>
      </c>
      <c r="B1578">
        <v>1000934</v>
      </c>
      <c r="C1578">
        <v>354180</v>
      </c>
      <c r="F1578" s="7">
        <v>1</v>
      </c>
      <c r="G1578" s="7">
        <v>160</v>
      </c>
      <c r="H1578" s="8">
        <v>160</v>
      </c>
      <c r="J1578" t="s">
        <v>23</v>
      </c>
      <c r="K1578" s="7">
        <v>759</v>
      </c>
      <c r="L1578" s="9">
        <v>-1</v>
      </c>
      <c r="M1578" t="s">
        <v>1453</v>
      </c>
      <c r="N1578" t="s">
        <v>361</v>
      </c>
      <c r="O1578" s="27" t="str">
        <f>HYPERLINK("https://www.ncbi.nlm.nih.gov/nuccore/NZ_JODY01000005.1?report=graph&amp;from=69668&amp;to=69672", "TTA_codon")</f>
        <v>TTA_codon</v>
      </c>
    </row>
    <row r="1579" spans="1:15" x14ac:dyDescent="0.15">
      <c r="A1579" t="s">
        <v>21</v>
      </c>
      <c r="B1579" t="s">
        <v>1454</v>
      </c>
    </row>
    <row r="1580" spans="1:15" x14ac:dyDescent="0.15">
      <c r="A1580" t="s">
        <v>21</v>
      </c>
      <c r="B1580">
        <v>1001162</v>
      </c>
      <c r="C1580">
        <v>356359</v>
      </c>
      <c r="F1580" s="7">
        <v>1</v>
      </c>
      <c r="G1580" s="7">
        <v>694</v>
      </c>
      <c r="H1580" s="8">
        <v>685</v>
      </c>
      <c r="J1580" t="s">
        <v>23</v>
      </c>
      <c r="K1580" s="7">
        <v>942</v>
      </c>
      <c r="L1580" s="9">
        <v>1</v>
      </c>
      <c r="M1580" t="s">
        <v>1455</v>
      </c>
      <c r="N1580" t="s">
        <v>354</v>
      </c>
      <c r="O1580" s="27" t="str">
        <f>HYPERLINK("https://www.ncbi.nlm.nih.gov/nuccore/NZ_JQJU01000022.1?report=graph&amp;from=118278&amp;to=118282", "TTA_codon")</f>
        <v>TTA_codon</v>
      </c>
    </row>
    <row r="1581" spans="1:15" x14ac:dyDescent="0.15">
      <c r="A1581" t="s">
        <v>21</v>
      </c>
      <c r="B1581">
        <v>1001162</v>
      </c>
      <c r="C1581">
        <v>357389</v>
      </c>
      <c r="F1581" s="7">
        <v>1</v>
      </c>
      <c r="G1581" s="7">
        <v>595</v>
      </c>
      <c r="H1581" s="8">
        <v>595</v>
      </c>
      <c r="J1581" t="s">
        <v>23</v>
      </c>
      <c r="K1581" s="7">
        <v>936</v>
      </c>
      <c r="L1581" s="9">
        <v>1</v>
      </c>
      <c r="M1581" t="s">
        <v>80</v>
      </c>
      <c r="N1581" t="s">
        <v>81</v>
      </c>
      <c r="O1581" s="27" t="str">
        <f>HYPERLINK("https://www.ncbi.nlm.nih.gov/nuccore/NZ_LN831790.1?report=graph&amp;from=255346&amp;to=255350", "TTA_codon")</f>
        <v>TTA_codon</v>
      </c>
    </row>
    <row r="1582" spans="1:15" x14ac:dyDescent="0.15">
      <c r="A1582" t="s">
        <v>21</v>
      </c>
      <c r="B1582" t="s">
        <v>1456</v>
      </c>
    </row>
    <row r="1583" spans="1:15" x14ac:dyDescent="0.15">
      <c r="A1583" t="s">
        <v>21</v>
      </c>
      <c r="B1583">
        <v>1000586</v>
      </c>
      <c r="C1583">
        <v>350225</v>
      </c>
      <c r="F1583" s="7">
        <v>1</v>
      </c>
      <c r="G1583" s="7">
        <v>1252</v>
      </c>
      <c r="H1583" s="8">
        <v>370</v>
      </c>
      <c r="J1583" t="s">
        <v>23</v>
      </c>
      <c r="K1583" s="7">
        <v>2016</v>
      </c>
      <c r="L1583" s="9">
        <v>1</v>
      </c>
      <c r="M1583" t="s">
        <v>1457</v>
      </c>
      <c r="N1583" t="s">
        <v>36</v>
      </c>
      <c r="O1583" s="27" t="str">
        <f>HYPERLINK("https://www.ncbi.nlm.nih.gov/nuccore/NZ_JH725388.1?report=graph&amp;from=106781&amp;to=106785", "TTA_codon")</f>
        <v>TTA_codon</v>
      </c>
    </row>
    <row r="1584" spans="1:15" x14ac:dyDescent="0.15">
      <c r="A1584" t="s">
        <v>21</v>
      </c>
      <c r="B1584">
        <v>1000586</v>
      </c>
      <c r="C1584">
        <v>351154</v>
      </c>
      <c r="F1584" s="7">
        <v>1</v>
      </c>
      <c r="G1584" s="7">
        <v>976</v>
      </c>
      <c r="H1584" s="8">
        <v>163</v>
      </c>
      <c r="J1584" t="s">
        <v>23</v>
      </c>
      <c r="K1584" s="7">
        <v>2271</v>
      </c>
      <c r="L1584" s="9">
        <v>1</v>
      </c>
      <c r="M1584" t="s">
        <v>65</v>
      </c>
      <c r="N1584" t="s">
        <v>66</v>
      </c>
      <c r="O1584" s="27" t="str">
        <f>HYPERLINK("https://www.ncbi.nlm.nih.gov/nuccore/NC_020504.1?report=graph&amp;from=4836407&amp;to=4836411", "TTA_codon")</f>
        <v>TTA_codon</v>
      </c>
    </row>
    <row r="1585" spans="1:15" x14ac:dyDescent="0.15">
      <c r="A1585" t="s">
        <v>21</v>
      </c>
      <c r="B1585">
        <v>1000586</v>
      </c>
      <c r="C1585">
        <v>354520</v>
      </c>
      <c r="F1585" s="7">
        <v>1</v>
      </c>
      <c r="G1585" s="7">
        <v>1282</v>
      </c>
      <c r="H1585" s="8">
        <v>424</v>
      </c>
      <c r="J1585" t="s">
        <v>23</v>
      </c>
      <c r="K1585" s="7">
        <v>2061</v>
      </c>
      <c r="L1585" s="9">
        <v>1</v>
      </c>
      <c r="M1585" t="s">
        <v>1458</v>
      </c>
      <c r="N1585" t="s">
        <v>272</v>
      </c>
      <c r="O1585" s="27" t="str">
        <f>HYPERLINK("https://www.ncbi.nlm.nih.gov/nuccore/NZ_JOEY01000019.1?report=graph&amp;from=83726&amp;to=83730", "TTA_codon")</f>
        <v>TTA_codon</v>
      </c>
    </row>
    <row r="1586" spans="1:15" x14ac:dyDescent="0.15">
      <c r="A1586" t="s">
        <v>21</v>
      </c>
      <c r="B1586">
        <v>1000586</v>
      </c>
      <c r="C1586">
        <v>356154</v>
      </c>
      <c r="F1586" s="7">
        <v>1</v>
      </c>
      <c r="G1586" s="7">
        <v>1006</v>
      </c>
      <c r="H1586" s="8">
        <v>961</v>
      </c>
      <c r="J1586" t="s">
        <v>23</v>
      </c>
      <c r="K1586" s="7">
        <v>3225</v>
      </c>
      <c r="L1586" s="9">
        <v>1</v>
      </c>
      <c r="M1586" t="s">
        <v>1459</v>
      </c>
      <c r="N1586" t="s">
        <v>77</v>
      </c>
      <c r="O1586" s="27" t="str">
        <f>HYPERLINK("https://www.ncbi.nlm.nih.gov/nuccore/NZ_JNXD01000005.1?report=graph&amp;from=176332&amp;to=176336", "TTA_codon")</f>
        <v>TTA_codon</v>
      </c>
    </row>
    <row r="1587" spans="1:15" x14ac:dyDescent="0.15">
      <c r="A1587" t="s">
        <v>21</v>
      </c>
      <c r="B1587">
        <v>1000586</v>
      </c>
      <c r="C1587">
        <v>356992</v>
      </c>
      <c r="F1587" s="7">
        <v>1</v>
      </c>
      <c r="G1587" s="7">
        <v>1150</v>
      </c>
      <c r="H1587" s="8">
        <v>1096</v>
      </c>
      <c r="J1587" t="s">
        <v>23</v>
      </c>
      <c r="K1587" s="7">
        <v>3273</v>
      </c>
      <c r="L1587" s="9">
        <v>1</v>
      </c>
      <c r="M1587" t="s">
        <v>162</v>
      </c>
      <c r="N1587" t="s">
        <v>163</v>
      </c>
      <c r="O1587" s="27" t="str">
        <f>HYPERLINK("https://www.ncbi.nlm.nih.gov/nuccore/NZ_CP010519.1?report=graph&amp;from=2738158&amp;to=2738162", "TTA_codon")</f>
        <v>TTA_codon</v>
      </c>
    </row>
    <row r="1588" spans="1:15" x14ac:dyDescent="0.15">
      <c r="A1588" t="s">
        <v>21</v>
      </c>
      <c r="B1588">
        <v>1000586</v>
      </c>
      <c r="C1588">
        <v>357118</v>
      </c>
      <c r="F1588" s="7">
        <v>1</v>
      </c>
      <c r="G1588" s="7">
        <v>1183</v>
      </c>
      <c r="H1588" s="8">
        <v>613</v>
      </c>
      <c r="J1588" t="s">
        <v>23</v>
      </c>
      <c r="K1588" s="7">
        <v>2607</v>
      </c>
      <c r="L1588" s="9">
        <v>1</v>
      </c>
      <c r="M1588" t="s">
        <v>205</v>
      </c>
      <c r="N1588" t="s">
        <v>206</v>
      </c>
      <c r="O1588" s="27" t="str">
        <f>HYPERLINK("https://www.ncbi.nlm.nih.gov/nuccore/NZ_CP010407.1?report=graph&amp;from=7596041&amp;to=7596045", "TTA_codon")</f>
        <v>TTA_codon</v>
      </c>
    </row>
    <row r="1589" spans="1:15" x14ac:dyDescent="0.15">
      <c r="A1589" t="s">
        <v>21</v>
      </c>
      <c r="B1589">
        <v>1000586</v>
      </c>
      <c r="C1589">
        <v>357244</v>
      </c>
      <c r="F1589" s="7">
        <v>1</v>
      </c>
      <c r="G1589" s="7">
        <v>901</v>
      </c>
      <c r="H1589" s="8">
        <v>121</v>
      </c>
      <c r="J1589" t="s">
        <v>23</v>
      </c>
      <c r="K1589" s="7">
        <v>2229</v>
      </c>
      <c r="L1589" s="9">
        <v>1</v>
      </c>
      <c r="M1589" t="s">
        <v>250</v>
      </c>
      <c r="N1589" t="s">
        <v>251</v>
      </c>
      <c r="O1589" s="27" t="str">
        <f>HYPERLINK("https://www.ncbi.nlm.nih.gov/nuccore/NZ_CP009922.2?report=graph&amp;from=408185&amp;to=408189", "TTA_codon")</f>
        <v>TTA_codon</v>
      </c>
    </row>
    <row r="1590" spans="1:15" x14ac:dyDescent="0.15">
      <c r="A1590" t="s">
        <v>21</v>
      </c>
      <c r="B1590">
        <v>1000586</v>
      </c>
      <c r="C1590">
        <v>360327</v>
      </c>
      <c r="F1590" s="7">
        <v>1</v>
      </c>
      <c r="G1590" s="7">
        <v>994</v>
      </c>
      <c r="H1590" s="8">
        <v>310</v>
      </c>
      <c r="J1590" t="s">
        <v>23</v>
      </c>
      <c r="K1590" s="7">
        <v>2445</v>
      </c>
      <c r="L1590" s="9">
        <v>1</v>
      </c>
      <c r="M1590" t="s">
        <v>121</v>
      </c>
      <c r="N1590" t="s">
        <v>122</v>
      </c>
      <c r="O1590" s="27" t="str">
        <f>HYPERLINK("https://www.ncbi.nlm.nih.gov/nuccore/NZ_CP016279.1?report=graph&amp;from=3753295&amp;to=3753299", "TTA_codon")</f>
        <v>TTA_codon</v>
      </c>
    </row>
    <row r="1591" spans="1:15" x14ac:dyDescent="0.15">
      <c r="A1591" t="s">
        <v>21</v>
      </c>
      <c r="B1591">
        <v>1000586</v>
      </c>
      <c r="C1591">
        <v>364431</v>
      </c>
      <c r="F1591" s="7">
        <v>1</v>
      </c>
      <c r="G1591" s="7">
        <v>913</v>
      </c>
      <c r="H1591" s="8">
        <v>235</v>
      </c>
      <c r="J1591" t="s">
        <v>23</v>
      </c>
      <c r="K1591" s="7">
        <v>2544</v>
      </c>
      <c r="L1591" s="9">
        <v>1</v>
      </c>
      <c r="M1591" t="s">
        <v>1460</v>
      </c>
      <c r="N1591" t="s">
        <v>326</v>
      </c>
      <c r="O1591" s="27" t="str">
        <f>HYPERLINK("https://www.ncbi.nlm.nih.gov/nuccore/NZ_MUBL01000236.1?report=graph&amp;from=7191&amp;to=7195", "TTA_codon")</f>
        <v>TTA_codon</v>
      </c>
    </row>
    <row r="1592" spans="1:15" x14ac:dyDescent="0.15">
      <c r="A1592" t="s">
        <v>21</v>
      </c>
      <c r="B1592">
        <v>1000586</v>
      </c>
      <c r="C1592">
        <v>365195</v>
      </c>
      <c r="F1592" s="7">
        <v>1</v>
      </c>
      <c r="G1592" s="7">
        <v>1042</v>
      </c>
      <c r="H1592" s="8">
        <v>175</v>
      </c>
      <c r="J1592" t="s">
        <v>23</v>
      </c>
      <c r="K1592" s="7">
        <v>2034</v>
      </c>
      <c r="L1592" s="9">
        <v>1</v>
      </c>
      <c r="M1592" t="s">
        <v>1277</v>
      </c>
      <c r="N1592" t="s">
        <v>347</v>
      </c>
      <c r="O1592" s="27" t="str">
        <f>HYPERLINK("https://www.ncbi.nlm.nih.gov/nuccore/NZ_FNFF01000001.1?report=graph&amp;from=350874&amp;to=350878", "TTA_codon")</f>
        <v>TTA_codon</v>
      </c>
    </row>
    <row r="1593" spans="1:15" x14ac:dyDescent="0.15">
      <c r="A1593" t="s">
        <v>21</v>
      </c>
      <c r="B1593" t="s">
        <v>1461</v>
      </c>
    </row>
    <row r="1594" spans="1:15" x14ac:dyDescent="0.15">
      <c r="A1594" t="s">
        <v>21</v>
      </c>
      <c r="B1594">
        <v>1000478</v>
      </c>
      <c r="C1594">
        <v>349096</v>
      </c>
      <c r="F1594" s="7">
        <v>1</v>
      </c>
      <c r="G1594" s="7">
        <v>52</v>
      </c>
      <c r="H1594" s="8">
        <v>37</v>
      </c>
      <c r="J1594" t="s">
        <v>23</v>
      </c>
      <c r="K1594" s="7">
        <v>951</v>
      </c>
      <c r="L1594" s="9">
        <v>1</v>
      </c>
      <c r="M1594" t="s">
        <v>211</v>
      </c>
      <c r="N1594" t="s">
        <v>212</v>
      </c>
      <c r="O1594" s="27" t="str">
        <f>HYPERLINK("https://www.ncbi.nlm.nih.gov/nuccore/NZ_GG657754.1?report=graph&amp;from=4075044&amp;to=4075048", "TTA_codon")</f>
        <v>TTA_codon</v>
      </c>
    </row>
    <row r="1595" spans="1:15" x14ac:dyDescent="0.15">
      <c r="A1595" t="s">
        <v>21</v>
      </c>
      <c r="B1595">
        <v>1000478</v>
      </c>
      <c r="C1595">
        <v>349136</v>
      </c>
      <c r="F1595" s="7">
        <v>2</v>
      </c>
      <c r="G1595" s="7" t="s">
        <v>1462</v>
      </c>
      <c r="H1595" s="8" t="s">
        <v>1463</v>
      </c>
      <c r="J1595" t="s">
        <v>23</v>
      </c>
      <c r="K1595" s="7">
        <v>864</v>
      </c>
      <c r="L1595" s="9">
        <v>1</v>
      </c>
      <c r="M1595" t="s">
        <v>211</v>
      </c>
      <c r="N1595" t="s">
        <v>212</v>
      </c>
      <c r="O1595" s="27" t="str">
        <f>HYPERLINK("https://www.ncbi.nlm.nih.gov/nuccore/NZ_GG657754.1?report=graph&amp;from=3992007&amp;to=3992302", "TTA_codon")</f>
        <v>TTA_codon</v>
      </c>
    </row>
    <row r="1596" spans="1:15" x14ac:dyDescent="0.15">
      <c r="A1596" t="s">
        <v>21</v>
      </c>
      <c r="B1596">
        <v>1000478</v>
      </c>
      <c r="C1596">
        <v>358145</v>
      </c>
      <c r="F1596" s="7">
        <v>1</v>
      </c>
      <c r="G1596" s="7">
        <v>148</v>
      </c>
      <c r="H1596" s="8">
        <v>133</v>
      </c>
      <c r="J1596" t="s">
        <v>23</v>
      </c>
      <c r="K1596" s="7">
        <v>885</v>
      </c>
      <c r="L1596" s="9">
        <v>1</v>
      </c>
      <c r="M1596" t="s">
        <v>1203</v>
      </c>
      <c r="N1596" t="s">
        <v>119</v>
      </c>
      <c r="O1596" s="27" t="str">
        <f>HYPERLINK("https://www.ncbi.nlm.nih.gov/nuccore/NZ_LIPP01000437.1?report=graph&amp;from=5080&amp;to=5084", "TTA_codon")</f>
        <v>TTA_codon</v>
      </c>
    </row>
    <row r="1597" spans="1:15" x14ac:dyDescent="0.15">
      <c r="A1597" t="s">
        <v>21</v>
      </c>
      <c r="B1597">
        <v>1000478</v>
      </c>
      <c r="C1597">
        <v>364880</v>
      </c>
      <c r="F1597" s="7">
        <v>1</v>
      </c>
      <c r="G1597" s="7">
        <v>52</v>
      </c>
      <c r="H1597" s="8">
        <v>37</v>
      </c>
      <c r="J1597" t="s">
        <v>23</v>
      </c>
      <c r="K1597" s="7">
        <v>894</v>
      </c>
      <c r="L1597" s="9">
        <v>1</v>
      </c>
      <c r="M1597" t="s">
        <v>126</v>
      </c>
      <c r="N1597" t="s">
        <v>127</v>
      </c>
      <c r="O1597" s="27" t="str">
        <f>HYPERLINK("https://www.ncbi.nlm.nih.gov/nuccore/NZ_CP021748.1?report=graph&amp;from=4031255&amp;to=4031259", "TTA_codon")</f>
        <v>TTA_codon</v>
      </c>
    </row>
    <row r="1598" spans="1:15" x14ac:dyDescent="0.15">
      <c r="A1598" t="s">
        <v>21</v>
      </c>
      <c r="B1598" t="s">
        <v>1464</v>
      </c>
    </row>
    <row r="1599" spans="1:15" x14ac:dyDescent="0.15">
      <c r="A1599" t="s">
        <v>21</v>
      </c>
      <c r="B1599">
        <v>1001080</v>
      </c>
      <c r="C1599">
        <v>355321</v>
      </c>
      <c r="F1599" s="7">
        <v>1</v>
      </c>
      <c r="G1599" s="7">
        <v>103</v>
      </c>
      <c r="H1599" s="8">
        <v>103</v>
      </c>
      <c r="J1599" t="s">
        <v>23</v>
      </c>
      <c r="K1599" s="7">
        <v>735</v>
      </c>
      <c r="L1599" s="9">
        <v>1</v>
      </c>
      <c r="M1599" t="s">
        <v>294</v>
      </c>
      <c r="N1599" t="s">
        <v>295</v>
      </c>
      <c r="O1599" s="27" t="str">
        <f>HYPERLINK("https://www.ncbi.nlm.nih.gov/nuccore/NZ_JODL01000004.1?report=graph&amp;from=135283&amp;to=135287", "TTA_codon")</f>
        <v>TTA_codon</v>
      </c>
    </row>
    <row r="1600" spans="1:15" x14ac:dyDescent="0.15">
      <c r="A1600" t="s">
        <v>21</v>
      </c>
      <c r="B1600">
        <v>1001080</v>
      </c>
      <c r="C1600">
        <v>366141</v>
      </c>
      <c r="F1600" s="7">
        <v>1</v>
      </c>
      <c r="G1600" s="7">
        <v>103</v>
      </c>
      <c r="H1600" s="8">
        <v>103</v>
      </c>
      <c r="J1600" t="s">
        <v>23</v>
      </c>
      <c r="K1600" s="7">
        <v>726</v>
      </c>
      <c r="L1600" s="9">
        <v>1</v>
      </c>
      <c r="M1600" t="s">
        <v>256</v>
      </c>
      <c r="N1600" t="s">
        <v>257</v>
      </c>
      <c r="O1600" s="27" t="str">
        <f>HYPERLINK("https://www.ncbi.nlm.nih.gov/nuccore/NZ_FOET01000004.1?report=graph&amp;from=333946&amp;to=333950", "TTA_codon")</f>
        <v>TTA_codon</v>
      </c>
    </row>
    <row r="1601" spans="1:15" x14ac:dyDescent="0.15">
      <c r="A1601" t="s">
        <v>21</v>
      </c>
      <c r="B1601" t="s">
        <v>1465</v>
      </c>
    </row>
    <row r="1602" spans="1:15" x14ac:dyDescent="0.15">
      <c r="A1602" t="s">
        <v>21</v>
      </c>
      <c r="B1602">
        <v>1000805</v>
      </c>
      <c r="C1602">
        <v>352044</v>
      </c>
      <c r="F1602" s="7">
        <v>1</v>
      </c>
      <c r="G1602" s="7">
        <v>223</v>
      </c>
      <c r="H1602" s="8">
        <v>223</v>
      </c>
      <c r="J1602" t="s">
        <v>23</v>
      </c>
      <c r="K1602" s="7">
        <v>966</v>
      </c>
      <c r="L1602" s="9">
        <v>1</v>
      </c>
      <c r="M1602" t="s">
        <v>1466</v>
      </c>
      <c r="N1602" t="s">
        <v>70</v>
      </c>
      <c r="O1602" s="27" t="str">
        <f>HYPERLINK("https://www.ncbi.nlm.nih.gov/nuccore/NZ_KB904715.1?report=graph&amp;from=2926&amp;to=2930", "TTA_codon")</f>
        <v>TTA_codon</v>
      </c>
    </row>
    <row r="1603" spans="1:15" x14ac:dyDescent="0.15">
      <c r="A1603" t="s">
        <v>21</v>
      </c>
      <c r="B1603">
        <v>1000805</v>
      </c>
      <c r="C1603">
        <v>361541</v>
      </c>
      <c r="F1603" s="7">
        <v>1</v>
      </c>
      <c r="G1603" s="7">
        <v>202</v>
      </c>
      <c r="H1603" s="8">
        <v>154</v>
      </c>
      <c r="J1603" t="s">
        <v>23</v>
      </c>
      <c r="K1603" s="7">
        <v>882</v>
      </c>
      <c r="L1603" s="9">
        <v>1</v>
      </c>
      <c r="M1603" t="s">
        <v>37</v>
      </c>
      <c r="N1603" t="s">
        <v>38</v>
      </c>
      <c r="O1603" s="27" t="str">
        <f>HYPERLINK("https://www.ncbi.nlm.nih.gov/nuccore/NZ_CP011533.1?report=graph&amp;from=5847752&amp;to=5847756", "TTA_codon")</f>
        <v>TTA_codon</v>
      </c>
    </row>
    <row r="1604" spans="1:15" x14ac:dyDescent="0.15">
      <c r="A1604" t="s">
        <v>21</v>
      </c>
      <c r="B1604" t="s">
        <v>1467</v>
      </c>
    </row>
    <row r="1605" spans="1:15" x14ac:dyDescent="0.15">
      <c r="A1605" t="s">
        <v>21</v>
      </c>
      <c r="B1605">
        <v>1000769</v>
      </c>
      <c r="C1605">
        <v>351731</v>
      </c>
      <c r="F1605" s="7">
        <v>1</v>
      </c>
      <c r="G1605" s="7">
        <v>205</v>
      </c>
      <c r="H1605" s="8">
        <v>196</v>
      </c>
      <c r="J1605" t="s">
        <v>23</v>
      </c>
      <c r="K1605" s="7">
        <v>780</v>
      </c>
      <c r="L1605" s="9">
        <v>1</v>
      </c>
      <c r="M1605" t="s">
        <v>1468</v>
      </c>
      <c r="N1605" t="s">
        <v>68</v>
      </c>
      <c r="O1605" s="27" t="str">
        <f>HYPERLINK("https://www.ncbi.nlm.nih.gov/nuccore/NZ_BARG01000047.1?report=graph&amp;from=264236&amp;to=264240", "TTA_codon")</f>
        <v>TTA_codon</v>
      </c>
    </row>
    <row r="1606" spans="1:15" x14ac:dyDescent="0.15">
      <c r="A1606" t="s">
        <v>21</v>
      </c>
      <c r="B1606">
        <v>1000769</v>
      </c>
      <c r="C1606">
        <v>359005</v>
      </c>
      <c r="F1606" s="7">
        <v>1</v>
      </c>
      <c r="G1606" s="7">
        <v>91</v>
      </c>
      <c r="H1606" s="8">
        <v>91</v>
      </c>
      <c r="J1606" t="s">
        <v>23</v>
      </c>
      <c r="K1606" s="7">
        <v>804</v>
      </c>
      <c r="L1606" s="9">
        <v>1</v>
      </c>
      <c r="M1606" t="s">
        <v>1469</v>
      </c>
      <c r="N1606" t="s">
        <v>451</v>
      </c>
      <c r="O1606" s="27" t="str">
        <f>HYPERLINK("https://www.ncbi.nlm.nih.gov/nuccore/NZ_LIQZ01000269.1?report=graph&amp;from=12931&amp;to=12935", "TTA_codon")</f>
        <v>TTA_codon</v>
      </c>
    </row>
    <row r="1607" spans="1:15" x14ac:dyDescent="0.15">
      <c r="A1607" t="s">
        <v>21</v>
      </c>
      <c r="B1607" t="s">
        <v>1470</v>
      </c>
    </row>
    <row r="1608" spans="1:15" x14ac:dyDescent="0.15">
      <c r="A1608" t="s">
        <v>21</v>
      </c>
      <c r="B1608">
        <v>1000604</v>
      </c>
      <c r="C1608">
        <v>350289</v>
      </c>
      <c r="F1608" s="7">
        <v>1</v>
      </c>
      <c r="G1608" s="7">
        <v>916</v>
      </c>
      <c r="H1608" s="8">
        <v>910</v>
      </c>
      <c r="J1608" t="s">
        <v>23</v>
      </c>
      <c r="K1608" s="7">
        <v>1050</v>
      </c>
      <c r="L1608" s="9">
        <v>1</v>
      </c>
      <c r="M1608" t="s">
        <v>35</v>
      </c>
      <c r="N1608" t="s">
        <v>36</v>
      </c>
      <c r="O1608" s="27" t="str">
        <f>HYPERLINK("https://www.ncbi.nlm.nih.gov/nuccore/NZ_JH725387.1?report=graph&amp;from=1008866&amp;to=1008870", "TTA_codon")</f>
        <v>TTA_codon</v>
      </c>
    </row>
    <row r="1609" spans="1:15" x14ac:dyDescent="0.15">
      <c r="A1609" t="s">
        <v>21</v>
      </c>
      <c r="B1609">
        <v>1000604</v>
      </c>
      <c r="C1609">
        <v>351741</v>
      </c>
      <c r="F1609" s="7">
        <v>1</v>
      </c>
      <c r="G1609" s="7">
        <v>799</v>
      </c>
      <c r="H1609" s="8">
        <v>268</v>
      </c>
      <c r="J1609" t="s">
        <v>23</v>
      </c>
      <c r="K1609" s="7">
        <v>525</v>
      </c>
      <c r="L1609" s="9">
        <v>1</v>
      </c>
      <c r="M1609" t="s">
        <v>1471</v>
      </c>
      <c r="N1609" t="s">
        <v>68</v>
      </c>
      <c r="O1609" s="27" t="str">
        <f>HYPERLINK("https://www.ncbi.nlm.nih.gov/nuccore/NZ_BARG01000094.1?report=graph&amp;from=58410&amp;to=58414", "TTA_codon")</f>
        <v>TTA_codon</v>
      </c>
    </row>
    <row r="1610" spans="1:15" x14ac:dyDescent="0.15">
      <c r="A1610" t="s">
        <v>195</v>
      </c>
      <c r="B1610" t="s">
        <v>1472</v>
      </c>
    </row>
    <row r="1611" spans="1:15" x14ac:dyDescent="0.15">
      <c r="A1611" t="s">
        <v>195</v>
      </c>
      <c r="B1611">
        <v>1000016</v>
      </c>
      <c r="C1611">
        <v>346061</v>
      </c>
      <c r="F1611" s="7">
        <v>1</v>
      </c>
      <c r="G1611" s="7">
        <v>154</v>
      </c>
      <c r="H1611" s="8">
        <v>154</v>
      </c>
      <c r="J1611" t="s">
        <v>23</v>
      </c>
      <c r="K1611" s="7">
        <v>1326</v>
      </c>
      <c r="L1611" s="9">
        <v>1</v>
      </c>
      <c r="M1611" t="s">
        <v>59</v>
      </c>
      <c r="N1611" t="s">
        <v>60</v>
      </c>
      <c r="O1611" s="27" t="str">
        <f>HYPERLINK("https://www.ncbi.nlm.nih.gov/nuccore/NC_016582.1?report=graph&amp;from=959275&amp;to=959279", "TTA_codon")</f>
        <v>TTA_codon</v>
      </c>
    </row>
    <row r="1612" spans="1:15" x14ac:dyDescent="0.15">
      <c r="A1612" t="s">
        <v>21</v>
      </c>
      <c r="B1612">
        <v>1000016</v>
      </c>
      <c r="C1612">
        <v>361898</v>
      </c>
      <c r="F1612" s="7">
        <v>1</v>
      </c>
      <c r="G1612" s="7">
        <v>154</v>
      </c>
      <c r="H1612" s="8">
        <v>154</v>
      </c>
      <c r="J1612" t="s">
        <v>23</v>
      </c>
      <c r="K1612" s="7">
        <v>1326</v>
      </c>
      <c r="L1612" s="9">
        <v>1</v>
      </c>
      <c r="M1612" t="s">
        <v>1473</v>
      </c>
      <c r="N1612" t="s">
        <v>187</v>
      </c>
      <c r="O1612" s="27" t="str">
        <f>HYPERLINK("https://www.ncbi.nlm.nih.gov/nuccore/NZ_MAXF01000210.1?report=graph&amp;from=18991&amp;to=18995", "TTA_codon")</f>
        <v>TTA_codon</v>
      </c>
    </row>
    <row r="1613" spans="1:15" x14ac:dyDescent="0.15">
      <c r="A1613" t="s">
        <v>21</v>
      </c>
      <c r="B1613" t="s">
        <v>1474</v>
      </c>
    </row>
    <row r="1614" spans="1:15" x14ac:dyDescent="0.15">
      <c r="A1614" t="s">
        <v>21</v>
      </c>
      <c r="B1614">
        <v>1000481</v>
      </c>
      <c r="C1614">
        <v>349192</v>
      </c>
      <c r="F1614" s="7">
        <v>1</v>
      </c>
      <c r="G1614" s="7">
        <v>397</v>
      </c>
      <c r="H1614" s="8">
        <v>397</v>
      </c>
      <c r="J1614" t="s">
        <v>23</v>
      </c>
      <c r="K1614" s="7">
        <v>1116</v>
      </c>
      <c r="L1614" s="9">
        <v>-1</v>
      </c>
      <c r="M1614" t="s">
        <v>211</v>
      </c>
      <c r="N1614" t="s">
        <v>212</v>
      </c>
      <c r="O1614" s="27" t="str">
        <f>HYPERLINK("https://www.ncbi.nlm.nih.gov/nuccore/NZ_GG657754.1?report=graph&amp;from=6475440&amp;to=6475444", "TTA_codon")</f>
        <v>TTA_codon</v>
      </c>
    </row>
    <row r="1615" spans="1:15" x14ac:dyDescent="0.15">
      <c r="A1615" t="s">
        <v>21</v>
      </c>
      <c r="B1615">
        <v>1000481</v>
      </c>
      <c r="C1615">
        <v>356931</v>
      </c>
      <c r="F1615" s="7">
        <v>2</v>
      </c>
      <c r="G1615" s="7" t="s">
        <v>1475</v>
      </c>
      <c r="H1615" s="8" t="s">
        <v>1476</v>
      </c>
      <c r="J1615" t="s">
        <v>23</v>
      </c>
      <c r="K1615" s="7">
        <v>1101</v>
      </c>
      <c r="L1615" s="9">
        <v>-1</v>
      </c>
      <c r="M1615" t="s">
        <v>78</v>
      </c>
      <c r="N1615" t="s">
        <v>79</v>
      </c>
      <c r="O1615" s="27" t="str">
        <f>HYPERLINK("https://www.ncbi.nlm.nih.gov/nuccore/NZ_CP009313.1?report=graph&amp;from=6335495&amp;to=6335772", "TTA_codon")</f>
        <v>TTA_codon</v>
      </c>
    </row>
    <row r="1616" spans="1:15" x14ac:dyDescent="0.15">
      <c r="A1616" t="s">
        <v>21</v>
      </c>
      <c r="B1616" t="s">
        <v>1477</v>
      </c>
    </row>
    <row r="1617" spans="1:15" x14ac:dyDescent="0.15">
      <c r="A1617" t="s">
        <v>21</v>
      </c>
      <c r="B1617">
        <v>1001507</v>
      </c>
      <c r="C1617">
        <v>358201</v>
      </c>
      <c r="F1617" s="7">
        <v>3</v>
      </c>
      <c r="G1617" s="7" t="s">
        <v>1478</v>
      </c>
      <c r="H1617" s="8" t="s">
        <v>1479</v>
      </c>
      <c r="J1617" t="s">
        <v>23</v>
      </c>
      <c r="K1617" s="7">
        <v>2664</v>
      </c>
      <c r="L1617" s="9">
        <v>-1</v>
      </c>
      <c r="M1617" t="s">
        <v>1480</v>
      </c>
      <c r="N1617" t="s">
        <v>119</v>
      </c>
      <c r="O1617" s="27" t="str">
        <f>HYPERLINK("https://www.ncbi.nlm.nih.gov/nuccore/NZ_LIPP01000311.1?report=graph&amp;from=8527&amp;to=9617", "TTA_codon")</f>
        <v>TTA_codon</v>
      </c>
    </row>
    <row r="1618" spans="1:15" x14ac:dyDescent="0.15">
      <c r="A1618" t="s">
        <v>21</v>
      </c>
      <c r="B1618">
        <v>1001507</v>
      </c>
      <c r="C1618">
        <v>365729</v>
      </c>
      <c r="F1618" s="7">
        <v>1</v>
      </c>
      <c r="G1618" s="7">
        <v>2470</v>
      </c>
      <c r="H1618" s="8">
        <v>1444</v>
      </c>
      <c r="J1618" t="s">
        <v>23</v>
      </c>
      <c r="K1618" s="7">
        <v>1791</v>
      </c>
      <c r="L1618" s="9">
        <v>-1</v>
      </c>
      <c r="M1618" t="s">
        <v>213</v>
      </c>
      <c r="N1618" t="s">
        <v>214</v>
      </c>
      <c r="O1618" s="27" t="str">
        <f>HYPERLINK("https://www.ncbi.nlm.nih.gov/nuccore/NZ_FNST01000002.1?report=graph&amp;from=6786397&amp;to=6786401", "TTA_codon")</f>
        <v>TTA_codon</v>
      </c>
    </row>
    <row r="1619" spans="1:15" x14ac:dyDescent="0.15">
      <c r="A1619" t="s">
        <v>21</v>
      </c>
      <c r="B1619" t="s">
        <v>1481</v>
      </c>
    </row>
    <row r="1620" spans="1:15" x14ac:dyDescent="0.15">
      <c r="A1620" t="s">
        <v>21</v>
      </c>
      <c r="B1620">
        <v>1000956</v>
      </c>
      <c r="C1620">
        <v>353585</v>
      </c>
      <c r="F1620" s="7">
        <v>1</v>
      </c>
      <c r="G1620" s="7">
        <v>286</v>
      </c>
      <c r="H1620" s="8">
        <v>280</v>
      </c>
      <c r="J1620" t="s">
        <v>23</v>
      </c>
      <c r="K1620" s="7">
        <v>1131</v>
      </c>
      <c r="L1620" s="9">
        <v>-1</v>
      </c>
      <c r="M1620" t="s">
        <v>1019</v>
      </c>
      <c r="N1620" t="s">
        <v>140</v>
      </c>
      <c r="O1620" s="27" t="str">
        <f>HYPERLINK("https://www.ncbi.nlm.nih.gov/nuccore/NZ_JNXG01000002.1?report=graph&amp;from=904272&amp;to=904276", "TTA_codon")</f>
        <v>TTA_codon</v>
      </c>
    </row>
    <row r="1621" spans="1:15" x14ac:dyDescent="0.15">
      <c r="A1621" t="s">
        <v>21</v>
      </c>
      <c r="B1621">
        <v>1000956</v>
      </c>
      <c r="C1621">
        <v>354018</v>
      </c>
      <c r="F1621" s="7">
        <v>1</v>
      </c>
      <c r="G1621" s="7">
        <v>316</v>
      </c>
      <c r="H1621" s="8">
        <v>301</v>
      </c>
      <c r="J1621" t="s">
        <v>23</v>
      </c>
      <c r="K1621" s="7">
        <v>1137</v>
      </c>
      <c r="L1621" s="9">
        <v>-1</v>
      </c>
      <c r="M1621" t="s">
        <v>1482</v>
      </c>
      <c r="N1621" t="s">
        <v>270</v>
      </c>
      <c r="O1621" s="27" t="str">
        <f>HYPERLINK("https://www.ncbi.nlm.nih.gov/nuccore/NZ_JOBH01000017.1?report=graph&amp;from=122773&amp;to=122777", "TTA_codon")</f>
        <v>TTA_codon</v>
      </c>
    </row>
    <row r="1622" spans="1:15" x14ac:dyDescent="0.15">
      <c r="A1622" t="s">
        <v>21</v>
      </c>
      <c r="B1622">
        <v>1000956</v>
      </c>
      <c r="C1622">
        <v>363114</v>
      </c>
      <c r="F1622" s="7">
        <v>1</v>
      </c>
      <c r="G1622" s="7">
        <v>286</v>
      </c>
      <c r="H1622" s="8">
        <v>286</v>
      </c>
      <c r="J1622" t="s">
        <v>23</v>
      </c>
      <c r="K1622" s="7">
        <v>1164</v>
      </c>
      <c r="L1622" s="9">
        <v>-1</v>
      </c>
      <c r="M1622" t="s">
        <v>1483</v>
      </c>
      <c r="N1622" t="s">
        <v>401</v>
      </c>
      <c r="O1622" s="27" t="str">
        <f>HYPERLINK("https://www.ncbi.nlm.nih.gov/nuccore/NZ_LFBV01000001.1?report=graph&amp;from=1735904&amp;to=1735908", "TTA_codon")</f>
        <v>TTA_codon</v>
      </c>
    </row>
    <row r="1623" spans="1:15" x14ac:dyDescent="0.15">
      <c r="A1623" t="s">
        <v>21</v>
      </c>
      <c r="B1623">
        <v>1000956</v>
      </c>
      <c r="C1623">
        <v>364314</v>
      </c>
      <c r="F1623" s="7">
        <v>1</v>
      </c>
      <c r="G1623" s="7">
        <v>370</v>
      </c>
      <c r="H1623" s="8">
        <v>364</v>
      </c>
      <c r="J1623" t="s">
        <v>23</v>
      </c>
      <c r="K1623" s="7">
        <v>1095</v>
      </c>
      <c r="L1623" s="9">
        <v>-1</v>
      </c>
      <c r="M1623" t="s">
        <v>105</v>
      </c>
      <c r="N1623" t="s">
        <v>106</v>
      </c>
      <c r="O1623" s="27" t="str">
        <f>HYPERLINK("https://www.ncbi.nlm.nih.gov/nuccore/NZ_CP020042.1?report=graph&amp;from=5119430&amp;to=5119434", "TTA_codon")</f>
        <v>TTA_codon</v>
      </c>
    </row>
    <row r="1624" spans="1:15" x14ac:dyDescent="0.15">
      <c r="A1624" t="s">
        <v>21</v>
      </c>
      <c r="B1624" t="s">
        <v>1484</v>
      </c>
    </row>
    <row r="1625" spans="1:15" x14ac:dyDescent="0.15">
      <c r="A1625" t="s">
        <v>21</v>
      </c>
      <c r="B1625">
        <v>1000263</v>
      </c>
      <c r="C1625">
        <v>347740</v>
      </c>
      <c r="F1625" s="7">
        <v>1</v>
      </c>
      <c r="G1625" s="7">
        <v>46</v>
      </c>
      <c r="H1625" s="8">
        <v>40</v>
      </c>
      <c r="J1625" t="s">
        <v>23</v>
      </c>
      <c r="K1625" s="7">
        <v>366</v>
      </c>
      <c r="L1625" s="9">
        <v>1</v>
      </c>
      <c r="M1625" t="s">
        <v>57</v>
      </c>
      <c r="N1625" t="s">
        <v>58</v>
      </c>
      <c r="O1625" s="27" t="str">
        <f>HYPERLINK("https://www.ncbi.nlm.nih.gov/nuccore/NC_013929.1?report=graph&amp;from=8748389&amp;to=8748393", "TTA_codon")</f>
        <v>TTA_codon</v>
      </c>
    </row>
    <row r="1626" spans="1:15" x14ac:dyDescent="0.15">
      <c r="A1626" t="s">
        <v>21</v>
      </c>
      <c r="B1626">
        <v>1000263</v>
      </c>
      <c r="C1626">
        <v>349292</v>
      </c>
      <c r="F1626" s="7">
        <v>1</v>
      </c>
      <c r="G1626" s="7">
        <v>46</v>
      </c>
      <c r="H1626" s="8">
        <v>40</v>
      </c>
      <c r="J1626" t="s">
        <v>23</v>
      </c>
      <c r="K1626" s="7">
        <v>363</v>
      </c>
      <c r="L1626" s="9">
        <v>1</v>
      </c>
      <c r="M1626" t="s">
        <v>458</v>
      </c>
      <c r="N1626" t="s">
        <v>315</v>
      </c>
      <c r="O1626" s="27" t="str">
        <f>HYPERLINK("https://www.ncbi.nlm.nih.gov/nuccore/NC_003888.3?report=graph&amp;from=8278464&amp;to=8278468", "TTA_codon")</f>
        <v>TTA_codon</v>
      </c>
    </row>
    <row r="1627" spans="1:15" x14ac:dyDescent="0.15">
      <c r="A1627" t="s">
        <v>21</v>
      </c>
      <c r="B1627">
        <v>1000263</v>
      </c>
      <c r="C1627">
        <v>349906</v>
      </c>
      <c r="F1627" s="7">
        <v>1</v>
      </c>
      <c r="G1627" s="7">
        <v>46</v>
      </c>
      <c r="H1627" s="8">
        <v>40</v>
      </c>
      <c r="J1627" t="s">
        <v>23</v>
      </c>
      <c r="K1627" s="7">
        <v>363</v>
      </c>
      <c r="L1627" s="9">
        <v>1</v>
      </c>
      <c r="M1627" t="s">
        <v>1485</v>
      </c>
      <c r="N1627" t="s">
        <v>249</v>
      </c>
      <c r="O1627" s="27" t="str">
        <f>HYPERLINK("https://www.ncbi.nlm.nih.gov/nuccore/NZ_AHBF01000094.1?report=graph&amp;from=68746&amp;to=68750", "TTA_codon")</f>
        <v>TTA_codon</v>
      </c>
    </row>
    <row r="1628" spans="1:15" x14ac:dyDescent="0.15">
      <c r="A1628" t="s">
        <v>21</v>
      </c>
      <c r="B1628">
        <v>1000263</v>
      </c>
      <c r="C1628">
        <v>358320</v>
      </c>
      <c r="F1628" s="7">
        <v>1</v>
      </c>
      <c r="G1628" s="7">
        <v>46</v>
      </c>
      <c r="H1628" s="8">
        <v>40</v>
      </c>
      <c r="J1628" t="s">
        <v>23</v>
      </c>
      <c r="K1628" s="7">
        <v>363</v>
      </c>
      <c r="L1628" s="9">
        <v>1</v>
      </c>
      <c r="M1628" t="s">
        <v>1486</v>
      </c>
      <c r="N1628" t="s">
        <v>85</v>
      </c>
      <c r="O1628" s="27" t="str">
        <f>HYPERLINK("https://www.ncbi.nlm.nih.gov/nuccore/NZ_LIQX01000089.1?report=graph&amp;from=11488&amp;to=11492", "TTA_codon")</f>
        <v>TTA_codon</v>
      </c>
    </row>
    <row r="1629" spans="1:15" x14ac:dyDescent="0.15">
      <c r="A1629" t="s">
        <v>21</v>
      </c>
      <c r="B1629">
        <v>1000263</v>
      </c>
      <c r="C1629">
        <v>363902</v>
      </c>
      <c r="F1629" s="7">
        <v>1</v>
      </c>
      <c r="G1629" s="7">
        <v>46</v>
      </c>
      <c r="H1629" s="8">
        <v>46</v>
      </c>
      <c r="J1629" t="s">
        <v>23</v>
      </c>
      <c r="K1629" s="7">
        <v>369</v>
      </c>
      <c r="L1629" s="9">
        <v>1</v>
      </c>
      <c r="M1629" t="s">
        <v>1487</v>
      </c>
      <c r="N1629" t="s">
        <v>104</v>
      </c>
      <c r="O1629" s="27" t="str">
        <f>HYPERLINK("https://www.ncbi.nlm.nih.gov/nuccore/NZ_MVFC01000013.1?report=graph&amp;from=2522&amp;to=2526", "TTA_codon")</f>
        <v>TTA_codon</v>
      </c>
    </row>
    <row r="1630" spans="1:15" x14ac:dyDescent="0.15">
      <c r="A1630" t="s">
        <v>21</v>
      </c>
      <c r="B1630">
        <v>1000263</v>
      </c>
      <c r="C1630">
        <v>364531</v>
      </c>
      <c r="F1630" s="7">
        <v>1</v>
      </c>
      <c r="G1630" s="7">
        <v>46</v>
      </c>
      <c r="H1630" s="8">
        <v>40</v>
      </c>
      <c r="J1630" t="s">
        <v>23</v>
      </c>
      <c r="K1630" s="7">
        <v>363</v>
      </c>
      <c r="L1630" s="9">
        <v>1</v>
      </c>
      <c r="M1630" t="s">
        <v>1488</v>
      </c>
      <c r="N1630" t="s">
        <v>108</v>
      </c>
      <c r="O1630" s="27" t="str">
        <f>HYPERLINK("https://www.ncbi.nlm.nih.gov/nuccore/NZ_MUMD01000215.1?report=graph&amp;from=35709&amp;to=35713", "TTA_codon")</f>
        <v>TTA_codon</v>
      </c>
    </row>
    <row r="1631" spans="1:15" x14ac:dyDescent="0.15">
      <c r="A1631" t="s">
        <v>195</v>
      </c>
      <c r="B1631" t="s">
        <v>1489</v>
      </c>
    </row>
    <row r="1632" spans="1:15" x14ac:dyDescent="0.15">
      <c r="A1632" t="s">
        <v>195</v>
      </c>
      <c r="B1632">
        <v>1000091</v>
      </c>
      <c r="C1632">
        <v>346582</v>
      </c>
      <c r="F1632" s="7">
        <v>1</v>
      </c>
      <c r="G1632" s="7">
        <v>154</v>
      </c>
      <c r="H1632" s="8">
        <v>70</v>
      </c>
      <c r="J1632" t="s">
        <v>23</v>
      </c>
      <c r="K1632" s="7">
        <v>807</v>
      </c>
      <c r="L1632" s="9">
        <v>1</v>
      </c>
      <c r="M1632" t="s">
        <v>250</v>
      </c>
      <c r="N1632" t="s">
        <v>251</v>
      </c>
      <c r="O1632" s="27" t="str">
        <f>HYPERLINK("https://www.ncbi.nlm.nih.gov/nuccore/NZ_CP009922.2?report=graph&amp;from=3358506&amp;to=3358510", "TTA_codon")</f>
        <v>TTA_codon</v>
      </c>
    </row>
    <row r="1633" spans="1:15" x14ac:dyDescent="0.15">
      <c r="A1633" t="s">
        <v>21</v>
      </c>
      <c r="B1633">
        <v>1000091</v>
      </c>
      <c r="C1633">
        <v>362219</v>
      </c>
      <c r="F1633" s="7">
        <v>1</v>
      </c>
      <c r="G1633" s="7">
        <v>154</v>
      </c>
      <c r="H1633" s="8">
        <v>154</v>
      </c>
      <c r="J1633" t="s">
        <v>23</v>
      </c>
      <c r="K1633" s="7">
        <v>933</v>
      </c>
      <c r="L1633" s="9">
        <v>1</v>
      </c>
      <c r="M1633" t="s">
        <v>39</v>
      </c>
      <c r="N1633" t="s">
        <v>40</v>
      </c>
      <c r="O1633" s="27" t="str">
        <f>HYPERLINK("https://www.ncbi.nlm.nih.gov/nuccore/NZ_CP017157.1?report=graph&amp;from=5968539&amp;to=5968543", "TTA_codon")</f>
        <v>TTA_codon</v>
      </c>
    </row>
    <row r="1634" spans="1:15" x14ac:dyDescent="0.15">
      <c r="A1634" t="s">
        <v>21</v>
      </c>
      <c r="B1634" t="s">
        <v>1490</v>
      </c>
    </row>
    <row r="1635" spans="1:15" x14ac:dyDescent="0.15">
      <c r="A1635" t="s">
        <v>21</v>
      </c>
      <c r="B1635">
        <v>1000563</v>
      </c>
      <c r="C1635">
        <v>349925</v>
      </c>
      <c r="F1635" s="7">
        <v>1</v>
      </c>
      <c r="G1635" s="7">
        <v>97</v>
      </c>
      <c r="H1635" s="8">
        <v>97</v>
      </c>
      <c r="J1635" t="s">
        <v>23</v>
      </c>
      <c r="K1635" s="7">
        <v>831</v>
      </c>
      <c r="L1635" s="9">
        <v>-1</v>
      </c>
      <c r="M1635" t="s">
        <v>1491</v>
      </c>
      <c r="N1635" t="s">
        <v>249</v>
      </c>
      <c r="O1635" s="27" t="str">
        <f>HYPERLINK("https://www.ncbi.nlm.nih.gov/nuccore/NZ_AHBF01000017.1?report=graph&amp;from=126030&amp;to=126034", "TTA_codon")</f>
        <v>TTA_codon</v>
      </c>
    </row>
    <row r="1636" spans="1:15" x14ac:dyDescent="0.15">
      <c r="A1636" t="s">
        <v>21</v>
      </c>
      <c r="B1636">
        <v>1000563</v>
      </c>
      <c r="C1636">
        <v>354154</v>
      </c>
      <c r="F1636" s="7">
        <v>1</v>
      </c>
      <c r="G1636" s="7">
        <v>70</v>
      </c>
      <c r="H1636" s="8">
        <v>70</v>
      </c>
      <c r="J1636" t="s">
        <v>23</v>
      </c>
      <c r="K1636" s="7">
        <v>840</v>
      </c>
      <c r="L1636" s="9">
        <v>-1</v>
      </c>
      <c r="M1636" t="s">
        <v>1492</v>
      </c>
      <c r="N1636" t="s">
        <v>361</v>
      </c>
      <c r="O1636" s="27" t="str">
        <f>HYPERLINK("https://www.ncbi.nlm.nih.gov/nuccore/NZ_JODY01000045.1?report=graph&amp;from=36807&amp;to=36811", "TTA_codon")</f>
        <v>TTA_codon</v>
      </c>
    </row>
    <row r="1637" spans="1:15" x14ac:dyDescent="0.15">
      <c r="A1637" t="s">
        <v>21</v>
      </c>
      <c r="B1637">
        <v>1000563</v>
      </c>
      <c r="C1637">
        <v>355594</v>
      </c>
      <c r="F1637" s="7">
        <v>1</v>
      </c>
      <c r="G1637" s="7">
        <v>64</v>
      </c>
      <c r="H1637" s="8">
        <v>64</v>
      </c>
      <c r="J1637" t="s">
        <v>23</v>
      </c>
      <c r="K1637" s="7">
        <v>837</v>
      </c>
      <c r="L1637" s="9">
        <v>-1</v>
      </c>
      <c r="M1637" t="s">
        <v>1493</v>
      </c>
      <c r="N1637" t="s">
        <v>278</v>
      </c>
      <c r="O1637" s="27" t="str">
        <f>HYPERLINK("https://www.ncbi.nlm.nih.gov/nuccore/NZ_JOID01000021.1?report=graph&amp;from=82257&amp;to=82261", "TTA_codon")</f>
        <v>TTA_codon</v>
      </c>
    </row>
    <row r="1638" spans="1:15" x14ac:dyDescent="0.15">
      <c r="A1638" t="s">
        <v>21</v>
      </c>
      <c r="B1638">
        <v>1000563</v>
      </c>
      <c r="C1638">
        <v>360031</v>
      </c>
      <c r="F1638" s="7">
        <v>1</v>
      </c>
      <c r="G1638" s="7">
        <v>73</v>
      </c>
      <c r="H1638" s="8">
        <v>73</v>
      </c>
      <c r="J1638" t="s">
        <v>23</v>
      </c>
      <c r="K1638" s="7">
        <v>828</v>
      </c>
      <c r="L1638" s="9">
        <v>-1</v>
      </c>
      <c r="M1638" t="s">
        <v>1494</v>
      </c>
      <c r="N1638" t="s">
        <v>125</v>
      </c>
      <c r="O1638" s="27" t="str">
        <f>HYPERLINK("https://www.ncbi.nlm.nih.gov/nuccore/NZ_KQ948464.1?report=graph&amp;from=54332&amp;to=54336", "TTA_codon")</f>
        <v>TTA_codon</v>
      </c>
    </row>
    <row r="1639" spans="1:15" x14ac:dyDescent="0.15">
      <c r="A1639" t="s">
        <v>21</v>
      </c>
      <c r="B1639">
        <v>1000563</v>
      </c>
      <c r="C1639">
        <v>363246</v>
      </c>
      <c r="F1639" s="7">
        <v>1</v>
      </c>
      <c r="G1639" s="7">
        <v>64</v>
      </c>
      <c r="H1639" s="8">
        <v>64</v>
      </c>
      <c r="J1639" t="s">
        <v>23</v>
      </c>
      <c r="K1639" s="7">
        <v>828</v>
      </c>
      <c r="L1639" s="9">
        <v>-1</v>
      </c>
      <c r="M1639" t="s">
        <v>1495</v>
      </c>
      <c r="N1639" t="s">
        <v>28</v>
      </c>
      <c r="O1639" s="27" t="str">
        <f>HYPERLINK("https://www.ncbi.nlm.nih.gov/nuccore/NZ_JUJA01000158.1?report=graph&amp;from=6440&amp;to=6444", "TTA_codon")</f>
        <v>TTA_codon</v>
      </c>
    </row>
    <row r="1640" spans="1:15" x14ac:dyDescent="0.15">
      <c r="A1640" t="s">
        <v>21</v>
      </c>
      <c r="B1640" t="s">
        <v>1496</v>
      </c>
    </row>
    <row r="1641" spans="1:15" x14ac:dyDescent="0.15">
      <c r="A1641" t="s">
        <v>21</v>
      </c>
      <c r="B1641">
        <v>1001160</v>
      </c>
      <c r="C1641">
        <v>356321</v>
      </c>
      <c r="F1641" s="7">
        <v>1</v>
      </c>
      <c r="G1641" s="7">
        <v>40</v>
      </c>
      <c r="H1641" s="8">
        <v>40</v>
      </c>
      <c r="J1641" t="s">
        <v>23</v>
      </c>
      <c r="K1641" s="7">
        <v>351</v>
      </c>
      <c r="L1641" s="9">
        <v>-1</v>
      </c>
      <c r="M1641" t="s">
        <v>1317</v>
      </c>
      <c r="N1641" t="s">
        <v>77</v>
      </c>
      <c r="O1641" s="27" t="str">
        <f>HYPERLINK("https://www.ncbi.nlm.nih.gov/nuccore/NZ_JNXD01000011.1?report=graph&amp;from=116789&amp;to=116793", "TTA_codon")</f>
        <v>TTA_codon</v>
      </c>
    </row>
    <row r="1642" spans="1:15" x14ac:dyDescent="0.15">
      <c r="A1642" t="s">
        <v>21</v>
      </c>
      <c r="B1642">
        <v>1001160</v>
      </c>
      <c r="C1642">
        <v>357899</v>
      </c>
      <c r="F1642" s="7">
        <v>1</v>
      </c>
      <c r="G1642" s="7">
        <v>40</v>
      </c>
      <c r="H1642" s="8">
        <v>40</v>
      </c>
      <c r="J1642" t="s">
        <v>23</v>
      </c>
      <c r="K1642" s="7">
        <v>351</v>
      </c>
      <c r="L1642" s="9">
        <v>-1</v>
      </c>
      <c r="M1642" t="s">
        <v>1497</v>
      </c>
      <c r="N1642" t="s">
        <v>83</v>
      </c>
      <c r="O1642" s="27" t="str">
        <f>HYPERLINK("https://www.ncbi.nlm.nih.gov/nuccore/NZ_DF968243.1?report=graph&amp;from=16888&amp;to=16892", "TTA_codon")</f>
        <v>TTA_codon</v>
      </c>
    </row>
    <row r="1643" spans="1:15" x14ac:dyDescent="0.15">
      <c r="A1643" t="s">
        <v>21</v>
      </c>
      <c r="B1643" t="s">
        <v>1498</v>
      </c>
    </row>
    <row r="1644" spans="1:15" x14ac:dyDescent="0.15">
      <c r="A1644" t="s">
        <v>21</v>
      </c>
      <c r="B1644">
        <v>1000683</v>
      </c>
      <c r="C1644">
        <v>350856</v>
      </c>
      <c r="F1644" s="7">
        <v>1</v>
      </c>
      <c r="G1644" s="7">
        <v>112</v>
      </c>
      <c r="H1644" s="8">
        <v>112</v>
      </c>
      <c r="J1644" t="s">
        <v>23</v>
      </c>
      <c r="K1644" s="7">
        <v>408</v>
      </c>
      <c r="L1644" s="9">
        <v>-1</v>
      </c>
      <c r="M1644" t="s">
        <v>1499</v>
      </c>
      <c r="N1644" t="s">
        <v>51</v>
      </c>
      <c r="O1644" s="27" t="str">
        <f>HYPERLINK("https://www.ncbi.nlm.nih.gov/nuccore/NZ_AEJB01000020.1?report=graph&amp;from=5452&amp;to=5456", "TTA_codon")</f>
        <v>TTA_codon</v>
      </c>
    </row>
    <row r="1645" spans="1:15" x14ac:dyDescent="0.15">
      <c r="A1645" t="s">
        <v>21</v>
      </c>
      <c r="B1645">
        <v>1000683</v>
      </c>
      <c r="C1645">
        <v>357853</v>
      </c>
      <c r="F1645" s="7">
        <v>1</v>
      </c>
      <c r="G1645" s="7">
        <v>112</v>
      </c>
      <c r="H1645" s="8">
        <v>112</v>
      </c>
      <c r="J1645" t="s">
        <v>23</v>
      </c>
      <c r="K1645" s="7">
        <v>423</v>
      </c>
      <c r="L1645" s="9">
        <v>-1</v>
      </c>
      <c r="M1645" t="s">
        <v>1500</v>
      </c>
      <c r="N1645" t="s">
        <v>83</v>
      </c>
      <c r="O1645" s="27" t="str">
        <f>HYPERLINK("https://www.ncbi.nlm.nih.gov/nuccore/NZ_DF968210.1?report=graph&amp;from=3009&amp;to=3013", "TTA_codon")</f>
        <v>TTA_codon</v>
      </c>
    </row>
    <row r="1646" spans="1:15" x14ac:dyDescent="0.15">
      <c r="A1646" t="s">
        <v>21</v>
      </c>
      <c r="B1646">
        <v>1000683</v>
      </c>
      <c r="C1646">
        <v>360215</v>
      </c>
      <c r="F1646" s="7">
        <v>1</v>
      </c>
      <c r="G1646" s="7">
        <v>112</v>
      </c>
      <c r="H1646" s="8">
        <v>112</v>
      </c>
      <c r="J1646" t="s">
        <v>23</v>
      </c>
      <c r="K1646" s="7">
        <v>408</v>
      </c>
      <c r="L1646" s="9">
        <v>-1</v>
      </c>
      <c r="M1646" t="s">
        <v>1501</v>
      </c>
      <c r="N1646" t="s">
        <v>125</v>
      </c>
      <c r="O1646" s="27" t="str">
        <f>HYPERLINK("https://www.ncbi.nlm.nih.gov/nuccore/NZ_KQ948472.1?report=graph&amp;from=89964&amp;to=89968", "TTA_codon")</f>
        <v>TTA_codon</v>
      </c>
    </row>
    <row r="1647" spans="1:15" x14ac:dyDescent="0.15">
      <c r="A1647" t="s">
        <v>21</v>
      </c>
      <c r="B1647" t="s">
        <v>1502</v>
      </c>
    </row>
    <row r="1648" spans="1:15" x14ac:dyDescent="0.15">
      <c r="A1648" t="s">
        <v>21</v>
      </c>
      <c r="B1648">
        <v>1001351</v>
      </c>
      <c r="C1648">
        <v>360851</v>
      </c>
      <c r="F1648" s="7">
        <v>1</v>
      </c>
      <c r="G1648" s="7">
        <v>436</v>
      </c>
      <c r="H1648" s="8">
        <v>430</v>
      </c>
      <c r="J1648" t="s">
        <v>23</v>
      </c>
      <c r="K1648" s="7">
        <v>1578</v>
      </c>
      <c r="L1648" s="9">
        <v>-1</v>
      </c>
      <c r="M1648" t="s">
        <v>1503</v>
      </c>
      <c r="N1648" t="s">
        <v>95</v>
      </c>
      <c r="O1648" s="27" t="str">
        <f>HYPERLINK("https://www.ncbi.nlm.nih.gov/nuccore/NZ_JYIJ01000017.1?report=graph&amp;from=375332&amp;to=375336", "TTA_codon")</f>
        <v>TTA_codon</v>
      </c>
    </row>
    <row r="1649" spans="1:15" x14ac:dyDescent="0.15">
      <c r="A1649" t="s">
        <v>21</v>
      </c>
      <c r="B1649">
        <v>1001351</v>
      </c>
      <c r="C1649">
        <v>366843</v>
      </c>
      <c r="F1649" s="7">
        <v>1</v>
      </c>
      <c r="G1649" s="7">
        <v>412</v>
      </c>
      <c r="H1649" s="8">
        <v>367</v>
      </c>
      <c r="J1649" t="s">
        <v>23</v>
      </c>
      <c r="K1649" s="7">
        <v>1548</v>
      </c>
      <c r="L1649" s="9">
        <v>-1</v>
      </c>
      <c r="M1649" t="s">
        <v>1504</v>
      </c>
      <c r="N1649" t="s">
        <v>209</v>
      </c>
      <c r="O1649" s="27" t="str">
        <f>HYPERLINK("https://www.ncbi.nlm.nih.gov/nuccore/NZ_FZOF01000006.1?report=graph&amp;from=406107&amp;to=406111", "TTA_codon")</f>
        <v>TTA_codon</v>
      </c>
    </row>
    <row r="1650" spans="1:15" x14ac:dyDescent="0.15">
      <c r="A1650" t="s">
        <v>21</v>
      </c>
      <c r="B1650" t="s">
        <v>1505</v>
      </c>
    </row>
    <row r="1651" spans="1:15" x14ac:dyDescent="0.15">
      <c r="A1651" t="s">
        <v>21</v>
      </c>
      <c r="B1651">
        <v>1001124</v>
      </c>
      <c r="C1651">
        <v>355822</v>
      </c>
      <c r="F1651" s="7">
        <v>1</v>
      </c>
      <c r="G1651" s="7">
        <v>292</v>
      </c>
      <c r="H1651" s="8">
        <v>292</v>
      </c>
      <c r="J1651" t="s">
        <v>23</v>
      </c>
      <c r="K1651" s="7">
        <v>945</v>
      </c>
      <c r="L1651" s="9">
        <v>1</v>
      </c>
      <c r="M1651" t="s">
        <v>1506</v>
      </c>
      <c r="N1651" t="s">
        <v>75</v>
      </c>
      <c r="O1651" s="27" t="str">
        <f>HYPERLINK("https://www.ncbi.nlm.nih.gov/nuccore/NZ_JOII01000003.1?report=graph&amp;from=106264&amp;to=106268", "TTA_codon")</f>
        <v>TTA_codon</v>
      </c>
    </row>
    <row r="1652" spans="1:15" x14ac:dyDescent="0.15">
      <c r="A1652" t="s">
        <v>21</v>
      </c>
      <c r="B1652">
        <v>1001124</v>
      </c>
      <c r="C1652">
        <v>358709</v>
      </c>
      <c r="F1652" s="7">
        <v>1</v>
      </c>
      <c r="G1652" s="7">
        <v>319</v>
      </c>
      <c r="H1652" s="8">
        <v>304</v>
      </c>
      <c r="J1652" t="s">
        <v>23</v>
      </c>
      <c r="K1652" s="7">
        <v>930</v>
      </c>
      <c r="L1652" s="9">
        <v>1</v>
      </c>
      <c r="M1652" t="s">
        <v>1507</v>
      </c>
      <c r="N1652" t="s">
        <v>757</v>
      </c>
      <c r="O1652" s="27" t="str">
        <f>HYPERLINK("https://www.ncbi.nlm.nih.gov/nuccore/NZ_LIQR01000271.1?report=graph&amp;from=2384&amp;to=2388", "TTA_codon")</f>
        <v>TTA_codon</v>
      </c>
    </row>
    <row r="1653" spans="1:15" x14ac:dyDescent="0.15">
      <c r="A1653" t="s">
        <v>195</v>
      </c>
      <c r="B1653" t="s">
        <v>1508</v>
      </c>
    </row>
    <row r="1654" spans="1:15" x14ac:dyDescent="0.15">
      <c r="A1654" t="s">
        <v>195</v>
      </c>
      <c r="B1654">
        <v>1001432</v>
      </c>
      <c r="C1654">
        <v>346185</v>
      </c>
      <c r="F1654" s="7">
        <v>1</v>
      </c>
      <c r="G1654" s="7">
        <v>244</v>
      </c>
      <c r="H1654" s="8">
        <v>184</v>
      </c>
      <c r="J1654" t="s">
        <v>23</v>
      </c>
      <c r="K1654" s="7">
        <v>1167</v>
      </c>
      <c r="L1654" s="9">
        <v>-1</v>
      </c>
      <c r="M1654" t="s">
        <v>1509</v>
      </c>
      <c r="N1654" t="s">
        <v>51</v>
      </c>
      <c r="O1654" s="27" t="str">
        <f>HYPERLINK("https://www.ncbi.nlm.nih.gov/nuccore/NZ_AEJB01000133.1?report=graph&amp;from=1840&amp;to=1844", "TTA_codon")</f>
        <v>TTA_codon</v>
      </c>
    </row>
    <row r="1655" spans="1:15" x14ac:dyDescent="0.15">
      <c r="A1655" t="s">
        <v>21</v>
      </c>
      <c r="B1655">
        <v>1001432</v>
      </c>
      <c r="C1655">
        <v>347845</v>
      </c>
      <c r="F1655" s="7">
        <v>1</v>
      </c>
      <c r="G1655" s="7">
        <v>232</v>
      </c>
      <c r="H1655" s="8">
        <v>157</v>
      </c>
      <c r="J1655" t="s">
        <v>23</v>
      </c>
      <c r="K1655" s="7">
        <v>1194</v>
      </c>
      <c r="L1655" s="9">
        <v>-1</v>
      </c>
      <c r="M1655" t="s">
        <v>57</v>
      </c>
      <c r="N1655" t="s">
        <v>58</v>
      </c>
      <c r="O1655" s="27" t="str">
        <f>HYPERLINK("https://www.ncbi.nlm.nih.gov/nuccore/NC_013929.1?report=graph&amp;from=8941944&amp;to=8941948", "TTA_codon")</f>
        <v>TTA_codon</v>
      </c>
    </row>
    <row r="1656" spans="1:15" x14ac:dyDescent="0.15">
      <c r="A1656" t="s">
        <v>21</v>
      </c>
      <c r="B1656">
        <v>1001432</v>
      </c>
      <c r="C1656">
        <v>351583</v>
      </c>
      <c r="F1656" s="7">
        <v>1</v>
      </c>
      <c r="G1656" s="7">
        <v>85</v>
      </c>
      <c r="H1656" s="8">
        <v>64</v>
      </c>
      <c r="J1656" t="s">
        <v>23</v>
      </c>
      <c r="K1656" s="7">
        <v>1128</v>
      </c>
      <c r="L1656" s="9">
        <v>-1</v>
      </c>
      <c r="M1656" t="s">
        <v>1510</v>
      </c>
      <c r="N1656" t="s">
        <v>138</v>
      </c>
      <c r="O1656" s="27" t="str">
        <f>HYPERLINK("https://www.ncbi.nlm.nih.gov/nuccore/NZ_KB889729.1?report=graph&amp;from=17664&amp;to=17668", "TTA_codon")</f>
        <v>TTA_codon</v>
      </c>
    </row>
    <row r="1657" spans="1:15" x14ac:dyDescent="0.15">
      <c r="A1657" t="s">
        <v>21</v>
      </c>
      <c r="B1657">
        <v>1001432</v>
      </c>
      <c r="C1657">
        <v>352458</v>
      </c>
      <c r="F1657" s="7">
        <v>1</v>
      </c>
      <c r="G1657" s="7">
        <v>262</v>
      </c>
      <c r="H1657" s="8">
        <v>187</v>
      </c>
      <c r="J1657" t="s">
        <v>23</v>
      </c>
      <c r="K1657" s="7">
        <v>1224</v>
      </c>
      <c r="L1657" s="9">
        <v>-1</v>
      </c>
      <c r="M1657" t="s">
        <v>30</v>
      </c>
      <c r="N1657" t="s">
        <v>31</v>
      </c>
      <c r="O1657" s="27" t="str">
        <f>HYPERLINK("https://www.ncbi.nlm.nih.gov/nuccore/NZ_KB913030.1?report=graph&amp;from=69439&amp;to=69443", "TTA_codon")</f>
        <v>TTA_codon</v>
      </c>
    </row>
    <row r="1658" spans="1:15" x14ac:dyDescent="0.15">
      <c r="A1658" t="s">
        <v>21</v>
      </c>
      <c r="B1658">
        <v>1001432</v>
      </c>
      <c r="C1658">
        <v>353307</v>
      </c>
      <c r="F1658" s="7">
        <v>1</v>
      </c>
      <c r="G1658" s="7">
        <v>223</v>
      </c>
      <c r="H1658" s="8">
        <v>154</v>
      </c>
      <c r="J1658" t="s">
        <v>23</v>
      </c>
      <c r="K1658" s="7">
        <v>1182</v>
      </c>
      <c r="L1658" s="9">
        <v>-1</v>
      </c>
      <c r="M1658" t="s">
        <v>1511</v>
      </c>
      <c r="N1658" t="s">
        <v>169</v>
      </c>
      <c r="O1658" s="27" t="str">
        <f>HYPERLINK("https://www.ncbi.nlm.nih.gov/nuccore/NZ_JNWJ01000087.1?report=graph&amp;from=52988&amp;to=52992", "TTA_codon")</f>
        <v>TTA_codon</v>
      </c>
    </row>
    <row r="1659" spans="1:15" x14ac:dyDescent="0.15">
      <c r="A1659" t="s">
        <v>21</v>
      </c>
      <c r="B1659">
        <v>1001432</v>
      </c>
      <c r="C1659">
        <v>353805</v>
      </c>
      <c r="F1659" s="7">
        <v>1</v>
      </c>
      <c r="G1659" s="7">
        <v>76</v>
      </c>
      <c r="H1659" s="8">
        <v>61</v>
      </c>
      <c r="J1659" t="s">
        <v>23</v>
      </c>
      <c r="K1659" s="7">
        <v>1302</v>
      </c>
      <c r="L1659" s="9">
        <v>-1</v>
      </c>
      <c r="M1659" t="s">
        <v>875</v>
      </c>
      <c r="N1659" t="s">
        <v>246</v>
      </c>
      <c r="O1659" s="27" t="str">
        <f>HYPERLINK("https://www.ncbi.nlm.nih.gov/nuccore/NZ_JNYR01000014.1?report=graph&amp;from=5849&amp;to=5853", "TTA_codon")</f>
        <v>TTA_codon</v>
      </c>
    </row>
    <row r="1660" spans="1:15" x14ac:dyDescent="0.15">
      <c r="A1660" t="s">
        <v>21</v>
      </c>
      <c r="B1660">
        <v>1001432</v>
      </c>
      <c r="C1660">
        <v>355118</v>
      </c>
      <c r="F1660" s="7">
        <v>1</v>
      </c>
      <c r="G1660" s="7">
        <v>223</v>
      </c>
      <c r="H1660" s="8">
        <v>115</v>
      </c>
      <c r="J1660" t="s">
        <v>23</v>
      </c>
      <c r="K1660" s="7">
        <v>1170</v>
      </c>
      <c r="L1660" s="9">
        <v>-1</v>
      </c>
      <c r="M1660" t="s">
        <v>1512</v>
      </c>
      <c r="N1660" t="s">
        <v>433</v>
      </c>
      <c r="O1660" s="27" t="str">
        <f>HYPERLINK("https://www.ncbi.nlm.nih.gov/nuccore/NZ_JOBF01000015.1?report=graph&amp;from=162118&amp;to=162122", "TTA_codon")</f>
        <v>TTA_codon</v>
      </c>
    </row>
    <row r="1661" spans="1:15" x14ac:dyDescent="0.15">
      <c r="A1661" t="s">
        <v>21</v>
      </c>
      <c r="B1661">
        <v>1001432</v>
      </c>
      <c r="C1661">
        <v>357974</v>
      </c>
      <c r="F1661" s="7">
        <v>1</v>
      </c>
      <c r="G1661" s="7">
        <v>232</v>
      </c>
      <c r="H1661" s="8">
        <v>49</v>
      </c>
      <c r="J1661" t="s">
        <v>23</v>
      </c>
      <c r="K1661" s="7">
        <v>1071</v>
      </c>
      <c r="L1661" s="9">
        <v>-1</v>
      </c>
      <c r="M1661" t="s">
        <v>261</v>
      </c>
      <c r="N1661" t="s">
        <v>262</v>
      </c>
      <c r="O1661" s="27" t="str">
        <f>HYPERLINK("https://www.ncbi.nlm.nih.gov/nuccore/NZ_CP011340.1?report=graph&amp;from=7887325&amp;to=7887329", "TTA_codon")</f>
        <v>TTA_codon</v>
      </c>
    </row>
    <row r="1662" spans="1:15" x14ac:dyDescent="0.15">
      <c r="A1662" t="s">
        <v>21</v>
      </c>
      <c r="B1662">
        <v>1001432</v>
      </c>
      <c r="C1662">
        <v>358421</v>
      </c>
      <c r="F1662" s="7">
        <v>1</v>
      </c>
      <c r="G1662" s="7">
        <v>277</v>
      </c>
      <c r="H1662" s="8">
        <v>193</v>
      </c>
      <c r="J1662" t="s">
        <v>23</v>
      </c>
      <c r="K1662" s="7">
        <v>1185</v>
      </c>
      <c r="L1662" s="9">
        <v>-1</v>
      </c>
      <c r="M1662" t="s">
        <v>1513</v>
      </c>
      <c r="N1662" t="s">
        <v>85</v>
      </c>
      <c r="O1662" s="27" t="str">
        <f>HYPERLINK("https://www.ncbi.nlm.nih.gov/nuccore/NZ_LIQX01000044.1?report=graph&amp;from=12768&amp;to=12772", "TTA_codon")</f>
        <v>TTA_codon</v>
      </c>
    </row>
    <row r="1663" spans="1:15" x14ac:dyDescent="0.15">
      <c r="A1663" t="s">
        <v>21</v>
      </c>
      <c r="B1663">
        <v>1001432</v>
      </c>
      <c r="C1663">
        <v>362268</v>
      </c>
      <c r="F1663" s="7">
        <v>1</v>
      </c>
      <c r="G1663" s="7">
        <v>76</v>
      </c>
      <c r="H1663" s="8">
        <v>61</v>
      </c>
      <c r="J1663" t="s">
        <v>23</v>
      </c>
      <c r="K1663" s="7">
        <v>1245</v>
      </c>
      <c r="L1663" s="9">
        <v>-1</v>
      </c>
      <c r="M1663" t="s">
        <v>39</v>
      </c>
      <c r="N1663" t="s">
        <v>40</v>
      </c>
      <c r="O1663" s="27" t="str">
        <f>HYPERLINK("https://www.ncbi.nlm.nih.gov/nuccore/NZ_CP017157.1?report=graph&amp;from=4098086&amp;to=4098090", "TTA_codon")</f>
        <v>TTA_codon</v>
      </c>
    </row>
    <row r="1664" spans="1:15" x14ac:dyDescent="0.15">
      <c r="A1664" t="s">
        <v>21</v>
      </c>
      <c r="B1664">
        <v>1001432</v>
      </c>
      <c r="C1664">
        <v>363134</v>
      </c>
      <c r="F1664" s="7">
        <v>1</v>
      </c>
      <c r="G1664" s="7">
        <v>124</v>
      </c>
      <c r="H1664" s="8">
        <v>112</v>
      </c>
      <c r="J1664" t="s">
        <v>23</v>
      </c>
      <c r="K1664" s="7">
        <v>1266</v>
      </c>
      <c r="L1664" s="9">
        <v>-1</v>
      </c>
      <c r="M1664" t="s">
        <v>1483</v>
      </c>
      <c r="N1664" t="s">
        <v>401</v>
      </c>
      <c r="O1664" s="27" t="str">
        <f>HYPERLINK("https://www.ncbi.nlm.nih.gov/nuccore/NZ_LFBV01000001.1?report=graph&amp;from=687117&amp;to=687121", "TTA_codon")</f>
        <v>TTA_codon</v>
      </c>
    </row>
    <row r="1665" spans="1:15" x14ac:dyDescent="0.15">
      <c r="A1665" t="s">
        <v>21</v>
      </c>
      <c r="B1665" t="s">
        <v>1514</v>
      </c>
    </row>
    <row r="1666" spans="1:15" x14ac:dyDescent="0.15">
      <c r="A1666" t="s">
        <v>21</v>
      </c>
      <c r="B1666">
        <v>1000881</v>
      </c>
      <c r="C1666">
        <v>352754</v>
      </c>
      <c r="F1666" s="7">
        <v>1</v>
      </c>
      <c r="G1666" s="7">
        <v>226</v>
      </c>
      <c r="H1666" s="8">
        <v>226</v>
      </c>
      <c r="J1666" t="s">
        <v>23</v>
      </c>
      <c r="K1666" s="7">
        <v>573</v>
      </c>
      <c r="L1666" s="9">
        <v>-1</v>
      </c>
      <c r="M1666" t="s">
        <v>472</v>
      </c>
      <c r="N1666" t="s">
        <v>473</v>
      </c>
      <c r="O1666" s="27" t="str">
        <f>HYPERLINK("https://www.ncbi.nlm.nih.gov/nuccore/NZ_ASHX02000001.1?report=graph&amp;from=3653462&amp;to=3653466", "TTA_codon")</f>
        <v>TTA_codon</v>
      </c>
    </row>
    <row r="1667" spans="1:15" x14ac:dyDescent="0.15">
      <c r="A1667" t="s">
        <v>21</v>
      </c>
      <c r="B1667">
        <v>1000881</v>
      </c>
      <c r="C1667">
        <v>362683</v>
      </c>
      <c r="F1667" s="7">
        <v>1</v>
      </c>
      <c r="G1667" s="7">
        <v>274</v>
      </c>
      <c r="H1667" s="8">
        <v>271</v>
      </c>
      <c r="J1667" t="s">
        <v>23</v>
      </c>
      <c r="K1667" s="7">
        <v>606</v>
      </c>
      <c r="L1667" s="9">
        <v>-1</v>
      </c>
      <c r="M1667" t="s">
        <v>1515</v>
      </c>
      <c r="N1667" t="s">
        <v>985</v>
      </c>
      <c r="O1667" s="27" t="str">
        <f>HYPERLINK("https://www.ncbi.nlm.nih.gov/nuccore/NZ_LJGU01000105.1?report=graph&amp;from=6885&amp;to=6889", "TTA_codon")</f>
        <v>TTA_codon</v>
      </c>
    </row>
    <row r="1668" spans="1:15" x14ac:dyDescent="0.15">
      <c r="A1668" t="s">
        <v>21</v>
      </c>
      <c r="B1668" t="s">
        <v>1516</v>
      </c>
    </row>
    <row r="1669" spans="1:15" x14ac:dyDescent="0.15">
      <c r="A1669" t="s">
        <v>21</v>
      </c>
      <c r="B1669">
        <v>1000370</v>
      </c>
      <c r="C1669">
        <v>348237</v>
      </c>
      <c r="F1669" s="7">
        <v>1</v>
      </c>
      <c r="G1669" s="7">
        <v>136</v>
      </c>
      <c r="H1669" s="8">
        <v>136</v>
      </c>
      <c r="J1669" t="s">
        <v>23</v>
      </c>
      <c r="K1669" s="7">
        <v>1236</v>
      </c>
      <c r="L1669" s="9">
        <v>1</v>
      </c>
      <c r="M1669" t="s">
        <v>59</v>
      </c>
      <c r="N1669" t="s">
        <v>60</v>
      </c>
      <c r="O1669" s="27" t="str">
        <f>HYPERLINK("https://www.ncbi.nlm.nih.gov/nuccore/NC_016582.1?report=graph&amp;from=1379475&amp;to=1379479", "TTA_codon")</f>
        <v>TTA_codon</v>
      </c>
    </row>
    <row r="1670" spans="1:15" x14ac:dyDescent="0.15">
      <c r="A1670" t="s">
        <v>21</v>
      </c>
      <c r="B1670">
        <v>1000370</v>
      </c>
      <c r="C1670">
        <v>351365</v>
      </c>
      <c r="F1670" s="7">
        <v>1</v>
      </c>
      <c r="G1670" s="7">
        <v>280</v>
      </c>
      <c r="H1670" s="8">
        <v>277</v>
      </c>
      <c r="J1670" t="s">
        <v>23</v>
      </c>
      <c r="K1670" s="7">
        <v>1269</v>
      </c>
      <c r="L1670" s="9">
        <v>1</v>
      </c>
      <c r="M1670" t="s">
        <v>65</v>
      </c>
      <c r="N1670" t="s">
        <v>66</v>
      </c>
      <c r="O1670" s="27" t="str">
        <f>HYPERLINK("https://www.ncbi.nlm.nih.gov/nuccore/NC_020504.1?report=graph&amp;from=6577031&amp;to=6577035", "TTA_codon")</f>
        <v>TTA_codon</v>
      </c>
    </row>
    <row r="1671" spans="1:15" x14ac:dyDescent="0.15">
      <c r="A1671" t="s">
        <v>21</v>
      </c>
      <c r="B1671">
        <v>1000370</v>
      </c>
      <c r="C1671">
        <v>352254</v>
      </c>
      <c r="F1671" s="7">
        <v>1</v>
      </c>
      <c r="G1671" s="7">
        <v>136</v>
      </c>
      <c r="H1671" s="8">
        <v>97</v>
      </c>
      <c r="J1671" t="s">
        <v>23</v>
      </c>
      <c r="K1671" s="7">
        <v>1254</v>
      </c>
      <c r="L1671" s="9">
        <v>1</v>
      </c>
      <c r="M1671" t="s">
        <v>1517</v>
      </c>
      <c r="N1671" t="s">
        <v>70</v>
      </c>
      <c r="O1671" s="27" t="str">
        <f>HYPERLINK("https://www.ncbi.nlm.nih.gov/nuccore/NZ_KB904680.1?report=graph&amp;from=196622&amp;to=196626", "TTA_codon")</f>
        <v>TTA_codon</v>
      </c>
    </row>
    <row r="1672" spans="1:15" x14ac:dyDescent="0.15">
      <c r="A1672" t="s">
        <v>21</v>
      </c>
      <c r="B1672" t="s">
        <v>1518</v>
      </c>
    </row>
    <row r="1673" spans="1:15" x14ac:dyDescent="0.15">
      <c r="A1673" t="s">
        <v>21</v>
      </c>
      <c r="B1673">
        <v>1000244</v>
      </c>
      <c r="C1673">
        <v>347633</v>
      </c>
      <c r="F1673" s="7">
        <v>1</v>
      </c>
      <c r="G1673" s="7">
        <v>46</v>
      </c>
      <c r="H1673" s="8">
        <v>46</v>
      </c>
      <c r="J1673" t="s">
        <v>23</v>
      </c>
      <c r="K1673" s="7">
        <v>2337</v>
      </c>
      <c r="L1673" s="9">
        <v>-1</v>
      </c>
      <c r="M1673" t="s">
        <v>55</v>
      </c>
      <c r="N1673" t="s">
        <v>56</v>
      </c>
      <c r="O1673" s="27" t="str">
        <f>HYPERLINK("https://www.ncbi.nlm.nih.gov/nuccore/NC_010572.1?report=graph&amp;from=7882579&amp;to=7882583", "TTA_codon")</f>
        <v>TTA_codon</v>
      </c>
    </row>
    <row r="1674" spans="1:15" x14ac:dyDescent="0.15">
      <c r="A1674" t="s">
        <v>21</v>
      </c>
      <c r="B1674">
        <v>1000244</v>
      </c>
      <c r="C1674">
        <v>353575</v>
      </c>
      <c r="F1674" s="7">
        <v>1</v>
      </c>
      <c r="G1674" s="7">
        <v>46</v>
      </c>
      <c r="H1674" s="8">
        <v>46</v>
      </c>
      <c r="J1674" t="s">
        <v>23</v>
      </c>
      <c r="K1674" s="7">
        <v>2337</v>
      </c>
      <c r="L1674" s="9">
        <v>-1</v>
      </c>
      <c r="M1674" t="s">
        <v>1519</v>
      </c>
      <c r="N1674" t="s">
        <v>140</v>
      </c>
      <c r="O1674" s="27" t="str">
        <f>HYPERLINK("https://www.ncbi.nlm.nih.gov/nuccore/NZ_JNXG01000018.1?report=graph&amp;from=147195&amp;to=147199", "TTA_codon")</f>
        <v>TTA_codon</v>
      </c>
    </row>
    <row r="1675" spans="1:15" x14ac:dyDescent="0.15">
      <c r="A1675" t="s">
        <v>21</v>
      </c>
      <c r="B1675" t="s">
        <v>1520</v>
      </c>
    </row>
    <row r="1676" spans="1:15" x14ac:dyDescent="0.15">
      <c r="A1676" t="s">
        <v>21</v>
      </c>
      <c r="B1676">
        <v>1000672</v>
      </c>
      <c r="C1676">
        <v>350759</v>
      </c>
      <c r="F1676" s="7">
        <v>1</v>
      </c>
      <c r="G1676" s="7">
        <v>100</v>
      </c>
      <c r="H1676" s="8">
        <v>76</v>
      </c>
      <c r="J1676" t="s">
        <v>23</v>
      </c>
      <c r="K1676" s="7">
        <v>2328</v>
      </c>
      <c r="L1676" s="9">
        <v>1</v>
      </c>
      <c r="M1676" t="s">
        <v>1521</v>
      </c>
      <c r="N1676" t="s">
        <v>51</v>
      </c>
      <c r="O1676" s="27" t="str">
        <f>HYPERLINK("https://www.ncbi.nlm.nih.gov/nuccore/NZ_AEJB01000658.1?report=graph&amp;from=16833&amp;to=16837", "TTA_codon")</f>
        <v>TTA_codon</v>
      </c>
    </row>
    <row r="1677" spans="1:15" x14ac:dyDescent="0.15">
      <c r="A1677" t="s">
        <v>21</v>
      </c>
      <c r="B1677">
        <v>1000672</v>
      </c>
      <c r="C1677">
        <v>351860</v>
      </c>
      <c r="F1677" s="7">
        <v>1</v>
      </c>
      <c r="G1677" s="7">
        <v>100</v>
      </c>
      <c r="H1677" s="8">
        <v>82</v>
      </c>
      <c r="J1677" t="s">
        <v>23</v>
      </c>
      <c r="K1677" s="7">
        <v>2337</v>
      </c>
      <c r="L1677" s="9">
        <v>1</v>
      </c>
      <c r="M1677" t="s">
        <v>274</v>
      </c>
      <c r="N1677" t="s">
        <v>68</v>
      </c>
      <c r="O1677" s="27" t="str">
        <f>HYPERLINK("https://www.ncbi.nlm.nih.gov/nuccore/NZ_BARG01000054.1?report=graph&amp;from=122532&amp;to=122536", "TTA_codon")</f>
        <v>TTA_codon</v>
      </c>
    </row>
    <row r="1678" spans="1:15" x14ac:dyDescent="0.15">
      <c r="A1678" t="s">
        <v>21</v>
      </c>
      <c r="B1678">
        <v>1000672</v>
      </c>
      <c r="C1678">
        <v>353305</v>
      </c>
      <c r="F1678" s="7">
        <v>1</v>
      </c>
      <c r="G1678" s="7">
        <v>100</v>
      </c>
      <c r="H1678" s="8">
        <v>79</v>
      </c>
      <c r="J1678" t="s">
        <v>23</v>
      </c>
      <c r="K1678" s="7">
        <v>2358</v>
      </c>
      <c r="L1678" s="9">
        <v>1</v>
      </c>
      <c r="M1678" t="s">
        <v>1522</v>
      </c>
      <c r="N1678" t="s">
        <v>169</v>
      </c>
      <c r="O1678" s="27" t="str">
        <f>HYPERLINK("https://www.ncbi.nlm.nih.gov/nuccore/NZ_JNWJ01000009.1?report=graph&amp;from=92940&amp;to=92944", "TTA_codon")</f>
        <v>TTA_codon</v>
      </c>
    </row>
    <row r="1679" spans="1:15" x14ac:dyDescent="0.15">
      <c r="A1679" t="s">
        <v>21</v>
      </c>
      <c r="B1679">
        <v>1000672</v>
      </c>
      <c r="C1679">
        <v>355116</v>
      </c>
      <c r="F1679" s="7">
        <v>1</v>
      </c>
      <c r="G1679" s="7">
        <v>100</v>
      </c>
      <c r="H1679" s="8">
        <v>58</v>
      </c>
      <c r="J1679" t="s">
        <v>23</v>
      </c>
      <c r="K1679" s="7">
        <v>2367</v>
      </c>
      <c r="L1679" s="9">
        <v>1</v>
      </c>
      <c r="M1679" t="s">
        <v>1523</v>
      </c>
      <c r="N1679" t="s">
        <v>433</v>
      </c>
      <c r="O1679" s="27" t="str">
        <f>HYPERLINK("https://www.ncbi.nlm.nih.gov/nuccore/NZ_JOBF01000013.1?report=graph&amp;from=298047&amp;to=298051", "TTA_codon")</f>
        <v>TTA_codon</v>
      </c>
    </row>
    <row r="1680" spans="1:15" x14ac:dyDescent="0.15">
      <c r="A1680" t="s">
        <v>21</v>
      </c>
      <c r="B1680">
        <v>1000672</v>
      </c>
      <c r="C1680">
        <v>358866</v>
      </c>
      <c r="F1680" s="7">
        <v>1</v>
      </c>
      <c r="G1680" s="7">
        <v>100</v>
      </c>
      <c r="H1680" s="8">
        <v>40</v>
      </c>
      <c r="J1680" t="s">
        <v>23</v>
      </c>
      <c r="K1680" s="7">
        <v>2331</v>
      </c>
      <c r="L1680" s="9">
        <v>1</v>
      </c>
      <c r="M1680" t="s">
        <v>1524</v>
      </c>
      <c r="N1680" t="s">
        <v>87</v>
      </c>
      <c r="O1680" s="27" t="str">
        <f>HYPERLINK("https://www.ncbi.nlm.nih.gov/nuccore/NZ_LIQS01000626.1?report=graph&amp;from=1007&amp;to=1011", "TTA_codon")</f>
        <v>TTA_codon</v>
      </c>
    </row>
    <row r="1681" spans="1:15" x14ac:dyDescent="0.15">
      <c r="A1681" t="s">
        <v>21</v>
      </c>
      <c r="B1681">
        <v>1000672</v>
      </c>
      <c r="C1681">
        <v>360968</v>
      </c>
      <c r="F1681" s="7">
        <v>1</v>
      </c>
      <c r="G1681" s="7">
        <v>100</v>
      </c>
      <c r="H1681" s="8">
        <v>55</v>
      </c>
      <c r="J1681" t="s">
        <v>23</v>
      </c>
      <c r="K1681" s="7">
        <v>2319</v>
      </c>
      <c r="L1681" s="9">
        <v>1</v>
      </c>
      <c r="M1681" t="s">
        <v>1525</v>
      </c>
      <c r="N1681" t="s">
        <v>97</v>
      </c>
      <c r="O1681" s="27" t="str">
        <f>HYPERLINK("https://www.ncbi.nlm.nih.gov/nuccore/NZ_LOHS01000062.1?report=graph&amp;from=34185&amp;to=34189", "TTA_codon")</f>
        <v>TTA_codon</v>
      </c>
    </row>
    <row r="1682" spans="1:15" x14ac:dyDescent="0.15">
      <c r="A1682" t="s">
        <v>21</v>
      </c>
      <c r="B1682">
        <v>1000672</v>
      </c>
      <c r="C1682">
        <v>361137</v>
      </c>
      <c r="F1682" s="7">
        <v>1</v>
      </c>
      <c r="G1682" s="7">
        <v>100</v>
      </c>
      <c r="H1682" s="8">
        <v>43</v>
      </c>
      <c r="J1682" t="s">
        <v>23</v>
      </c>
      <c r="K1682" s="7">
        <v>2298</v>
      </c>
      <c r="L1682" s="9">
        <v>1</v>
      </c>
      <c r="M1682" t="s">
        <v>98</v>
      </c>
      <c r="N1682" t="s">
        <v>99</v>
      </c>
      <c r="O1682" s="27" t="str">
        <f>HYPERLINK("https://www.ncbi.nlm.nih.gov/nuccore/NZ_CP016438.1?report=graph&amp;from=6639284&amp;to=6639288", "TTA_codon")</f>
        <v>TTA_codon</v>
      </c>
    </row>
    <row r="1683" spans="1:15" x14ac:dyDescent="0.15">
      <c r="A1683" t="s">
        <v>21</v>
      </c>
      <c r="B1683">
        <v>1000672</v>
      </c>
      <c r="C1683">
        <v>364864</v>
      </c>
      <c r="F1683" s="7">
        <v>1</v>
      </c>
      <c r="G1683" s="7">
        <v>100</v>
      </c>
      <c r="H1683" s="8">
        <v>52</v>
      </c>
      <c r="J1683" t="s">
        <v>23</v>
      </c>
      <c r="K1683" s="7">
        <v>2325</v>
      </c>
      <c r="L1683" s="9">
        <v>1</v>
      </c>
      <c r="M1683" t="s">
        <v>126</v>
      </c>
      <c r="N1683" t="s">
        <v>127</v>
      </c>
      <c r="O1683" s="27" t="str">
        <f>HYPERLINK("https://www.ncbi.nlm.nih.gov/nuccore/NZ_CP021748.1?report=graph&amp;from=6263692&amp;to=6263696", "TTA_codon")</f>
        <v>TTA_codon</v>
      </c>
    </row>
    <row r="1684" spans="1:15" x14ac:dyDescent="0.15">
      <c r="A1684" t="s">
        <v>21</v>
      </c>
      <c r="B1684" t="s">
        <v>1526</v>
      </c>
    </row>
    <row r="1685" spans="1:15" x14ac:dyDescent="0.15">
      <c r="A1685" t="s">
        <v>21</v>
      </c>
      <c r="B1685">
        <v>1000285</v>
      </c>
      <c r="C1685">
        <v>347813</v>
      </c>
      <c r="F1685" s="7">
        <v>1</v>
      </c>
      <c r="G1685" s="7">
        <v>793</v>
      </c>
      <c r="H1685" s="8">
        <v>733</v>
      </c>
      <c r="J1685" t="s">
        <v>23</v>
      </c>
      <c r="K1685" s="7">
        <v>879</v>
      </c>
      <c r="L1685" s="9">
        <v>-1</v>
      </c>
      <c r="M1685" t="s">
        <v>57</v>
      </c>
      <c r="N1685" t="s">
        <v>58</v>
      </c>
      <c r="O1685" s="27" t="str">
        <f>HYPERLINK("https://www.ncbi.nlm.nih.gov/nuccore/NC_013929.1?report=graph&amp;from=975352&amp;to=975356", "TTA_codon")</f>
        <v>TTA_codon</v>
      </c>
    </row>
    <row r="1686" spans="1:15" x14ac:dyDescent="0.15">
      <c r="A1686" t="s">
        <v>21</v>
      </c>
      <c r="B1686">
        <v>1000285</v>
      </c>
      <c r="C1686">
        <v>348131</v>
      </c>
      <c r="F1686" s="7">
        <v>1</v>
      </c>
      <c r="G1686" s="7">
        <v>511</v>
      </c>
      <c r="H1686" s="8">
        <v>163</v>
      </c>
      <c r="J1686" t="s">
        <v>23</v>
      </c>
      <c r="K1686" s="7">
        <v>582</v>
      </c>
      <c r="L1686" s="9">
        <v>-1</v>
      </c>
      <c r="M1686" t="s">
        <v>59</v>
      </c>
      <c r="N1686" t="s">
        <v>60</v>
      </c>
      <c r="O1686" s="27" t="str">
        <f>HYPERLINK("https://www.ncbi.nlm.nih.gov/nuccore/NC_016582.1?report=graph&amp;from=9019335&amp;to=9019339", "TTA_codon")</f>
        <v>TTA_codon</v>
      </c>
    </row>
    <row r="1687" spans="1:15" x14ac:dyDescent="0.15">
      <c r="A1687" t="s">
        <v>21</v>
      </c>
      <c r="B1687">
        <v>1000285</v>
      </c>
      <c r="C1687">
        <v>348842</v>
      </c>
      <c r="F1687" s="7">
        <v>1</v>
      </c>
      <c r="G1687" s="7">
        <v>442</v>
      </c>
      <c r="H1687" s="8">
        <v>295</v>
      </c>
      <c r="J1687" t="s">
        <v>23</v>
      </c>
      <c r="K1687" s="7">
        <v>777</v>
      </c>
      <c r="L1687" s="9">
        <v>-1</v>
      </c>
      <c r="M1687" t="s">
        <v>211</v>
      </c>
      <c r="N1687" t="s">
        <v>212</v>
      </c>
      <c r="O1687" s="27" t="str">
        <f>HYPERLINK("https://www.ncbi.nlm.nih.gov/nuccore/NZ_GG657754.1?report=graph&amp;from=7512645&amp;to=7512649", "TTA_codon")</f>
        <v>TTA_codon</v>
      </c>
    </row>
    <row r="1688" spans="1:15" x14ac:dyDescent="0.15">
      <c r="A1688" t="s">
        <v>21</v>
      </c>
      <c r="B1688">
        <v>1000285</v>
      </c>
      <c r="C1688">
        <v>349998</v>
      </c>
      <c r="F1688" s="7">
        <v>2</v>
      </c>
      <c r="G1688" s="7" t="s">
        <v>1527</v>
      </c>
      <c r="H1688" s="8" t="s">
        <v>1528</v>
      </c>
      <c r="J1688" t="s">
        <v>23</v>
      </c>
      <c r="K1688" s="7">
        <v>594</v>
      </c>
      <c r="L1688" s="9">
        <v>-1</v>
      </c>
      <c r="M1688" t="s">
        <v>1529</v>
      </c>
      <c r="N1688" t="s">
        <v>249</v>
      </c>
      <c r="O1688" s="27" t="str">
        <f>HYPERLINK("https://www.ncbi.nlm.nih.gov/nuccore/NZ_AHBF01000047.1?report=graph&amp;from=75426&amp;to=75700", "TTA_codon")</f>
        <v>TTA_codon</v>
      </c>
    </row>
    <row r="1689" spans="1:15" x14ac:dyDescent="0.15">
      <c r="A1689" t="s">
        <v>21</v>
      </c>
      <c r="B1689">
        <v>1000285</v>
      </c>
      <c r="C1689">
        <v>350778</v>
      </c>
      <c r="F1689" s="7">
        <v>1</v>
      </c>
      <c r="G1689" s="7">
        <v>511</v>
      </c>
      <c r="H1689" s="8">
        <v>199</v>
      </c>
      <c r="J1689" t="s">
        <v>23</v>
      </c>
      <c r="K1689" s="7">
        <v>600</v>
      </c>
      <c r="L1689" s="9">
        <v>-1</v>
      </c>
      <c r="M1689" t="s">
        <v>1530</v>
      </c>
      <c r="N1689" t="s">
        <v>51</v>
      </c>
      <c r="O1689" s="27" t="str">
        <f>HYPERLINK("https://www.ncbi.nlm.nih.gov/nuccore/NZ_AEJB01000327.1?report=graph&amp;from=2556&amp;to=2560", "TTA_codon")</f>
        <v>TTA_codon</v>
      </c>
    </row>
    <row r="1690" spans="1:15" x14ac:dyDescent="0.15">
      <c r="A1690" t="s">
        <v>21</v>
      </c>
      <c r="B1690">
        <v>1000285</v>
      </c>
      <c r="C1690">
        <v>351247</v>
      </c>
      <c r="F1690" s="7">
        <v>1</v>
      </c>
      <c r="G1690" s="7">
        <v>793</v>
      </c>
      <c r="H1690" s="8">
        <v>550</v>
      </c>
      <c r="J1690" t="s">
        <v>23</v>
      </c>
      <c r="K1690" s="7">
        <v>696</v>
      </c>
      <c r="L1690" s="9">
        <v>-1</v>
      </c>
      <c r="M1690" t="s">
        <v>65</v>
      </c>
      <c r="N1690" t="s">
        <v>66</v>
      </c>
      <c r="O1690" s="27" t="str">
        <f>HYPERLINK("https://www.ncbi.nlm.nih.gov/nuccore/NC_020504.1?report=graph&amp;from=1116915&amp;to=1116919", "TTA_codon")</f>
        <v>TTA_codon</v>
      </c>
    </row>
    <row r="1691" spans="1:15" x14ac:dyDescent="0.15">
      <c r="A1691" t="s">
        <v>21</v>
      </c>
      <c r="B1691">
        <v>1000285</v>
      </c>
      <c r="C1691">
        <v>351553</v>
      </c>
      <c r="F1691" s="7">
        <v>1</v>
      </c>
      <c r="G1691" s="7">
        <v>493</v>
      </c>
      <c r="H1691" s="8">
        <v>181</v>
      </c>
      <c r="J1691" t="s">
        <v>23</v>
      </c>
      <c r="K1691" s="7">
        <v>573</v>
      </c>
      <c r="L1691" s="9">
        <v>-1</v>
      </c>
      <c r="M1691" t="s">
        <v>1531</v>
      </c>
      <c r="N1691" t="s">
        <v>138</v>
      </c>
      <c r="O1691" s="27" t="str">
        <f>HYPERLINK("https://www.ncbi.nlm.nih.gov/nuccore/NZ_KB889651.1?report=graph&amp;from=77019&amp;to=77023", "TTA_codon")</f>
        <v>TTA_codon</v>
      </c>
    </row>
    <row r="1692" spans="1:15" x14ac:dyDescent="0.15">
      <c r="A1692" t="s">
        <v>21</v>
      </c>
      <c r="B1692">
        <v>1000285</v>
      </c>
      <c r="C1692">
        <v>352908</v>
      </c>
      <c r="F1692" s="7">
        <v>1</v>
      </c>
      <c r="G1692" s="7">
        <v>511</v>
      </c>
      <c r="H1692" s="8">
        <v>256</v>
      </c>
      <c r="J1692" t="s">
        <v>23</v>
      </c>
      <c r="K1692" s="7">
        <v>660</v>
      </c>
      <c r="L1692" s="9">
        <v>-1</v>
      </c>
      <c r="M1692" t="s">
        <v>1532</v>
      </c>
      <c r="N1692" t="s">
        <v>306</v>
      </c>
      <c r="O1692" s="27" t="str">
        <f>HYPERLINK("https://www.ncbi.nlm.nih.gov/nuccore/NZ_KL571105.1?report=graph&amp;from=24131&amp;to=24135", "TTA_codon")</f>
        <v>TTA_codon</v>
      </c>
    </row>
    <row r="1693" spans="1:15" x14ac:dyDescent="0.15">
      <c r="A1693" t="s">
        <v>21</v>
      </c>
      <c r="B1693">
        <v>1000285</v>
      </c>
      <c r="C1693">
        <v>353765</v>
      </c>
      <c r="F1693" s="7">
        <v>1</v>
      </c>
      <c r="G1693" s="7">
        <v>361</v>
      </c>
      <c r="H1693" s="8">
        <v>106</v>
      </c>
      <c r="J1693" t="s">
        <v>23</v>
      </c>
      <c r="K1693" s="7">
        <v>660</v>
      </c>
      <c r="L1693" s="9">
        <v>-1</v>
      </c>
      <c r="M1693" t="s">
        <v>1533</v>
      </c>
      <c r="N1693" t="s">
        <v>246</v>
      </c>
      <c r="O1693" s="27" t="str">
        <f>HYPERLINK("https://www.ncbi.nlm.nih.gov/nuccore/NZ_JNYR01000001.1?report=graph&amp;from=258921&amp;to=258925", "TTA_codon")</f>
        <v>TTA_codon</v>
      </c>
    </row>
    <row r="1694" spans="1:15" x14ac:dyDescent="0.15">
      <c r="A1694" t="s">
        <v>21</v>
      </c>
      <c r="B1694">
        <v>1000285</v>
      </c>
      <c r="C1694">
        <v>355296</v>
      </c>
      <c r="F1694" s="7">
        <v>1</v>
      </c>
      <c r="G1694" s="7">
        <v>784</v>
      </c>
      <c r="H1694" s="8">
        <v>400</v>
      </c>
      <c r="J1694" t="s">
        <v>23</v>
      </c>
      <c r="K1694" s="7">
        <v>555</v>
      </c>
      <c r="L1694" s="9">
        <v>-1</v>
      </c>
      <c r="M1694" t="s">
        <v>1534</v>
      </c>
      <c r="N1694" t="s">
        <v>295</v>
      </c>
      <c r="O1694" s="27" t="str">
        <f>HYPERLINK("https://www.ncbi.nlm.nih.gov/nuccore/NZ_JODL01000010.1?report=graph&amp;from=9876&amp;to=9880", "TTA_codon")</f>
        <v>TTA_codon</v>
      </c>
    </row>
    <row r="1695" spans="1:15" x14ac:dyDescent="0.15">
      <c r="A1695" t="s">
        <v>21</v>
      </c>
      <c r="B1695">
        <v>1000285</v>
      </c>
      <c r="C1695">
        <v>355904</v>
      </c>
      <c r="F1695" s="7">
        <v>1</v>
      </c>
      <c r="G1695" s="7">
        <v>442</v>
      </c>
      <c r="H1695" s="8">
        <v>130</v>
      </c>
      <c r="J1695" t="s">
        <v>23</v>
      </c>
      <c r="K1695" s="7">
        <v>597</v>
      </c>
      <c r="L1695" s="9">
        <v>-1</v>
      </c>
      <c r="M1695" t="s">
        <v>1535</v>
      </c>
      <c r="N1695" t="s">
        <v>384</v>
      </c>
      <c r="O1695" s="27" t="str">
        <f>HYPERLINK("https://www.ncbi.nlm.nih.gov/nuccore/NZ_JOAK01000041.1?report=graph&amp;from=70786&amp;to=70790", "TTA_codon")</f>
        <v>TTA_codon</v>
      </c>
    </row>
    <row r="1696" spans="1:15" x14ac:dyDescent="0.15">
      <c r="A1696" t="s">
        <v>21</v>
      </c>
      <c r="B1696">
        <v>1000285</v>
      </c>
      <c r="C1696">
        <v>356672</v>
      </c>
      <c r="F1696" s="7">
        <v>1</v>
      </c>
      <c r="G1696" s="7">
        <v>442</v>
      </c>
      <c r="H1696" s="8">
        <v>130</v>
      </c>
      <c r="J1696" t="s">
        <v>23</v>
      </c>
      <c r="K1696" s="7">
        <v>591</v>
      </c>
      <c r="L1696" s="9">
        <v>-1</v>
      </c>
      <c r="M1696" t="s">
        <v>147</v>
      </c>
      <c r="N1696" t="s">
        <v>148</v>
      </c>
      <c r="O1696" s="27" t="str">
        <f>HYPERLINK("https://www.ncbi.nlm.nih.gov/nuccore/NZ_CP021080.1?report=graph&amp;from=244195&amp;to=244199", "TTA_codon")</f>
        <v>TTA_codon</v>
      </c>
    </row>
    <row r="1697" spans="1:15" x14ac:dyDescent="0.15">
      <c r="A1697" t="s">
        <v>21</v>
      </c>
      <c r="B1697">
        <v>1000285</v>
      </c>
      <c r="C1697">
        <v>357026</v>
      </c>
      <c r="F1697" s="7">
        <v>1</v>
      </c>
      <c r="G1697" s="7">
        <v>748</v>
      </c>
      <c r="H1697" s="8">
        <v>400</v>
      </c>
      <c r="J1697" t="s">
        <v>23</v>
      </c>
      <c r="K1697" s="7">
        <v>591</v>
      </c>
      <c r="L1697" s="9">
        <v>-1</v>
      </c>
      <c r="M1697" t="s">
        <v>162</v>
      </c>
      <c r="N1697" t="s">
        <v>163</v>
      </c>
      <c r="O1697" s="27" t="str">
        <f>HYPERLINK("https://www.ncbi.nlm.nih.gov/nuccore/NZ_CP010519.1?report=graph&amp;from=5684421&amp;to=5684425", "TTA_codon")</f>
        <v>TTA_codon</v>
      </c>
    </row>
    <row r="1698" spans="1:15" x14ac:dyDescent="0.15">
      <c r="A1698" t="s">
        <v>21</v>
      </c>
      <c r="B1698">
        <v>1000285</v>
      </c>
      <c r="C1698">
        <v>359850</v>
      </c>
      <c r="F1698" s="7">
        <v>1</v>
      </c>
      <c r="G1698" s="7">
        <v>511</v>
      </c>
      <c r="H1698" s="8">
        <v>199</v>
      </c>
      <c r="J1698" t="s">
        <v>23</v>
      </c>
      <c r="K1698" s="7">
        <v>597</v>
      </c>
      <c r="L1698" s="9">
        <v>-1</v>
      </c>
      <c r="M1698" t="s">
        <v>675</v>
      </c>
      <c r="N1698" t="s">
        <v>91</v>
      </c>
      <c r="O1698" s="27" t="str">
        <f>HYPERLINK("https://www.ncbi.nlm.nih.gov/nuccore/NZ_KQ948306.1?report=graph&amp;from=570785&amp;to=570789", "TTA_codon")</f>
        <v>TTA_codon</v>
      </c>
    </row>
    <row r="1699" spans="1:15" x14ac:dyDescent="0.15">
      <c r="A1699" t="s">
        <v>21</v>
      </c>
      <c r="B1699">
        <v>1000285</v>
      </c>
      <c r="C1699">
        <v>360110</v>
      </c>
      <c r="F1699" s="7">
        <v>3</v>
      </c>
      <c r="G1699" s="7" t="s">
        <v>1536</v>
      </c>
      <c r="H1699" s="8" t="s">
        <v>1537</v>
      </c>
      <c r="J1699" t="s">
        <v>23</v>
      </c>
      <c r="K1699" s="7">
        <v>648</v>
      </c>
      <c r="L1699" s="9">
        <v>-1</v>
      </c>
      <c r="M1699" t="s">
        <v>1014</v>
      </c>
      <c r="N1699" t="s">
        <v>125</v>
      </c>
      <c r="O1699" s="27" t="str">
        <f>HYPERLINK("https://www.ncbi.nlm.nih.gov/nuccore/NZ_KQ948484.1?report=graph&amp;from=16923&amp;to=17176", "TTA_codon")</f>
        <v>TTA_codon</v>
      </c>
    </row>
    <row r="1700" spans="1:15" x14ac:dyDescent="0.15">
      <c r="A1700" t="s">
        <v>21</v>
      </c>
      <c r="B1700">
        <v>1000285</v>
      </c>
      <c r="C1700">
        <v>362479</v>
      </c>
      <c r="F1700" s="7">
        <v>1</v>
      </c>
      <c r="G1700" s="7">
        <v>847</v>
      </c>
      <c r="H1700" s="8">
        <v>502</v>
      </c>
      <c r="J1700" t="s">
        <v>23</v>
      </c>
      <c r="K1700" s="7">
        <v>594</v>
      </c>
      <c r="L1700" s="9">
        <v>-1</v>
      </c>
      <c r="M1700" t="s">
        <v>32</v>
      </c>
      <c r="N1700" t="s">
        <v>33</v>
      </c>
      <c r="O1700" s="27" t="str">
        <f>HYPERLINK("https://www.ncbi.nlm.nih.gov/nuccore/NZ_CP017248.1?report=graph&amp;from=852694&amp;to=852698", "TTA_codon")</f>
        <v>TTA_codon</v>
      </c>
    </row>
    <row r="1701" spans="1:15" x14ac:dyDescent="0.15">
      <c r="A1701" t="s">
        <v>21</v>
      </c>
      <c r="B1701">
        <v>1000285</v>
      </c>
      <c r="C1701">
        <v>364564</v>
      </c>
      <c r="F1701" s="7">
        <v>1</v>
      </c>
      <c r="G1701" s="7">
        <v>442</v>
      </c>
      <c r="H1701" s="8">
        <v>130</v>
      </c>
      <c r="J1701" t="s">
        <v>23</v>
      </c>
      <c r="K1701" s="7">
        <v>585</v>
      </c>
      <c r="L1701" s="9">
        <v>-1</v>
      </c>
      <c r="M1701" t="s">
        <v>1538</v>
      </c>
      <c r="N1701" t="s">
        <v>108</v>
      </c>
      <c r="O1701" s="27" t="str">
        <f>HYPERLINK("https://www.ncbi.nlm.nih.gov/nuccore/NZ_MUMD01000024.1?report=graph&amp;from=12550&amp;to=12554", "TTA_codon")</f>
        <v>TTA_codon</v>
      </c>
    </row>
    <row r="1702" spans="1:15" x14ac:dyDescent="0.15">
      <c r="A1702" t="s">
        <v>21</v>
      </c>
      <c r="B1702">
        <v>1000285</v>
      </c>
      <c r="C1702">
        <v>365343</v>
      </c>
      <c r="F1702" s="7">
        <v>1</v>
      </c>
      <c r="G1702" s="7">
        <v>679</v>
      </c>
      <c r="H1702" s="8">
        <v>331</v>
      </c>
      <c r="J1702" t="s">
        <v>23</v>
      </c>
      <c r="K1702" s="7">
        <v>591</v>
      </c>
      <c r="L1702" s="9">
        <v>-1</v>
      </c>
      <c r="M1702" t="s">
        <v>1539</v>
      </c>
      <c r="N1702" t="s">
        <v>129</v>
      </c>
      <c r="O1702" s="27" t="str">
        <f>HYPERLINK("https://www.ncbi.nlm.nih.gov/nuccore/NZ_FNHI01000003.1?report=graph&amp;from=229322&amp;to=229326", "TTA_codon")</f>
        <v>TTA_codon</v>
      </c>
    </row>
    <row r="1703" spans="1:15" x14ac:dyDescent="0.15">
      <c r="A1703" t="s">
        <v>21</v>
      </c>
      <c r="B1703">
        <v>1000285</v>
      </c>
      <c r="C1703">
        <v>366099</v>
      </c>
      <c r="F1703" s="7">
        <v>2</v>
      </c>
      <c r="G1703" s="7" t="s">
        <v>1540</v>
      </c>
      <c r="H1703" s="8" t="s">
        <v>1541</v>
      </c>
      <c r="J1703" t="s">
        <v>23</v>
      </c>
      <c r="K1703" s="7">
        <v>555</v>
      </c>
      <c r="L1703" s="9">
        <v>-1</v>
      </c>
      <c r="M1703" t="s">
        <v>1542</v>
      </c>
      <c r="N1703" t="s">
        <v>257</v>
      </c>
      <c r="O1703" s="27" t="str">
        <f>HYPERLINK("https://www.ncbi.nlm.nih.gov/nuccore/NZ_FOET01000001.1?report=graph&amp;from=593314&amp;to=593417", "TTA_codon")</f>
        <v>TTA_codon</v>
      </c>
    </row>
    <row r="1704" spans="1:15" x14ac:dyDescent="0.15">
      <c r="A1704" t="s">
        <v>21</v>
      </c>
      <c r="B1704">
        <v>1000285</v>
      </c>
      <c r="C1704">
        <v>366192</v>
      </c>
      <c r="F1704" s="7">
        <v>1</v>
      </c>
      <c r="G1704" s="7">
        <v>748</v>
      </c>
      <c r="H1704" s="8">
        <v>412</v>
      </c>
      <c r="J1704" t="s">
        <v>23</v>
      </c>
      <c r="K1704" s="7">
        <v>603</v>
      </c>
      <c r="L1704" s="9">
        <v>-1</v>
      </c>
      <c r="M1704" t="s">
        <v>1543</v>
      </c>
      <c r="N1704" t="s">
        <v>178</v>
      </c>
      <c r="O1704" s="27" t="str">
        <f>HYPERLINK("https://www.ncbi.nlm.nih.gov/nuccore/NZ_FOGO01000006.1?report=graph&amp;from=29757&amp;to=29761", "TTA_codon")</f>
        <v>TTA_codon</v>
      </c>
    </row>
    <row r="1705" spans="1:15" x14ac:dyDescent="0.15">
      <c r="A1705" t="s">
        <v>21</v>
      </c>
      <c r="B1705" t="s">
        <v>1544</v>
      </c>
    </row>
    <row r="1706" spans="1:15" x14ac:dyDescent="0.15">
      <c r="A1706" t="s">
        <v>21</v>
      </c>
      <c r="B1706">
        <v>1000517</v>
      </c>
      <c r="C1706">
        <v>349475</v>
      </c>
      <c r="F1706" s="7">
        <v>1</v>
      </c>
      <c r="G1706" s="7">
        <v>1726</v>
      </c>
      <c r="H1706" s="8">
        <v>1714</v>
      </c>
      <c r="J1706" t="s">
        <v>23</v>
      </c>
      <c r="K1706" s="7">
        <v>2673</v>
      </c>
      <c r="L1706" s="9">
        <v>1</v>
      </c>
      <c r="M1706" t="s">
        <v>1545</v>
      </c>
      <c r="N1706" t="s">
        <v>64</v>
      </c>
      <c r="O1706" s="27" t="str">
        <f>HYPERLINK("https://www.ncbi.nlm.nih.gov/nuccore/NZ_AEYX01000031.1?report=graph&amp;from=103601&amp;to=103605", "TTA_codon")</f>
        <v>TTA_codon</v>
      </c>
    </row>
    <row r="1707" spans="1:15" x14ac:dyDescent="0.15">
      <c r="A1707" t="s">
        <v>21</v>
      </c>
      <c r="B1707">
        <v>1000517</v>
      </c>
      <c r="C1707">
        <v>360915</v>
      </c>
      <c r="F1707" s="7">
        <v>1</v>
      </c>
      <c r="G1707" s="7">
        <v>1597</v>
      </c>
      <c r="H1707" s="8">
        <v>1549</v>
      </c>
      <c r="J1707" t="s">
        <v>23</v>
      </c>
      <c r="K1707" s="7">
        <v>2649</v>
      </c>
      <c r="L1707" s="9">
        <v>1</v>
      </c>
      <c r="M1707" t="s">
        <v>1546</v>
      </c>
      <c r="N1707" t="s">
        <v>97</v>
      </c>
      <c r="O1707" s="27" t="str">
        <f>HYPERLINK("https://www.ncbi.nlm.nih.gov/nuccore/NZ_LOHS01000075.1?report=graph&amp;from=81907&amp;to=81911", "TTA_codon")</f>
        <v>TTA_codon</v>
      </c>
    </row>
    <row r="1708" spans="1:15" x14ac:dyDescent="0.15">
      <c r="A1708" t="s">
        <v>21</v>
      </c>
      <c r="B1708" t="s">
        <v>1547</v>
      </c>
    </row>
    <row r="1709" spans="1:15" x14ac:dyDescent="0.15">
      <c r="A1709" t="s">
        <v>21</v>
      </c>
      <c r="B1709">
        <v>1000640</v>
      </c>
      <c r="C1709">
        <v>350494</v>
      </c>
      <c r="F1709" s="7">
        <v>1</v>
      </c>
      <c r="G1709" s="7">
        <v>76</v>
      </c>
      <c r="H1709" s="8">
        <v>61</v>
      </c>
      <c r="J1709" t="s">
        <v>23</v>
      </c>
      <c r="K1709" s="7">
        <v>1374</v>
      </c>
      <c r="L1709" s="9">
        <v>1</v>
      </c>
      <c r="M1709" t="s">
        <v>1548</v>
      </c>
      <c r="N1709" t="s">
        <v>134</v>
      </c>
      <c r="O1709" s="27" t="str">
        <f>HYPERLINK("https://www.ncbi.nlm.nih.gov/nuccore/NZ_AJSZ01000450.1?report=graph&amp;from=26123&amp;to=26127", "TTA_codon")</f>
        <v>TTA_codon</v>
      </c>
    </row>
    <row r="1710" spans="1:15" x14ac:dyDescent="0.15">
      <c r="A1710" t="s">
        <v>21</v>
      </c>
      <c r="B1710">
        <v>1000640</v>
      </c>
      <c r="C1710">
        <v>362426</v>
      </c>
      <c r="F1710" s="7">
        <v>1</v>
      </c>
      <c r="G1710" s="7">
        <v>76</v>
      </c>
      <c r="H1710" s="8">
        <v>76</v>
      </c>
      <c r="J1710" t="s">
        <v>23</v>
      </c>
      <c r="K1710" s="7">
        <v>1389</v>
      </c>
      <c r="L1710" s="9">
        <v>1</v>
      </c>
      <c r="M1710" t="s">
        <v>32</v>
      </c>
      <c r="N1710" t="s">
        <v>33</v>
      </c>
      <c r="O1710" s="27" t="str">
        <f>HYPERLINK("https://www.ncbi.nlm.nih.gov/nuccore/NZ_CP017248.1?report=graph&amp;from=8338491&amp;to=8338495", "TTA_codon")</f>
        <v>TTA_codon</v>
      </c>
    </row>
    <row r="1711" spans="1:15" x14ac:dyDescent="0.15">
      <c r="A1711" t="s">
        <v>21</v>
      </c>
      <c r="B1711" t="s">
        <v>1549</v>
      </c>
    </row>
    <row r="1712" spans="1:15" x14ac:dyDescent="0.15">
      <c r="A1712" t="s">
        <v>21</v>
      </c>
      <c r="B1712">
        <v>1000951</v>
      </c>
      <c r="C1712">
        <v>353504</v>
      </c>
      <c r="F1712" s="7">
        <v>1</v>
      </c>
      <c r="G1712" s="7">
        <v>319</v>
      </c>
      <c r="H1712" s="8">
        <v>253</v>
      </c>
      <c r="J1712" t="s">
        <v>23</v>
      </c>
      <c r="K1712" s="7">
        <v>1281</v>
      </c>
      <c r="L1712" s="9">
        <v>1</v>
      </c>
      <c r="M1712" t="s">
        <v>1550</v>
      </c>
      <c r="N1712" t="s">
        <v>169</v>
      </c>
      <c r="O1712" s="27" t="str">
        <f>HYPERLINK("https://www.ncbi.nlm.nih.gov/nuccore/NZ_JNWJ01000090.1?report=graph&amp;from=2524&amp;to=2528", "TTA_codon")</f>
        <v>TTA_codon</v>
      </c>
    </row>
    <row r="1713" spans="1:15" x14ac:dyDescent="0.15">
      <c r="A1713" t="s">
        <v>21</v>
      </c>
      <c r="B1713">
        <v>1000951</v>
      </c>
      <c r="C1713">
        <v>361842</v>
      </c>
      <c r="F1713" s="7">
        <v>2</v>
      </c>
      <c r="G1713" s="7" t="s">
        <v>1551</v>
      </c>
      <c r="H1713" s="8" t="s">
        <v>1551</v>
      </c>
      <c r="J1713" t="s">
        <v>23</v>
      </c>
      <c r="K1713" s="7">
        <v>1074</v>
      </c>
      <c r="L1713" s="9">
        <v>1</v>
      </c>
      <c r="M1713" t="s">
        <v>37</v>
      </c>
      <c r="N1713" t="s">
        <v>38</v>
      </c>
      <c r="O1713" s="27" t="str">
        <f>HYPERLINK("https://www.ncbi.nlm.nih.gov/nuccore/NZ_CP011533.1?report=graph&amp;from=1282613&amp;to=1282626", "TTA_codon")</f>
        <v>TTA_codon</v>
      </c>
    </row>
    <row r="1714" spans="1:15" x14ac:dyDescent="0.15">
      <c r="A1714" t="s">
        <v>21</v>
      </c>
      <c r="B1714" t="s">
        <v>1552</v>
      </c>
    </row>
    <row r="1715" spans="1:15" x14ac:dyDescent="0.15">
      <c r="A1715" t="s">
        <v>21</v>
      </c>
      <c r="B1715">
        <v>1000353</v>
      </c>
      <c r="C1715">
        <v>348167</v>
      </c>
      <c r="F1715" s="7">
        <v>1</v>
      </c>
      <c r="G1715" s="7">
        <v>220</v>
      </c>
      <c r="H1715" s="8">
        <v>220</v>
      </c>
      <c r="J1715" t="s">
        <v>23</v>
      </c>
      <c r="K1715" s="7">
        <v>426</v>
      </c>
      <c r="L1715" s="9">
        <v>1</v>
      </c>
      <c r="M1715" t="s">
        <v>59</v>
      </c>
      <c r="N1715" t="s">
        <v>60</v>
      </c>
      <c r="O1715" s="27" t="str">
        <f>HYPERLINK("https://www.ncbi.nlm.nih.gov/nuccore/NC_016582.1?report=graph&amp;from=10486539&amp;to=10486543", "TTA_codon")</f>
        <v>TTA_codon</v>
      </c>
    </row>
    <row r="1716" spans="1:15" x14ac:dyDescent="0.15">
      <c r="A1716" t="s">
        <v>21</v>
      </c>
      <c r="B1716">
        <v>1000353</v>
      </c>
      <c r="C1716">
        <v>361988</v>
      </c>
      <c r="F1716" s="7">
        <v>1</v>
      </c>
      <c r="G1716" s="7">
        <v>220</v>
      </c>
      <c r="H1716" s="8">
        <v>220</v>
      </c>
      <c r="J1716" t="s">
        <v>23</v>
      </c>
      <c r="K1716" s="7">
        <v>426</v>
      </c>
      <c r="L1716" s="9">
        <v>1</v>
      </c>
      <c r="M1716" t="s">
        <v>1553</v>
      </c>
      <c r="N1716" t="s">
        <v>187</v>
      </c>
      <c r="O1716" s="27" t="str">
        <f>HYPERLINK("https://www.ncbi.nlm.nih.gov/nuccore/NZ_MAXF01000144.1?report=graph&amp;from=3738&amp;to=3742", "TTA_codon")</f>
        <v>TTA_codon</v>
      </c>
    </row>
    <row r="1717" spans="1:15" x14ac:dyDescent="0.15">
      <c r="A1717" t="s">
        <v>21</v>
      </c>
      <c r="B1717">
        <v>1000353</v>
      </c>
      <c r="C1717">
        <v>363669</v>
      </c>
      <c r="F1717" s="7">
        <v>1</v>
      </c>
      <c r="G1717" s="7">
        <v>220</v>
      </c>
      <c r="H1717" s="8">
        <v>220</v>
      </c>
      <c r="J1717" t="s">
        <v>23</v>
      </c>
      <c r="K1717" s="7">
        <v>426</v>
      </c>
      <c r="L1717" s="9">
        <v>1</v>
      </c>
      <c r="M1717" t="s">
        <v>101</v>
      </c>
      <c r="N1717" t="s">
        <v>102</v>
      </c>
      <c r="O1717" s="27" t="str">
        <f>HYPERLINK("https://www.ncbi.nlm.nih.gov/nuccore/NZ_CP019458.1?report=graph&amp;from=9158106&amp;to=9158110", "TTA_codon")</f>
        <v>TTA_codon</v>
      </c>
    </row>
    <row r="1718" spans="1:15" x14ac:dyDescent="0.15">
      <c r="A1718" t="s">
        <v>21</v>
      </c>
      <c r="B1718">
        <v>1000353</v>
      </c>
      <c r="C1718">
        <v>365643</v>
      </c>
      <c r="F1718" s="7">
        <v>1</v>
      </c>
      <c r="G1718" s="7">
        <v>220</v>
      </c>
      <c r="H1718" s="8">
        <v>220</v>
      </c>
      <c r="J1718" t="s">
        <v>23</v>
      </c>
      <c r="K1718" s="7">
        <v>426</v>
      </c>
      <c r="L1718" s="9">
        <v>1</v>
      </c>
      <c r="M1718" t="s">
        <v>213</v>
      </c>
      <c r="N1718" t="s">
        <v>214</v>
      </c>
      <c r="O1718" s="27" t="str">
        <f>HYPERLINK("https://www.ncbi.nlm.nih.gov/nuccore/NZ_FNST01000002.1?report=graph&amp;from=6818604&amp;to=6818608", "TTA_codon")</f>
        <v>TTA_codon</v>
      </c>
    </row>
    <row r="1719" spans="1:15" x14ac:dyDescent="0.15">
      <c r="A1719" t="s">
        <v>21</v>
      </c>
      <c r="B1719" t="s">
        <v>1554</v>
      </c>
    </row>
    <row r="1720" spans="1:15" x14ac:dyDescent="0.15">
      <c r="A1720" t="s">
        <v>21</v>
      </c>
      <c r="B1720">
        <v>1000290</v>
      </c>
      <c r="C1720">
        <v>347836</v>
      </c>
      <c r="F1720" s="7">
        <v>1</v>
      </c>
      <c r="G1720" s="7">
        <v>115</v>
      </c>
      <c r="H1720" s="8">
        <v>115</v>
      </c>
      <c r="J1720" t="s">
        <v>23</v>
      </c>
      <c r="K1720" s="7">
        <v>423</v>
      </c>
      <c r="L1720" s="9">
        <v>1</v>
      </c>
      <c r="M1720" t="s">
        <v>57</v>
      </c>
      <c r="N1720" t="s">
        <v>58</v>
      </c>
      <c r="O1720" s="27" t="str">
        <f>HYPERLINK("https://www.ncbi.nlm.nih.gov/nuccore/NC_013929.1?report=graph&amp;from=8624791&amp;to=8624795", "TTA_codon")</f>
        <v>TTA_codon</v>
      </c>
    </row>
    <row r="1721" spans="1:15" x14ac:dyDescent="0.15">
      <c r="A1721" t="s">
        <v>21</v>
      </c>
      <c r="B1721">
        <v>1000290</v>
      </c>
      <c r="C1721">
        <v>358409</v>
      </c>
      <c r="F1721" s="7">
        <v>1</v>
      </c>
      <c r="G1721" s="7">
        <v>115</v>
      </c>
      <c r="H1721" s="8">
        <v>115</v>
      </c>
      <c r="J1721" t="s">
        <v>23</v>
      </c>
      <c r="K1721" s="7">
        <v>423</v>
      </c>
      <c r="L1721" s="9">
        <v>1</v>
      </c>
      <c r="M1721" t="s">
        <v>84</v>
      </c>
      <c r="N1721" t="s">
        <v>85</v>
      </c>
      <c r="O1721" s="27" t="str">
        <f>HYPERLINK("https://www.ncbi.nlm.nih.gov/nuccore/NZ_LIQX01000046.1?report=graph&amp;from=282&amp;to=286", "TTA_codon")</f>
        <v>TTA_codon</v>
      </c>
    </row>
    <row r="1722" spans="1:15" x14ac:dyDescent="0.15">
      <c r="A1722" t="s">
        <v>21</v>
      </c>
      <c r="B1722">
        <v>1000290</v>
      </c>
      <c r="C1722">
        <v>362497</v>
      </c>
      <c r="F1722" s="7">
        <v>1</v>
      </c>
      <c r="G1722" s="7">
        <v>115</v>
      </c>
      <c r="H1722" s="8">
        <v>115</v>
      </c>
      <c r="J1722" t="s">
        <v>23</v>
      </c>
      <c r="K1722" s="7">
        <v>429</v>
      </c>
      <c r="L1722" s="9">
        <v>1</v>
      </c>
      <c r="M1722" t="s">
        <v>32</v>
      </c>
      <c r="N1722" t="s">
        <v>33</v>
      </c>
      <c r="O1722" s="27" t="str">
        <f>HYPERLINK("https://www.ncbi.nlm.nih.gov/nuccore/NZ_CP017248.1?report=graph&amp;from=8161883&amp;to=8161887", "TTA_codon")</f>
        <v>TTA_codon</v>
      </c>
    </row>
    <row r="1723" spans="1:15" x14ac:dyDescent="0.15">
      <c r="A1723" t="s">
        <v>21</v>
      </c>
      <c r="B1723">
        <v>1000290</v>
      </c>
      <c r="C1723">
        <v>363479</v>
      </c>
      <c r="F1723" s="7">
        <v>1</v>
      </c>
      <c r="G1723" s="7">
        <v>115</v>
      </c>
      <c r="H1723" s="8">
        <v>115</v>
      </c>
      <c r="J1723" t="s">
        <v>23</v>
      </c>
      <c r="K1723" s="7">
        <v>450</v>
      </c>
      <c r="L1723" s="9">
        <v>1</v>
      </c>
      <c r="M1723" t="s">
        <v>157</v>
      </c>
      <c r="N1723" t="s">
        <v>158</v>
      </c>
      <c r="O1723" s="27" t="str">
        <f>HYPERLINK("https://www.ncbi.nlm.nih.gov/nuccore/NZ_CP015588.1?report=graph&amp;from=7499907&amp;to=7499911", "TTA_codon")</f>
        <v>TTA_codon</v>
      </c>
    </row>
    <row r="1724" spans="1:15" x14ac:dyDescent="0.15">
      <c r="A1724" t="s">
        <v>21</v>
      </c>
      <c r="B1724" t="s">
        <v>1555</v>
      </c>
    </row>
    <row r="1725" spans="1:15" x14ac:dyDescent="0.15">
      <c r="A1725" t="s">
        <v>21</v>
      </c>
      <c r="B1725">
        <v>1000484</v>
      </c>
      <c r="C1725">
        <v>349208</v>
      </c>
      <c r="F1725" s="7">
        <v>1</v>
      </c>
      <c r="G1725" s="7">
        <v>388</v>
      </c>
      <c r="H1725" s="8">
        <v>379</v>
      </c>
      <c r="J1725" t="s">
        <v>23</v>
      </c>
      <c r="K1725" s="7">
        <v>1239</v>
      </c>
      <c r="L1725" s="9">
        <v>-1</v>
      </c>
      <c r="M1725" t="s">
        <v>211</v>
      </c>
      <c r="N1725" t="s">
        <v>212</v>
      </c>
      <c r="O1725" s="27" t="str">
        <f>HYPERLINK("https://www.ncbi.nlm.nih.gov/nuccore/NZ_GG657754.1?report=graph&amp;from=3277208&amp;to=3277212", "TTA_codon")</f>
        <v>TTA_codon</v>
      </c>
    </row>
    <row r="1726" spans="1:15" x14ac:dyDescent="0.15">
      <c r="A1726" t="s">
        <v>21</v>
      </c>
      <c r="B1726">
        <v>1000484</v>
      </c>
      <c r="C1726">
        <v>351447</v>
      </c>
      <c r="F1726" s="7">
        <v>1</v>
      </c>
      <c r="G1726" s="7">
        <v>388</v>
      </c>
      <c r="H1726" s="8">
        <v>322</v>
      </c>
      <c r="J1726" t="s">
        <v>23</v>
      </c>
      <c r="K1726" s="7">
        <v>1146</v>
      </c>
      <c r="L1726" s="9">
        <v>-1</v>
      </c>
      <c r="M1726" t="s">
        <v>65</v>
      </c>
      <c r="N1726" t="s">
        <v>66</v>
      </c>
      <c r="O1726" s="27" t="str">
        <f>HYPERLINK("https://www.ncbi.nlm.nih.gov/nuccore/NC_020504.1?report=graph&amp;from=3178776&amp;to=3178780", "TTA_codon")</f>
        <v>TTA_codon</v>
      </c>
    </row>
    <row r="1727" spans="1:15" x14ac:dyDescent="0.15">
      <c r="A1727" t="s">
        <v>21</v>
      </c>
      <c r="B1727">
        <v>1000484</v>
      </c>
      <c r="C1727">
        <v>352960</v>
      </c>
      <c r="F1727" s="7">
        <v>1</v>
      </c>
      <c r="G1727" s="7">
        <v>427</v>
      </c>
      <c r="H1727" s="8">
        <v>364</v>
      </c>
      <c r="J1727" t="s">
        <v>23</v>
      </c>
      <c r="K1727" s="7">
        <v>477</v>
      </c>
      <c r="L1727" s="9">
        <v>-1</v>
      </c>
      <c r="M1727" t="s">
        <v>1556</v>
      </c>
      <c r="N1727" t="s">
        <v>306</v>
      </c>
      <c r="O1727" s="27" t="str">
        <f>HYPERLINK("https://www.ncbi.nlm.nih.gov/nuccore/NZ_JNYL01000524.1?report=graph&amp;from=8420&amp;to=8424", "TTA_codon")</f>
        <v>TTA_codon</v>
      </c>
    </row>
    <row r="1728" spans="1:15" x14ac:dyDescent="0.15">
      <c r="A1728" t="s">
        <v>21</v>
      </c>
      <c r="B1728" t="s">
        <v>1557</v>
      </c>
    </row>
    <row r="1729" spans="1:15" x14ac:dyDescent="0.15">
      <c r="A1729" t="s">
        <v>21</v>
      </c>
      <c r="B1729">
        <v>1000280</v>
      </c>
      <c r="C1729">
        <v>347807</v>
      </c>
      <c r="F1729" s="7">
        <v>1</v>
      </c>
      <c r="G1729" s="7">
        <v>796</v>
      </c>
      <c r="H1729" s="8">
        <v>646</v>
      </c>
      <c r="J1729" t="s">
        <v>23</v>
      </c>
      <c r="K1729" s="7">
        <v>1227</v>
      </c>
      <c r="L1729" s="9">
        <v>1</v>
      </c>
      <c r="M1729" t="s">
        <v>57</v>
      </c>
      <c r="N1729" t="s">
        <v>58</v>
      </c>
      <c r="O1729" s="27" t="str">
        <f>HYPERLINK("https://www.ncbi.nlm.nih.gov/nuccore/NC_013929.1?report=graph&amp;from=7062550&amp;to=7062554", "TTA_codon")</f>
        <v>TTA_codon</v>
      </c>
    </row>
    <row r="1730" spans="1:15" x14ac:dyDescent="0.15">
      <c r="A1730" t="s">
        <v>21</v>
      </c>
      <c r="B1730">
        <v>1000280</v>
      </c>
      <c r="C1730">
        <v>349333</v>
      </c>
      <c r="F1730" s="7">
        <v>2</v>
      </c>
      <c r="G1730" s="7" t="s">
        <v>1558</v>
      </c>
      <c r="H1730" s="8" t="s">
        <v>1281</v>
      </c>
      <c r="J1730" t="s">
        <v>23</v>
      </c>
      <c r="K1730" s="7">
        <v>1197</v>
      </c>
      <c r="L1730" s="9">
        <v>1</v>
      </c>
      <c r="M1730" t="s">
        <v>458</v>
      </c>
      <c r="N1730" t="s">
        <v>315</v>
      </c>
      <c r="O1730" s="27" t="str">
        <f>HYPERLINK("https://www.ncbi.nlm.nih.gov/nuccore/NC_003888.3?report=graph&amp;from=2600823&amp;to=2600839", "TTA_codon")</f>
        <v>TTA_codon</v>
      </c>
    </row>
    <row r="1731" spans="1:15" x14ac:dyDescent="0.15">
      <c r="A1731" t="s">
        <v>21</v>
      </c>
      <c r="B1731">
        <v>1000280</v>
      </c>
      <c r="C1731">
        <v>349768</v>
      </c>
      <c r="F1731" s="7">
        <v>2</v>
      </c>
      <c r="G1731" s="7" t="s">
        <v>1559</v>
      </c>
      <c r="H1731" s="8" t="s">
        <v>1560</v>
      </c>
      <c r="J1731" t="s">
        <v>23</v>
      </c>
      <c r="K1731" s="7">
        <v>1194</v>
      </c>
      <c r="L1731" s="9">
        <v>1</v>
      </c>
      <c r="M1731" t="s">
        <v>265</v>
      </c>
      <c r="N1731" t="s">
        <v>266</v>
      </c>
      <c r="O1731" s="27" t="str">
        <f>HYPERLINK("https://www.ncbi.nlm.nih.gov/nuccore/NC_017586.1?report=graph&amp;from=62449&amp;to=62885", "TTA_codon")</f>
        <v>TTA_codon</v>
      </c>
    </row>
    <row r="1732" spans="1:15" x14ac:dyDescent="0.15">
      <c r="A1732" t="s">
        <v>21</v>
      </c>
      <c r="B1732">
        <v>1000280</v>
      </c>
      <c r="C1732">
        <v>355642</v>
      </c>
      <c r="F1732" s="7">
        <v>1</v>
      </c>
      <c r="G1732" s="7">
        <v>628</v>
      </c>
      <c r="H1732" s="8">
        <v>562</v>
      </c>
      <c r="J1732" t="s">
        <v>23</v>
      </c>
      <c r="K1732" s="7">
        <v>1224</v>
      </c>
      <c r="L1732" s="9">
        <v>1</v>
      </c>
      <c r="M1732" t="s">
        <v>1232</v>
      </c>
      <c r="N1732" t="s">
        <v>278</v>
      </c>
      <c r="O1732" s="27" t="str">
        <f>HYPERLINK("https://www.ncbi.nlm.nih.gov/nuccore/NZ_JOID01000004.1?report=graph&amp;from=184181&amp;to=184185", "TTA_codon")</f>
        <v>TTA_codon</v>
      </c>
    </row>
    <row r="1733" spans="1:15" x14ac:dyDescent="0.15">
      <c r="A1733" t="s">
        <v>21</v>
      </c>
      <c r="B1733">
        <v>1000280</v>
      </c>
      <c r="C1733">
        <v>356196</v>
      </c>
      <c r="F1733" s="7">
        <v>1</v>
      </c>
      <c r="G1733" s="7">
        <v>766</v>
      </c>
      <c r="H1733" s="8">
        <v>619</v>
      </c>
      <c r="J1733" t="s">
        <v>23</v>
      </c>
      <c r="K1733" s="7">
        <v>1230</v>
      </c>
      <c r="L1733" s="9">
        <v>1</v>
      </c>
      <c r="M1733" t="s">
        <v>1561</v>
      </c>
      <c r="N1733" t="s">
        <v>77</v>
      </c>
      <c r="O1733" s="27" t="str">
        <f>HYPERLINK("https://www.ncbi.nlm.nih.gov/nuccore/NZ_JNXD01000001.1?report=graph&amp;from=540840&amp;to=540844", "TTA_codon")</f>
        <v>TTA_codon</v>
      </c>
    </row>
    <row r="1734" spans="1:15" x14ac:dyDescent="0.15">
      <c r="A1734" t="s">
        <v>21</v>
      </c>
      <c r="B1734">
        <v>1000280</v>
      </c>
      <c r="C1734">
        <v>357956</v>
      </c>
      <c r="F1734" s="7">
        <v>1</v>
      </c>
      <c r="G1734" s="7">
        <v>886</v>
      </c>
      <c r="H1734" s="8">
        <v>706</v>
      </c>
      <c r="J1734" t="s">
        <v>23</v>
      </c>
      <c r="K1734" s="7">
        <v>1203</v>
      </c>
      <c r="L1734" s="9">
        <v>1</v>
      </c>
      <c r="M1734" t="s">
        <v>261</v>
      </c>
      <c r="N1734" t="s">
        <v>262</v>
      </c>
      <c r="O1734" s="27" t="str">
        <f>HYPERLINK("https://www.ncbi.nlm.nih.gov/nuccore/NZ_CP011340.1?report=graph&amp;from=1291746&amp;to=1291750", "TTA_codon")</f>
        <v>TTA_codon</v>
      </c>
    </row>
    <row r="1735" spans="1:15" x14ac:dyDescent="0.15">
      <c r="A1735" t="s">
        <v>21</v>
      </c>
      <c r="B1735">
        <v>1000280</v>
      </c>
      <c r="C1735">
        <v>357957</v>
      </c>
      <c r="F1735" s="7">
        <v>1</v>
      </c>
      <c r="G1735" s="7">
        <v>1096</v>
      </c>
      <c r="H1735" s="8">
        <v>907</v>
      </c>
      <c r="J1735" t="s">
        <v>23</v>
      </c>
      <c r="K1735" s="7">
        <v>1194</v>
      </c>
      <c r="L1735" s="9">
        <v>1</v>
      </c>
      <c r="M1735" t="s">
        <v>261</v>
      </c>
      <c r="N1735" t="s">
        <v>262</v>
      </c>
      <c r="O1735" s="27" t="str">
        <f>HYPERLINK("https://www.ncbi.nlm.nih.gov/nuccore/NZ_CP011340.1?report=graph&amp;from=7355858&amp;to=7355862", "TTA_codon")</f>
        <v>TTA_codon</v>
      </c>
    </row>
    <row r="1736" spans="1:15" x14ac:dyDescent="0.15">
      <c r="A1736" t="s">
        <v>21</v>
      </c>
      <c r="B1736">
        <v>1000280</v>
      </c>
      <c r="C1736">
        <v>359304</v>
      </c>
      <c r="F1736" s="7">
        <v>1</v>
      </c>
      <c r="G1736" s="7">
        <v>607</v>
      </c>
      <c r="H1736" s="8">
        <v>508</v>
      </c>
      <c r="J1736" t="s">
        <v>23</v>
      </c>
      <c r="K1736" s="7">
        <v>1197</v>
      </c>
      <c r="L1736" s="9">
        <v>1</v>
      </c>
      <c r="M1736" t="s">
        <v>1562</v>
      </c>
      <c r="N1736" t="s">
        <v>89</v>
      </c>
      <c r="O1736" s="27" t="str">
        <f>HYPERLINK("https://www.ncbi.nlm.nih.gov/nuccore/NZ_LIRG01000284.1?report=graph&amp;from=15540&amp;to=15544", "TTA_codon")</f>
        <v>TTA_codon</v>
      </c>
    </row>
    <row r="1737" spans="1:15" x14ac:dyDescent="0.15">
      <c r="A1737" t="s">
        <v>21</v>
      </c>
      <c r="B1737">
        <v>1000280</v>
      </c>
      <c r="C1737">
        <v>360089</v>
      </c>
      <c r="F1737" s="7">
        <v>1</v>
      </c>
      <c r="G1737" s="7">
        <v>949</v>
      </c>
      <c r="H1737" s="8">
        <v>859</v>
      </c>
      <c r="J1737" t="s">
        <v>23</v>
      </c>
      <c r="K1737" s="7">
        <v>1287</v>
      </c>
      <c r="L1737" s="9">
        <v>1</v>
      </c>
      <c r="M1737" t="s">
        <v>1563</v>
      </c>
      <c r="N1737" t="s">
        <v>125</v>
      </c>
      <c r="O1737" s="27" t="str">
        <f>HYPERLINK("https://www.ncbi.nlm.nih.gov/nuccore/NZ_KQ948451.1?report=graph&amp;from=197142&amp;to=197146", "TTA_codon")</f>
        <v>TTA_codon</v>
      </c>
    </row>
    <row r="1738" spans="1:15" x14ac:dyDescent="0.15">
      <c r="A1738" t="s">
        <v>21</v>
      </c>
      <c r="B1738">
        <v>1000280</v>
      </c>
      <c r="C1738">
        <v>366188</v>
      </c>
      <c r="F1738" s="7">
        <v>1</v>
      </c>
      <c r="G1738" s="7">
        <v>823</v>
      </c>
      <c r="H1738" s="8">
        <v>721</v>
      </c>
      <c r="J1738" t="s">
        <v>23</v>
      </c>
      <c r="K1738" s="7">
        <v>1338</v>
      </c>
      <c r="L1738" s="9">
        <v>1</v>
      </c>
      <c r="M1738" t="s">
        <v>1543</v>
      </c>
      <c r="N1738" t="s">
        <v>178</v>
      </c>
      <c r="O1738" s="27" t="str">
        <f>HYPERLINK("https://www.ncbi.nlm.nih.gov/nuccore/NZ_FOGO01000006.1?report=graph&amp;from=177204&amp;to=177208", "TTA_codon")</f>
        <v>TTA_codon</v>
      </c>
    </row>
    <row r="1739" spans="1:15" x14ac:dyDescent="0.15">
      <c r="A1739" t="s">
        <v>195</v>
      </c>
      <c r="B1739" t="s">
        <v>1564</v>
      </c>
    </row>
    <row r="1740" spans="1:15" x14ac:dyDescent="0.15">
      <c r="A1740" t="s">
        <v>195</v>
      </c>
      <c r="B1740">
        <v>1000025</v>
      </c>
      <c r="C1740">
        <v>346119</v>
      </c>
      <c r="F1740" s="7">
        <v>1</v>
      </c>
      <c r="G1740" s="7">
        <v>187</v>
      </c>
      <c r="H1740" s="8">
        <v>139</v>
      </c>
      <c r="J1740" t="s">
        <v>23</v>
      </c>
      <c r="K1740" s="7">
        <v>16938</v>
      </c>
      <c r="L1740" s="9">
        <v>1</v>
      </c>
      <c r="M1740" t="s">
        <v>1565</v>
      </c>
      <c r="N1740" t="s">
        <v>64</v>
      </c>
      <c r="O1740" s="27" t="str">
        <f>HYPERLINK("https://www.ncbi.nlm.nih.gov/nuccore/NZ_AEYX01000037.1?report=graph&amp;from=61790&amp;to=61794", "TTA_codon")</f>
        <v>TTA_codon</v>
      </c>
    </row>
    <row r="1741" spans="1:15" x14ac:dyDescent="0.15">
      <c r="A1741" t="s">
        <v>21</v>
      </c>
      <c r="B1741">
        <v>1000025</v>
      </c>
      <c r="C1741">
        <v>349494</v>
      </c>
      <c r="F1741" s="7">
        <v>1</v>
      </c>
      <c r="G1741" s="7">
        <v>202</v>
      </c>
      <c r="H1741" s="8">
        <v>196</v>
      </c>
      <c r="J1741" t="s">
        <v>23</v>
      </c>
      <c r="K1741" s="7">
        <v>7179</v>
      </c>
      <c r="L1741" s="9">
        <v>1</v>
      </c>
      <c r="M1741" t="s">
        <v>1566</v>
      </c>
      <c r="N1741" t="s">
        <v>64</v>
      </c>
      <c r="O1741" s="27" t="str">
        <f>HYPERLINK("https://www.ncbi.nlm.nih.gov/nuccore/NZ_AEYX01000035.1?report=graph&amp;from=77319&amp;to=77323", "TTA_codon")</f>
        <v>TTA_codon</v>
      </c>
    </row>
    <row r="1742" spans="1:15" x14ac:dyDescent="0.15">
      <c r="A1742" t="s">
        <v>21</v>
      </c>
      <c r="B1742">
        <v>1000025</v>
      </c>
      <c r="C1742">
        <v>349775</v>
      </c>
      <c r="F1742" s="7">
        <v>1</v>
      </c>
      <c r="G1742" s="7">
        <v>3373</v>
      </c>
      <c r="H1742" s="8">
        <v>61</v>
      </c>
      <c r="J1742" t="s">
        <v>23</v>
      </c>
      <c r="K1742" s="7">
        <v>3237</v>
      </c>
      <c r="L1742" s="9">
        <v>1</v>
      </c>
      <c r="M1742" t="s">
        <v>420</v>
      </c>
      <c r="N1742" t="s">
        <v>266</v>
      </c>
      <c r="O1742" s="27" t="str">
        <f>HYPERLINK("https://www.ncbi.nlm.nih.gov/nuccore/NC_017585.1?report=graph&amp;from=1770489&amp;to=1770493", "TTA_codon")</f>
        <v>TTA_codon</v>
      </c>
    </row>
    <row r="1743" spans="1:15" x14ac:dyDescent="0.15">
      <c r="A1743" t="s">
        <v>21</v>
      </c>
      <c r="B1743">
        <v>1000025</v>
      </c>
      <c r="C1743">
        <v>351585</v>
      </c>
      <c r="F1743" s="7">
        <v>1</v>
      </c>
      <c r="G1743" s="7">
        <v>3487</v>
      </c>
      <c r="H1743" s="8">
        <v>331</v>
      </c>
      <c r="J1743" t="s">
        <v>23</v>
      </c>
      <c r="K1743" s="7">
        <v>3372</v>
      </c>
      <c r="L1743" s="9">
        <v>1</v>
      </c>
      <c r="M1743" t="s">
        <v>1567</v>
      </c>
      <c r="N1743" t="s">
        <v>138</v>
      </c>
      <c r="O1743" s="27" t="str">
        <f>HYPERLINK("https://www.ncbi.nlm.nih.gov/nuccore/NZ_KB889561.1?report=graph&amp;from=331841&amp;to=331845", "TTA_codon")</f>
        <v>TTA_codon</v>
      </c>
    </row>
    <row r="1744" spans="1:15" x14ac:dyDescent="0.15">
      <c r="A1744" t="s">
        <v>21</v>
      </c>
      <c r="B1744">
        <v>1000025</v>
      </c>
      <c r="C1744">
        <v>352456</v>
      </c>
      <c r="F1744" s="7">
        <v>1</v>
      </c>
      <c r="G1744" s="7">
        <v>3445</v>
      </c>
      <c r="H1744" s="8">
        <v>418</v>
      </c>
      <c r="J1744" t="s">
        <v>23</v>
      </c>
      <c r="K1744" s="7">
        <v>4611</v>
      </c>
      <c r="L1744" s="9">
        <v>1</v>
      </c>
      <c r="M1744" t="s">
        <v>30</v>
      </c>
      <c r="N1744" t="s">
        <v>31</v>
      </c>
      <c r="O1744" s="27" t="str">
        <f>HYPERLINK("https://www.ncbi.nlm.nih.gov/nuccore/NZ_KB913030.1?report=graph&amp;from=327131&amp;to=327135", "TTA_codon")</f>
        <v>TTA_codon</v>
      </c>
    </row>
    <row r="1745" spans="1:15" x14ac:dyDescent="0.15">
      <c r="A1745" t="s">
        <v>21</v>
      </c>
      <c r="B1745">
        <v>1000025</v>
      </c>
      <c r="C1745">
        <v>352560</v>
      </c>
      <c r="F1745" s="7">
        <v>1</v>
      </c>
      <c r="G1745" s="7">
        <v>3487</v>
      </c>
      <c r="H1745" s="8">
        <v>355</v>
      </c>
      <c r="J1745" t="s">
        <v>23</v>
      </c>
      <c r="K1745" s="7">
        <v>4608</v>
      </c>
      <c r="L1745" s="9">
        <v>1</v>
      </c>
      <c r="M1745" t="s">
        <v>1568</v>
      </c>
      <c r="N1745" t="s">
        <v>436</v>
      </c>
      <c r="O1745" s="27" t="str">
        <f>HYPERLINK("https://www.ncbi.nlm.nih.gov/nuccore/NZ_AUBE01000008.1?report=graph&amp;from=71731&amp;to=71735", "TTA_codon")</f>
        <v>TTA_codon</v>
      </c>
    </row>
    <row r="1746" spans="1:15" x14ac:dyDescent="0.15">
      <c r="A1746" t="s">
        <v>21</v>
      </c>
      <c r="B1746">
        <v>1000025</v>
      </c>
      <c r="C1746">
        <v>352787</v>
      </c>
      <c r="F1746" s="7">
        <v>2</v>
      </c>
      <c r="G1746" s="7" t="s">
        <v>1569</v>
      </c>
      <c r="H1746" s="8" t="s">
        <v>1570</v>
      </c>
      <c r="J1746" t="s">
        <v>23</v>
      </c>
      <c r="K1746" s="7">
        <v>4479</v>
      </c>
      <c r="L1746" s="9">
        <v>1</v>
      </c>
      <c r="M1746" t="s">
        <v>472</v>
      </c>
      <c r="N1746" t="s">
        <v>473</v>
      </c>
      <c r="O1746" s="27" t="str">
        <f>HYPERLINK("https://www.ncbi.nlm.nih.gov/nuccore/NZ_ASHX02000001.1?report=graph&amp;from=3804492&amp;to=3804589", "TTA_codon")</f>
        <v>TTA_codon</v>
      </c>
    </row>
    <row r="1747" spans="1:15" x14ac:dyDescent="0.15">
      <c r="A1747" t="s">
        <v>21</v>
      </c>
      <c r="B1747">
        <v>1000025</v>
      </c>
      <c r="C1747">
        <v>354845</v>
      </c>
      <c r="F1747" s="7">
        <v>1</v>
      </c>
      <c r="G1747" s="7">
        <v>3532</v>
      </c>
      <c r="H1747" s="8">
        <v>184</v>
      </c>
      <c r="J1747" t="s">
        <v>23</v>
      </c>
      <c r="K1747" s="7">
        <v>4854</v>
      </c>
      <c r="L1747" s="9">
        <v>1</v>
      </c>
      <c r="M1747" t="s">
        <v>1571</v>
      </c>
      <c r="N1747" t="s">
        <v>25</v>
      </c>
      <c r="O1747" s="27" t="str">
        <f>HYPERLINK("https://www.ncbi.nlm.nih.gov/nuccore/NZ_JOFU01000073.1?report=graph&amp;from=21896&amp;to=21900", "TTA_codon")</f>
        <v>TTA_codon</v>
      </c>
    </row>
    <row r="1748" spans="1:15" x14ac:dyDescent="0.15">
      <c r="A1748" t="s">
        <v>21</v>
      </c>
      <c r="B1748">
        <v>1000025</v>
      </c>
      <c r="C1748">
        <v>361179</v>
      </c>
      <c r="F1748" s="7">
        <v>1</v>
      </c>
      <c r="G1748" s="7">
        <v>3487</v>
      </c>
      <c r="H1748" s="8">
        <v>181</v>
      </c>
      <c r="J1748" t="s">
        <v>23</v>
      </c>
      <c r="K1748" s="7">
        <v>7563</v>
      </c>
      <c r="L1748" s="9">
        <v>1</v>
      </c>
      <c r="M1748" t="s">
        <v>98</v>
      </c>
      <c r="N1748" t="s">
        <v>99</v>
      </c>
      <c r="O1748" s="27" t="str">
        <f>HYPERLINK("https://www.ncbi.nlm.nih.gov/nuccore/NZ_CP016438.1?report=graph&amp;from=6998665&amp;to=6998669", "TTA_codon")</f>
        <v>TTA_codon</v>
      </c>
    </row>
    <row r="1749" spans="1:15" x14ac:dyDescent="0.15">
      <c r="A1749" t="s">
        <v>21</v>
      </c>
      <c r="B1749" t="s">
        <v>1572</v>
      </c>
    </row>
    <row r="1750" spans="1:15" x14ac:dyDescent="0.15">
      <c r="A1750" t="s">
        <v>21</v>
      </c>
      <c r="B1750">
        <v>1001470</v>
      </c>
      <c r="C1750">
        <v>363846</v>
      </c>
      <c r="F1750" s="7">
        <v>1</v>
      </c>
      <c r="G1750" s="7">
        <v>289</v>
      </c>
      <c r="H1750" s="8">
        <v>175</v>
      </c>
      <c r="J1750" t="s">
        <v>23</v>
      </c>
      <c r="K1750" s="7">
        <v>870</v>
      </c>
      <c r="L1750" s="9">
        <v>-1</v>
      </c>
      <c r="M1750" t="s">
        <v>101</v>
      </c>
      <c r="N1750" t="s">
        <v>102</v>
      </c>
      <c r="O1750" s="27" t="str">
        <f>HYPERLINK("https://www.ncbi.nlm.nih.gov/nuccore/NZ_CP019458.1?report=graph&amp;from=7815633&amp;to=7815637", "TTA_codon")</f>
        <v>TTA_codon</v>
      </c>
    </row>
    <row r="1751" spans="1:15" x14ac:dyDescent="0.15">
      <c r="A1751" t="s">
        <v>21</v>
      </c>
      <c r="B1751">
        <v>1001470</v>
      </c>
      <c r="C1751">
        <v>365872</v>
      </c>
      <c r="F1751" s="7">
        <v>1</v>
      </c>
      <c r="G1751" s="7">
        <v>289</v>
      </c>
      <c r="H1751" s="8">
        <v>289</v>
      </c>
      <c r="J1751" t="s">
        <v>23</v>
      </c>
      <c r="K1751" s="7">
        <v>978</v>
      </c>
      <c r="L1751" s="9">
        <v>-1</v>
      </c>
      <c r="M1751" t="s">
        <v>213</v>
      </c>
      <c r="N1751" t="s">
        <v>214</v>
      </c>
      <c r="O1751" s="27" t="str">
        <f>HYPERLINK("https://www.ncbi.nlm.nih.gov/nuccore/NZ_FNST01000002.1?report=graph&amp;from=5271241&amp;to=5271245", "TTA_codon")</f>
        <v>TTA_codon</v>
      </c>
    </row>
    <row r="1752" spans="1:15" x14ac:dyDescent="0.15">
      <c r="A1752" t="s">
        <v>21</v>
      </c>
      <c r="B1752" t="s">
        <v>1573</v>
      </c>
    </row>
    <row r="1753" spans="1:15" x14ac:dyDescent="0.15">
      <c r="A1753" t="s">
        <v>21</v>
      </c>
      <c r="B1753">
        <v>1001481</v>
      </c>
      <c r="C1753">
        <v>347695</v>
      </c>
      <c r="F1753" s="7">
        <v>1</v>
      </c>
      <c r="G1753" s="7">
        <v>130</v>
      </c>
      <c r="H1753" s="8">
        <v>130</v>
      </c>
      <c r="J1753" t="s">
        <v>23</v>
      </c>
      <c r="K1753" s="7">
        <v>1242</v>
      </c>
      <c r="L1753" s="9">
        <v>-1</v>
      </c>
      <c r="M1753" t="s">
        <v>55</v>
      </c>
      <c r="N1753" t="s">
        <v>56</v>
      </c>
      <c r="O1753" s="27" t="str">
        <f>HYPERLINK("https://www.ncbi.nlm.nih.gov/nuccore/NC_010572.1?report=graph&amp;from=4918588&amp;to=4918592", "TTA_codon")</f>
        <v>TTA_codon</v>
      </c>
    </row>
    <row r="1754" spans="1:15" x14ac:dyDescent="0.15">
      <c r="A1754" t="s">
        <v>21</v>
      </c>
      <c r="B1754">
        <v>1001481</v>
      </c>
      <c r="C1754">
        <v>353542</v>
      </c>
      <c r="F1754" s="7">
        <v>1</v>
      </c>
      <c r="G1754" s="7">
        <v>193</v>
      </c>
      <c r="H1754" s="8">
        <v>136</v>
      </c>
      <c r="J1754" t="s">
        <v>23</v>
      </c>
      <c r="K1754" s="7">
        <v>1167</v>
      </c>
      <c r="L1754" s="9">
        <v>-1</v>
      </c>
      <c r="M1754" t="s">
        <v>449</v>
      </c>
      <c r="N1754" t="s">
        <v>169</v>
      </c>
      <c r="O1754" s="27" t="str">
        <f>HYPERLINK("https://www.ncbi.nlm.nih.gov/nuccore/NZ_JNWJ01000022.1?report=graph&amp;from=15651&amp;to=15655", "TTA_codon")</f>
        <v>TTA_codon</v>
      </c>
    </row>
    <row r="1755" spans="1:15" x14ac:dyDescent="0.15">
      <c r="A1755" t="s">
        <v>21</v>
      </c>
      <c r="B1755">
        <v>1001481</v>
      </c>
      <c r="C1755">
        <v>361273</v>
      </c>
      <c r="F1755" s="7">
        <v>2</v>
      </c>
      <c r="G1755" s="7" t="s">
        <v>1574</v>
      </c>
      <c r="H1755" s="8" t="s">
        <v>1575</v>
      </c>
      <c r="J1755" t="s">
        <v>23</v>
      </c>
      <c r="K1755" s="7">
        <v>1167</v>
      </c>
      <c r="L1755" s="9">
        <v>-1</v>
      </c>
      <c r="M1755" t="s">
        <v>98</v>
      </c>
      <c r="N1755" t="s">
        <v>99</v>
      </c>
      <c r="O1755" s="27" t="str">
        <f>HYPERLINK("https://www.ncbi.nlm.nih.gov/nuccore/NZ_CP016438.1?report=graph&amp;from=10128319&amp;to=10128473", "TTA_codon")</f>
        <v>TTA_codon</v>
      </c>
    </row>
    <row r="1756" spans="1:15" x14ac:dyDescent="0.15">
      <c r="A1756" t="s">
        <v>21</v>
      </c>
      <c r="B1756">
        <v>1001481</v>
      </c>
      <c r="C1756">
        <v>364360</v>
      </c>
      <c r="F1756" s="7">
        <v>1</v>
      </c>
      <c r="G1756" s="7">
        <v>61</v>
      </c>
      <c r="H1756" s="8">
        <v>37</v>
      </c>
      <c r="J1756" t="s">
        <v>23</v>
      </c>
      <c r="K1756" s="7">
        <v>1158</v>
      </c>
      <c r="L1756" s="9">
        <v>-1</v>
      </c>
      <c r="M1756" t="s">
        <v>105</v>
      </c>
      <c r="N1756" t="s">
        <v>106</v>
      </c>
      <c r="O1756" s="27" t="str">
        <f>HYPERLINK("https://www.ncbi.nlm.nih.gov/nuccore/NZ_CP020042.1?report=graph&amp;from=863211&amp;to=863215", "TTA_codon")</f>
        <v>TTA_codon</v>
      </c>
    </row>
    <row r="1757" spans="1:15" x14ac:dyDescent="0.15">
      <c r="A1757" t="s">
        <v>195</v>
      </c>
      <c r="B1757" t="s">
        <v>1576</v>
      </c>
    </row>
    <row r="1758" spans="1:15" x14ac:dyDescent="0.15">
      <c r="A1758" t="s">
        <v>195</v>
      </c>
      <c r="B1758">
        <v>1000047</v>
      </c>
      <c r="C1758">
        <v>346230</v>
      </c>
      <c r="F1758" s="7">
        <v>1</v>
      </c>
      <c r="G1758" s="7">
        <v>442</v>
      </c>
      <c r="H1758" s="8">
        <v>388</v>
      </c>
      <c r="J1758" t="s">
        <v>23</v>
      </c>
      <c r="K1758" s="7">
        <v>1281</v>
      </c>
      <c r="L1758" s="9">
        <v>1</v>
      </c>
      <c r="M1758" t="s">
        <v>1577</v>
      </c>
      <c r="N1758" t="s">
        <v>138</v>
      </c>
      <c r="O1758" s="27" t="str">
        <f>HYPERLINK("https://www.ncbi.nlm.nih.gov/nuccore/NZ_KB889680.1?report=graph&amp;from=61462&amp;to=61466", "TTA_codon")</f>
        <v>TTA_codon</v>
      </c>
    </row>
    <row r="1759" spans="1:15" x14ac:dyDescent="0.15">
      <c r="A1759" t="s">
        <v>21</v>
      </c>
      <c r="B1759">
        <v>1000047</v>
      </c>
      <c r="C1759">
        <v>348194</v>
      </c>
      <c r="F1759" s="7">
        <v>1</v>
      </c>
      <c r="G1759" s="7">
        <v>346</v>
      </c>
      <c r="H1759" s="8">
        <v>274</v>
      </c>
      <c r="J1759" t="s">
        <v>23</v>
      </c>
      <c r="K1759" s="7">
        <v>1182</v>
      </c>
      <c r="L1759" s="9">
        <v>1</v>
      </c>
      <c r="M1759" t="s">
        <v>59</v>
      </c>
      <c r="N1759" t="s">
        <v>60</v>
      </c>
      <c r="O1759" s="27" t="str">
        <f>HYPERLINK("https://www.ncbi.nlm.nih.gov/nuccore/NC_016582.1?report=graph&amp;from=9917257&amp;to=9917261", "TTA_codon")</f>
        <v>TTA_codon</v>
      </c>
    </row>
    <row r="1760" spans="1:15" x14ac:dyDescent="0.15">
      <c r="A1760" t="s">
        <v>21</v>
      </c>
      <c r="B1760">
        <v>1000047</v>
      </c>
      <c r="C1760">
        <v>351242</v>
      </c>
      <c r="F1760" s="7">
        <v>1</v>
      </c>
      <c r="G1760" s="7">
        <v>346</v>
      </c>
      <c r="H1760" s="8">
        <v>319</v>
      </c>
      <c r="J1760" t="s">
        <v>23</v>
      </c>
      <c r="K1760" s="7">
        <v>1248</v>
      </c>
      <c r="L1760" s="9">
        <v>1</v>
      </c>
      <c r="M1760" t="s">
        <v>65</v>
      </c>
      <c r="N1760" t="s">
        <v>66</v>
      </c>
      <c r="O1760" s="27" t="str">
        <f>HYPERLINK("https://www.ncbi.nlm.nih.gov/nuccore/NC_020504.1?report=graph&amp;from=2560542&amp;to=2560546", "TTA_codon")</f>
        <v>TTA_codon</v>
      </c>
    </row>
    <row r="1761" spans="1:15" x14ac:dyDescent="0.15">
      <c r="A1761" t="s">
        <v>21</v>
      </c>
      <c r="B1761" t="s">
        <v>1578</v>
      </c>
    </row>
    <row r="1762" spans="1:15" x14ac:dyDescent="0.15">
      <c r="A1762" t="s">
        <v>21</v>
      </c>
      <c r="B1762">
        <v>1001349</v>
      </c>
      <c r="C1762">
        <v>360798</v>
      </c>
      <c r="F1762" s="7">
        <v>1</v>
      </c>
      <c r="G1762" s="7">
        <v>43</v>
      </c>
      <c r="H1762" s="8">
        <v>43</v>
      </c>
      <c r="J1762" t="s">
        <v>23</v>
      </c>
      <c r="K1762" s="7">
        <v>1191</v>
      </c>
      <c r="L1762" s="9">
        <v>-1</v>
      </c>
      <c r="M1762" t="s">
        <v>1407</v>
      </c>
      <c r="N1762" t="s">
        <v>95</v>
      </c>
      <c r="O1762" s="27" t="str">
        <f>HYPERLINK("https://www.ncbi.nlm.nih.gov/nuccore/NZ_JYIJ01000009.1?report=graph&amp;from=7852&amp;to=7856", "TTA_codon")</f>
        <v>TTA_codon</v>
      </c>
    </row>
    <row r="1763" spans="1:15" x14ac:dyDescent="0.15">
      <c r="A1763" t="s">
        <v>21</v>
      </c>
      <c r="B1763">
        <v>1001349</v>
      </c>
      <c r="C1763">
        <v>360847</v>
      </c>
      <c r="F1763" s="7">
        <v>1</v>
      </c>
      <c r="G1763" s="7">
        <v>43</v>
      </c>
      <c r="H1763" s="8">
        <v>43</v>
      </c>
      <c r="J1763" t="s">
        <v>23</v>
      </c>
      <c r="K1763" s="7">
        <v>1191</v>
      </c>
      <c r="L1763" s="9">
        <v>-1</v>
      </c>
      <c r="M1763" t="s">
        <v>1579</v>
      </c>
      <c r="N1763" t="s">
        <v>95</v>
      </c>
      <c r="O1763" s="27" t="str">
        <f>HYPERLINK("https://www.ncbi.nlm.nih.gov/nuccore/NZ_JYIJ01000008.1?report=graph&amp;from=20939&amp;to=20943", "TTA_codon")</f>
        <v>TTA_codon</v>
      </c>
    </row>
    <row r="1764" spans="1:15" x14ac:dyDescent="0.15">
      <c r="A1764" t="s">
        <v>21</v>
      </c>
      <c r="B1764" t="s">
        <v>1580</v>
      </c>
    </row>
    <row r="1765" spans="1:15" x14ac:dyDescent="0.15">
      <c r="A1765" t="s">
        <v>21</v>
      </c>
      <c r="B1765">
        <v>1001346</v>
      </c>
      <c r="C1765">
        <v>360723</v>
      </c>
      <c r="F1765" s="7">
        <v>1</v>
      </c>
      <c r="G1765" s="7">
        <v>37</v>
      </c>
      <c r="H1765" s="8">
        <v>37</v>
      </c>
      <c r="J1765" t="s">
        <v>23</v>
      </c>
      <c r="K1765" s="7">
        <v>2490</v>
      </c>
      <c r="L1765" s="9">
        <v>-1</v>
      </c>
      <c r="M1765" t="s">
        <v>1581</v>
      </c>
      <c r="N1765" t="s">
        <v>95</v>
      </c>
      <c r="O1765" s="27" t="str">
        <f>HYPERLINK("https://www.ncbi.nlm.nih.gov/nuccore/NZ_JYIJ01000010.1?report=graph&amp;from=34510&amp;to=34514", "TTA_codon")</f>
        <v>TTA_codon</v>
      </c>
    </row>
    <row r="1766" spans="1:15" x14ac:dyDescent="0.15">
      <c r="A1766" t="s">
        <v>21</v>
      </c>
      <c r="B1766">
        <v>1001346</v>
      </c>
      <c r="C1766">
        <v>362859</v>
      </c>
      <c r="F1766" s="7">
        <v>1</v>
      </c>
      <c r="G1766" s="7">
        <v>154</v>
      </c>
      <c r="H1766" s="8">
        <v>154</v>
      </c>
      <c r="J1766" t="s">
        <v>23</v>
      </c>
      <c r="K1766" s="7">
        <v>2607</v>
      </c>
      <c r="L1766" s="9">
        <v>-1</v>
      </c>
      <c r="M1766" t="s">
        <v>1582</v>
      </c>
      <c r="N1766" t="s">
        <v>156</v>
      </c>
      <c r="O1766" s="27" t="str">
        <f>HYPERLINK("https://www.ncbi.nlm.nih.gov/nuccore/NZ_LJGW01000279.1?report=graph&amp;from=5652&amp;to=5656", "TTA_codon")</f>
        <v>TTA_codon</v>
      </c>
    </row>
    <row r="1767" spans="1:15" x14ac:dyDescent="0.15">
      <c r="A1767" t="s">
        <v>21</v>
      </c>
      <c r="B1767" t="s">
        <v>1583</v>
      </c>
    </row>
    <row r="1768" spans="1:15" x14ac:dyDescent="0.15">
      <c r="A1768" t="s">
        <v>21</v>
      </c>
      <c r="B1768">
        <v>1001294</v>
      </c>
      <c r="C1768">
        <v>358786</v>
      </c>
      <c r="F1768" s="7">
        <v>1</v>
      </c>
      <c r="G1768" s="7">
        <v>55</v>
      </c>
      <c r="H1768" s="8">
        <v>49</v>
      </c>
      <c r="J1768" t="s">
        <v>23</v>
      </c>
      <c r="K1768" s="7">
        <v>1044</v>
      </c>
      <c r="L1768" s="9">
        <v>1</v>
      </c>
      <c r="M1768" t="s">
        <v>1584</v>
      </c>
      <c r="N1768" t="s">
        <v>87</v>
      </c>
      <c r="O1768" s="27" t="str">
        <f>HYPERLINK("https://www.ncbi.nlm.nih.gov/nuccore/NZ_LIQS01000001.1?report=graph&amp;from=3431&amp;to=3435", "TTA_codon")</f>
        <v>TTA_codon</v>
      </c>
    </row>
    <row r="1769" spans="1:15" x14ac:dyDescent="0.15">
      <c r="A1769" t="s">
        <v>21</v>
      </c>
      <c r="B1769">
        <v>1001294</v>
      </c>
      <c r="C1769">
        <v>363086</v>
      </c>
      <c r="F1769" s="7">
        <v>1</v>
      </c>
      <c r="G1769" s="7">
        <v>67</v>
      </c>
      <c r="H1769" s="8">
        <v>67</v>
      </c>
      <c r="J1769" t="s">
        <v>23</v>
      </c>
      <c r="K1769" s="7">
        <v>1047</v>
      </c>
      <c r="L1769" s="9">
        <v>1</v>
      </c>
      <c r="M1769" t="s">
        <v>989</v>
      </c>
      <c r="N1769" t="s">
        <v>401</v>
      </c>
      <c r="O1769" s="27" t="str">
        <f>HYPERLINK("https://www.ncbi.nlm.nih.gov/nuccore/NZ_LFBV01000003.1?report=graph&amp;from=623727&amp;to=623731", "TTA_codon")</f>
        <v>TTA_codon</v>
      </c>
    </row>
    <row r="1770" spans="1:15" x14ac:dyDescent="0.15">
      <c r="A1770" t="s">
        <v>21</v>
      </c>
      <c r="B1770" t="s">
        <v>1585</v>
      </c>
    </row>
    <row r="1771" spans="1:15" x14ac:dyDescent="0.15">
      <c r="A1771" t="s">
        <v>21</v>
      </c>
      <c r="B1771">
        <v>1000273</v>
      </c>
      <c r="C1771">
        <v>347774</v>
      </c>
      <c r="F1771" s="7">
        <v>1</v>
      </c>
      <c r="G1771" s="7">
        <v>127</v>
      </c>
      <c r="H1771" s="8">
        <v>118</v>
      </c>
      <c r="J1771" t="s">
        <v>23</v>
      </c>
      <c r="K1771" s="7">
        <v>798</v>
      </c>
      <c r="L1771" s="9">
        <v>1</v>
      </c>
      <c r="M1771" t="s">
        <v>57</v>
      </c>
      <c r="N1771" t="s">
        <v>58</v>
      </c>
      <c r="O1771" s="27" t="str">
        <f>HYPERLINK("https://www.ncbi.nlm.nih.gov/nuccore/NC_013929.1?report=graph&amp;from=2493394&amp;to=2493398", "TTA_codon")</f>
        <v>TTA_codon</v>
      </c>
    </row>
    <row r="1772" spans="1:15" x14ac:dyDescent="0.15">
      <c r="A1772" t="s">
        <v>21</v>
      </c>
      <c r="B1772">
        <v>1000273</v>
      </c>
      <c r="C1772">
        <v>361107</v>
      </c>
      <c r="F1772" s="7">
        <v>1</v>
      </c>
      <c r="G1772" s="7">
        <v>139</v>
      </c>
      <c r="H1772" s="8">
        <v>139</v>
      </c>
      <c r="J1772" t="s">
        <v>23</v>
      </c>
      <c r="K1772" s="7">
        <v>804</v>
      </c>
      <c r="L1772" s="9">
        <v>1</v>
      </c>
      <c r="M1772" t="s">
        <v>98</v>
      </c>
      <c r="N1772" t="s">
        <v>99</v>
      </c>
      <c r="O1772" s="27" t="str">
        <f>HYPERLINK("https://www.ncbi.nlm.nih.gov/nuccore/NZ_CP016438.1?report=graph&amp;from=8194191&amp;to=8194195", "TTA_codon")</f>
        <v>TTA_codon</v>
      </c>
    </row>
    <row r="1773" spans="1:15" x14ac:dyDescent="0.15">
      <c r="A1773" t="s">
        <v>21</v>
      </c>
      <c r="B1773" t="s">
        <v>1586</v>
      </c>
    </row>
    <row r="1774" spans="1:15" x14ac:dyDescent="0.15">
      <c r="A1774" t="s">
        <v>21</v>
      </c>
      <c r="B1774">
        <v>1000546</v>
      </c>
      <c r="C1774">
        <v>349757</v>
      </c>
      <c r="F1774" s="7">
        <v>1</v>
      </c>
      <c r="G1774" s="7">
        <v>625</v>
      </c>
      <c r="H1774" s="8">
        <v>601</v>
      </c>
      <c r="J1774" t="s">
        <v>23</v>
      </c>
      <c r="K1774" s="7">
        <v>1341</v>
      </c>
      <c r="L1774" s="9">
        <v>1</v>
      </c>
      <c r="M1774" t="s">
        <v>265</v>
      </c>
      <c r="N1774" t="s">
        <v>266</v>
      </c>
      <c r="O1774" s="27" t="str">
        <f>HYPERLINK("https://www.ncbi.nlm.nih.gov/nuccore/NC_017586.1?report=graph&amp;from=4212280&amp;to=4212284", "TTA_codon")</f>
        <v>TTA_codon</v>
      </c>
    </row>
    <row r="1775" spans="1:15" x14ac:dyDescent="0.15">
      <c r="A1775" t="s">
        <v>21</v>
      </c>
      <c r="B1775">
        <v>1000546</v>
      </c>
      <c r="C1775">
        <v>352425</v>
      </c>
      <c r="F1775" s="7">
        <v>1</v>
      </c>
      <c r="G1775" s="7">
        <v>625</v>
      </c>
      <c r="H1775" s="8">
        <v>601</v>
      </c>
      <c r="J1775" t="s">
        <v>23</v>
      </c>
      <c r="K1775" s="7">
        <v>1341</v>
      </c>
      <c r="L1775" s="9">
        <v>1</v>
      </c>
      <c r="M1775" t="s">
        <v>30</v>
      </c>
      <c r="N1775" t="s">
        <v>31</v>
      </c>
      <c r="O1775" s="27" t="str">
        <f>HYPERLINK("https://www.ncbi.nlm.nih.gov/nuccore/NZ_KB913030.1?report=graph&amp;from=4777787&amp;to=4777791", "TTA_codon")</f>
        <v>TTA_codon</v>
      </c>
    </row>
    <row r="1776" spans="1:15" x14ac:dyDescent="0.15">
      <c r="A1776" t="s">
        <v>21</v>
      </c>
      <c r="B1776">
        <v>1000546</v>
      </c>
      <c r="C1776">
        <v>354010</v>
      </c>
      <c r="F1776" s="7">
        <v>1</v>
      </c>
      <c r="G1776" s="7">
        <v>733</v>
      </c>
      <c r="H1776" s="8">
        <v>640</v>
      </c>
      <c r="J1776" t="s">
        <v>23</v>
      </c>
      <c r="K1776" s="7">
        <v>1284</v>
      </c>
      <c r="L1776" s="9">
        <v>1</v>
      </c>
      <c r="M1776" t="s">
        <v>879</v>
      </c>
      <c r="N1776" t="s">
        <v>270</v>
      </c>
      <c r="O1776" s="27" t="str">
        <f>HYPERLINK("https://www.ncbi.nlm.nih.gov/nuccore/NZ_JOBH01000006.1?report=graph&amp;from=186689&amp;to=186693", "TTA_codon")</f>
        <v>TTA_codon</v>
      </c>
    </row>
    <row r="1777" spans="1:15" x14ac:dyDescent="0.15">
      <c r="A1777" t="s">
        <v>21</v>
      </c>
      <c r="B1777">
        <v>1000546</v>
      </c>
      <c r="C1777">
        <v>354325</v>
      </c>
      <c r="F1777" s="7">
        <v>1</v>
      </c>
      <c r="G1777" s="7">
        <v>625</v>
      </c>
      <c r="H1777" s="8">
        <v>601</v>
      </c>
      <c r="J1777" t="s">
        <v>23</v>
      </c>
      <c r="K1777" s="7">
        <v>1341</v>
      </c>
      <c r="L1777" s="9">
        <v>1</v>
      </c>
      <c r="M1777" t="s">
        <v>1587</v>
      </c>
      <c r="N1777" t="s">
        <v>142</v>
      </c>
      <c r="O1777" s="27" t="str">
        <f>HYPERLINK("https://www.ncbi.nlm.nih.gov/nuccore/NZ_JOEI01000013.1?report=graph&amp;from=251503&amp;to=251507", "TTA_codon")</f>
        <v>TTA_codon</v>
      </c>
    </row>
    <row r="1778" spans="1:15" x14ac:dyDescent="0.15">
      <c r="A1778" t="s">
        <v>21</v>
      </c>
      <c r="B1778">
        <v>1000546</v>
      </c>
      <c r="C1778">
        <v>356657</v>
      </c>
      <c r="F1778" s="7">
        <v>1</v>
      </c>
      <c r="G1778" s="7">
        <v>625</v>
      </c>
      <c r="H1778" s="8">
        <v>601</v>
      </c>
      <c r="J1778" t="s">
        <v>23</v>
      </c>
      <c r="K1778" s="7">
        <v>1341</v>
      </c>
      <c r="L1778" s="9">
        <v>1</v>
      </c>
      <c r="M1778" t="s">
        <v>147</v>
      </c>
      <c r="N1778" t="s">
        <v>148</v>
      </c>
      <c r="O1778" s="27" t="str">
        <f>HYPERLINK("https://www.ncbi.nlm.nih.gov/nuccore/NZ_CP021080.1?report=graph&amp;from=4795281&amp;to=4795285", "TTA_codon")</f>
        <v>TTA_codon</v>
      </c>
    </row>
    <row r="1779" spans="1:15" x14ac:dyDescent="0.15">
      <c r="A1779" t="s">
        <v>21</v>
      </c>
      <c r="B1779">
        <v>1000546</v>
      </c>
      <c r="C1779">
        <v>358816</v>
      </c>
      <c r="F1779" s="7">
        <v>1</v>
      </c>
      <c r="G1779" s="7">
        <v>625</v>
      </c>
      <c r="H1779" s="8">
        <v>601</v>
      </c>
      <c r="J1779" t="s">
        <v>23</v>
      </c>
      <c r="K1779" s="7">
        <v>1341</v>
      </c>
      <c r="L1779" s="9">
        <v>1</v>
      </c>
      <c r="M1779" t="s">
        <v>1588</v>
      </c>
      <c r="N1779" t="s">
        <v>87</v>
      </c>
      <c r="O1779" s="27" t="str">
        <f>HYPERLINK("https://www.ncbi.nlm.nih.gov/nuccore/NZ_LIQS01000081.1?report=graph&amp;from=14516&amp;to=14520", "TTA_codon")</f>
        <v>TTA_codon</v>
      </c>
    </row>
    <row r="1780" spans="1:15" x14ac:dyDescent="0.15">
      <c r="A1780" t="s">
        <v>21</v>
      </c>
      <c r="B1780">
        <v>1000546</v>
      </c>
      <c r="C1780">
        <v>363262</v>
      </c>
      <c r="F1780" s="7">
        <v>1</v>
      </c>
      <c r="G1780" s="7">
        <v>625</v>
      </c>
      <c r="H1780" s="8">
        <v>601</v>
      </c>
      <c r="J1780" t="s">
        <v>23</v>
      </c>
      <c r="K1780" s="7">
        <v>1341</v>
      </c>
      <c r="L1780" s="9">
        <v>1</v>
      </c>
      <c r="M1780" t="s">
        <v>1589</v>
      </c>
      <c r="N1780" t="s">
        <v>28</v>
      </c>
      <c r="O1780" s="27" t="str">
        <f>HYPERLINK("https://www.ncbi.nlm.nih.gov/nuccore/NZ_JUJA01000033.1?report=graph&amp;from=171819&amp;to=171823", "TTA_codon")</f>
        <v>TTA_codon</v>
      </c>
    </row>
    <row r="1781" spans="1:15" x14ac:dyDescent="0.15">
      <c r="A1781" t="s">
        <v>21</v>
      </c>
      <c r="B1781">
        <v>1000546</v>
      </c>
      <c r="C1781">
        <v>365011</v>
      </c>
      <c r="F1781" s="7">
        <v>1</v>
      </c>
      <c r="G1781" s="7">
        <v>625</v>
      </c>
      <c r="H1781" s="8">
        <v>601</v>
      </c>
      <c r="J1781" t="s">
        <v>23</v>
      </c>
      <c r="K1781" s="7">
        <v>1341</v>
      </c>
      <c r="L1781" s="9">
        <v>1</v>
      </c>
      <c r="M1781" t="s">
        <v>111</v>
      </c>
      <c r="N1781" t="s">
        <v>112</v>
      </c>
      <c r="O1781" s="27" t="str">
        <f>HYPERLINK("https://www.ncbi.nlm.nih.gov/nuccore/NZ_CP021744.1?report=graph&amp;from=5550769&amp;to=5550773", "TTA_codon")</f>
        <v>TTA_codon</v>
      </c>
    </row>
    <row r="1782" spans="1:15" x14ac:dyDescent="0.15">
      <c r="A1782" t="s">
        <v>21</v>
      </c>
      <c r="B1782" t="s">
        <v>1590</v>
      </c>
    </row>
    <row r="1783" spans="1:15" x14ac:dyDescent="0.15">
      <c r="A1783" t="s">
        <v>21</v>
      </c>
      <c r="B1783">
        <v>1000614</v>
      </c>
      <c r="C1783">
        <v>350319</v>
      </c>
      <c r="F1783" s="7">
        <v>1</v>
      </c>
      <c r="G1783" s="7">
        <v>229</v>
      </c>
      <c r="H1783" s="8">
        <v>136</v>
      </c>
      <c r="J1783" t="s">
        <v>23</v>
      </c>
      <c r="K1783" s="7">
        <v>1986</v>
      </c>
      <c r="L1783" s="9">
        <v>1</v>
      </c>
      <c r="M1783" t="s">
        <v>35</v>
      </c>
      <c r="N1783" t="s">
        <v>36</v>
      </c>
      <c r="O1783" s="27" t="str">
        <f>HYPERLINK("https://www.ncbi.nlm.nih.gov/nuccore/NZ_JH725387.1?report=graph&amp;from=1852184&amp;to=1852188", "TTA_codon")</f>
        <v>TTA_codon</v>
      </c>
    </row>
    <row r="1784" spans="1:15" x14ac:dyDescent="0.15">
      <c r="A1784" t="s">
        <v>21</v>
      </c>
      <c r="B1784">
        <v>1000614</v>
      </c>
      <c r="C1784">
        <v>352143</v>
      </c>
      <c r="F1784" s="7">
        <v>2</v>
      </c>
      <c r="G1784" s="7" t="s">
        <v>1591</v>
      </c>
      <c r="H1784" s="8" t="s">
        <v>1591</v>
      </c>
      <c r="J1784" t="s">
        <v>23</v>
      </c>
      <c r="K1784" s="7">
        <v>1971</v>
      </c>
      <c r="L1784" s="9">
        <v>1</v>
      </c>
      <c r="M1784" t="s">
        <v>1592</v>
      </c>
      <c r="N1784" t="s">
        <v>70</v>
      </c>
      <c r="O1784" s="27" t="str">
        <f>HYPERLINK("https://www.ncbi.nlm.nih.gov/nuccore/NZ_KB904658.1?report=graph&amp;from=170192&amp;to=170223", "TTA_codon")</f>
        <v>TTA_codon</v>
      </c>
    </row>
    <row r="1785" spans="1:15" x14ac:dyDescent="0.15">
      <c r="A1785" t="s">
        <v>21</v>
      </c>
      <c r="B1785">
        <v>1000614</v>
      </c>
      <c r="C1785">
        <v>352621</v>
      </c>
      <c r="F1785" s="7">
        <v>1</v>
      </c>
      <c r="G1785" s="7">
        <v>157</v>
      </c>
      <c r="H1785" s="8">
        <v>76</v>
      </c>
      <c r="J1785" t="s">
        <v>23</v>
      </c>
      <c r="K1785" s="7">
        <v>2025</v>
      </c>
      <c r="L1785" s="9">
        <v>1</v>
      </c>
      <c r="M1785" t="s">
        <v>1593</v>
      </c>
      <c r="N1785" t="s">
        <v>436</v>
      </c>
      <c r="O1785" s="27" t="str">
        <f>HYPERLINK("https://www.ncbi.nlm.nih.gov/nuccore/NZ_AUBE01000012.1?report=graph&amp;from=146963&amp;to=146967", "TTA_codon")</f>
        <v>TTA_codon</v>
      </c>
    </row>
    <row r="1786" spans="1:15" x14ac:dyDescent="0.15">
      <c r="A1786" t="s">
        <v>21</v>
      </c>
      <c r="B1786" t="s">
        <v>1594</v>
      </c>
    </row>
    <row r="1787" spans="1:15" x14ac:dyDescent="0.15">
      <c r="A1787" t="s">
        <v>21</v>
      </c>
      <c r="B1787">
        <v>1001477</v>
      </c>
      <c r="C1787">
        <v>364156</v>
      </c>
      <c r="F1787" s="7">
        <v>1</v>
      </c>
      <c r="G1787" s="7">
        <v>2326</v>
      </c>
      <c r="H1787" s="8">
        <v>2197</v>
      </c>
      <c r="J1787" t="s">
        <v>23</v>
      </c>
      <c r="K1787" s="7">
        <v>2901</v>
      </c>
      <c r="L1787" s="9">
        <v>-1</v>
      </c>
      <c r="M1787" t="s">
        <v>254</v>
      </c>
      <c r="N1787" t="s">
        <v>255</v>
      </c>
      <c r="O1787" s="27" t="str">
        <f>HYPERLINK("https://www.ncbi.nlm.nih.gov/nuccore/NZ_CP018047.1?report=graph&amp;from=2201036&amp;to=2201040", "TTA_codon")</f>
        <v>TTA_codon</v>
      </c>
    </row>
    <row r="1788" spans="1:15" x14ac:dyDescent="0.15">
      <c r="A1788" t="s">
        <v>21</v>
      </c>
      <c r="B1788">
        <v>1001477</v>
      </c>
      <c r="C1788">
        <v>366419</v>
      </c>
      <c r="F1788" s="7">
        <v>1</v>
      </c>
      <c r="G1788" s="7">
        <v>2320</v>
      </c>
      <c r="H1788" s="8">
        <v>2290</v>
      </c>
      <c r="J1788" t="s">
        <v>23</v>
      </c>
      <c r="K1788" s="7">
        <v>2949</v>
      </c>
      <c r="L1788" s="9">
        <v>-1</v>
      </c>
      <c r="M1788" t="s">
        <v>1595</v>
      </c>
      <c r="N1788" t="s">
        <v>375</v>
      </c>
      <c r="O1788" s="27" t="str">
        <f>HYPERLINK("https://www.ncbi.nlm.nih.gov/nuccore/NZ_FONG01000018.1?report=graph&amp;from=51105&amp;to=51109", "TTA_codon")</f>
        <v>TTA_codon</v>
      </c>
    </row>
    <row r="1789" spans="1:15" x14ac:dyDescent="0.15">
      <c r="A1789" t="s">
        <v>21</v>
      </c>
      <c r="B1789" t="s">
        <v>1596</v>
      </c>
    </row>
    <row r="1790" spans="1:15" x14ac:dyDescent="0.15">
      <c r="A1790" t="s">
        <v>21</v>
      </c>
      <c r="B1790">
        <v>1000822</v>
      </c>
      <c r="C1790">
        <v>352286</v>
      </c>
      <c r="F1790" s="7">
        <v>1</v>
      </c>
      <c r="G1790" s="7">
        <v>118</v>
      </c>
      <c r="H1790" s="8">
        <v>103</v>
      </c>
      <c r="J1790" t="s">
        <v>23</v>
      </c>
      <c r="K1790" s="7">
        <v>882</v>
      </c>
      <c r="L1790" s="9">
        <v>-1</v>
      </c>
      <c r="M1790" t="s">
        <v>527</v>
      </c>
      <c r="N1790" t="s">
        <v>72</v>
      </c>
      <c r="O1790" s="27" t="str">
        <f>HYPERLINK("https://www.ncbi.nlm.nih.gov/nuccore/NZ_KB905813.1?report=graph&amp;from=886641&amp;to=886645", "TTA_codon")</f>
        <v>TTA_codon</v>
      </c>
    </row>
    <row r="1791" spans="1:15" x14ac:dyDescent="0.15">
      <c r="A1791" t="s">
        <v>21</v>
      </c>
      <c r="B1791">
        <v>1000822</v>
      </c>
      <c r="C1791">
        <v>352865</v>
      </c>
      <c r="F1791" s="7">
        <v>1</v>
      </c>
      <c r="G1791" s="7">
        <v>253</v>
      </c>
      <c r="H1791" s="8">
        <v>247</v>
      </c>
      <c r="J1791" t="s">
        <v>23</v>
      </c>
      <c r="K1791" s="7">
        <v>903</v>
      </c>
      <c r="L1791" s="9">
        <v>-1</v>
      </c>
      <c r="M1791" t="s">
        <v>785</v>
      </c>
      <c r="N1791" t="s">
        <v>306</v>
      </c>
      <c r="O1791" s="27" t="str">
        <f>HYPERLINK("https://www.ncbi.nlm.nih.gov/nuccore/NZ_KL571056.1?report=graph&amp;from=325254&amp;to=325258", "TTA_codon")</f>
        <v>TTA_codon</v>
      </c>
    </row>
    <row r="1792" spans="1:15" x14ac:dyDescent="0.15">
      <c r="A1792" t="s">
        <v>21</v>
      </c>
      <c r="B1792" t="s">
        <v>1597</v>
      </c>
    </row>
    <row r="1793" spans="1:15" x14ac:dyDescent="0.15">
      <c r="A1793" t="s">
        <v>21</v>
      </c>
      <c r="B1793">
        <v>1001268</v>
      </c>
      <c r="C1793">
        <v>358181</v>
      </c>
      <c r="F1793" s="7">
        <v>1</v>
      </c>
      <c r="G1793" s="7">
        <v>106</v>
      </c>
      <c r="H1793" s="8">
        <v>106</v>
      </c>
      <c r="J1793" t="s">
        <v>23</v>
      </c>
      <c r="K1793" s="7">
        <v>1905</v>
      </c>
      <c r="L1793" s="9">
        <v>-1</v>
      </c>
      <c r="M1793" t="s">
        <v>1598</v>
      </c>
      <c r="N1793" t="s">
        <v>119</v>
      </c>
      <c r="O1793" s="27" t="str">
        <f>HYPERLINK("https://www.ncbi.nlm.nih.gov/nuccore/NZ_LIPP01000054.1?report=graph&amp;from=1881&amp;to=1885", "TTA_codon")</f>
        <v>TTA_codon</v>
      </c>
    </row>
    <row r="1794" spans="1:15" x14ac:dyDescent="0.15">
      <c r="A1794" t="s">
        <v>21</v>
      </c>
      <c r="B1794">
        <v>1001268</v>
      </c>
      <c r="C1794">
        <v>360297</v>
      </c>
      <c r="F1794" s="7">
        <v>1</v>
      </c>
      <c r="G1794" s="7">
        <v>250</v>
      </c>
      <c r="H1794" s="8">
        <v>187</v>
      </c>
      <c r="J1794" t="s">
        <v>23</v>
      </c>
      <c r="K1794" s="7">
        <v>1785</v>
      </c>
      <c r="L1794" s="9">
        <v>-1</v>
      </c>
      <c r="M1794" t="s">
        <v>1599</v>
      </c>
      <c r="N1794" t="s">
        <v>125</v>
      </c>
      <c r="O1794" s="27" t="str">
        <f>HYPERLINK("https://www.ncbi.nlm.nih.gov/nuccore/NZ_KQ948463.1?report=graph&amp;from=176489&amp;to=176493", "TTA_codon")</f>
        <v>TTA_codon</v>
      </c>
    </row>
    <row r="1795" spans="1:15" x14ac:dyDescent="0.15">
      <c r="A1795" t="s">
        <v>21</v>
      </c>
      <c r="B1795" t="s">
        <v>1600</v>
      </c>
    </row>
    <row r="1796" spans="1:15" x14ac:dyDescent="0.15">
      <c r="A1796" t="s">
        <v>21</v>
      </c>
      <c r="B1796">
        <v>1000605</v>
      </c>
      <c r="C1796">
        <v>350292</v>
      </c>
      <c r="F1796" s="7">
        <v>1</v>
      </c>
      <c r="G1796" s="7">
        <v>499</v>
      </c>
      <c r="H1796" s="8">
        <v>499</v>
      </c>
      <c r="J1796" t="s">
        <v>23</v>
      </c>
      <c r="K1796" s="7">
        <v>1533</v>
      </c>
      <c r="L1796" s="9">
        <v>-1</v>
      </c>
      <c r="M1796" t="s">
        <v>35</v>
      </c>
      <c r="N1796" t="s">
        <v>36</v>
      </c>
      <c r="O1796" s="27" t="str">
        <f>HYPERLINK("https://www.ncbi.nlm.nih.gov/nuccore/NZ_JH725387.1?report=graph&amp;from=4322946&amp;to=4322950", "TTA_codon")</f>
        <v>TTA_codon</v>
      </c>
    </row>
    <row r="1797" spans="1:15" x14ac:dyDescent="0.15">
      <c r="A1797" t="s">
        <v>21</v>
      </c>
      <c r="B1797">
        <v>1000605</v>
      </c>
      <c r="C1797">
        <v>362239</v>
      </c>
      <c r="F1797" s="7">
        <v>1</v>
      </c>
      <c r="G1797" s="7">
        <v>499</v>
      </c>
      <c r="H1797" s="8">
        <v>499</v>
      </c>
      <c r="J1797" t="s">
        <v>23</v>
      </c>
      <c r="K1797" s="7">
        <v>1524</v>
      </c>
      <c r="L1797" s="9">
        <v>-1</v>
      </c>
      <c r="M1797" t="s">
        <v>39</v>
      </c>
      <c r="N1797" t="s">
        <v>40</v>
      </c>
      <c r="O1797" s="27" t="str">
        <f>HYPERLINK("https://www.ncbi.nlm.nih.gov/nuccore/NZ_CP017157.1?report=graph&amp;from=1139581&amp;to=1139585", "TTA_codon")</f>
        <v>TTA_codon</v>
      </c>
    </row>
    <row r="1798" spans="1:15" x14ac:dyDescent="0.15">
      <c r="A1798" t="s">
        <v>21</v>
      </c>
      <c r="B1798" t="s">
        <v>1601</v>
      </c>
    </row>
    <row r="1799" spans="1:15" x14ac:dyDescent="0.15">
      <c r="A1799" t="s">
        <v>21</v>
      </c>
      <c r="B1799">
        <v>1000735</v>
      </c>
      <c r="C1799">
        <v>351233</v>
      </c>
      <c r="F1799" s="7">
        <v>1</v>
      </c>
      <c r="G1799" s="7">
        <v>214</v>
      </c>
      <c r="H1799" s="8">
        <v>169</v>
      </c>
      <c r="J1799" t="s">
        <v>23</v>
      </c>
      <c r="K1799" s="7">
        <v>1425</v>
      </c>
      <c r="L1799" s="9">
        <v>-1</v>
      </c>
      <c r="M1799" t="s">
        <v>65</v>
      </c>
      <c r="N1799" t="s">
        <v>66</v>
      </c>
      <c r="O1799" s="27" t="str">
        <f>HYPERLINK("https://www.ncbi.nlm.nih.gov/nuccore/NC_020504.1?report=graph&amp;from=6505551&amp;to=6505555", "TTA_codon")</f>
        <v>TTA_codon</v>
      </c>
    </row>
    <row r="1800" spans="1:15" x14ac:dyDescent="0.15">
      <c r="A1800" t="s">
        <v>21</v>
      </c>
      <c r="B1800">
        <v>1000735</v>
      </c>
      <c r="C1800">
        <v>356185</v>
      </c>
      <c r="F1800" s="7">
        <v>1</v>
      </c>
      <c r="G1800" s="7">
        <v>214</v>
      </c>
      <c r="H1800" s="8">
        <v>115</v>
      </c>
      <c r="J1800" t="s">
        <v>23</v>
      </c>
      <c r="K1800" s="7">
        <v>1353</v>
      </c>
      <c r="L1800" s="9">
        <v>-1</v>
      </c>
      <c r="M1800" t="s">
        <v>1561</v>
      </c>
      <c r="N1800" t="s">
        <v>77</v>
      </c>
      <c r="O1800" s="27" t="str">
        <f>HYPERLINK("https://www.ncbi.nlm.nih.gov/nuccore/NZ_JNXD01000001.1?report=graph&amp;from=455553&amp;to=455557", "TTA_codon")</f>
        <v>TTA_codon</v>
      </c>
    </row>
    <row r="1801" spans="1:15" x14ac:dyDescent="0.15">
      <c r="A1801" t="s">
        <v>21</v>
      </c>
      <c r="B1801">
        <v>1000735</v>
      </c>
      <c r="C1801">
        <v>357713</v>
      </c>
      <c r="F1801" s="7">
        <v>1</v>
      </c>
      <c r="G1801" s="7">
        <v>214</v>
      </c>
      <c r="H1801" s="8">
        <v>214</v>
      </c>
      <c r="J1801" t="s">
        <v>23</v>
      </c>
      <c r="K1801" s="7">
        <v>1014</v>
      </c>
      <c r="L1801" s="9">
        <v>-1</v>
      </c>
      <c r="M1801" t="s">
        <v>1602</v>
      </c>
      <c r="N1801" t="s">
        <v>83</v>
      </c>
      <c r="O1801" s="27" t="str">
        <f>HYPERLINK("https://www.ncbi.nlm.nih.gov/nuccore/NZ_DF968435.1?report=graph&amp;from=811&amp;to=815", "TTA_codon")</f>
        <v>TTA_codon</v>
      </c>
    </row>
    <row r="1802" spans="1:15" x14ac:dyDescent="0.15">
      <c r="A1802" t="s">
        <v>21</v>
      </c>
      <c r="B1802" t="s">
        <v>1603</v>
      </c>
    </row>
    <row r="1803" spans="1:15" x14ac:dyDescent="0.15">
      <c r="A1803" t="s">
        <v>21</v>
      </c>
      <c r="B1803">
        <v>1001350</v>
      </c>
      <c r="C1803">
        <v>360842</v>
      </c>
      <c r="F1803" s="7">
        <v>1</v>
      </c>
      <c r="G1803" s="7">
        <v>847</v>
      </c>
      <c r="H1803" s="8">
        <v>817</v>
      </c>
      <c r="J1803" t="s">
        <v>23</v>
      </c>
      <c r="K1803" s="7">
        <v>1275</v>
      </c>
      <c r="L1803" s="9">
        <v>1</v>
      </c>
      <c r="M1803" t="s">
        <v>1050</v>
      </c>
      <c r="N1803" t="s">
        <v>95</v>
      </c>
      <c r="O1803" s="27" t="str">
        <f>HYPERLINK("https://www.ncbi.nlm.nih.gov/nuccore/NZ_JYIJ01000018.1?report=graph&amp;from=789797&amp;to=789801", "TTA_codon")</f>
        <v>TTA_codon</v>
      </c>
    </row>
    <row r="1804" spans="1:15" x14ac:dyDescent="0.15">
      <c r="A1804" t="s">
        <v>21</v>
      </c>
      <c r="B1804">
        <v>1001350</v>
      </c>
      <c r="C1804">
        <v>361765</v>
      </c>
      <c r="F1804" s="7">
        <v>1</v>
      </c>
      <c r="G1804" s="7">
        <v>931</v>
      </c>
      <c r="H1804" s="8">
        <v>847</v>
      </c>
      <c r="J1804" t="s">
        <v>23</v>
      </c>
      <c r="K1804" s="7">
        <v>1293</v>
      </c>
      <c r="L1804" s="9">
        <v>1</v>
      </c>
      <c r="M1804" t="s">
        <v>37</v>
      </c>
      <c r="N1804" t="s">
        <v>38</v>
      </c>
      <c r="O1804" s="27" t="str">
        <f>HYPERLINK("https://www.ncbi.nlm.nih.gov/nuccore/NZ_CP011533.1?report=graph&amp;from=1476085&amp;to=1476089", "TTA_codon")</f>
        <v>TTA_codon</v>
      </c>
    </row>
    <row r="1805" spans="1:15" x14ac:dyDescent="0.15">
      <c r="A1805" t="s">
        <v>21</v>
      </c>
      <c r="B1805" t="s">
        <v>1604</v>
      </c>
    </row>
    <row r="1806" spans="1:15" x14ac:dyDescent="0.15">
      <c r="A1806" t="s">
        <v>21</v>
      </c>
      <c r="B1806">
        <v>1001137</v>
      </c>
      <c r="C1806">
        <v>356025</v>
      </c>
      <c r="F1806" s="7">
        <v>1</v>
      </c>
      <c r="G1806" s="7">
        <v>799</v>
      </c>
      <c r="H1806" s="8">
        <v>781</v>
      </c>
      <c r="J1806" t="s">
        <v>23</v>
      </c>
      <c r="K1806" s="7">
        <v>1650</v>
      </c>
      <c r="L1806" s="9">
        <v>1</v>
      </c>
      <c r="M1806" t="s">
        <v>1605</v>
      </c>
      <c r="N1806" t="s">
        <v>146</v>
      </c>
      <c r="O1806" s="27" t="str">
        <f>HYPERLINK("https://www.ncbi.nlm.nih.gov/nuccore/NZ_JOFH01000023.1?report=graph&amp;from=67963&amp;to=67967", "TTA_codon")</f>
        <v>TTA_codon</v>
      </c>
    </row>
    <row r="1807" spans="1:15" x14ac:dyDescent="0.15">
      <c r="A1807" t="s">
        <v>21</v>
      </c>
      <c r="B1807">
        <v>1001137</v>
      </c>
      <c r="C1807">
        <v>357397</v>
      </c>
      <c r="F1807" s="7">
        <v>1</v>
      </c>
      <c r="G1807" s="7">
        <v>865</v>
      </c>
      <c r="H1807" s="8">
        <v>763</v>
      </c>
      <c r="J1807" t="s">
        <v>23</v>
      </c>
      <c r="K1807" s="7">
        <v>1542</v>
      </c>
      <c r="L1807" s="9">
        <v>1</v>
      </c>
      <c r="M1807" t="s">
        <v>80</v>
      </c>
      <c r="N1807" t="s">
        <v>81</v>
      </c>
      <c r="O1807" s="27" t="str">
        <f>HYPERLINK("https://www.ncbi.nlm.nih.gov/nuccore/NZ_LN831790.1?report=graph&amp;from=3443673&amp;to=3443677", "TTA_codon")</f>
        <v>TTA_codon</v>
      </c>
    </row>
    <row r="1808" spans="1:15" x14ac:dyDescent="0.15">
      <c r="A1808" t="s">
        <v>21</v>
      </c>
      <c r="B1808">
        <v>1001137</v>
      </c>
      <c r="C1808">
        <v>364121</v>
      </c>
      <c r="F1808" s="7">
        <v>1</v>
      </c>
      <c r="G1808" s="7">
        <v>865</v>
      </c>
      <c r="H1808" s="8">
        <v>811</v>
      </c>
      <c r="J1808" t="s">
        <v>23</v>
      </c>
      <c r="K1808" s="7">
        <v>1518</v>
      </c>
      <c r="L1808" s="9">
        <v>1</v>
      </c>
      <c r="M1808" t="s">
        <v>254</v>
      </c>
      <c r="N1808" t="s">
        <v>255</v>
      </c>
      <c r="O1808" s="27" t="str">
        <f>HYPERLINK("https://www.ncbi.nlm.nih.gov/nuccore/NZ_CP018047.1?report=graph&amp;from=2930484&amp;to=2930488", "TTA_codon")</f>
        <v>TTA_codon</v>
      </c>
    </row>
    <row r="1809" spans="1:15" x14ac:dyDescent="0.15">
      <c r="A1809" t="s">
        <v>21</v>
      </c>
      <c r="B1809" t="s">
        <v>1606</v>
      </c>
    </row>
    <row r="1810" spans="1:15" x14ac:dyDescent="0.15">
      <c r="A1810" t="s">
        <v>21</v>
      </c>
      <c r="B1810">
        <v>1000818</v>
      </c>
      <c r="C1810">
        <v>352209</v>
      </c>
      <c r="F1810" s="7">
        <v>1</v>
      </c>
      <c r="G1810" s="7">
        <v>934</v>
      </c>
      <c r="H1810" s="8">
        <v>931</v>
      </c>
      <c r="J1810" t="s">
        <v>23</v>
      </c>
      <c r="K1810" s="7">
        <v>4728</v>
      </c>
      <c r="L1810" s="9">
        <v>1</v>
      </c>
      <c r="M1810" t="s">
        <v>1607</v>
      </c>
      <c r="N1810" t="s">
        <v>70</v>
      </c>
      <c r="O1810" s="27" t="str">
        <f>HYPERLINK("https://www.ncbi.nlm.nih.gov/nuccore/NZ_KB904666.1?report=graph&amp;from=42673&amp;to=42677", "TTA_codon")</f>
        <v>TTA_codon</v>
      </c>
    </row>
    <row r="1811" spans="1:15" x14ac:dyDescent="0.15">
      <c r="A1811" t="s">
        <v>21</v>
      </c>
      <c r="B1811">
        <v>1000818</v>
      </c>
      <c r="C1811">
        <v>358168</v>
      </c>
      <c r="F1811" s="7">
        <v>2</v>
      </c>
      <c r="G1811" s="7" t="s">
        <v>1608</v>
      </c>
      <c r="H1811" s="8" t="s">
        <v>1609</v>
      </c>
      <c r="J1811" t="s">
        <v>23</v>
      </c>
      <c r="K1811" s="7">
        <v>4434</v>
      </c>
      <c r="L1811" s="9">
        <v>1</v>
      </c>
      <c r="M1811" t="s">
        <v>1610</v>
      </c>
      <c r="N1811" t="s">
        <v>119</v>
      </c>
      <c r="O1811" s="27" t="str">
        <f>HYPERLINK("https://www.ncbi.nlm.nih.gov/nuccore/NZ_LIPP01000005.1?report=graph&amp;from=62369&amp;to=62619", "TTA_codon")</f>
        <v>TTA_codon</v>
      </c>
    </row>
    <row r="1812" spans="1:15" x14ac:dyDescent="0.15">
      <c r="A1812" t="s">
        <v>21</v>
      </c>
      <c r="B1812" t="s">
        <v>1611</v>
      </c>
    </row>
    <row r="1813" spans="1:15" x14ac:dyDescent="0.15">
      <c r="A1813" t="s">
        <v>21</v>
      </c>
      <c r="B1813">
        <v>1001389</v>
      </c>
      <c r="C1813">
        <v>361756</v>
      </c>
      <c r="F1813" s="7">
        <v>1</v>
      </c>
      <c r="G1813" s="7">
        <v>244</v>
      </c>
      <c r="H1813" s="8">
        <v>244</v>
      </c>
      <c r="J1813" t="s">
        <v>23</v>
      </c>
      <c r="K1813" s="7">
        <v>1236</v>
      </c>
      <c r="L1813" s="9">
        <v>-1</v>
      </c>
      <c r="M1813" t="s">
        <v>37</v>
      </c>
      <c r="N1813" t="s">
        <v>38</v>
      </c>
      <c r="O1813" s="27" t="str">
        <f>HYPERLINK("https://www.ncbi.nlm.nih.gov/nuccore/NZ_CP011533.1?report=graph&amp;from=4025720&amp;to=4025724", "TTA_codon")</f>
        <v>TTA_codon</v>
      </c>
    </row>
    <row r="1814" spans="1:15" x14ac:dyDescent="0.15">
      <c r="A1814" t="s">
        <v>21</v>
      </c>
      <c r="B1814">
        <v>1001389</v>
      </c>
      <c r="C1814">
        <v>364718</v>
      </c>
      <c r="F1814" s="7">
        <v>1</v>
      </c>
      <c r="G1814" s="7">
        <v>244</v>
      </c>
      <c r="H1814" s="8">
        <v>241</v>
      </c>
      <c r="J1814" t="s">
        <v>23</v>
      </c>
      <c r="K1814" s="7">
        <v>1233</v>
      </c>
      <c r="L1814" s="9">
        <v>-1</v>
      </c>
      <c r="M1814" t="s">
        <v>1612</v>
      </c>
      <c r="N1814" t="s">
        <v>110</v>
      </c>
      <c r="O1814" s="27" t="str">
        <f>HYPERLINK("https://www.ncbi.nlm.nih.gov/nuccore/NZ_MUME01000092.1?report=graph&amp;from=7460&amp;to=7464", "TTA_codon")</f>
        <v>TTA_codon</v>
      </c>
    </row>
    <row r="1815" spans="1:15" x14ac:dyDescent="0.15">
      <c r="A1815" t="s">
        <v>21</v>
      </c>
      <c r="B1815" t="s">
        <v>1613</v>
      </c>
    </row>
    <row r="1816" spans="1:15" x14ac:dyDescent="0.15">
      <c r="A1816" t="s">
        <v>21</v>
      </c>
      <c r="B1816">
        <v>1001037</v>
      </c>
      <c r="C1816">
        <v>354666</v>
      </c>
      <c r="F1816" s="7">
        <v>1</v>
      </c>
      <c r="G1816" s="7">
        <v>85</v>
      </c>
      <c r="H1816" s="8">
        <v>85</v>
      </c>
      <c r="J1816" t="s">
        <v>23</v>
      </c>
      <c r="K1816" s="7">
        <v>2298</v>
      </c>
      <c r="L1816" s="9">
        <v>-1</v>
      </c>
      <c r="M1816" t="s">
        <v>1614</v>
      </c>
      <c r="N1816" t="s">
        <v>272</v>
      </c>
      <c r="O1816" s="27" t="str">
        <f>HYPERLINK("https://www.ncbi.nlm.nih.gov/nuccore/NZ_JOEY01000052.1?report=graph&amp;from=54120&amp;to=54124", "TTA_codon")</f>
        <v>TTA_codon</v>
      </c>
    </row>
    <row r="1817" spans="1:15" x14ac:dyDescent="0.15">
      <c r="A1817" t="s">
        <v>21</v>
      </c>
      <c r="B1817">
        <v>1001037</v>
      </c>
      <c r="C1817">
        <v>359980</v>
      </c>
      <c r="F1817" s="7">
        <v>1</v>
      </c>
      <c r="G1817" s="7">
        <v>85</v>
      </c>
      <c r="H1817" s="8">
        <v>85</v>
      </c>
      <c r="J1817" t="s">
        <v>23</v>
      </c>
      <c r="K1817" s="7">
        <v>2295</v>
      </c>
      <c r="L1817" s="9">
        <v>-1</v>
      </c>
      <c r="M1817" t="s">
        <v>675</v>
      </c>
      <c r="N1817" t="s">
        <v>91</v>
      </c>
      <c r="O1817" s="27" t="str">
        <f>HYPERLINK("https://www.ncbi.nlm.nih.gov/nuccore/NZ_KQ948306.1?report=graph&amp;from=407069&amp;to=407073", "TTA_codon")</f>
        <v>TTA_codon</v>
      </c>
    </row>
    <row r="1818" spans="1:15" x14ac:dyDescent="0.15">
      <c r="A1818" t="s">
        <v>21</v>
      </c>
      <c r="B1818" t="s">
        <v>1615</v>
      </c>
    </row>
    <row r="1819" spans="1:15" x14ac:dyDescent="0.15">
      <c r="A1819" t="s">
        <v>21</v>
      </c>
      <c r="B1819">
        <v>1001148</v>
      </c>
      <c r="C1819">
        <v>356221</v>
      </c>
      <c r="F1819" s="7">
        <v>1</v>
      </c>
      <c r="G1819" s="7">
        <v>268</v>
      </c>
      <c r="H1819" s="8">
        <v>244</v>
      </c>
      <c r="J1819" t="s">
        <v>23</v>
      </c>
      <c r="K1819" s="7">
        <v>1230</v>
      </c>
      <c r="L1819" s="9">
        <v>-1</v>
      </c>
      <c r="M1819" t="s">
        <v>1616</v>
      </c>
      <c r="N1819" t="s">
        <v>77</v>
      </c>
      <c r="O1819" s="27" t="str">
        <f>HYPERLINK("https://www.ncbi.nlm.nih.gov/nuccore/NZ_JNXD01000033.1?report=graph&amp;from=23596&amp;to=23600", "TTA_codon")</f>
        <v>TTA_codon</v>
      </c>
    </row>
    <row r="1820" spans="1:15" x14ac:dyDescent="0.15">
      <c r="A1820" t="s">
        <v>21</v>
      </c>
      <c r="B1820">
        <v>1001148</v>
      </c>
      <c r="C1820">
        <v>357675</v>
      </c>
      <c r="F1820" s="7">
        <v>1</v>
      </c>
      <c r="G1820" s="7">
        <v>268</v>
      </c>
      <c r="H1820" s="8">
        <v>268</v>
      </c>
      <c r="J1820" t="s">
        <v>23</v>
      </c>
      <c r="K1820" s="7">
        <v>1254</v>
      </c>
      <c r="L1820" s="9">
        <v>-1</v>
      </c>
      <c r="M1820" t="s">
        <v>1617</v>
      </c>
      <c r="N1820" t="s">
        <v>83</v>
      </c>
      <c r="O1820" s="27" t="str">
        <f>HYPERLINK("https://www.ncbi.nlm.nih.gov/nuccore/NZ_DF968271.1?report=graph&amp;from=29900&amp;to=29904", "TTA_codon")</f>
        <v>TTA_codon</v>
      </c>
    </row>
    <row r="1821" spans="1:15" x14ac:dyDescent="0.15">
      <c r="A1821" t="s">
        <v>21</v>
      </c>
      <c r="B1821" t="s">
        <v>1618</v>
      </c>
    </row>
    <row r="1822" spans="1:15" x14ac:dyDescent="0.15">
      <c r="A1822" t="s">
        <v>21</v>
      </c>
      <c r="B1822">
        <v>1000913</v>
      </c>
      <c r="C1822">
        <v>353123</v>
      </c>
      <c r="F1822" s="7">
        <v>4</v>
      </c>
      <c r="G1822" s="7" t="s">
        <v>1619</v>
      </c>
      <c r="H1822" s="8" t="s">
        <v>1620</v>
      </c>
      <c r="J1822" t="s">
        <v>23</v>
      </c>
      <c r="K1822" s="7">
        <v>555</v>
      </c>
      <c r="L1822" s="9">
        <v>1</v>
      </c>
      <c r="M1822" t="s">
        <v>382</v>
      </c>
      <c r="N1822" t="s">
        <v>306</v>
      </c>
      <c r="O1822" s="27" t="str">
        <f>HYPERLINK("https://www.ncbi.nlm.nih.gov/nuccore/NZ_KL571107.1?report=graph&amp;from=915&amp;to=1240", "TTA_codon")</f>
        <v>TTA_codon</v>
      </c>
    </row>
    <row r="1823" spans="1:15" x14ac:dyDescent="0.15">
      <c r="A1823" t="s">
        <v>21</v>
      </c>
      <c r="B1823">
        <v>1000913</v>
      </c>
      <c r="C1823">
        <v>358976</v>
      </c>
      <c r="F1823" s="7">
        <v>4</v>
      </c>
      <c r="G1823" s="7" t="s">
        <v>1621</v>
      </c>
      <c r="H1823" s="8" t="s">
        <v>1621</v>
      </c>
      <c r="J1823" t="s">
        <v>23</v>
      </c>
      <c r="K1823" s="7">
        <v>684</v>
      </c>
      <c r="L1823" s="9">
        <v>1</v>
      </c>
      <c r="M1823" t="s">
        <v>1622</v>
      </c>
      <c r="N1823" t="s">
        <v>87</v>
      </c>
      <c r="O1823" s="27" t="str">
        <f>HYPERLINK("https://www.ncbi.nlm.nih.gov/nuccore/NZ_LIQS01000067.1?report=graph&amp;from=39916&amp;to=40271", "TTA_codon")</f>
        <v>TTA_codon</v>
      </c>
    </row>
    <row r="1824" spans="1:15" x14ac:dyDescent="0.15">
      <c r="A1824" t="s">
        <v>21</v>
      </c>
      <c r="B1824">
        <v>1000913</v>
      </c>
      <c r="C1824">
        <v>359741</v>
      </c>
      <c r="F1824" s="7">
        <v>2</v>
      </c>
      <c r="G1824" s="7" t="s">
        <v>1623</v>
      </c>
      <c r="H1824" s="8" t="s">
        <v>1624</v>
      </c>
      <c r="J1824" t="s">
        <v>23</v>
      </c>
      <c r="K1824" s="7">
        <v>672</v>
      </c>
      <c r="L1824" s="9">
        <v>1</v>
      </c>
      <c r="M1824" t="s">
        <v>1625</v>
      </c>
      <c r="N1824" t="s">
        <v>651</v>
      </c>
      <c r="O1824" s="27" t="str">
        <f>HYPERLINK("https://www.ncbi.nlm.nih.gov/nuccore/NZ_LN929763.1?report=graph&amp;from=170155&amp;to=170480", "TTA_codon")</f>
        <v>TTA_codon</v>
      </c>
    </row>
    <row r="1825" spans="1:15" x14ac:dyDescent="0.15">
      <c r="A1825" t="s">
        <v>195</v>
      </c>
      <c r="B1825" t="s">
        <v>1626</v>
      </c>
    </row>
    <row r="1826" spans="1:15" x14ac:dyDescent="0.15">
      <c r="A1826" t="s">
        <v>195</v>
      </c>
      <c r="B1826">
        <v>1000030</v>
      </c>
      <c r="C1826">
        <v>346155</v>
      </c>
      <c r="F1826" s="7">
        <v>1</v>
      </c>
      <c r="G1826" s="7">
        <v>64</v>
      </c>
      <c r="H1826" s="8">
        <v>55</v>
      </c>
      <c r="J1826" t="s">
        <v>23</v>
      </c>
      <c r="K1826" s="7">
        <v>1086</v>
      </c>
      <c r="L1826" s="9">
        <v>1</v>
      </c>
      <c r="M1826" t="s">
        <v>1627</v>
      </c>
      <c r="N1826" t="s">
        <v>249</v>
      </c>
      <c r="O1826" s="27" t="str">
        <f>HYPERLINK("https://www.ncbi.nlm.nih.gov/nuccore/NZ_AHBF01000147.1?report=graph&amp;from=11642&amp;to=11646", "TTA_codon")</f>
        <v>TTA_codon</v>
      </c>
    </row>
    <row r="1827" spans="1:15" x14ac:dyDescent="0.15">
      <c r="A1827" t="s">
        <v>21</v>
      </c>
      <c r="B1827">
        <v>1000030</v>
      </c>
      <c r="C1827">
        <v>352319</v>
      </c>
      <c r="F1827" s="7">
        <v>1</v>
      </c>
      <c r="G1827" s="7">
        <v>64</v>
      </c>
      <c r="H1827" s="8">
        <v>64</v>
      </c>
      <c r="J1827" t="s">
        <v>23</v>
      </c>
      <c r="K1827" s="7">
        <v>1197</v>
      </c>
      <c r="L1827" s="9">
        <v>1</v>
      </c>
      <c r="M1827" t="s">
        <v>1628</v>
      </c>
      <c r="N1827" t="s">
        <v>72</v>
      </c>
      <c r="O1827" s="27" t="str">
        <f>HYPERLINK("https://www.ncbi.nlm.nih.gov/nuccore/NZ_KB905823.1?report=graph&amp;from=203770&amp;to=203774", "TTA_codon")</f>
        <v>TTA_codon</v>
      </c>
    </row>
    <row r="1828" spans="1:15" x14ac:dyDescent="0.15">
      <c r="A1828" t="s">
        <v>21</v>
      </c>
      <c r="B1828">
        <v>1000030</v>
      </c>
      <c r="C1828">
        <v>354197</v>
      </c>
      <c r="F1828" s="7">
        <v>1</v>
      </c>
      <c r="G1828" s="7">
        <v>112</v>
      </c>
      <c r="H1828" s="8">
        <v>106</v>
      </c>
      <c r="J1828" t="s">
        <v>23</v>
      </c>
      <c r="K1828" s="7">
        <v>1095</v>
      </c>
      <c r="L1828" s="9">
        <v>1</v>
      </c>
      <c r="M1828" t="s">
        <v>1629</v>
      </c>
      <c r="N1828" t="s">
        <v>361</v>
      </c>
      <c r="O1828" s="27" t="str">
        <f>HYPERLINK("https://www.ncbi.nlm.nih.gov/nuccore/NZ_JODY01000002.1?report=graph&amp;from=370834&amp;to=370838", "TTA_codon")</f>
        <v>TTA_codon</v>
      </c>
    </row>
    <row r="1829" spans="1:15" x14ac:dyDescent="0.15">
      <c r="A1829" t="s">
        <v>21</v>
      </c>
      <c r="B1829" t="s">
        <v>1630</v>
      </c>
    </row>
    <row r="1830" spans="1:15" x14ac:dyDescent="0.15">
      <c r="A1830" t="s">
        <v>21</v>
      </c>
      <c r="B1830">
        <v>1000299</v>
      </c>
      <c r="C1830">
        <v>347902</v>
      </c>
      <c r="F1830" s="7">
        <v>1</v>
      </c>
      <c r="G1830" s="7">
        <v>274</v>
      </c>
      <c r="H1830" s="8">
        <v>274</v>
      </c>
      <c r="J1830" t="s">
        <v>23</v>
      </c>
      <c r="K1830" s="7">
        <v>489</v>
      </c>
      <c r="L1830" s="9">
        <v>1</v>
      </c>
      <c r="M1830" t="s">
        <v>57</v>
      </c>
      <c r="N1830" t="s">
        <v>58</v>
      </c>
      <c r="O1830" s="27" t="str">
        <f>HYPERLINK("https://www.ncbi.nlm.nih.gov/nuccore/NC_013929.1?report=graph&amp;from=2568058&amp;to=2568062", "TTA_codon")</f>
        <v>TTA_codon</v>
      </c>
    </row>
    <row r="1831" spans="1:15" x14ac:dyDescent="0.15">
      <c r="A1831" t="s">
        <v>21</v>
      </c>
      <c r="B1831">
        <v>1000299</v>
      </c>
      <c r="C1831">
        <v>350106</v>
      </c>
      <c r="F1831" s="7">
        <v>1</v>
      </c>
      <c r="G1831" s="7">
        <v>274</v>
      </c>
      <c r="H1831" s="8">
        <v>274</v>
      </c>
      <c r="J1831" t="s">
        <v>23</v>
      </c>
      <c r="K1831" s="7">
        <v>489</v>
      </c>
      <c r="L1831" s="9">
        <v>1</v>
      </c>
      <c r="M1831" t="s">
        <v>917</v>
      </c>
      <c r="N1831" t="s">
        <v>249</v>
      </c>
      <c r="O1831" s="27" t="str">
        <f>HYPERLINK("https://www.ncbi.nlm.nih.gov/nuccore/NZ_AHBF01000033.1?report=graph&amp;from=118530&amp;to=118534", "TTA_codon")</f>
        <v>TTA_codon</v>
      </c>
    </row>
    <row r="1832" spans="1:15" x14ac:dyDescent="0.15">
      <c r="A1832" t="s">
        <v>21</v>
      </c>
      <c r="B1832">
        <v>1000299</v>
      </c>
      <c r="C1832">
        <v>353915</v>
      </c>
      <c r="F1832" s="7">
        <v>2</v>
      </c>
      <c r="G1832" s="7" t="s">
        <v>1631</v>
      </c>
      <c r="H1832" s="8" t="s">
        <v>1631</v>
      </c>
      <c r="J1832" t="s">
        <v>23</v>
      </c>
      <c r="K1832" s="7">
        <v>489</v>
      </c>
      <c r="L1832" s="9">
        <v>1</v>
      </c>
      <c r="M1832" t="s">
        <v>1068</v>
      </c>
      <c r="N1832" t="s">
        <v>246</v>
      </c>
      <c r="O1832" s="27" t="str">
        <f>HYPERLINK("https://www.ncbi.nlm.nih.gov/nuccore/NZ_JNYR01000042.1?report=graph&amp;from=61100&amp;to=61239", "TTA_codon")</f>
        <v>TTA_codon</v>
      </c>
    </row>
    <row r="1833" spans="1:15" x14ac:dyDescent="0.15">
      <c r="A1833" t="s">
        <v>21</v>
      </c>
      <c r="B1833" t="s">
        <v>1632</v>
      </c>
    </row>
    <row r="1834" spans="1:15" x14ac:dyDescent="0.15">
      <c r="A1834" t="s">
        <v>21</v>
      </c>
      <c r="B1834">
        <v>1000378</v>
      </c>
      <c r="C1834">
        <v>348319</v>
      </c>
      <c r="F1834" s="7">
        <v>1</v>
      </c>
      <c r="G1834" s="7">
        <v>583</v>
      </c>
      <c r="H1834" s="8">
        <v>583</v>
      </c>
      <c r="J1834" t="s">
        <v>23</v>
      </c>
      <c r="K1834" s="7">
        <v>3153</v>
      </c>
      <c r="L1834" s="9">
        <v>-1</v>
      </c>
      <c r="M1834" t="s">
        <v>59</v>
      </c>
      <c r="N1834" t="s">
        <v>60</v>
      </c>
      <c r="O1834" s="27" t="str">
        <f>HYPERLINK("https://www.ncbi.nlm.nih.gov/nuccore/NC_016582.1?report=graph&amp;from=1228060&amp;to=1228064", "TTA_codon")</f>
        <v>TTA_codon</v>
      </c>
    </row>
    <row r="1835" spans="1:15" x14ac:dyDescent="0.15">
      <c r="A1835" t="s">
        <v>21</v>
      </c>
      <c r="B1835">
        <v>1000378</v>
      </c>
      <c r="C1835">
        <v>348979</v>
      </c>
      <c r="F1835" s="7">
        <v>1</v>
      </c>
      <c r="G1835" s="7">
        <v>583</v>
      </c>
      <c r="H1835" s="8">
        <v>568</v>
      </c>
      <c r="J1835" t="s">
        <v>23</v>
      </c>
      <c r="K1835" s="7">
        <v>3114</v>
      </c>
      <c r="L1835" s="9">
        <v>-1</v>
      </c>
      <c r="M1835" t="s">
        <v>211</v>
      </c>
      <c r="N1835" t="s">
        <v>212</v>
      </c>
      <c r="O1835" s="27" t="str">
        <f>HYPERLINK("https://www.ncbi.nlm.nih.gov/nuccore/NZ_GG657754.1?report=graph&amp;from=187724&amp;to=187728", "TTA_codon")</f>
        <v>TTA_codon</v>
      </c>
    </row>
    <row r="1836" spans="1:15" x14ac:dyDescent="0.15">
      <c r="A1836" t="s">
        <v>21</v>
      </c>
      <c r="B1836" t="s">
        <v>1633</v>
      </c>
    </row>
    <row r="1837" spans="1:15" x14ac:dyDescent="0.15">
      <c r="A1837" t="s">
        <v>21</v>
      </c>
      <c r="B1837">
        <v>1001284</v>
      </c>
      <c r="C1837">
        <v>358597</v>
      </c>
      <c r="F1837" s="7">
        <v>1</v>
      </c>
      <c r="G1837" s="7">
        <v>172</v>
      </c>
      <c r="H1837" s="8">
        <v>154</v>
      </c>
      <c r="J1837" t="s">
        <v>23</v>
      </c>
      <c r="K1837" s="7">
        <v>900</v>
      </c>
      <c r="L1837" s="9">
        <v>1</v>
      </c>
      <c r="M1837" t="s">
        <v>1634</v>
      </c>
      <c r="N1837" t="s">
        <v>299</v>
      </c>
      <c r="O1837" s="27" t="str">
        <f>HYPERLINK("https://www.ncbi.nlm.nih.gov/nuccore/NZ_LIQY01000559.1?report=graph&amp;from=574&amp;to=578", "TTA_codon")</f>
        <v>TTA_codon</v>
      </c>
    </row>
    <row r="1838" spans="1:15" x14ac:dyDescent="0.15">
      <c r="A1838" t="s">
        <v>21</v>
      </c>
      <c r="B1838">
        <v>1001284</v>
      </c>
      <c r="C1838">
        <v>362367</v>
      </c>
      <c r="F1838" s="7">
        <v>1</v>
      </c>
      <c r="G1838" s="7">
        <v>88</v>
      </c>
      <c r="H1838" s="8">
        <v>88</v>
      </c>
      <c r="J1838" t="s">
        <v>23</v>
      </c>
      <c r="K1838" s="7">
        <v>927</v>
      </c>
      <c r="L1838" s="9">
        <v>1</v>
      </c>
      <c r="M1838" t="s">
        <v>39</v>
      </c>
      <c r="N1838" t="s">
        <v>40</v>
      </c>
      <c r="O1838" s="27" t="str">
        <f>HYPERLINK("https://www.ncbi.nlm.nih.gov/nuccore/NZ_CP017157.1?report=graph&amp;from=4189480&amp;to=4189484", "TTA_codon")</f>
        <v>TTA_codon</v>
      </c>
    </row>
    <row r="1839" spans="1:15" x14ac:dyDescent="0.15">
      <c r="A1839" t="s">
        <v>21</v>
      </c>
      <c r="B1839" t="s">
        <v>1635</v>
      </c>
    </row>
    <row r="1840" spans="1:15" x14ac:dyDescent="0.15">
      <c r="A1840" t="s">
        <v>21</v>
      </c>
      <c r="B1840">
        <v>1000231</v>
      </c>
      <c r="C1840">
        <v>347573</v>
      </c>
      <c r="F1840" s="7">
        <v>1</v>
      </c>
      <c r="G1840" s="7">
        <v>538</v>
      </c>
      <c r="H1840" s="8">
        <v>451</v>
      </c>
      <c r="J1840" t="s">
        <v>23</v>
      </c>
      <c r="K1840" s="7">
        <v>939</v>
      </c>
      <c r="L1840" s="9">
        <v>-1</v>
      </c>
      <c r="M1840" t="s">
        <v>53</v>
      </c>
      <c r="N1840" t="s">
        <v>54</v>
      </c>
      <c r="O1840" s="27" t="str">
        <f>HYPERLINK("https://www.ncbi.nlm.nih.gov/nuccore/NC_003155.5?report=graph&amp;from=2767468&amp;to=2767472", "TTA_codon")</f>
        <v>TTA_codon</v>
      </c>
    </row>
    <row r="1841" spans="1:15" x14ac:dyDescent="0.15">
      <c r="A1841" t="s">
        <v>21</v>
      </c>
      <c r="B1841">
        <v>1000231</v>
      </c>
      <c r="C1841">
        <v>365996</v>
      </c>
      <c r="F1841" s="7">
        <v>1</v>
      </c>
      <c r="G1841" s="7">
        <v>538</v>
      </c>
      <c r="H1841" s="8">
        <v>538</v>
      </c>
      <c r="J1841" t="s">
        <v>23</v>
      </c>
      <c r="K1841" s="7">
        <v>1098</v>
      </c>
      <c r="L1841" s="9">
        <v>-1</v>
      </c>
      <c r="M1841" t="s">
        <v>1636</v>
      </c>
      <c r="N1841" t="s">
        <v>115</v>
      </c>
      <c r="O1841" s="27" t="str">
        <f>HYPERLINK("https://www.ncbi.nlm.nih.gov/nuccore/NZ_FODD01000012.1?report=graph&amp;from=135559&amp;to=135563", "TTA_codon")</f>
        <v>TTA_codon</v>
      </c>
    </row>
    <row r="1842" spans="1:15" x14ac:dyDescent="0.15">
      <c r="A1842" t="s">
        <v>195</v>
      </c>
      <c r="B1842" t="s">
        <v>1637</v>
      </c>
    </row>
    <row r="1843" spans="1:15" x14ac:dyDescent="0.15">
      <c r="A1843" t="s">
        <v>195</v>
      </c>
      <c r="B1843">
        <v>1000109</v>
      </c>
      <c r="C1843">
        <v>346723</v>
      </c>
      <c r="F1843" s="7">
        <v>1</v>
      </c>
      <c r="G1843" s="7">
        <v>631</v>
      </c>
      <c r="H1843" s="8">
        <v>619</v>
      </c>
      <c r="J1843" t="s">
        <v>23</v>
      </c>
      <c r="K1843" s="7">
        <v>2076</v>
      </c>
      <c r="L1843" s="9">
        <v>-1</v>
      </c>
      <c r="M1843" t="s">
        <v>151</v>
      </c>
      <c r="N1843" t="s">
        <v>152</v>
      </c>
      <c r="O1843" s="27" t="str">
        <f>HYPERLINK("https://www.ncbi.nlm.nih.gov/nuccore/NZ_CP013129.1?report=graph&amp;from=5728627&amp;to=5728631", "TTA_codon")</f>
        <v>TTA_codon</v>
      </c>
    </row>
    <row r="1844" spans="1:15" x14ac:dyDescent="0.15">
      <c r="A1844" t="s">
        <v>21</v>
      </c>
      <c r="B1844">
        <v>1000109</v>
      </c>
      <c r="C1844">
        <v>352418</v>
      </c>
      <c r="F1844" s="7">
        <v>1</v>
      </c>
      <c r="G1844" s="7">
        <v>631</v>
      </c>
      <c r="H1844" s="8">
        <v>400</v>
      </c>
      <c r="J1844" t="s">
        <v>23</v>
      </c>
      <c r="K1844" s="7">
        <v>1878</v>
      </c>
      <c r="L1844" s="9">
        <v>-1</v>
      </c>
      <c r="M1844" t="s">
        <v>30</v>
      </c>
      <c r="N1844" t="s">
        <v>31</v>
      </c>
      <c r="O1844" s="27" t="str">
        <f>HYPERLINK("https://www.ncbi.nlm.nih.gov/nuccore/NZ_KB913030.1?report=graph&amp;from=4751406&amp;to=4751410", "TTA_codon")</f>
        <v>TTA_codon</v>
      </c>
    </row>
    <row r="1845" spans="1:15" x14ac:dyDescent="0.15">
      <c r="A1845" t="s">
        <v>21</v>
      </c>
      <c r="B1845">
        <v>1000109</v>
      </c>
      <c r="C1845">
        <v>356366</v>
      </c>
      <c r="F1845" s="7">
        <v>1</v>
      </c>
      <c r="G1845" s="7">
        <v>631</v>
      </c>
      <c r="H1845" s="8">
        <v>451</v>
      </c>
      <c r="J1845" t="s">
        <v>23</v>
      </c>
      <c r="K1845" s="7">
        <v>1953</v>
      </c>
      <c r="L1845" s="9">
        <v>-1</v>
      </c>
      <c r="M1845" t="s">
        <v>504</v>
      </c>
      <c r="N1845" t="s">
        <v>354</v>
      </c>
      <c r="O1845" s="27" t="str">
        <f>HYPERLINK("https://www.ncbi.nlm.nih.gov/nuccore/NZ_JQJU01000001.1?report=graph&amp;from=423954&amp;to=423958", "TTA_codon")</f>
        <v>TTA_codon</v>
      </c>
    </row>
    <row r="1846" spans="1:15" x14ac:dyDescent="0.15">
      <c r="A1846" t="s">
        <v>21</v>
      </c>
      <c r="B1846">
        <v>1000109</v>
      </c>
      <c r="C1846">
        <v>364299</v>
      </c>
      <c r="F1846" s="7">
        <v>1</v>
      </c>
      <c r="G1846" s="7">
        <v>601</v>
      </c>
      <c r="H1846" s="8">
        <v>517</v>
      </c>
      <c r="J1846" t="s">
        <v>23</v>
      </c>
      <c r="K1846" s="7">
        <v>2076</v>
      </c>
      <c r="L1846" s="9">
        <v>-1</v>
      </c>
      <c r="M1846" t="s">
        <v>105</v>
      </c>
      <c r="N1846" t="s">
        <v>106</v>
      </c>
      <c r="O1846" s="27" t="str">
        <f>HYPERLINK("https://www.ncbi.nlm.nih.gov/nuccore/NZ_CP020042.1?report=graph&amp;from=4974598&amp;to=4974602", "TTA_codon")</f>
        <v>TTA_codon</v>
      </c>
    </row>
    <row r="1847" spans="1:15" x14ac:dyDescent="0.15">
      <c r="A1847" t="s">
        <v>21</v>
      </c>
      <c r="B1847">
        <v>1000109</v>
      </c>
      <c r="C1847">
        <v>365331</v>
      </c>
      <c r="F1847" s="7">
        <v>1</v>
      </c>
      <c r="G1847" s="7">
        <v>631</v>
      </c>
      <c r="H1847" s="8">
        <v>385</v>
      </c>
      <c r="J1847" t="s">
        <v>23</v>
      </c>
      <c r="K1847" s="7">
        <v>1866</v>
      </c>
      <c r="L1847" s="9">
        <v>-1</v>
      </c>
      <c r="M1847" t="s">
        <v>1638</v>
      </c>
      <c r="N1847" t="s">
        <v>129</v>
      </c>
      <c r="O1847" s="27" t="str">
        <f>HYPERLINK("https://www.ncbi.nlm.nih.gov/nuccore/NZ_FNHI01000002.1?report=graph&amp;from=244143&amp;to=244147", "TTA_codon")</f>
        <v>TTA_codon</v>
      </c>
    </row>
    <row r="1848" spans="1:15" x14ac:dyDescent="0.15">
      <c r="A1848" t="s">
        <v>21</v>
      </c>
      <c r="B1848" t="s">
        <v>1639</v>
      </c>
    </row>
    <row r="1849" spans="1:15" x14ac:dyDescent="0.15">
      <c r="A1849" t="s">
        <v>21</v>
      </c>
      <c r="B1849">
        <v>1000902</v>
      </c>
      <c r="C1849">
        <v>352958</v>
      </c>
      <c r="F1849" s="7">
        <v>1</v>
      </c>
      <c r="G1849" s="7">
        <v>211</v>
      </c>
      <c r="H1849" s="8">
        <v>208</v>
      </c>
      <c r="J1849" t="s">
        <v>23</v>
      </c>
      <c r="K1849" s="7">
        <v>1029</v>
      </c>
      <c r="L1849" s="9">
        <v>1</v>
      </c>
      <c r="M1849" t="s">
        <v>1640</v>
      </c>
      <c r="N1849" t="s">
        <v>306</v>
      </c>
      <c r="O1849" s="27" t="str">
        <f>HYPERLINK("https://www.ncbi.nlm.nih.gov/nuccore/NZ_KL571057.1?report=graph&amp;from=19024&amp;to=19028", "TTA_codon")</f>
        <v>TTA_codon</v>
      </c>
    </row>
    <row r="1850" spans="1:15" x14ac:dyDescent="0.15">
      <c r="A1850" t="s">
        <v>21</v>
      </c>
      <c r="B1850">
        <v>1000902</v>
      </c>
      <c r="C1850">
        <v>353969</v>
      </c>
      <c r="F1850" s="7">
        <v>1</v>
      </c>
      <c r="G1850" s="7">
        <v>211</v>
      </c>
      <c r="H1850" s="8">
        <v>202</v>
      </c>
      <c r="J1850" t="s">
        <v>23</v>
      </c>
      <c r="K1850" s="7">
        <v>1026</v>
      </c>
      <c r="L1850" s="9">
        <v>1</v>
      </c>
      <c r="M1850" t="s">
        <v>1641</v>
      </c>
      <c r="N1850" t="s">
        <v>246</v>
      </c>
      <c r="O1850" s="27" t="str">
        <f>HYPERLINK("https://www.ncbi.nlm.nih.gov/nuccore/NZ_JNYR01000038.1?report=graph&amp;from=7604&amp;to=7608", "TTA_codon")</f>
        <v>TTA_codon</v>
      </c>
    </row>
    <row r="1851" spans="1:15" x14ac:dyDescent="0.15">
      <c r="A1851" t="s">
        <v>21</v>
      </c>
      <c r="B1851" t="s">
        <v>1642</v>
      </c>
    </row>
    <row r="1852" spans="1:15" x14ac:dyDescent="0.15">
      <c r="A1852" t="s">
        <v>21</v>
      </c>
      <c r="B1852">
        <v>1000868</v>
      </c>
      <c r="C1852">
        <v>352603</v>
      </c>
      <c r="F1852" s="7">
        <v>1</v>
      </c>
      <c r="G1852" s="7">
        <v>226</v>
      </c>
      <c r="H1852" s="8">
        <v>223</v>
      </c>
      <c r="J1852" t="s">
        <v>23</v>
      </c>
      <c r="K1852" s="7">
        <v>951</v>
      </c>
      <c r="L1852" s="9">
        <v>1</v>
      </c>
      <c r="M1852" t="s">
        <v>1643</v>
      </c>
      <c r="N1852" t="s">
        <v>436</v>
      </c>
      <c r="O1852" s="27" t="str">
        <f>HYPERLINK("https://www.ncbi.nlm.nih.gov/nuccore/NZ_AUBE01000002.1?report=graph&amp;from=311613&amp;to=311617", "TTA_codon")</f>
        <v>TTA_codon</v>
      </c>
    </row>
    <row r="1853" spans="1:15" x14ac:dyDescent="0.15">
      <c r="A1853" t="s">
        <v>21</v>
      </c>
      <c r="B1853">
        <v>1000868</v>
      </c>
      <c r="C1853">
        <v>357027</v>
      </c>
      <c r="F1853" s="7">
        <v>1</v>
      </c>
      <c r="G1853" s="7">
        <v>70</v>
      </c>
      <c r="H1853" s="8">
        <v>64</v>
      </c>
      <c r="J1853" t="s">
        <v>23</v>
      </c>
      <c r="K1853" s="7">
        <v>948</v>
      </c>
      <c r="L1853" s="9">
        <v>1</v>
      </c>
      <c r="M1853" t="s">
        <v>162</v>
      </c>
      <c r="N1853" t="s">
        <v>163</v>
      </c>
      <c r="O1853" s="27" t="str">
        <f>HYPERLINK("https://www.ncbi.nlm.nih.gov/nuccore/NZ_CP010519.1?report=graph&amp;from=5029780&amp;to=5029784", "TTA_codon")</f>
        <v>TTA_codon</v>
      </c>
    </row>
    <row r="1854" spans="1:15" x14ac:dyDescent="0.15">
      <c r="A1854" t="s">
        <v>21</v>
      </c>
      <c r="B1854">
        <v>1000868</v>
      </c>
      <c r="C1854">
        <v>361965</v>
      </c>
      <c r="F1854" s="7">
        <v>1</v>
      </c>
      <c r="G1854" s="7">
        <v>190</v>
      </c>
      <c r="H1854" s="8">
        <v>169</v>
      </c>
      <c r="J1854" t="s">
        <v>23</v>
      </c>
      <c r="K1854" s="7">
        <v>948</v>
      </c>
      <c r="L1854" s="9">
        <v>1</v>
      </c>
      <c r="M1854" t="s">
        <v>1644</v>
      </c>
      <c r="N1854" t="s">
        <v>187</v>
      </c>
      <c r="O1854" s="27" t="str">
        <f>HYPERLINK("https://www.ncbi.nlm.nih.gov/nuccore/NZ_MAXF01000031.1?report=graph&amp;from=24125&amp;to=24129", "TTA_codon")</f>
        <v>TTA_codon</v>
      </c>
    </row>
    <row r="1855" spans="1:15" x14ac:dyDescent="0.15">
      <c r="A1855" t="s">
        <v>21</v>
      </c>
      <c r="B1855">
        <v>1000868</v>
      </c>
      <c r="C1855">
        <v>364695</v>
      </c>
      <c r="F1855" s="7">
        <v>1</v>
      </c>
      <c r="G1855" s="7">
        <v>178</v>
      </c>
      <c r="H1855" s="8">
        <v>163</v>
      </c>
      <c r="J1855" t="s">
        <v>23</v>
      </c>
      <c r="K1855" s="7">
        <v>936</v>
      </c>
      <c r="L1855" s="9">
        <v>1</v>
      </c>
      <c r="M1855" t="s">
        <v>1645</v>
      </c>
      <c r="N1855" t="s">
        <v>110</v>
      </c>
      <c r="O1855" s="27" t="str">
        <f>HYPERLINK("https://www.ncbi.nlm.nih.gov/nuccore/NZ_MUME01000093.1?report=graph&amp;from=9208&amp;to=9212", "TTA_codon")</f>
        <v>TTA_codon</v>
      </c>
    </row>
    <row r="1856" spans="1:15" x14ac:dyDescent="0.15">
      <c r="A1856" t="s">
        <v>21</v>
      </c>
      <c r="B1856" t="s">
        <v>1646</v>
      </c>
    </row>
    <row r="1857" spans="1:15" x14ac:dyDescent="0.15">
      <c r="A1857" t="s">
        <v>21</v>
      </c>
      <c r="B1857">
        <v>1000432</v>
      </c>
      <c r="C1857">
        <v>348696</v>
      </c>
      <c r="F1857" s="7">
        <v>1</v>
      </c>
      <c r="G1857" s="7">
        <v>568</v>
      </c>
      <c r="H1857" s="8">
        <v>553</v>
      </c>
      <c r="J1857" t="s">
        <v>23</v>
      </c>
      <c r="K1857" s="7">
        <v>726</v>
      </c>
      <c r="L1857" s="9">
        <v>-1</v>
      </c>
      <c r="M1857" t="s">
        <v>211</v>
      </c>
      <c r="N1857" t="s">
        <v>212</v>
      </c>
      <c r="O1857" s="27" t="str">
        <f>HYPERLINK("https://www.ncbi.nlm.nih.gov/nuccore/NZ_GG657754.1?report=graph&amp;from=4826132&amp;to=4826136", "TTA_codon")</f>
        <v>TTA_codon</v>
      </c>
    </row>
    <row r="1858" spans="1:15" x14ac:dyDescent="0.15">
      <c r="A1858" t="s">
        <v>21</v>
      </c>
      <c r="B1858">
        <v>1000432</v>
      </c>
      <c r="C1858">
        <v>358775</v>
      </c>
      <c r="F1858" s="7">
        <v>1</v>
      </c>
      <c r="G1858" s="7">
        <v>553</v>
      </c>
      <c r="H1858" s="8">
        <v>502</v>
      </c>
      <c r="J1858" t="s">
        <v>23</v>
      </c>
      <c r="K1858" s="7">
        <v>711</v>
      </c>
      <c r="L1858" s="9">
        <v>-1</v>
      </c>
      <c r="M1858" t="s">
        <v>1647</v>
      </c>
      <c r="N1858" t="s">
        <v>87</v>
      </c>
      <c r="O1858" s="27" t="str">
        <f>HYPERLINK("https://www.ncbi.nlm.nih.gov/nuccore/NZ_LIQS01000777.1?report=graph&amp;from=3856&amp;to=3860", "TTA_codon")</f>
        <v>TTA_codon</v>
      </c>
    </row>
    <row r="1859" spans="1:15" x14ac:dyDescent="0.15">
      <c r="A1859" t="s">
        <v>21</v>
      </c>
      <c r="B1859" t="s">
        <v>1648</v>
      </c>
    </row>
    <row r="1860" spans="1:15" x14ac:dyDescent="0.15">
      <c r="A1860" t="s">
        <v>21</v>
      </c>
      <c r="B1860">
        <v>1001473</v>
      </c>
      <c r="C1860">
        <v>363892</v>
      </c>
      <c r="F1860" s="7">
        <v>1</v>
      </c>
      <c r="G1860" s="7">
        <v>37</v>
      </c>
      <c r="H1860" s="8">
        <v>37</v>
      </c>
      <c r="J1860" t="s">
        <v>23</v>
      </c>
      <c r="K1860" s="7">
        <v>1305</v>
      </c>
      <c r="L1860" s="9">
        <v>-1</v>
      </c>
      <c r="M1860" t="s">
        <v>101</v>
      </c>
      <c r="N1860" t="s">
        <v>102</v>
      </c>
      <c r="O1860" s="27" t="str">
        <f>HYPERLINK("https://www.ncbi.nlm.nih.gov/nuccore/NZ_CP019458.1?report=graph&amp;from=8103689&amp;to=8103693", "TTA_codon")</f>
        <v>TTA_codon</v>
      </c>
    </row>
    <row r="1861" spans="1:15" x14ac:dyDescent="0.15">
      <c r="A1861" t="s">
        <v>21</v>
      </c>
      <c r="B1861">
        <v>1001473</v>
      </c>
      <c r="C1861">
        <v>365698</v>
      </c>
      <c r="F1861" s="7">
        <v>1</v>
      </c>
      <c r="G1861" s="7">
        <v>37</v>
      </c>
      <c r="H1861" s="8">
        <v>37</v>
      </c>
      <c r="J1861" t="s">
        <v>23</v>
      </c>
      <c r="K1861" s="7">
        <v>1302</v>
      </c>
      <c r="L1861" s="9">
        <v>-1</v>
      </c>
      <c r="M1861" t="s">
        <v>213</v>
      </c>
      <c r="N1861" t="s">
        <v>214</v>
      </c>
      <c r="O1861" s="27" t="str">
        <f>HYPERLINK("https://www.ncbi.nlm.nih.gov/nuccore/NZ_FNST01000002.1?report=graph&amp;from=5509109&amp;to=5509113", "TTA_codon")</f>
        <v>TTA_codon</v>
      </c>
    </row>
    <row r="1862" spans="1:15" x14ac:dyDescent="0.15">
      <c r="A1862" t="s">
        <v>21</v>
      </c>
      <c r="B1862" t="s">
        <v>1649</v>
      </c>
    </row>
    <row r="1863" spans="1:15" x14ac:dyDescent="0.15">
      <c r="A1863" t="s">
        <v>21</v>
      </c>
      <c r="B1863">
        <v>1000315</v>
      </c>
      <c r="C1863">
        <v>347987</v>
      </c>
      <c r="F1863" s="7">
        <v>1</v>
      </c>
      <c r="G1863" s="7">
        <v>178</v>
      </c>
      <c r="H1863" s="8">
        <v>151</v>
      </c>
      <c r="J1863" t="s">
        <v>23</v>
      </c>
      <c r="K1863" s="7">
        <v>816</v>
      </c>
      <c r="L1863" s="9">
        <v>-1</v>
      </c>
      <c r="M1863" t="s">
        <v>59</v>
      </c>
      <c r="N1863" t="s">
        <v>60</v>
      </c>
      <c r="O1863" s="27" t="str">
        <f>HYPERLINK("https://www.ncbi.nlm.nih.gov/nuccore/NC_016582.1?report=graph&amp;from=7500099&amp;to=7500103", "TTA_codon")</f>
        <v>TTA_codon</v>
      </c>
    </row>
    <row r="1864" spans="1:15" x14ac:dyDescent="0.15">
      <c r="A1864" t="s">
        <v>21</v>
      </c>
      <c r="B1864">
        <v>1000315</v>
      </c>
      <c r="C1864">
        <v>361892</v>
      </c>
      <c r="F1864" s="7">
        <v>1</v>
      </c>
      <c r="G1864" s="7">
        <v>178</v>
      </c>
      <c r="H1864" s="8">
        <v>163</v>
      </c>
      <c r="J1864" t="s">
        <v>23</v>
      </c>
      <c r="K1864" s="7">
        <v>741</v>
      </c>
      <c r="L1864" s="9">
        <v>-1</v>
      </c>
      <c r="M1864" t="s">
        <v>1650</v>
      </c>
      <c r="N1864" t="s">
        <v>187</v>
      </c>
      <c r="O1864" s="27" t="str">
        <f>HYPERLINK("https://www.ncbi.nlm.nih.gov/nuccore/NZ_MAXF01000084.1?report=graph&amp;from=4708&amp;to=4712", "TTA_codon")</f>
        <v>TTA_codon</v>
      </c>
    </row>
    <row r="1865" spans="1:15" x14ac:dyDescent="0.15">
      <c r="A1865" t="s">
        <v>21</v>
      </c>
      <c r="B1865" t="s">
        <v>1651</v>
      </c>
    </row>
    <row r="1866" spans="1:15" x14ac:dyDescent="0.15">
      <c r="A1866" t="s">
        <v>21</v>
      </c>
      <c r="B1866">
        <v>1000556</v>
      </c>
      <c r="C1866">
        <v>349809</v>
      </c>
      <c r="F1866" s="7">
        <v>2</v>
      </c>
      <c r="G1866" s="7" t="s">
        <v>1652</v>
      </c>
      <c r="H1866" s="8" t="s">
        <v>1541</v>
      </c>
      <c r="J1866" t="s">
        <v>23</v>
      </c>
      <c r="K1866" s="7">
        <v>840</v>
      </c>
      <c r="L1866" s="9">
        <v>1</v>
      </c>
      <c r="M1866" t="s">
        <v>265</v>
      </c>
      <c r="N1866" t="s">
        <v>266</v>
      </c>
      <c r="O1866" s="27" t="str">
        <f>HYPERLINK("https://www.ncbi.nlm.nih.gov/nuccore/NC_017586.1?report=graph&amp;from=4153571&amp;to=4153674", "TTA_codon")</f>
        <v>TTA_codon</v>
      </c>
    </row>
    <row r="1867" spans="1:15" x14ac:dyDescent="0.15">
      <c r="A1867" t="s">
        <v>21</v>
      </c>
      <c r="B1867">
        <v>1000556</v>
      </c>
      <c r="C1867">
        <v>354921</v>
      </c>
      <c r="F1867" s="7">
        <v>1</v>
      </c>
      <c r="G1867" s="7">
        <v>307</v>
      </c>
      <c r="H1867" s="8">
        <v>295</v>
      </c>
      <c r="J1867" t="s">
        <v>23</v>
      </c>
      <c r="K1867" s="7">
        <v>846</v>
      </c>
      <c r="L1867" s="9">
        <v>1</v>
      </c>
      <c r="M1867" t="s">
        <v>1653</v>
      </c>
      <c r="N1867" t="s">
        <v>25</v>
      </c>
      <c r="O1867" s="27" t="str">
        <f>HYPERLINK("https://www.ncbi.nlm.nih.gov/nuccore/NZ_JOFU01000091.1?report=graph&amp;from=8967&amp;to=8971", "TTA_codon")</f>
        <v>TTA_codon</v>
      </c>
    </row>
    <row r="1868" spans="1:15" x14ac:dyDescent="0.15">
      <c r="A1868" t="s">
        <v>21</v>
      </c>
      <c r="B1868">
        <v>1000556</v>
      </c>
      <c r="C1868">
        <v>355760</v>
      </c>
      <c r="F1868" s="7">
        <v>1</v>
      </c>
      <c r="G1868" s="7">
        <v>271</v>
      </c>
      <c r="H1868" s="8">
        <v>253</v>
      </c>
      <c r="J1868" t="s">
        <v>23</v>
      </c>
      <c r="K1868" s="7">
        <v>834</v>
      </c>
      <c r="L1868" s="9">
        <v>1</v>
      </c>
      <c r="M1868" t="s">
        <v>1654</v>
      </c>
      <c r="N1868" t="s">
        <v>278</v>
      </c>
      <c r="O1868" s="27" t="str">
        <f>HYPERLINK("https://www.ncbi.nlm.nih.gov/nuccore/NZ_JOID01000015.1?report=graph&amp;from=43887&amp;to=43891", "TTA_codon")</f>
        <v>TTA_codon</v>
      </c>
    </row>
    <row r="1869" spans="1:15" x14ac:dyDescent="0.15">
      <c r="A1869" t="s">
        <v>21</v>
      </c>
      <c r="B1869">
        <v>1000556</v>
      </c>
      <c r="C1869">
        <v>356598</v>
      </c>
      <c r="F1869" s="7">
        <v>1</v>
      </c>
      <c r="G1869" s="7">
        <v>307</v>
      </c>
      <c r="H1869" s="8">
        <v>301</v>
      </c>
      <c r="J1869" t="s">
        <v>23</v>
      </c>
      <c r="K1869" s="7">
        <v>846</v>
      </c>
      <c r="L1869" s="9">
        <v>1</v>
      </c>
      <c r="M1869" t="s">
        <v>508</v>
      </c>
      <c r="N1869" t="s">
        <v>509</v>
      </c>
      <c r="O1869" s="27" t="str">
        <f>HYPERLINK("https://www.ncbi.nlm.nih.gov/nuccore/NZ_CP009438.1?report=graph&amp;from=4891669&amp;to=4891673", "TTA_codon")</f>
        <v>TTA_codon</v>
      </c>
    </row>
    <row r="1870" spans="1:15" x14ac:dyDescent="0.15">
      <c r="A1870" t="s">
        <v>21</v>
      </c>
      <c r="B1870">
        <v>1000556</v>
      </c>
      <c r="C1870">
        <v>358236</v>
      </c>
      <c r="F1870" s="7">
        <v>1</v>
      </c>
      <c r="G1870" s="7">
        <v>256</v>
      </c>
      <c r="H1870" s="8">
        <v>247</v>
      </c>
      <c r="J1870" t="s">
        <v>23</v>
      </c>
      <c r="K1870" s="7">
        <v>879</v>
      </c>
      <c r="L1870" s="9">
        <v>1</v>
      </c>
      <c r="M1870" t="s">
        <v>1655</v>
      </c>
      <c r="N1870" t="s">
        <v>119</v>
      </c>
      <c r="O1870" s="27" t="str">
        <f>HYPERLINK("https://www.ncbi.nlm.nih.gov/nuccore/NZ_LIPP01000298.1?report=graph&amp;from=574&amp;to=578", "TTA_codon")</f>
        <v>TTA_codon</v>
      </c>
    </row>
    <row r="1871" spans="1:15" x14ac:dyDescent="0.15">
      <c r="A1871" t="s">
        <v>21</v>
      </c>
      <c r="B1871">
        <v>1000556</v>
      </c>
      <c r="C1871">
        <v>363352</v>
      </c>
      <c r="F1871" s="7">
        <v>1</v>
      </c>
      <c r="G1871" s="7">
        <v>307</v>
      </c>
      <c r="H1871" s="8">
        <v>262</v>
      </c>
      <c r="J1871" t="s">
        <v>23</v>
      </c>
      <c r="K1871" s="7">
        <v>801</v>
      </c>
      <c r="L1871" s="9">
        <v>1</v>
      </c>
      <c r="M1871" t="s">
        <v>1589</v>
      </c>
      <c r="N1871" t="s">
        <v>28</v>
      </c>
      <c r="O1871" s="27" t="str">
        <f>HYPERLINK("https://www.ncbi.nlm.nih.gov/nuccore/NZ_JUJA01000033.1?report=graph&amp;from=94007&amp;to=94011", "TTA_codon")</f>
        <v>TTA_codon</v>
      </c>
    </row>
    <row r="1872" spans="1:15" x14ac:dyDescent="0.15">
      <c r="A1872" t="s">
        <v>21</v>
      </c>
      <c r="B1872">
        <v>1000556</v>
      </c>
      <c r="C1872">
        <v>364736</v>
      </c>
      <c r="F1872" s="7">
        <v>1</v>
      </c>
      <c r="G1872" s="7">
        <v>307</v>
      </c>
      <c r="H1872" s="8">
        <v>262</v>
      </c>
      <c r="J1872" t="s">
        <v>23</v>
      </c>
      <c r="K1872" s="7">
        <v>801</v>
      </c>
      <c r="L1872" s="9">
        <v>1</v>
      </c>
      <c r="M1872" t="s">
        <v>1656</v>
      </c>
      <c r="N1872" t="s">
        <v>110</v>
      </c>
      <c r="O1872" s="27" t="str">
        <f>HYPERLINK("https://www.ncbi.nlm.nih.gov/nuccore/NZ_MUME01000088.1?report=graph&amp;from=49823&amp;to=49827", "TTA_codon")</f>
        <v>TTA_codon</v>
      </c>
    </row>
    <row r="1873" spans="1:15" x14ac:dyDescent="0.15">
      <c r="A1873" t="s">
        <v>21</v>
      </c>
      <c r="B1873" t="s">
        <v>1657</v>
      </c>
    </row>
    <row r="1874" spans="1:15" x14ac:dyDescent="0.15">
      <c r="A1874" t="s">
        <v>21</v>
      </c>
      <c r="B1874">
        <v>1000606</v>
      </c>
      <c r="C1874">
        <v>350293</v>
      </c>
      <c r="F1874" s="7">
        <v>1</v>
      </c>
      <c r="G1874" s="7">
        <v>220</v>
      </c>
      <c r="H1874" s="8">
        <v>142</v>
      </c>
      <c r="J1874" t="s">
        <v>23</v>
      </c>
      <c r="K1874" s="7">
        <v>2478</v>
      </c>
      <c r="L1874" s="9">
        <v>-1</v>
      </c>
      <c r="M1874" t="s">
        <v>1224</v>
      </c>
      <c r="N1874" t="s">
        <v>36</v>
      </c>
      <c r="O1874" s="27" t="str">
        <f>HYPERLINK("https://www.ncbi.nlm.nih.gov/nuccore/NZ_JH725389.1?report=graph&amp;from=691695&amp;to=691699", "TTA_codon")</f>
        <v>TTA_codon</v>
      </c>
    </row>
    <row r="1875" spans="1:15" x14ac:dyDescent="0.15">
      <c r="A1875" t="s">
        <v>21</v>
      </c>
      <c r="B1875">
        <v>1000606</v>
      </c>
      <c r="C1875">
        <v>360388</v>
      </c>
      <c r="F1875" s="7">
        <v>1</v>
      </c>
      <c r="G1875" s="7">
        <v>289</v>
      </c>
      <c r="H1875" s="8">
        <v>274</v>
      </c>
      <c r="J1875" t="s">
        <v>23</v>
      </c>
      <c r="K1875" s="7">
        <v>2112</v>
      </c>
      <c r="L1875" s="9">
        <v>-1</v>
      </c>
      <c r="M1875" t="s">
        <v>121</v>
      </c>
      <c r="N1875" t="s">
        <v>122</v>
      </c>
      <c r="O1875" s="27" t="str">
        <f>HYPERLINK("https://www.ncbi.nlm.nih.gov/nuccore/NZ_CP016279.1?report=graph&amp;from=6802642&amp;to=6802646", "TTA_codon")</f>
        <v>TTA_codon</v>
      </c>
    </row>
    <row r="1876" spans="1:15" x14ac:dyDescent="0.15">
      <c r="A1876" t="s">
        <v>21</v>
      </c>
      <c r="B1876" t="s">
        <v>1658</v>
      </c>
    </row>
    <row r="1877" spans="1:15" x14ac:dyDescent="0.15">
      <c r="A1877" t="s">
        <v>21</v>
      </c>
      <c r="B1877">
        <v>1000642</v>
      </c>
      <c r="C1877">
        <v>350498</v>
      </c>
      <c r="F1877" s="7">
        <v>1</v>
      </c>
      <c r="G1877" s="7">
        <v>439</v>
      </c>
      <c r="H1877" s="8">
        <v>439</v>
      </c>
      <c r="J1877" t="s">
        <v>23</v>
      </c>
      <c r="K1877" s="7">
        <v>1131</v>
      </c>
      <c r="L1877" s="9">
        <v>-1</v>
      </c>
      <c r="M1877" t="s">
        <v>1659</v>
      </c>
      <c r="N1877" t="s">
        <v>134</v>
      </c>
      <c r="O1877" s="27" t="str">
        <f>HYPERLINK("https://www.ncbi.nlm.nih.gov/nuccore/NZ_AJSZ01000446.1?report=graph&amp;from=836&amp;to=840", "TTA_codon")</f>
        <v>TTA_codon</v>
      </c>
    </row>
    <row r="1878" spans="1:15" x14ac:dyDescent="0.15">
      <c r="A1878" t="s">
        <v>21</v>
      </c>
      <c r="B1878">
        <v>1000642</v>
      </c>
      <c r="C1878">
        <v>361593</v>
      </c>
      <c r="F1878" s="7">
        <v>1</v>
      </c>
      <c r="G1878" s="7">
        <v>439</v>
      </c>
      <c r="H1878" s="8">
        <v>439</v>
      </c>
      <c r="J1878" t="s">
        <v>23</v>
      </c>
      <c r="K1878" s="7">
        <v>1143</v>
      </c>
      <c r="L1878" s="9">
        <v>-1</v>
      </c>
      <c r="M1878" t="s">
        <v>37</v>
      </c>
      <c r="N1878" t="s">
        <v>38</v>
      </c>
      <c r="O1878" s="27" t="str">
        <f>HYPERLINK("https://www.ncbi.nlm.nih.gov/nuccore/NZ_CP011533.1?report=graph&amp;from=4455089&amp;to=4455093", "TTA_codon")</f>
        <v>TTA_codon</v>
      </c>
    </row>
    <row r="1879" spans="1:15" x14ac:dyDescent="0.15">
      <c r="A1879" t="s">
        <v>21</v>
      </c>
      <c r="B1879" t="s">
        <v>1660</v>
      </c>
    </row>
    <row r="1880" spans="1:15" x14ac:dyDescent="0.15">
      <c r="A1880" t="s">
        <v>21</v>
      </c>
      <c r="B1880">
        <v>1000496</v>
      </c>
      <c r="C1880">
        <v>349318</v>
      </c>
      <c r="F1880" s="7">
        <v>1</v>
      </c>
      <c r="G1880" s="7">
        <v>316</v>
      </c>
      <c r="H1880" s="8">
        <v>301</v>
      </c>
      <c r="J1880" t="s">
        <v>23</v>
      </c>
      <c r="K1880" s="7">
        <v>999</v>
      </c>
      <c r="L1880" s="9">
        <v>-1</v>
      </c>
      <c r="M1880" t="s">
        <v>458</v>
      </c>
      <c r="N1880" t="s">
        <v>315</v>
      </c>
      <c r="O1880" s="27" t="str">
        <f>HYPERLINK("https://www.ncbi.nlm.nih.gov/nuccore/NC_003888.3?report=graph&amp;from=6877872&amp;to=6877876", "TTA_codon")</f>
        <v>TTA_codon</v>
      </c>
    </row>
    <row r="1881" spans="1:15" x14ac:dyDescent="0.15">
      <c r="A1881" t="s">
        <v>21</v>
      </c>
      <c r="B1881">
        <v>1000496</v>
      </c>
      <c r="C1881">
        <v>350743</v>
      </c>
      <c r="F1881" s="7">
        <v>1</v>
      </c>
      <c r="G1881" s="7">
        <v>145</v>
      </c>
      <c r="H1881" s="8">
        <v>136</v>
      </c>
      <c r="J1881" t="s">
        <v>23</v>
      </c>
      <c r="K1881" s="7">
        <v>999</v>
      </c>
      <c r="L1881" s="9">
        <v>-1</v>
      </c>
      <c r="M1881" t="s">
        <v>1661</v>
      </c>
      <c r="N1881" t="s">
        <v>51</v>
      </c>
      <c r="O1881" s="27" t="str">
        <f>HYPERLINK("https://www.ncbi.nlm.nih.gov/nuccore/NZ_AEJB01000442.1?report=graph&amp;from=15608&amp;to=15612", "TTA_codon")</f>
        <v>TTA_codon</v>
      </c>
    </row>
    <row r="1882" spans="1:15" x14ac:dyDescent="0.15">
      <c r="A1882" t="s">
        <v>21</v>
      </c>
      <c r="B1882">
        <v>1000496</v>
      </c>
      <c r="C1882">
        <v>351769</v>
      </c>
      <c r="F1882" s="7">
        <v>1</v>
      </c>
      <c r="G1882" s="7">
        <v>241</v>
      </c>
      <c r="H1882" s="8">
        <v>226</v>
      </c>
      <c r="J1882" t="s">
        <v>23</v>
      </c>
      <c r="K1882" s="7">
        <v>1002</v>
      </c>
      <c r="L1882" s="9">
        <v>-1</v>
      </c>
      <c r="M1882" t="s">
        <v>1468</v>
      </c>
      <c r="N1882" t="s">
        <v>68</v>
      </c>
      <c r="O1882" s="27" t="str">
        <f>HYPERLINK("https://www.ncbi.nlm.nih.gov/nuccore/NZ_BARG01000047.1?report=graph&amp;from=121456&amp;to=121460", "TTA_codon")</f>
        <v>TTA_codon</v>
      </c>
    </row>
    <row r="1883" spans="1:15" x14ac:dyDescent="0.15">
      <c r="A1883" t="s">
        <v>21</v>
      </c>
      <c r="B1883">
        <v>1000496</v>
      </c>
      <c r="C1883">
        <v>356848</v>
      </c>
      <c r="F1883" s="7">
        <v>1</v>
      </c>
      <c r="G1883" s="7">
        <v>316</v>
      </c>
      <c r="H1883" s="8">
        <v>301</v>
      </c>
      <c r="J1883" t="s">
        <v>23</v>
      </c>
      <c r="K1883" s="7">
        <v>1002</v>
      </c>
      <c r="L1883" s="9">
        <v>-1</v>
      </c>
      <c r="M1883" t="s">
        <v>78</v>
      </c>
      <c r="N1883" t="s">
        <v>79</v>
      </c>
      <c r="O1883" s="27" t="str">
        <f>HYPERLINK("https://www.ncbi.nlm.nih.gov/nuccore/NZ_CP009313.1?report=graph&amp;from=5894574&amp;to=5894578", "TTA_codon")</f>
        <v>TTA_codon</v>
      </c>
    </row>
    <row r="1884" spans="1:15" x14ac:dyDescent="0.15">
      <c r="A1884" t="s">
        <v>21</v>
      </c>
      <c r="B1884">
        <v>1000496</v>
      </c>
      <c r="C1884">
        <v>357388</v>
      </c>
      <c r="F1884" s="7">
        <v>1</v>
      </c>
      <c r="G1884" s="7">
        <v>442</v>
      </c>
      <c r="H1884" s="8">
        <v>427</v>
      </c>
      <c r="J1884" t="s">
        <v>23</v>
      </c>
      <c r="K1884" s="7">
        <v>963</v>
      </c>
      <c r="L1884" s="9">
        <v>-1</v>
      </c>
      <c r="M1884" t="s">
        <v>80</v>
      </c>
      <c r="N1884" t="s">
        <v>81</v>
      </c>
      <c r="O1884" s="27" t="str">
        <f>HYPERLINK("https://www.ncbi.nlm.nih.gov/nuccore/NZ_LN831790.1?report=graph&amp;from=171749&amp;to=171753", "TTA_codon")</f>
        <v>TTA_codon</v>
      </c>
    </row>
    <row r="1885" spans="1:15" x14ac:dyDescent="0.15">
      <c r="A1885" t="s">
        <v>21</v>
      </c>
      <c r="B1885">
        <v>1000496</v>
      </c>
      <c r="C1885">
        <v>358354</v>
      </c>
      <c r="F1885" s="7">
        <v>1</v>
      </c>
      <c r="G1885" s="7">
        <v>316</v>
      </c>
      <c r="H1885" s="8">
        <v>301</v>
      </c>
      <c r="J1885" t="s">
        <v>23</v>
      </c>
      <c r="K1885" s="7">
        <v>1002</v>
      </c>
      <c r="L1885" s="9">
        <v>-1</v>
      </c>
      <c r="M1885" t="s">
        <v>1662</v>
      </c>
      <c r="N1885" t="s">
        <v>85</v>
      </c>
      <c r="O1885" s="27" t="str">
        <f>HYPERLINK("https://www.ncbi.nlm.nih.gov/nuccore/NZ_LIQX01000422.1?report=graph&amp;from=4532&amp;to=4536", "TTA_codon")</f>
        <v>TTA_codon</v>
      </c>
    </row>
    <row r="1886" spans="1:15" x14ac:dyDescent="0.15">
      <c r="A1886" t="s">
        <v>21</v>
      </c>
      <c r="B1886">
        <v>1000496</v>
      </c>
      <c r="C1886">
        <v>359038</v>
      </c>
      <c r="F1886" s="7">
        <v>1</v>
      </c>
      <c r="G1886" s="7">
        <v>316</v>
      </c>
      <c r="H1886" s="8">
        <v>304</v>
      </c>
      <c r="J1886" t="s">
        <v>23</v>
      </c>
      <c r="K1886" s="7">
        <v>999</v>
      </c>
      <c r="L1886" s="9">
        <v>-1</v>
      </c>
      <c r="M1886" t="s">
        <v>1663</v>
      </c>
      <c r="N1886" t="s">
        <v>451</v>
      </c>
      <c r="O1886" s="27" t="str">
        <f>HYPERLINK("https://www.ncbi.nlm.nih.gov/nuccore/NZ_LIQZ01000416.1?report=graph&amp;from=730&amp;to=734", "TTA_codon")</f>
        <v>TTA_codon</v>
      </c>
    </row>
    <row r="1887" spans="1:15" x14ac:dyDescent="0.15">
      <c r="A1887" t="s">
        <v>21</v>
      </c>
      <c r="B1887">
        <v>1000496</v>
      </c>
      <c r="C1887">
        <v>359288</v>
      </c>
      <c r="F1887" s="7">
        <v>1</v>
      </c>
      <c r="G1887" s="7">
        <v>316</v>
      </c>
      <c r="H1887" s="8">
        <v>301</v>
      </c>
      <c r="J1887" t="s">
        <v>23</v>
      </c>
      <c r="K1887" s="7">
        <v>1008</v>
      </c>
      <c r="L1887" s="9">
        <v>-1</v>
      </c>
      <c r="M1887" t="s">
        <v>1664</v>
      </c>
      <c r="N1887" t="s">
        <v>89</v>
      </c>
      <c r="O1887" s="27" t="str">
        <f>HYPERLINK("https://www.ncbi.nlm.nih.gov/nuccore/NZ_LIRG01000192.1?report=graph&amp;from=3518&amp;to=3522", "TTA_codon")</f>
        <v>TTA_codon</v>
      </c>
    </row>
    <row r="1888" spans="1:15" x14ac:dyDescent="0.15">
      <c r="A1888" t="s">
        <v>21</v>
      </c>
      <c r="B1888">
        <v>1000496</v>
      </c>
      <c r="C1888">
        <v>359820</v>
      </c>
      <c r="F1888" s="7">
        <v>1</v>
      </c>
      <c r="G1888" s="7">
        <v>94</v>
      </c>
      <c r="H1888" s="8">
        <v>82</v>
      </c>
      <c r="J1888" t="s">
        <v>23</v>
      </c>
      <c r="K1888" s="7">
        <v>1008</v>
      </c>
      <c r="L1888" s="9">
        <v>-1</v>
      </c>
      <c r="M1888" t="s">
        <v>1665</v>
      </c>
      <c r="N1888" t="s">
        <v>91</v>
      </c>
      <c r="O1888" s="27" t="str">
        <f>HYPERLINK("https://www.ncbi.nlm.nih.gov/nuccore/NZ_KQ948304.1?report=graph&amp;from=702390&amp;to=702394", "TTA_codon")</f>
        <v>TTA_codon</v>
      </c>
    </row>
    <row r="1889" spans="1:15" x14ac:dyDescent="0.15">
      <c r="A1889" t="s">
        <v>21</v>
      </c>
      <c r="B1889">
        <v>1000496</v>
      </c>
      <c r="C1889">
        <v>361100</v>
      </c>
      <c r="F1889" s="7">
        <v>1</v>
      </c>
      <c r="G1889" s="7">
        <v>316</v>
      </c>
      <c r="H1889" s="8">
        <v>301</v>
      </c>
      <c r="J1889" t="s">
        <v>23</v>
      </c>
      <c r="K1889" s="7">
        <v>1008</v>
      </c>
      <c r="L1889" s="9">
        <v>-1</v>
      </c>
      <c r="M1889" t="s">
        <v>98</v>
      </c>
      <c r="N1889" t="s">
        <v>99</v>
      </c>
      <c r="O1889" s="27" t="str">
        <f>HYPERLINK("https://www.ncbi.nlm.nih.gov/nuccore/NZ_CP016438.1?report=graph&amp;from=8152509&amp;to=8152513", "TTA_codon")</f>
        <v>TTA_codon</v>
      </c>
    </row>
    <row r="1890" spans="1:15" x14ac:dyDescent="0.15">
      <c r="A1890" t="s">
        <v>21</v>
      </c>
      <c r="B1890">
        <v>1000496</v>
      </c>
      <c r="C1890">
        <v>363256</v>
      </c>
      <c r="F1890" s="7">
        <v>1</v>
      </c>
      <c r="G1890" s="7">
        <v>241</v>
      </c>
      <c r="H1890" s="8">
        <v>226</v>
      </c>
      <c r="J1890" t="s">
        <v>23</v>
      </c>
      <c r="K1890" s="7">
        <v>1008</v>
      </c>
      <c r="L1890" s="9">
        <v>-1</v>
      </c>
      <c r="M1890" t="s">
        <v>1120</v>
      </c>
      <c r="N1890" t="s">
        <v>28</v>
      </c>
      <c r="O1890" s="27" t="str">
        <f>HYPERLINK("https://www.ncbi.nlm.nih.gov/nuccore/NZ_JUJA01000113.1?report=graph&amp;from=19312&amp;to=19316", "TTA_codon")</f>
        <v>TTA_codon</v>
      </c>
    </row>
    <row r="1891" spans="1:15" x14ac:dyDescent="0.15">
      <c r="A1891" t="s">
        <v>21</v>
      </c>
      <c r="B1891" t="s">
        <v>1666</v>
      </c>
    </row>
    <row r="1892" spans="1:15" x14ac:dyDescent="0.15">
      <c r="A1892" t="s">
        <v>21</v>
      </c>
      <c r="B1892">
        <v>1000898</v>
      </c>
      <c r="C1892">
        <v>352907</v>
      </c>
      <c r="F1892" s="7">
        <v>1</v>
      </c>
      <c r="G1892" s="7">
        <v>163</v>
      </c>
      <c r="H1892" s="8">
        <v>163</v>
      </c>
      <c r="J1892" t="s">
        <v>23</v>
      </c>
      <c r="K1892" s="7">
        <v>687</v>
      </c>
      <c r="L1892" s="9">
        <v>1</v>
      </c>
      <c r="M1892" t="s">
        <v>940</v>
      </c>
      <c r="N1892" t="s">
        <v>306</v>
      </c>
      <c r="O1892" s="27" t="str">
        <f>HYPERLINK("https://www.ncbi.nlm.nih.gov/nuccore/NZ_KL571081.1?report=graph&amp;from=4057&amp;to=4061", "TTA_codon")</f>
        <v>TTA_codon</v>
      </c>
    </row>
    <row r="1893" spans="1:15" x14ac:dyDescent="0.15">
      <c r="A1893" t="s">
        <v>21</v>
      </c>
      <c r="B1893">
        <v>1000898</v>
      </c>
      <c r="C1893">
        <v>353247</v>
      </c>
      <c r="F1893" s="7">
        <v>1</v>
      </c>
      <c r="G1893" s="7">
        <v>202</v>
      </c>
      <c r="H1893" s="8">
        <v>202</v>
      </c>
      <c r="J1893" t="s">
        <v>23</v>
      </c>
      <c r="K1893" s="7">
        <v>639</v>
      </c>
      <c r="L1893" s="9">
        <v>1</v>
      </c>
      <c r="M1893" t="s">
        <v>1667</v>
      </c>
      <c r="N1893" t="s">
        <v>169</v>
      </c>
      <c r="O1893" s="27" t="str">
        <f>HYPERLINK("https://www.ncbi.nlm.nih.gov/nuccore/NZ_JNWJ01000040.1?report=graph&amp;from=95034&amp;to=95038", "TTA_codon")</f>
        <v>TTA_codon</v>
      </c>
    </row>
    <row r="1894" spans="1:15" x14ac:dyDescent="0.15">
      <c r="A1894" t="s">
        <v>21</v>
      </c>
      <c r="B1894" t="s">
        <v>1668</v>
      </c>
    </row>
    <row r="1895" spans="1:15" x14ac:dyDescent="0.15">
      <c r="A1895" t="s">
        <v>21</v>
      </c>
      <c r="B1895">
        <v>1000870</v>
      </c>
      <c r="C1895">
        <v>352613</v>
      </c>
      <c r="F1895" s="7">
        <v>1</v>
      </c>
      <c r="G1895" s="7">
        <v>226</v>
      </c>
      <c r="H1895" s="8">
        <v>220</v>
      </c>
      <c r="J1895" t="s">
        <v>23</v>
      </c>
      <c r="K1895" s="7">
        <v>1524</v>
      </c>
      <c r="L1895" s="9">
        <v>1</v>
      </c>
      <c r="M1895" t="s">
        <v>1669</v>
      </c>
      <c r="N1895" t="s">
        <v>436</v>
      </c>
      <c r="O1895" s="27" t="str">
        <f>HYPERLINK("https://www.ncbi.nlm.nih.gov/nuccore/NZ_AUBE01000003.1?report=graph&amp;from=290816&amp;to=290820", "TTA_codon")</f>
        <v>TTA_codon</v>
      </c>
    </row>
    <row r="1896" spans="1:15" x14ac:dyDescent="0.15">
      <c r="A1896" t="s">
        <v>21</v>
      </c>
      <c r="B1896">
        <v>1000870</v>
      </c>
      <c r="C1896">
        <v>353298</v>
      </c>
      <c r="F1896" s="7">
        <v>1</v>
      </c>
      <c r="G1896" s="7">
        <v>205</v>
      </c>
      <c r="H1896" s="8">
        <v>193</v>
      </c>
      <c r="J1896" t="s">
        <v>23</v>
      </c>
      <c r="K1896" s="7">
        <v>1779</v>
      </c>
      <c r="L1896" s="9">
        <v>1</v>
      </c>
      <c r="M1896" t="s">
        <v>1522</v>
      </c>
      <c r="N1896" t="s">
        <v>169</v>
      </c>
      <c r="O1896" s="27" t="str">
        <f>HYPERLINK("https://www.ncbi.nlm.nih.gov/nuccore/NZ_JNWJ01000009.1?report=graph&amp;from=71141&amp;to=71145", "TTA_codon")</f>
        <v>TTA_codon</v>
      </c>
    </row>
    <row r="1897" spans="1:15" x14ac:dyDescent="0.15">
      <c r="A1897" t="s">
        <v>21</v>
      </c>
      <c r="B1897" t="s">
        <v>1670</v>
      </c>
    </row>
    <row r="1898" spans="1:15" x14ac:dyDescent="0.15">
      <c r="A1898" t="s">
        <v>21</v>
      </c>
      <c r="B1898">
        <v>1000160</v>
      </c>
      <c r="C1898">
        <v>347223</v>
      </c>
      <c r="F1898" s="7">
        <v>1</v>
      </c>
      <c r="G1898" s="7">
        <v>1591</v>
      </c>
      <c r="H1898" s="8">
        <v>1489</v>
      </c>
      <c r="J1898" t="s">
        <v>23</v>
      </c>
      <c r="K1898" s="7">
        <v>2934</v>
      </c>
      <c r="L1898" s="9">
        <v>1</v>
      </c>
      <c r="M1898" t="s">
        <v>53</v>
      </c>
      <c r="N1898" t="s">
        <v>54</v>
      </c>
      <c r="O1898" s="27" t="str">
        <f>HYPERLINK("https://www.ncbi.nlm.nih.gov/nuccore/NC_003155.5?report=graph&amp;from=1133432&amp;to=1133436", "TTA_codon")</f>
        <v>TTA_codon</v>
      </c>
    </row>
    <row r="1899" spans="1:15" x14ac:dyDescent="0.15">
      <c r="A1899" t="s">
        <v>21</v>
      </c>
      <c r="B1899">
        <v>1000160</v>
      </c>
      <c r="C1899">
        <v>350469</v>
      </c>
      <c r="F1899" s="7">
        <v>1</v>
      </c>
      <c r="G1899" s="7">
        <v>1750</v>
      </c>
      <c r="H1899" s="8">
        <v>1456</v>
      </c>
      <c r="J1899" t="s">
        <v>23</v>
      </c>
      <c r="K1899" s="7">
        <v>2745</v>
      </c>
      <c r="L1899" s="9">
        <v>1</v>
      </c>
      <c r="M1899" t="s">
        <v>1057</v>
      </c>
      <c r="N1899" t="s">
        <v>134</v>
      </c>
      <c r="O1899" s="27" t="str">
        <f>HYPERLINK("https://www.ncbi.nlm.nih.gov/nuccore/NZ_AJSZ01000908.1?report=graph&amp;from=14589&amp;to=14593", "TTA_codon")</f>
        <v>TTA_codon</v>
      </c>
    </row>
    <row r="1900" spans="1:15" x14ac:dyDescent="0.15">
      <c r="A1900" t="s">
        <v>21</v>
      </c>
      <c r="B1900">
        <v>1000160</v>
      </c>
      <c r="C1900">
        <v>352845</v>
      </c>
      <c r="F1900" s="7">
        <v>2</v>
      </c>
      <c r="G1900" s="7" t="s">
        <v>1671</v>
      </c>
      <c r="H1900" s="8" t="s">
        <v>1672</v>
      </c>
      <c r="J1900" t="s">
        <v>23</v>
      </c>
      <c r="K1900" s="7">
        <v>2796</v>
      </c>
      <c r="L1900" s="9">
        <v>1</v>
      </c>
      <c r="M1900" t="s">
        <v>1673</v>
      </c>
      <c r="N1900" t="s">
        <v>306</v>
      </c>
      <c r="O1900" s="27" t="str">
        <f>HYPERLINK("https://www.ncbi.nlm.nih.gov/nuccore/NZ_KL571054.1?report=graph&amp;from=167677&amp;to=168239", "TTA_codon")</f>
        <v>TTA_codon</v>
      </c>
    </row>
    <row r="1901" spans="1:15" x14ac:dyDescent="0.15">
      <c r="A1901" t="s">
        <v>21</v>
      </c>
      <c r="B1901">
        <v>1000160</v>
      </c>
      <c r="C1901">
        <v>363904</v>
      </c>
      <c r="F1901" s="7">
        <v>1</v>
      </c>
      <c r="G1901" s="7">
        <v>1750</v>
      </c>
      <c r="H1901" s="8">
        <v>1456</v>
      </c>
      <c r="J1901" t="s">
        <v>23</v>
      </c>
      <c r="K1901" s="7">
        <v>2745</v>
      </c>
      <c r="L1901" s="9">
        <v>1</v>
      </c>
      <c r="M1901" t="s">
        <v>1674</v>
      </c>
      <c r="N1901" t="s">
        <v>104</v>
      </c>
      <c r="O1901" s="27" t="str">
        <f>HYPERLINK("https://www.ncbi.nlm.nih.gov/nuccore/NZ_MVFC01000045.1?report=graph&amp;from=51496&amp;to=51500", "TTA_codon")</f>
        <v>TTA_codon</v>
      </c>
    </row>
    <row r="1902" spans="1:15" x14ac:dyDescent="0.15">
      <c r="A1902" t="s">
        <v>21</v>
      </c>
      <c r="B1902">
        <v>1000160</v>
      </c>
      <c r="C1902">
        <v>365535</v>
      </c>
      <c r="F1902" s="7">
        <v>1</v>
      </c>
      <c r="G1902" s="7">
        <v>1546</v>
      </c>
      <c r="H1902" s="8">
        <v>1420</v>
      </c>
      <c r="J1902" t="s">
        <v>23</v>
      </c>
      <c r="K1902" s="7">
        <v>2856</v>
      </c>
      <c r="L1902" s="9">
        <v>1</v>
      </c>
      <c r="M1902" t="s">
        <v>213</v>
      </c>
      <c r="N1902" t="s">
        <v>214</v>
      </c>
      <c r="O1902" s="27" t="str">
        <f>HYPERLINK("https://www.ncbi.nlm.nih.gov/nuccore/NZ_FNST01000002.1?report=graph&amp;from=9464949&amp;to=9464953", "TTA_codon")</f>
        <v>TTA_codon</v>
      </c>
    </row>
    <row r="1903" spans="1:15" x14ac:dyDescent="0.15">
      <c r="A1903" t="s">
        <v>21</v>
      </c>
      <c r="B1903" t="s">
        <v>1675</v>
      </c>
    </row>
    <row r="1904" spans="1:15" x14ac:dyDescent="0.15">
      <c r="A1904" t="s">
        <v>21</v>
      </c>
      <c r="B1904">
        <v>1000510</v>
      </c>
      <c r="C1904">
        <v>349421</v>
      </c>
      <c r="F1904" s="7">
        <v>1</v>
      </c>
      <c r="G1904" s="7">
        <v>76</v>
      </c>
      <c r="H1904" s="8">
        <v>76</v>
      </c>
      <c r="J1904" t="s">
        <v>23</v>
      </c>
      <c r="K1904" s="7">
        <v>297</v>
      </c>
      <c r="L1904" s="9">
        <v>1</v>
      </c>
      <c r="M1904" t="s">
        <v>458</v>
      </c>
      <c r="N1904" t="s">
        <v>315</v>
      </c>
      <c r="O1904" s="27" t="str">
        <f>HYPERLINK("https://www.ncbi.nlm.nih.gov/nuccore/NC_003888.3?report=graph&amp;from=4384815&amp;to=4384819", "TTA_codon")</f>
        <v>TTA_codon</v>
      </c>
    </row>
    <row r="1905" spans="1:15" x14ac:dyDescent="0.15">
      <c r="A1905" t="s">
        <v>21</v>
      </c>
      <c r="B1905">
        <v>1000510</v>
      </c>
      <c r="C1905">
        <v>363494</v>
      </c>
      <c r="F1905" s="7">
        <v>1</v>
      </c>
      <c r="G1905" s="7">
        <v>76</v>
      </c>
      <c r="H1905" s="8">
        <v>76</v>
      </c>
      <c r="J1905" t="s">
        <v>23</v>
      </c>
      <c r="K1905" s="7">
        <v>297</v>
      </c>
      <c r="L1905" s="9">
        <v>1</v>
      </c>
      <c r="M1905" t="s">
        <v>157</v>
      </c>
      <c r="N1905" t="s">
        <v>158</v>
      </c>
      <c r="O1905" s="27" t="str">
        <f>HYPERLINK("https://www.ncbi.nlm.nih.gov/nuccore/NZ_CP015588.1?report=graph&amp;from=4902873&amp;to=4902877", "TTA_codon")</f>
        <v>TTA_codon</v>
      </c>
    </row>
    <row r="1906" spans="1:15" x14ac:dyDescent="0.15">
      <c r="A1906" t="s">
        <v>21</v>
      </c>
      <c r="B1906" t="s">
        <v>1676</v>
      </c>
    </row>
    <row r="1907" spans="1:15" x14ac:dyDescent="0.15">
      <c r="A1907" t="s">
        <v>21</v>
      </c>
      <c r="B1907">
        <v>1000856</v>
      </c>
      <c r="C1907">
        <v>352546</v>
      </c>
      <c r="F1907" s="7">
        <v>1</v>
      </c>
      <c r="G1907" s="7">
        <v>751</v>
      </c>
      <c r="H1907" s="8">
        <v>694</v>
      </c>
      <c r="J1907" t="s">
        <v>23</v>
      </c>
      <c r="K1907" s="7">
        <v>1140</v>
      </c>
      <c r="L1907" s="9">
        <v>1</v>
      </c>
      <c r="M1907" t="s">
        <v>1677</v>
      </c>
      <c r="N1907" t="s">
        <v>436</v>
      </c>
      <c r="O1907" s="27" t="str">
        <f>HYPERLINK("https://www.ncbi.nlm.nih.gov/nuccore/NZ_AUBE01000025.1?report=graph&amp;from=69613&amp;to=69617", "TTA_codon")</f>
        <v>TTA_codon</v>
      </c>
    </row>
    <row r="1908" spans="1:15" x14ac:dyDescent="0.15">
      <c r="A1908" t="s">
        <v>21</v>
      </c>
      <c r="B1908">
        <v>1000856</v>
      </c>
      <c r="C1908">
        <v>356489</v>
      </c>
      <c r="F1908" s="7">
        <v>1</v>
      </c>
      <c r="G1908" s="7">
        <v>751</v>
      </c>
      <c r="H1908" s="8">
        <v>595</v>
      </c>
      <c r="J1908" t="s">
        <v>23</v>
      </c>
      <c r="K1908" s="7">
        <v>1065</v>
      </c>
      <c r="L1908" s="9">
        <v>1</v>
      </c>
      <c r="M1908" t="s">
        <v>508</v>
      </c>
      <c r="N1908" t="s">
        <v>509</v>
      </c>
      <c r="O1908" s="27" t="str">
        <f>HYPERLINK("https://www.ncbi.nlm.nih.gov/nuccore/NZ_CP009438.1?report=graph&amp;from=3647104&amp;to=3647108", "TTA_codon")</f>
        <v>TTA_codon</v>
      </c>
    </row>
    <row r="1909" spans="1:15" x14ac:dyDescent="0.15">
      <c r="A1909" t="s">
        <v>21</v>
      </c>
      <c r="B1909">
        <v>1000856</v>
      </c>
      <c r="C1909">
        <v>357520</v>
      </c>
      <c r="F1909" s="7">
        <v>1</v>
      </c>
      <c r="G1909" s="7">
        <v>751</v>
      </c>
      <c r="H1909" s="8">
        <v>493</v>
      </c>
      <c r="J1909" t="s">
        <v>23</v>
      </c>
      <c r="K1909" s="7">
        <v>957</v>
      </c>
      <c r="L1909" s="9">
        <v>1</v>
      </c>
      <c r="M1909" t="s">
        <v>377</v>
      </c>
      <c r="N1909" t="s">
        <v>378</v>
      </c>
      <c r="O1909" s="27" t="str">
        <f>HYPERLINK("https://www.ncbi.nlm.nih.gov/nuccore/NZ_LFXA01000009.1?report=graph&amp;from=66465&amp;to=66469", "TTA_codon")</f>
        <v>TTA_codon</v>
      </c>
    </row>
    <row r="1910" spans="1:15" x14ac:dyDescent="0.15">
      <c r="A1910" t="s">
        <v>21</v>
      </c>
      <c r="B1910" t="s">
        <v>1678</v>
      </c>
    </row>
    <row r="1911" spans="1:15" x14ac:dyDescent="0.15">
      <c r="A1911" t="s">
        <v>21</v>
      </c>
      <c r="B1911">
        <v>1000184</v>
      </c>
      <c r="C1911">
        <v>347299</v>
      </c>
      <c r="F1911" s="7">
        <v>1</v>
      </c>
      <c r="G1911" s="7">
        <v>124</v>
      </c>
      <c r="H1911" s="8">
        <v>103</v>
      </c>
      <c r="J1911" t="s">
        <v>23</v>
      </c>
      <c r="K1911" s="7">
        <v>1233</v>
      </c>
      <c r="L1911" s="9">
        <v>1</v>
      </c>
      <c r="M1911" t="s">
        <v>53</v>
      </c>
      <c r="N1911" t="s">
        <v>54</v>
      </c>
      <c r="O1911" s="27" t="str">
        <f>HYPERLINK("https://www.ncbi.nlm.nih.gov/nuccore/NC_003155.5?report=graph&amp;from=6949112&amp;to=6949116", "TTA_codon")</f>
        <v>TTA_codon</v>
      </c>
    </row>
    <row r="1912" spans="1:15" x14ac:dyDescent="0.15">
      <c r="A1912" t="s">
        <v>21</v>
      </c>
      <c r="B1912">
        <v>1000184</v>
      </c>
      <c r="C1912">
        <v>349987</v>
      </c>
      <c r="F1912" s="7">
        <v>1</v>
      </c>
      <c r="G1912" s="7">
        <v>211</v>
      </c>
      <c r="H1912" s="8">
        <v>187</v>
      </c>
      <c r="J1912" t="s">
        <v>23</v>
      </c>
      <c r="K1912" s="7">
        <v>1149</v>
      </c>
      <c r="L1912" s="9">
        <v>1</v>
      </c>
      <c r="M1912" t="s">
        <v>1679</v>
      </c>
      <c r="N1912" t="s">
        <v>249</v>
      </c>
      <c r="O1912" s="27" t="str">
        <f>HYPERLINK("https://www.ncbi.nlm.nih.gov/nuccore/NZ_AHBF01000045.1?report=graph&amp;from=108176&amp;to=108180", "TTA_codon")</f>
        <v>TTA_codon</v>
      </c>
    </row>
    <row r="1913" spans="1:15" x14ac:dyDescent="0.15">
      <c r="A1913" t="s">
        <v>21</v>
      </c>
      <c r="B1913">
        <v>1000184</v>
      </c>
      <c r="C1913">
        <v>352767</v>
      </c>
      <c r="F1913" s="7">
        <v>1</v>
      </c>
      <c r="G1913" s="7">
        <v>112</v>
      </c>
      <c r="H1913" s="8">
        <v>109</v>
      </c>
      <c r="J1913" t="s">
        <v>23</v>
      </c>
      <c r="K1913" s="7">
        <v>1311</v>
      </c>
      <c r="L1913" s="9">
        <v>1</v>
      </c>
      <c r="M1913" t="s">
        <v>472</v>
      </c>
      <c r="N1913" t="s">
        <v>473</v>
      </c>
      <c r="O1913" s="27" t="str">
        <f>HYPERLINK("https://www.ncbi.nlm.nih.gov/nuccore/NZ_ASHX02000001.1?report=graph&amp;from=2577579&amp;to=2577583", "TTA_codon")</f>
        <v>TTA_codon</v>
      </c>
    </row>
    <row r="1914" spans="1:15" x14ac:dyDescent="0.15">
      <c r="A1914" t="s">
        <v>195</v>
      </c>
      <c r="B1914" t="s">
        <v>1680</v>
      </c>
    </row>
    <row r="1915" spans="1:15" x14ac:dyDescent="0.15">
      <c r="A1915" t="s">
        <v>195</v>
      </c>
      <c r="B1915">
        <v>1000103</v>
      </c>
      <c r="C1915">
        <v>346678</v>
      </c>
      <c r="F1915" s="7">
        <v>2</v>
      </c>
      <c r="G1915" s="7" t="s">
        <v>1681</v>
      </c>
      <c r="H1915" s="8" t="s">
        <v>1682</v>
      </c>
      <c r="J1915" t="s">
        <v>23</v>
      </c>
      <c r="K1915" s="7">
        <v>2361</v>
      </c>
      <c r="L1915" s="9">
        <v>1</v>
      </c>
      <c r="M1915" t="s">
        <v>1683</v>
      </c>
      <c r="N1915" t="s">
        <v>87</v>
      </c>
      <c r="O1915" s="27" t="str">
        <f>HYPERLINK("https://www.ncbi.nlm.nih.gov/nuccore/NZ_LIQS01000070.1?report=graph&amp;from=6709&amp;to=6896", "TTA_codon")</f>
        <v>TTA_codon</v>
      </c>
    </row>
    <row r="1916" spans="1:15" x14ac:dyDescent="0.15">
      <c r="A1916" t="s">
        <v>21</v>
      </c>
      <c r="B1916">
        <v>1000103</v>
      </c>
      <c r="C1916">
        <v>354300</v>
      </c>
      <c r="F1916" s="7">
        <v>1</v>
      </c>
      <c r="G1916" s="7">
        <v>415</v>
      </c>
      <c r="H1916" s="8">
        <v>412</v>
      </c>
      <c r="J1916" t="s">
        <v>23</v>
      </c>
      <c r="K1916" s="7">
        <v>2229</v>
      </c>
      <c r="L1916" s="9">
        <v>1</v>
      </c>
      <c r="M1916" t="s">
        <v>1434</v>
      </c>
      <c r="N1916" t="s">
        <v>142</v>
      </c>
      <c r="O1916" s="27" t="str">
        <f>HYPERLINK("https://www.ncbi.nlm.nih.gov/nuccore/NZ_JOEI01000015.1?report=graph&amp;from=27734&amp;to=27738", "TTA_codon")</f>
        <v>TTA_codon</v>
      </c>
    </row>
    <row r="1917" spans="1:15" x14ac:dyDescent="0.15">
      <c r="A1917" t="s">
        <v>21</v>
      </c>
      <c r="B1917" t="s">
        <v>1684</v>
      </c>
    </row>
    <row r="1918" spans="1:15" x14ac:dyDescent="0.15">
      <c r="A1918" t="s">
        <v>21</v>
      </c>
      <c r="B1918">
        <v>1000254</v>
      </c>
      <c r="C1918">
        <v>347674</v>
      </c>
      <c r="F1918" s="7">
        <v>1</v>
      </c>
      <c r="G1918" s="7">
        <v>145</v>
      </c>
      <c r="H1918" s="8">
        <v>145</v>
      </c>
      <c r="J1918" t="s">
        <v>23</v>
      </c>
      <c r="K1918" s="7">
        <v>486</v>
      </c>
      <c r="L1918" s="9">
        <v>-1</v>
      </c>
      <c r="M1918" t="s">
        <v>55</v>
      </c>
      <c r="N1918" t="s">
        <v>56</v>
      </c>
      <c r="O1918" s="27" t="str">
        <f>HYPERLINK("https://www.ncbi.nlm.nih.gov/nuccore/NC_010572.1?report=graph&amp;from=1854670&amp;to=1854674", "TTA_codon")</f>
        <v>TTA_codon</v>
      </c>
    </row>
    <row r="1919" spans="1:15" x14ac:dyDescent="0.15">
      <c r="A1919" t="s">
        <v>21</v>
      </c>
      <c r="B1919">
        <v>1000254</v>
      </c>
      <c r="C1919">
        <v>347883</v>
      </c>
      <c r="F1919" s="7">
        <v>1</v>
      </c>
      <c r="G1919" s="7">
        <v>229</v>
      </c>
      <c r="H1919" s="8">
        <v>229</v>
      </c>
      <c r="J1919" t="s">
        <v>23</v>
      </c>
      <c r="K1919" s="7">
        <v>465</v>
      </c>
      <c r="L1919" s="9">
        <v>-1</v>
      </c>
      <c r="M1919" t="s">
        <v>57</v>
      </c>
      <c r="N1919" t="s">
        <v>58</v>
      </c>
      <c r="O1919" s="27" t="str">
        <f>HYPERLINK("https://www.ncbi.nlm.nih.gov/nuccore/NC_013929.1?report=graph&amp;from=2633905&amp;to=2633909", "TTA_codon")</f>
        <v>TTA_codon</v>
      </c>
    </row>
    <row r="1920" spans="1:15" x14ac:dyDescent="0.15">
      <c r="A1920" t="s">
        <v>21</v>
      </c>
      <c r="B1920">
        <v>1000254</v>
      </c>
      <c r="C1920">
        <v>351931</v>
      </c>
      <c r="F1920" s="7">
        <v>1</v>
      </c>
      <c r="G1920" s="7">
        <v>229</v>
      </c>
      <c r="H1920" s="8">
        <v>229</v>
      </c>
      <c r="J1920" t="s">
        <v>23</v>
      </c>
      <c r="K1920" s="7">
        <v>459</v>
      </c>
      <c r="L1920" s="9">
        <v>-1</v>
      </c>
      <c r="M1920" t="s">
        <v>1685</v>
      </c>
      <c r="N1920" t="s">
        <v>68</v>
      </c>
      <c r="O1920" s="27" t="str">
        <f>HYPERLINK("https://www.ncbi.nlm.nih.gov/nuccore/NZ_BARG01000097.1?report=graph&amp;from=9758&amp;to=9762", "TTA_codon")</f>
        <v>TTA_codon</v>
      </c>
    </row>
    <row r="1921" spans="1:15" x14ac:dyDescent="0.15">
      <c r="A1921" t="s">
        <v>21</v>
      </c>
      <c r="B1921">
        <v>1000254</v>
      </c>
      <c r="C1921">
        <v>352814</v>
      </c>
      <c r="F1921" s="7">
        <v>1</v>
      </c>
      <c r="G1921" s="7">
        <v>274</v>
      </c>
      <c r="H1921" s="8">
        <v>274</v>
      </c>
      <c r="J1921" t="s">
        <v>23</v>
      </c>
      <c r="K1921" s="7">
        <v>489</v>
      </c>
      <c r="L1921" s="9">
        <v>-1</v>
      </c>
      <c r="M1921" t="s">
        <v>472</v>
      </c>
      <c r="N1921" t="s">
        <v>473</v>
      </c>
      <c r="O1921" s="27" t="str">
        <f>HYPERLINK("https://www.ncbi.nlm.nih.gov/nuccore/NZ_ASHX02000001.1?report=graph&amp;from=1130467&amp;to=1130471", "TTA_codon")</f>
        <v>TTA_codon</v>
      </c>
    </row>
    <row r="1922" spans="1:15" x14ac:dyDescent="0.15">
      <c r="A1922" t="s">
        <v>21</v>
      </c>
      <c r="B1922">
        <v>1000254</v>
      </c>
      <c r="C1922">
        <v>353530</v>
      </c>
      <c r="F1922" s="7">
        <v>1</v>
      </c>
      <c r="G1922" s="7">
        <v>145</v>
      </c>
      <c r="H1922" s="8">
        <v>145</v>
      </c>
      <c r="J1922" t="s">
        <v>23</v>
      </c>
      <c r="K1922" s="7">
        <v>456</v>
      </c>
      <c r="L1922" s="9">
        <v>-1</v>
      </c>
      <c r="M1922" t="s">
        <v>1686</v>
      </c>
      <c r="N1922" t="s">
        <v>169</v>
      </c>
      <c r="O1922" s="27" t="str">
        <f>HYPERLINK("https://www.ncbi.nlm.nih.gov/nuccore/NZ_JNWJ01000004.1?report=graph&amp;from=23674&amp;to=23678", "TTA_codon")</f>
        <v>TTA_codon</v>
      </c>
    </row>
    <row r="1923" spans="1:15" x14ac:dyDescent="0.15">
      <c r="A1923" t="s">
        <v>21</v>
      </c>
      <c r="B1923">
        <v>1000254</v>
      </c>
      <c r="C1923">
        <v>355571</v>
      </c>
      <c r="F1923" s="7">
        <v>1</v>
      </c>
      <c r="G1923" s="7">
        <v>415</v>
      </c>
      <c r="H1923" s="8">
        <v>412</v>
      </c>
      <c r="J1923" t="s">
        <v>23</v>
      </c>
      <c r="K1923" s="7">
        <v>444</v>
      </c>
      <c r="L1923" s="9">
        <v>-1</v>
      </c>
      <c r="M1923" t="s">
        <v>1181</v>
      </c>
      <c r="N1923" t="s">
        <v>198</v>
      </c>
      <c r="O1923" s="27" t="str">
        <f>HYPERLINK("https://www.ncbi.nlm.nih.gov/nuccore/NZ_JOFL01000007.1?report=graph&amp;from=91071&amp;to=91075", "TTA_codon")</f>
        <v>TTA_codon</v>
      </c>
    </row>
    <row r="1924" spans="1:15" x14ac:dyDescent="0.15">
      <c r="A1924" t="s">
        <v>21</v>
      </c>
      <c r="B1924">
        <v>1000254</v>
      </c>
      <c r="C1924">
        <v>358039</v>
      </c>
      <c r="F1924" s="7">
        <v>1</v>
      </c>
      <c r="G1924" s="7">
        <v>274</v>
      </c>
      <c r="H1924" s="8">
        <v>274</v>
      </c>
      <c r="J1924" t="s">
        <v>23</v>
      </c>
      <c r="K1924" s="7">
        <v>471</v>
      </c>
      <c r="L1924" s="9">
        <v>-1</v>
      </c>
      <c r="M1924" t="s">
        <v>261</v>
      </c>
      <c r="N1924" t="s">
        <v>262</v>
      </c>
      <c r="O1924" s="27" t="str">
        <f>HYPERLINK("https://www.ncbi.nlm.nih.gov/nuccore/NZ_CP011340.1?report=graph&amp;from=2173170&amp;to=2173174", "TTA_codon")</f>
        <v>TTA_codon</v>
      </c>
    </row>
    <row r="1925" spans="1:15" x14ac:dyDescent="0.15">
      <c r="A1925" t="s">
        <v>21</v>
      </c>
      <c r="B1925">
        <v>1000254</v>
      </c>
      <c r="C1925">
        <v>363504</v>
      </c>
      <c r="F1925" s="7">
        <v>1</v>
      </c>
      <c r="G1925" s="7">
        <v>145</v>
      </c>
      <c r="H1925" s="8">
        <v>145</v>
      </c>
      <c r="J1925" t="s">
        <v>23</v>
      </c>
      <c r="K1925" s="7">
        <v>468</v>
      </c>
      <c r="L1925" s="9">
        <v>-1</v>
      </c>
      <c r="M1925" t="s">
        <v>157</v>
      </c>
      <c r="N1925" t="s">
        <v>158</v>
      </c>
      <c r="O1925" s="27" t="str">
        <f>HYPERLINK("https://www.ncbi.nlm.nih.gov/nuccore/NZ_CP015588.1?report=graph&amp;from=2289238&amp;to=2289242", "TTA_codon")</f>
        <v>TTA_codon</v>
      </c>
    </row>
    <row r="1926" spans="1:15" x14ac:dyDescent="0.15">
      <c r="A1926" t="s">
        <v>21</v>
      </c>
      <c r="B1926">
        <v>1000254</v>
      </c>
      <c r="C1926">
        <v>365132</v>
      </c>
      <c r="F1926" s="7">
        <v>1</v>
      </c>
      <c r="G1926" s="7">
        <v>415</v>
      </c>
      <c r="H1926" s="8">
        <v>412</v>
      </c>
      <c r="J1926" t="s">
        <v>23</v>
      </c>
      <c r="K1926" s="7">
        <v>444</v>
      </c>
      <c r="L1926" s="9">
        <v>-1</v>
      </c>
      <c r="M1926" t="s">
        <v>111</v>
      </c>
      <c r="N1926" t="s">
        <v>112</v>
      </c>
      <c r="O1926" s="27" t="str">
        <f>HYPERLINK("https://www.ncbi.nlm.nih.gov/nuccore/NZ_CP021744.1?report=graph&amp;from=1826362&amp;to=1826366", "TTA_codon")</f>
        <v>TTA_codon</v>
      </c>
    </row>
    <row r="1927" spans="1:15" x14ac:dyDescent="0.15">
      <c r="A1927" t="s">
        <v>21</v>
      </c>
      <c r="B1927" t="s">
        <v>1687</v>
      </c>
    </row>
    <row r="1928" spans="1:15" x14ac:dyDescent="0.15">
      <c r="A1928" t="s">
        <v>21</v>
      </c>
      <c r="B1928">
        <v>1001219</v>
      </c>
      <c r="C1928">
        <v>357230</v>
      </c>
      <c r="F1928" s="7">
        <v>1</v>
      </c>
      <c r="G1928" s="7">
        <v>229</v>
      </c>
      <c r="H1928" s="8">
        <v>229</v>
      </c>
      <c r="J1928" t="s">
        <v>23</v>
      </c>
      <c r="K1928" s="7">
        <v>429</v>
      </c>
      <c r="L1928" s="9">
        <v>1</v>
      </c>
      <c r="M1928" t="s">
        <v>205</v>
      </c>
      <c r="N1928" t="s">
        <v>206</v>
      </c>
      <c r="O1928" s="27" t="str">
        <f>HYPERLINK("https://www.ncbi.nlm.nih.gov/nuccore/NZ_CP010407.1?report=graph&amp;from=4703418&amp;to=4703422", "TTA_codon")</f>
        <v>TTA_codon</v>
      </c>
    </row>
    <row r="1929" spans="1:15" x14ac:dyDescent="0.15">
      <c r="A1929" t="s">
        <v>21</v>
      </c>
      <c r="B1929">
        <v>1001219</v>
      </c>
      <c r="C1929">
        <v>359597</v>
      </c>
      <c r="F1929" s="7">
        <v>1</v>
      </c>
      <c r="G1929" s="7">
        <v>229</v>
      </c>
      <c r="H1929" s="8">
        <v>229</v>
      </c>
      <c r="J1929" t="s">
        <v>23</v>
      </c>
      <c r="K1929" s="7">
        <v>441</v>
      </c>
      <c r="L1929" s="9">
        <v>1</v>
      </c>
      <c r="M1929" t="s">
        <v>151</v>
      </c>
      <c r="N1929" t="s">
        <v>152</v>
      </c>
      <c r="O1929" s="27" t="str">
        <f>HYPERLINK("https://www.ncbi.nlm.nih.gov/nuccore/NZ_CP013129.1?report=graph&amp;from=4967935&amp;to=4967939", "TTA_codon")</f>
        <v>TTA_codon</v>
      </c>
    </row>
    <row r="1930" spans="1:15" x14ac:dyDescent="0.15">
      <c r="A1930" t="s">
        <v>21</v>
      </c>
      <c r="B1930" t="s">
        <v>1688</v>
      </c>
    </row>
    <row r="1931" spans="1:15" x14ac:dyDescent="0.15">
      <c r="A1931" t="s">
        <v>21</v>
      </c>
      <c r="B1931">
        <v>1001142</v>
      </c>
      <c r="C1931">
        <v>351208</v>
      </c>
      <c r="F1931" s="7">
        <v>1</v>
      </c>
      <c r="G1931" s="7">
        <v>670</v>
      </c>
      <c r="H1931" s="8">
        <v>664</v>
      </c>
      <c r="J1931" t="s">
        <v>23</v>
      </c>
      <c r="K1931" s="7">
        <v>1389</v>
      </c>
      <c r="L1931" s="9">
        <v>-1</v>
      </c>
      <c r="M1931" t="s">
        <v>65</v>
      </c>
      <c r="N1931" t="s">
        <v>66</v>
      </c>
      <c r="O1931" s="27" t="str">
        <f>HYPERLINK("https://www.ncbi.nlm.nih.gov/nuccore/NC_020504.1?report=graph&amp;from=8418596&amp;to=8418600", "TTA_codon")</f>
        <v>TTA_codon</v>
      </c>
    </row>
    <row r="1932" spans="1:15" x14ac:dyDescent="0.15">
      <c r="A1932" t="s">
        <v>21</v>
      </c>
      <c r="B1932">
        <v>1001142</v>
      </c>
      <c r="C1932">
        <v>356152</v>
      </c>
      <c r="F1932" s="7">
        <v>1</v>
      </c>
      <c r="G1932" s="7">
        <v>637</v>
      </c>
      <c r="H1932" s="8">
        <v>481</v>
      </c>
      <c r="J1932" t="s">
        <v>23</v>
      </c>
      <c r="K1932" s="7">
        <v>1218</v>
      </c>
      <c r="L1932" s="9">
        <v>-1</v>
      </c>
      <c r="M1932" t="s">
        <v>470</v>
      </c>
      <c r="N1932" t="s">
        <v>77</v>
      </c>
      <c r="O1932" s="27" t="str">
        <f>HYPERLINK("https://www.ncbi.nlm.nih.gov/nuccore/NZ_JNXD01000006.1?report=graph&amp;from=302718&amp;to=302722", "TTA_codon")</f>
        <v>TTA_codon</v>
      </c>
    </row>
    <row r="1933" spans="1:15" x14ac:dyDescent="0.15">
      <c r="A1933" t="s">
        <v>21</v>
      </c>
      <c r="B1933">
        <v>1001142</v>
      </c>
      <c r="C1933">
        <v>357125</v>
      </c>
      <c r="F1933" s="7">
        <v>1</v>
      </c>
      <c r="G1933" s="7">
        <v>529</v>
      </c>
      <c r="H1933" s="8">
        <v>409</v>
      </c>
      <c r="J1933" t="s">
        <v>23</v>
      </c>
      <c r="K1933" s="7">
        <v>1332</v>
      </c>
      <c r="L1933" s="9">
        <v>-1</v>
      </c>
      <c r="M1933" t="s">
        <v>205</v>
      </c>
      <c r="N1933" t="s">
        <v>206</v>
      </c>
      <c r="O1933" s="27" t="str">
        <f>HYPERLINK("https://www.ncbi.nlm.nih.gov/nuccore/NZ_CP010407.1?report=graph&amp;from=1016496&amp;to=1016500", "TTA_codon")</f>
        <v>TTA_codon</v>
      </c>
    </row>
    <row r="1934" spans="1:15" x14ac:dyDescent="0.15">
      <c r="A1934" t="s">
        <v>21</v>
      </c>
      <c r="B1934" t="s">
        <v>1689</v>
      </c>
    </row>
    <row r="1935" spans="1:15" x14ac:dyDescent="0.15">
      <c r="A1935" t="s">
        <v>21</v>
      </c>
      <c r="B1935">
        <v>1000864</v>
      </c>
      <c r="C1935">
        <v>352584</v>
      </c>
      <c r="F1935" s="7">
        <v>1</v>
      </c>
      <c r="G1935" s="7">
        <v>748</v>
      </c>
      <c r="H1935" s="8">
        <v>382</v>
      </c>
      <c r="J1935" t="s">
        <v>23</v>
      </c>
      <c r="K1935" s="7">
        <v>1833</v>
      </c>
      <c r="L1935" s="9">
        <v>1</v>
      </c>
      <c r="M1935" t="s">
        <v>1690</v>
      </c>
      <c r="N1935" t="s">
        <v>436</v>
      </c>
      <c r="O1935" s="27" t="str">
        <f>HYPERLINK("https://www.ncbi.nlm.nih.gov/nuccore/NZ_AUBE01000011.1?report=graph&amp;from=36480&amp;to=36484", "TTA_codon")</f>
        <v>TTA_codon</v>
      </c>
    </row>
    <row r="1936" spans="1:15" x14ac:dyDescent="0.15">
      <c r="A1936" t="s">
        <v>21</v>
      </c>
      <c r="B1936">
        <v>1000864</v>
      </c>
      <c r="C1936">
        <v>352756</v>
      </c>
      <c r="F1936" s="7">
        <v>1</v>
      </c>
      <c r="G1936" s="7">
        <v>748</v>
      </c>
      <c r="H1936" s="8">
        <v>745</v>
      </c>
      <c r="J1936" t="s">
        <v>23</v>
      </c>
      <c r="K1936" s="7">
        <v>2223</v>
      </c>
      <c r="L1936" s="9">
        <v>1</v>
      </c>
      <c r="M1936" t="s">
        <v>472</v>
      </c>
      <c r="N1936" t="s">
        <v>473</v>
      </c>
      <c r="O1936" s="27" t="str">
        <f>HYPERLINK("https://www.ncbi.nlm.nih.gov/nuccore/NZ_ASHX02000001.1?report=graph&amp;from=2202928&amp;to=2202932", "TTA_codon")</f>
        <v>TTA_codon</v>
      </c>
    </row>
    <row r="1937" spans="1:15" x14ac:dyDescent="0.15">
      <c r="A1937" t="s">
        <v>21</v>
      </c>
      <c r="B1937">
        <v>1000864</v>
      </c>
      <c r="C1937">
        <v>361360</v>
      </c>
      <c r="F1937" s="7">
        <v>1</v>
      </c>
      <c r="G1937" s="7">
        <v>748</v>
      </c>
      <c r="H1937" s="8">
        <v>388</v>
      </c>
      <c r="J1937" t="s">
        <v>23</v>
      </c>
      <c r="K1937" s="7">
        <v>1866</v>
      </c>
      <c r="L1937" s="9">
        <v>1</v>
      </c>
      <c r="M1937" t="s">
        <v>200</v>
      </c>
      <c r="N1937" t="s">
        <v>201</v>
      </c>
      <c r="O1937" s="27" t="str">
        <f>HYPERLINK("https://www.ncbi.nlm.nih.gov/nuccore/NZ_CP016559.1?report=graph&amp;from=2320226&amp;to=2320230", "TTA_codon")</f>
        <v>TTA_codon</v>
      </c>
    </row>
    <row r="1938" spans="1:15" x14ac:dyDescent="0.15">
      <c r="A1938" t="s">
        <v>21</v>
      </c>
      <c r="B1938" t="s">
        <v>1691</v>
      </c>
    </row>
    <row r="1939" spans="1:15" x14ac:dyDescent="0.15">
      <c r="A1939" t="s">
        <v>21</v>
      </c>
      <c r="B1939">
        <v>1000472</v>
      </c>
      <c r="C1939">
        <v>349009</v>
      </c>
      <c r="F1939" s="7">
        <v>1</v>
      </c>
      <c r="G1939" s="7">
        <v>382</v>
      </c>
      <c r="H1939" s="8">
        <v>370</v>
      </c>
      <c r="J1939" t="s">
        <v>23</v>
      </c>
      <c r="K1939" s="7">
        <v>1377</v>
      </c>
      <c r="L1939" s="9">
        <v>1</v>
      </c>
      <c r="M1939" t="s">
        <v>211</v>
      </c>
      <c r="N1939" t="s">
        <v>212</v>
      </c>
      <c r="O1939" s="27" t="str">
        <f>HYPERLINK("https://www.ncbi.nlm.nih.gov/nuccore/NZ_GG657754.1?report=graph&amp;from=2429785&amp;to=2429789", "TTA_codon")</f>
        <v>TTA_codon</v>
      </c>
    </row>
    <row r="1940" spans="1:15" x14ac:dyDescent="0.15">
      <c r="A1940" t="s">
        <v>21</v>
      </c>
      <c r="B1940">
        <v>1000472</v>
      </c>
      <c r="C1940">
        <v>357473</v>
      </c>
      <c r="F1940" s="7">
        <v>1</v>
      </c>
      <c r="G1940" s="7">
        <v>304</v>
      </c>
      <c r="H1940" s="8">
        <v>292</v>
      </c>
      <c r="J1940" t="s">
        <v>23</v>
      </c>
      <c r="K1940" s="7">
        <v>1377</v>
      </c>
      <c r="L1940" s="9">
        <v>1</v>
      </c>
      <c r="M1940" t="s">
        <v>80</v>
      </c>
      <c r="N1940" t="s">
        <v>81</v>
      </c>
      <c r="O1940" s="27" t="str">
        <f>HYPERLINK("https://www.ncbi.nlm.nih.gov/nuccore/NZ_LN831790.1?report=graph&amp;from=1464960&amp;to=1464964", "TTA_codon")</f>
        <v>TTA_codon</v>
      </c>
    </row>
    <row r="1941" spans="1:15" x14ac:dyDescent="0.15">
      <c r="A1941" t="s">
        <v>21</v>
      </c>
      <c r="B1941">
        <v>1000472</v>
      </c>
      <c r="C1941">
        <v>361839</v>
      </c>
      <c r="F1941" s="7">
        <v>1</v>
      </c>
      <c r="G1941" s="7">
        <v>304</v>
      </c>
      <c r="H1941" s="8">
        <v>304</v>
      </c>
      <c r="J1941" t="s">
        <v>23</v>
      </c>
      <c r="K1941" s="7">
        <v>1389</v>
      </c>
      <c r="L1941" s="9">
        <v>1</v>
      </c>
      <c r="M1941" t="s">
        <v>37</v>
      </c>
      <c r="N1941" t="s">
        <v>38</v>
      </c>
      <c r="O1941" s="27" t="str">
        <f>HYPERLINK("https://www.ncbi.nlm.nih.gov/nuccore/NZ_CP011533.1?report=graph&amp;from=2352146&amp;to=2352150", "TTA_codon")</f>
        <v>TTA_codon</v>
      </c>
    </row>
    <row r="1942" spans="1:15" x14ac:dyDescent="0.15">
      <c r="A1942" t="s">
        <v>21</v>
      </c>
      <c r="B1942">
        <v>1000472</v>
      </c>
      <c r="C1942">
        <v>364524</v>
      </c>
      <c r="F1942" s="7">
        <v>1</v>
      </c>
      <c r="G1942" s="7">
        <v>304</v>
      </c>
      <c r="H1942" s="8">
        <v>301</v>
      </c>
      <c r="J1942" t="s">
        <v>23</v>
      </c>
      <c r="K1942" s="7">
        <v>1392</v>
      </c>
      <c r="L1942" s="9">
        <v>1</v>
      </c>
      <c r="M1942" t="s">
        <v>1692</v>
      </c>
      <c r="N1942" t="s">
        <v>326</v>
      </c>
      <c r="O1942" s="27" t="str">
        <f>HYPERLINK("https://www.ncbi.nlm.nih.gov/nuccore/NZ_MUBL01000089.1?report=graph&amp;from=6055&amp;to=6059", "TTA_codon")</f>
        <v>TTA_codon</v>
      </c>
    </row>
    <row r="1943" spans="1:15" x14ac:dyDescent="0.15">
      <c r="A1943" t="s">
        <v>21</v>
      </c>
      <c r="B1943" t="s">
        <v>1693</v>
      </c>
    </row>
    <row r="1944" spans="1:15" x14ac:dyDescent="0.15">
      <c r="A1944" t="s">
        <v>21</v>
      </c>
      <c r="B1944">
        <v>1000967</v>
      </c>
      <c r="C1944">
        <v>353680</v>
      </c>
      <c r="F1944" s="7">
        <v>1</v>
      </c>
      <c r="G1944" s="7">
        <v>484</v>
      </c>
      <c r="H1944" s="8">
        <v>484</v>
      </c>
      <c r="J1944" t="s">
        <v>23</v>
      </c>
      <c r="K1944" s="7">
        <v>1323</v>
      </c>
      <c r="L1944" s="9">
        <v>1</v>
      </c>
      <c r="M1944" t="s">
        <v>1019</v>
      </c>
      <c r="N1944" t="s">
        <v>140</v>
      </c>
      <c r="O1944" s="27" t="str">
        <f>HYPERLINK("https://www.ncbi.nlm.nih.gov/nuccore/NZ_JNXG01000002.1?report=graph&amp;from=977175&amp;to=977179", "TTA_codon")</f>
        <v>TTA_codon</v>
      </c>
    </row>
    <row r="1945" spans="1:15" x14ac:dyDescent="0.15">
      <c r="A1945" t="s">
        <v>21</v>
      </c>
      <c r="B1945">
        <v>1000967</v>
      </c>
      <c r="C1945">
        <v>357171</v>
      </c>
      <c r="F1945" s="7">
        <v>1</v>
      </c>
      <c r="G1945" s="7">
        <v>484</v>
      </c>
      <c r="H1945" s="8">
        <v>484</v>
      </c>
      <c r="J1945" t="s">
        <v>23</v>
      </c>
      <c r="K1945" s="7">
        <v>1323</v>
      </c>
      <c r="L1945" s="9">
        <v>1</v>
      </c>
      <c r="M1945" t="s">
        <v>205</v>
      </c>
      <c r="N1945" t="s">
        <v>206</v>
      </c>
      <c r="O1945" s="27" t="str">
        <f>HYPERLINK("https://www.ncbi.nlm.nih.gov/nuccore/NZ_CP010407.1?report=graph&amp;from=5638258&amp;to=5638262", "TTA_codon")</f>
        <v>TTA_codon</v>
      </c>
    </row>
    <row r="1946" spans="1:15" x14ac:dyDescent="0.15">
      <c r="A1946" t="s">
        <v>21</v>
      </c>
      <c r="B1946" t="s">
        <v>1694</v>
      </c>
    </row>
    <row r="1947" spans="1:15" x14ac:dyDescent="0.15">
      <c r="A1947" t="s">
        <v>21</v>
      </c>
      <c r="B1947">
        <v>1000458</v>
      </c>
      <c r="C1947">
        <v>348827</v>
      </c>
      <c r="F1947" s="7">
        <v>1</v>
      </c>
      <c r="G1947" s="7">
        <v>274</v>
      </c>
      <c r="H1947" s="8">
        <v>274</v>
      </c>
      <c r="J1947" t="s">
        <v>23</v>
      </c>
      <c r="K1947" s="7">
        <v>891</v>
      </c>
      <c r="L1947" s="9">
        <v>1</v>
      </c>
      <c r="M1947" t="s">
        <v>211</v>
      </c>
      <c r="N1947" t="s">
        <v>212</v>
      </c>
      <c r="O1947" s="27" t="str">
        <f>HYPERLINK("https://www.ncbi.nlm.nih.gov/nuccore/NZ_GG657754.1?report=graph&amp;from=9065235&amp;to=9065239", "TTA_codon")</f>
        <v>TTA_codon</v>
      </c>
    </row>
    <row r="1948" spans="1:15" x14ac:dyDescent="0.15">
      <c r="A1948" t="s">
        <v>21</v>
      </c>
      <c r="B1948">
        <v>1000458</v>
      </c>
      <c r="C1948">
        <v>362692</v>
      </c>
      <c r="F1948" s="7">
        <v>1</v>
      </c>
      <c r="G1948" s="7">
        <v>223</v>
      </c>
      <c r="H1948" s="8">
        <v>94</v>
      </c>
      <c r="J1948" t="s">
        <v>23</v>
      </c>
      <c r="K1948" s="7">
        <v>753</v>
      </c>
      <c r="L1948" s="9">
        <v>1</v>
      </c>
      <c r="M1948" t="s">
        <v>1695</v>
      </c>
      <c r="N1948" t="s">
        <v>985</v>
      </c>
      <c r="O1948" s="27" t="str">
        <f>HYPERLINK("https://www.ncbi.nlm.nih.gov/nuccore/NZ_LJGU01000121.1?report=graph&amp;from=52584&amp;to=52588", "TTA_codon")</f>
        <v>TTA_codon</v>
      </c>
    </row>
    <row r="1949" spans="1:15" x14ac:dyDescent="0.15">
      <c r="A1949" t="s">
        <v>21</v>
      </c>
      <c r="B1949">
        <v>1000458</v>
      </c>
      <c r="C1949">
        <v>366187</v>
      </c>
      <c r="F1949" s="7">
        <v>1</v>
      </c>
      <c r="G1949" s="7">
        <v>223</v>
      </c>
      <c r="H1949" s="8">
        <v>94</v>
      </c>
      <c r="J1949" t="s">
        <v>23</v>
      </c>
      <c r="K1949" s="7">
        <v>837</v>
      </c>
      <c r="L1949" s="9">
        <v>1</v>
      </c>
      <c r="M1949" t="s">
        <v>1696</v>
      </c>
      <c r="N1949" t="s">
        <v>178</v>
      </c>
      <c r="O1949" s="27" t="str">
        <f>HYPERLINK("https://www.ncbi.nlm.nih.gov/nuccore/NZ_FOGO01000003.1?report=graph&amp;from=250768&amp;to=250772", "TTA_codon")</f>
        <v>TTA_codon</v>
      </c>
    </row>
    <row r="1950" spans="1:15" x14ac:dyDescent="0.15">
      <c r="A1950" t="s">
        <v>21</v>
      </c>
      <c r="B1950" t="s">
        <v>1697</v>
      </c>
    </row>
    <row r="1951" spans="1:15" x14ac:dyDescent="0.15">
      <c r="A1951" t="s">
        <v>21</v>
      </c>
      <c r="B1951">
        <v>1001550</v>
      </c>
      <c r="C1951">
        <v>366977</v>
      </c>
      <c r="F1951" s="7">
        <v>1</v>
      </c>
      <c r="G1951" s="7">
        <v>103</v>
      </c>
      <c r="H1951" s="8">
        <v>103</v>
      </c>
      <c r="J1951" t="s">
        <v>23</v>
      </c>
      <c r="K1951" s="7">
        <v>540</v>
      </c>
      <c r="L1951" s="9">
        <v>1</v>
      </c>
      <c r="M1951" t="s">
        <v>222</v>
      </c>
      <c r="N1951" t="s">
        <v>223</v>
      </c>
      <c r="O1951" s="27" t="str">
        <f>HYPERLINK("https://www.ncbi.nlm.nih.gov/nuccore/MK359332.1?report=graph&amp;from=96238&amp;to=96242", "TTA_codon")</f>
        <v>TTA_codon</v>
      </c>
    </row>
    <row r="1952" spans="1:15" x14ac:dyDescent="0.15">
      <c r="A1952" t="s">
        <v>21</v>
      </c>
      <c r="B1952">
        <v>1001550</v>
      </c>
      <c r="C1952">
        <v>366994</v>
      </c>
      <c r="F1952" s="7">
        <v>1</v>
      </c>
      <c r="G1952" s="7">
        <v>103</v>
      </c>
      <c r="H1952" s="8">
        <v>103</v>
      </c>
      <c r="J1952" t="s">
        <v>23</v>
      </c>
      <c r="K1952" s="7">
        <v>540</v>
      </c>
      <c r="L1952" s="9">
        <v>1</v>
      </c>
      <c r="M1952" t="s">
        <v>224</v>
      </c>
      <c r="N1952" t="s">
        <v>225</v>
      </c>
      <c r="O1952" s="27" t="str">
        <f>HYPERLINK("https://www.ncbi.nlm.nih.gov/nuccore/MK359351.1?report=graph&amp;from=96124&amp;to=96128", "TTA_codon")</f>
        <v>TTA_codon</v>
      </c>
    </row>
    <row r="1953" spans="1:15" x14ac:dyDescent="0.15">
      <c r="A1953" t="s">
        <v>21</v>
      </c>
      <c r="B1953">
        <v>1001550</v>
      </c>
      <c r="C1953">
        <v>367374</v>
      </c>
      <c r="F1953" s="7">
        <v>1</v>
      </c>
      <c r="G1953" s="7">
        <v>103</v>
      </c>
      <c r="H1953" s="8">
        <v>103</v>
      </c>
      <c r="J1953" t="s">
        <v>23</v>
      </c>
      <c r="K1953" s="7">
        <v>540</v>
      </c>
      <c r="L1953" s="9">
        <v>1</v>
      </c>
      <c r="M1953" t="s">
        <v>242</v>
      </c>
      <c r="N1953" t="s">
        <v>243</v>
      </c>
      <c r="O1953" s="27" t="str">
        <f>HYPERLINK("https://www.ncbi.nlm.nih.gov/nuccore/NC_048730.1?report=graph&amp;from=96173&amp;to=96177", "TTA_codon")</f>
        <v>TTA_codon</v>
      </c>
    </row>
    <row r="1954" spans="1:15" x14ac:dyDescent="0.15">
      <c r="A1954" t="s">
        <v>21</v>
      </c>
      <c r="B1954" t="s">
        <v>1698</v>
      </c>
    </row>
    <row r="1955" spans="1:15" x14ac:dyDescent="0.15">
      <c r="A1955" t="s">
        <v>21</v>
      </c>
      <c r="B1955">
        <v>1000229</v>
      </c>
      <c r="C1955">
        <v>347561</v>
      </c>
      <c r="F1955" s="7">
        <v>1</v>
      </c>
      <c r="G1955" s="7">
        <v>1012</v>
      </c>
      <c r="H1955" s="8">
        <v>1009</v>
      </c>
      <c r="J1955" t="s">
        <v>23</v>
      </c>
      <c r="K1955" s="7">
        <v>1395</v>
      </c>
      <c r="L1955" s="9">
        <v>-1</v>
      </c>
      <c r="M1955" t="s">
        <v>53</v>
      </c>
      <c r="N1955" t="s">
        <v>54</v>
      </c>
      <c r="O1955" s="27" t="str">
        <f>HYPERLINK("https://www.ncbi.nlm.nih.gov/nuccore/NC_003155.5?report=graph&amp;from=2628311&amp;to=2628315", "TTA_codon")</f>
        <v>TTA_codon</v>
      </c>
    </row>
    <row r="1956" spans="1:15" x14ac:dyDescent="0.15">
      <c r="A1956" t="s">
        <v>21</v>
      </c>
      <c r="B1956">
        <v>1000229</v>
      </c>
      <c r="C1956">
        <v>349665</v>
      </c>
      <c r="F1956" s="7">
        <v>1</v>
      </c>
      <c r="G1956" s="7">
        <v>1012</v>
      </c>
      <c r="H1956" s="8">
        <v>988</v>
      </c>
      <c r="J1956" t="s">
        <v>23</v>
      </c>
      <c r="K1956" s="7">
        <v>1377</v>
      </c>
      <c r="L1956" s="9">
        <v>-1</v>
      </c>
      <c r="M1956" t="s">
        <v>1699</v>
      </c>
      <c r="N1956" t="s">
        <v>335</v>
      </c>
      <c r="O1956" s="27" t="str">
        <f>HYPERLINK("https://www.ncbi.nlm.nih.gov/nuccore/NZ_AGBF01000177.1?report=graph&amp;from=8036&amp;to=8040", "TTA_codon")</f>
        <v>TTA_codon</v>
      </c>
    </row>
    <row r="1957" spans="1:15" x14ac:dyDescent="0.15">
      <c r="A1957" t="s">
        <v>21</v>
      </c>
      <c r="B1957">
        <v>1000229</v>
      </c>
      <c r="C1957">
        <v>351318</v>
      </c>
      <c r="F1957" s="7">
        <v>1</v>
      </c>
      <c r="G1957" s="7">
        <v>1012</v>
      </c>
      <c r="H1957" s="8">
        <v>946</v>
      </c>
      <c r="J1957" t="s">
        <v>23</v>
      </c>
      <c r="K1957" s="7">
        <v>1332</v>
      </c>
      <c r="L1957" s="9">
        <v>-1</v>
      </c>
      <c r="M1957" t="s">
        <v>65</v>
      </c>
      <c r="N1957" t="s">
        <v>66</v>
      </c>
      <c r="O1957" s="27" t="str">
        <f>HYPERLINK("https://www.ncbi.nlm.nih.gov/nuccore/NC_020504.1?report=graph&amp;from=2546475&amp;to=2546479", "TTA_codon")</f>
        <v>TTA_codon</v>
      </c>
    </row>
    <row r="1958" spans="1:15" x14ac:dyDescent="0.15">
      <c r="A1958" t="s">
        <v>21</v>
      </c>
      <c r="B1958">
        <v>1000229</v>
      </c>
      <c r="C1958">
        <v>352031</v>
      </c>
      <c r="F1958" s="7">
        <v>2</v>
      </c>
      <c r="G1958" s="7" t="s">
        <v>1700</v>
      </c>
      <c r="H1958" s="8" t="s">
        <v>1701</v>
      </c>
      <c r="J1958" t="s">
        <v>23</v>
      </c>
      <c r="K1958" s="7">
        <v>1278</v>
      </c>
      <c r="L1958" s="9">
        <v>-1</v>
      </c>
      <c r="M1958" t="s">
        <v>440</v>
      </c>
      <c r="N1958" t="s">
        <v>68</v>
      </c>
      <c r="O1958" s="27" t="str">
        <f>HYPERLINK("https://www.ncbi.nlm.nih.gov/nuccore/NZ_BARG01000050.1?report=graph&amp;from=39491&amp;to=39720", "TTA_codon")</f>
        <v>TTA_codon</v>
      </c>
    </row>
    <row r="1959" spans="1:15" x14ac:dyDescent="0.15">
      <c r="A1959" t="s">
        <v>21</v>
      </c>
      <c r="B1959">
        <v>1000229</v>
      </c>
      <c r="C1959">
        <v>354767</v>
      </c>
      <c r="F1959" s="7">
        <v>1</v>
      </c>
      <c r="G1959" s="7">
        <v>1012</v>
      </c>
      <c r="H1959" s="8">
        <v>952</v>
      </c>
      <c r="J1959" t="s">
        <v>23</v>
      </c>
      <c r="K1959" s="7">
        <v>1335</v>
      </c>
      <c r="L1959" s="9">
        <v>-1</v>
      </c>
      <c r="M1959" t="s">
        <v>1702</v>
      </c>
      <c r="N1959" t="s">
        <v>272</v>
      </c>
      <c r="O1959" s="27" t="str">
        <f>HYPERLINK("https://www.ncbi.nlm.nih.gov/nuccore/NZ_JOEY01000015.1?report=graph&amp;from=235852&amp;to=235856", "TTA_codon")</f>
        <v>TTA_codon</v>
      </c>
    </row>
    <row r="1960" spans="1:15" x14ac:dyDescent="0.15">
      <c r="A1960" t="s">
        <v>21</v>
      </c>
      <c r="B1960">
        <v>1000229</v>
      </c>
      <c r="C1960">
        <v>360287</v>
      </c>
      <c r="F1960" s="7">
        <v>1</v>
      </c>
      <c r="G1960" s="7">
        <v>1012</v>
      </c>
      <c r="H1960" s="8">
        <v>967</v>
      </c>
      <c r="J1960" t="s">
        <v>23</v>
      </c>
      <c r="K1960" s="7">
        <v>1353</v>
      </c>
      <c r="L1960" s="9">
        <v>-1</v>
      </c>
      <c r="M1960" t="s">
        <v>1599</v>
      </c>
      <c r="N1960" t="s">
        <v>125</v>
      </c>
      <c r="O1960" s="27" t="str">
        <f>HYPERLINK("https://www.ncbi.nlm.nih.gov/nuccore/NZ_KQ948463.1?report=graph&amp;from=241915&amp;to=241919", "TTA_codon")</f>
        <v>TTA_codon</v>
      </c>
    </row>
    <row r="1961" spans="1:15" x14ac:dyDescent="0.15">
      <c r="A1961" t="s">
        <v>21</v>
      </c>
      <c r="B1961" t="s">
        <v>1703</v>
      </c>
    </row>
    <row r="1962" spans="1:15" x14ac:dyDescent="0.15">
      <c r="A1962" t="s">
        <v>21</v>
      </c>
      <c r="B1962">
        <v>1000630</v>
      </c>
      <c r="C1962">
        <v>350449</v>
      </c>
      <c r="F1962" s="7">
        <v>1</v>
      </c>
      <c r="G1962" s="7">
        <v>127</v>
      </c>
      <c r="H1962" s="8">
        <v>85</v>
      </c>
      <c r="J1962" t="s">
        <v>23</v>
      </c>
      <c r="K1962" s="7">
        <v>1200</v>
      </c>
      <c r="L1962" s="9">
        <v>-1</v>
      </c>
      <c r="M1962" t="s">
        <v>35</v>
      </c>
      <c r="N1962" t="s">
        <v>36</v>
      </c>
      <c r="O1962" s="27" t="str">
        <f>HYPERLINK("https://www.ncbi.nlm.nih.gov/nuccore/NZ_JH725387.1?report=graph&amp;from=3924974&amp;to=3924978", "TTA_codon")</f>
        <v>TTA_codon</v>
      </c>
    </row>
    <row r="1963" spans="1:15" x14ac:dyDescent="0.15">
      <c r="A1963" t="s">
        <v>21</v>
      </c>
      <c r="B1963">
        <v>1000630</v>
      </c>
      <c r="C1963">
        <v>354134</v>
      </c>
      <c r="F1963" s="7">
        <v>1</v>
      </c>
      <c r="G1963" s="7">
        <v>238</v>
      </c>
      <c r="H1963" s="8">
        <v>232</v>
      </c>
      <c r="J1963" t="s">
        <v>23</v>
      </c>
      <c r="K1963" s="7">
        <v>1236</v>
      </c>
      <c r="L1963" s="9">
        <v>-1</v>
      </c>
      <c r="M1963" t="s">
        <v>1704</v>
      </c>
      <c r="N1963" t="s">
        <v>270</v>
      </c>
      <c r="O1963" s="27" t="str">
        <f>HYPERLINK("https://www.ncbi.nlm.nih.gov/nuccore/NZ_JOBH01000013.1?report=graph&amp;from=53237&amp;to=53241", "TTA_codon")</f>
        <v>TTA_codon</v>
      </c>
    </row>
    <row r="1964" spans="1:15" x14ac:dyDescent="0.15">
      <c r="A1964" t="s">
        <v>21</v>
      </c>
      <c r="B1964">
        <v>1000630</v>
      </c>
      <c r="C1964">
        <v>361794</v>
      </c>
      <c r="F1964" s="7">
        <v>1</v>
      </c>
      <c r="G1964" s="7">
        <v>127</v>
      </c>
      <c r="H1964" s="8">
        <v>115</v>
      </c>
      <c r="J1964" t="s">
        <v>23</v>
      </c>
      <c r="K1964" s="7">
        <v>1230</v>
      </c>
      <c r="L1964" s="9">
        <v>-1</v>
      </c>
      <c r="M1964" t="s">
        <v>37</v>
      </c>
      <c r="N1964" t="s">
        <v>38</v>
      </c>
      <c r="O1964" s="27" t="str">
        <f>HYPERLINK("https://www.ncbi.nlm.nih.gov/nuccore/NZ_CP011533.1?report=graph&amp;from=5486722&amp;to=5486726", "TTA_codon")</f>
        <v>TTA_codon</v>
      </c>
    </row>
    <row r="1965" spans="1:15" x14ac:dyDescent="0.15">
      <c r="A1965" t="s">
        <v>21</v>
      </c>
      <c r="B1965">
        <v>1000630</v>
      </c>
      <c r="C1965">
        <v>362330</v>
      </c>
      <c r="F1965" s="7">
        <v>1</v>
      </c>
      <c r="G1965" s="7">
        <v>127</v>
      </c>
      <c r="H1965" s="8">
        <v>88</v>
      </c>
      <c r="J1965" t="s">
        <v>23</v>
      </c>
      <c r="K1965" s="7">
        <v>1203</v>
      </c>
      <c r="L1965" s="9">
        <v>-1</v>
      </c>
      <c r="M1965" t="s">
        <v>39</v>
      </c>
      <c r="N1965" t="s">
        <v>40</v>
      </c>
      <c r="O1965" s="27" t="str">
        <f>HYPERLINK("https://www.ncbi.nlm.nih.gov/nuccore/NZ_CP017157.1?report=graph&amp;from=746019&amp;to=746023", "TTA_codon")</f>
        <v>TTA_codon</v>
      </c>
    </row>
    <row r="1966" spans="1:15" x14ac:dyDescent="0.15">
      <c r="A1966" t="s">
        <v>21</v>
      </c>
      <c r="B1966" t="s">
        <v>1705</v>
      </c>
    </row>
    <row r="1967" spans="1:15" x14ac:dyDescent="0.15">
      <c r="A1967" t="s">
        <v>21</v>
      </c>
      <c r="B1967">
        <v>1001562</v>
      </c>
      <c r="C1967">
        <v>367275</v>
      </c>
      <c r="F1967" s="7">
        <v>1</v>
      </c>
      <c r="G1967" s="7">
        <v>274</v>
      </c>
      <c r="H1967" s="8">
        <v>220</v>
      </c>
      <c r="J1967" t="s">
        <v>23</v>
      </c>
      <c r="K1967" s="7">
        <v>510</v>
      </c>
      <c r="L1967" s="9">
        <v>-1</v>
      </c>
      <c r="M1967" t="s">
        <v>1706</v>
      </c>
      <c r="N1967" t="s">
        <v>1707</v>
      </c>
      <c r="O1967" s="27" t="str">
        <f>HYPERLINK("https://www.ncbi.nlm.nih.gov/nuccore/NC_054674.1?report=graph&amp;from=39352&amp;to=39356", "TTA_codon")</f>
        <v>TTA_codon</v>
      </c>
    </row>
    <row r="1968" spans="1:15" x14ac:dyDescent="0.15">
      <c r="A1968" t="s">
        <v>21</v>
      </c>
      <c r="B1968">
        <v>1001562</v>
      </c>
      <c r="C1968">
        <v>367399</v>
      </c>
      <c r="F1968" s="7">
        <v>1</v>
      </c>
      <c r="G1968" s="7">
        <v>274</v>
      </c>
      <c r="H1968" s="8">
        <v>211</v>
      </c>
      <c r="J1968" t="s">
        <v>23</v>
      </c>
      <c r="K1968" s="7">
        <v>501</v>
      </c>
      <c r="L1968" s="9">
        <v>-1</v>
      </c>
      <c r="M1968" t="s">
        <v>1708</v>
      </c>
      <c r="N1968" t="s">
        <v>1709</v>
      </c>
      <c r="O1968" s="27" t="str">
        <f>HYPERLINK("https://www.ncbi.nlm.nih.gov/nuccore/NC_054675.1?report=graph&amp;from=39406&amp;to=39410", "TTA_codon")</f>
        <v>TTA_codon</v>
      </c>
    </row>
    <row r="1969" spans="1:15" x14ac:dyDescent="0.15">
      <c r="A1969" t="s">
        <v>21</v>
      </c>
      <c r="B1969">
        <v>1001562</v>
      </c>
      <c r="C1969">
        <v>367405</v>
      </c>
      <c r="F1969" s="7">
        <v>1</v>
      </c>
      <c r="G1969" s="7">
        <v>274</v>
      </c>
      <c r="H1969" s="8">
        <v>253</v>
      </c>
      <c r="J1969" t="s">
        <v>23</v>
      </c>
      <c r="K1969" s="7">
        <v>543</v>
      </c>
      <c r="L1969" s="9">
        <v>-1</v>
      </c>
      <c r="M1969" t="s">
        <v>1710</v>
      </c>
      <c r="N1969" t="s">
        <v>1711</v>
      </c>
      <c r="O1969" s="27" t="str">
        <f>HYPERLINK("https://www.ncbi.nlm.nih.gov/nuccore/NC_054673.1?report=graph&amp;from=39633&amp;to=39637", "TTA_codon")</f>
        <v>TTA_codon</v>
      </c>
    </row>
    <row r="1970" spans="1:15" x14ac:dyDescent="0.15">
      <c r="A1970" t="s">
        <v>21</v>
      </c>
      <c r="B1970" t="s">
        <v>1712</v>
      </c>
    </row>
    <row r="1971" spans="1:15" x14ac:dyDescent="0.15">
      <c r="A1971" t="s">
        <v>21</v>
      </c>
      <c r="B1971">
        <v>1001206</v>
      </c>
      <c r="C1971">
        <v>347281</v>
      </c>
      <c r="F1971" s="7">
        <v>1</v>
      </c>
      <c r="G1971" s="7">
        <v>1597</v>
      </c>
      <c r="H1971" s="8">
        <v>1267</v>
      </c>
      <c r="J1971" t="s">
        <v>23</v>
      </c>
      <c r="K1971" s="7">
        <v>2322</v>
      </c>
      <c r="L1971" s="9">
        <v>-1</v>
      </c>
      <c r="M1971" t="s">
        <v>53</v>
      </c>
      <c r="N1971" t="s">
        <v>54</v>
      </c>
      <c r="O1971" s="27" t="str">
        <f>HYPERLINK("https://www.ncbi.nlm.nih.gov/nuccore/NC_003155.5?report=graph&amp;from=3374017&amp;to=3374021", "TTA_codon")</f>
        <v>TTA_codon</v>
      </c>
    </row>
    <row r="1972" spans="1:15" x14ac:dyDescent="0.15">
      <c r="A1972" t="s">
        <v>21</v>
      </c>
      <c r="B1972">
        <v>1001206</v>
      </c>
      <c r="C1972">
        <v>348525</v>
      </c>
      <c r="F1972" s="7">
        <v>1</v>
      </c>
      <c r="G1972" s="7">
        <v>1597</v>
      </c>
      <c r="H1972" s="8">
        <v>1171</v>
      </c>
      <c r="J1972" t="s">
        <v>23</v>
      </c>
      <c r="K1972" s="7">
        <v>2241</v>
      </c>
      <c r="L1972" s="9">
        <v>-1</v>
      </c>
      <c r="M1972" t="s">
        <v>61</v>
      </c>
      <c r="N1972" t="s">
        <v>62</v>
      </c>
      <c r="O1972" s="27" t="str">
        <f>HYPERLINK("https://www.ncbi.nlm.nih.gov/nuccore/NZ_DS999641.1?report=graph&amp;from=2455274&amp;to=2455278", "TTA_codon")</f>
        <v>TTA_codon</v>
      </c>
    </row>
    <row r="1973" spans="1:15" x14ac:dyDescent="0.15">
      <c r="A1973" t="s">
        <v>21</v>
      </c>
      <c r="B1973">
        <v>1001206</v>
      </c>
      <c r="C1973">
        <v>349481</v>
      </c>
      <c r="F1973" s="7">
        <v>1</v>
      </c>
      <c r="G1973" s="7">
        <v>1597</v>
      </c>
      <c r="H1973" s="8">
        <v>1354</v>
      </c>
      <c r="J1973" t="s">
        <v>23</v>
      </c>
      <c r="K1973" s="7">
        <v>2409</v>
      </c>
      <c r="L1973" s="9">
        <v>-1</v>
      </c>
      <c r="M1973" t="s">
        <v>1713</v>
      </c>
      <c r="N1973" t="s">
        <v>64</v>
      </c>
      <c r="O1973" s="27" t="str">
        <f>HYPERLINK("https://www.ncbi.nlm.nih.gov/nuccore/NZ_AEYX01000030.1?report=graph&amp;from=53355&amp;to=53359", "TTA_codon")</f>
        <v>TTA_codon</v>
      </c>
    </row>
    <row r="1974" spans="1:15" x14ac:dyDescent="0.15">
      <c r="A1974" t="s">
        <v>21</v>
      </c>
      <c r="B1974">
        <v>1001206</v>
      </c>
      <c r="C1974">
        <v>351234</v>
      </c>
      <c r="F1974" s="7">
        <v>1</v>
      </c>
      <c r="G1974" s="7">
        <v>1597</v>
      </c>
      <c r="H1974" s="8">
        <v>1177</v>
      </c>
      <c r="J1974" t="s">
        <v>23</v>
      </c>
      <c r="K1974" s="7">
        <v>2232</v>
      </c>
      <c r="L1974" s="9">
        <v>-1</v>
      </c>
      <c r="M1974" t="s">
        <v>65</v>
      </c>
      <c r="N1974" t="s">
        <v>66</v>
      </c>
      <c r="O1974" s="27" t="str">
        <f>HYPERLINK("https://www.ncbi.nlm.nih.gov/nuccore/NC_020504.1?report=graph&amp;from=3312172&amp;to=3312176", "TTA_codon")</f>
        <v>TTA_codon</v>
      </c>
    </row>
    <row r="1975" spans="1:15" x14ac:dyDescent="0.15">
      <c r="A1975" t="s">
        <v>21</v>
      </c>
      <c r="B1975">
        <v>1001206</v>
      </c>
      <c r="C1975">
        <v>351541</v>
      </c>
      <c r="F1975" s="7">
        <v>4</v>
      </c>
      <c r="G1975" s="7" t="s">
        <v>1714</v>
      </c>
      <c r="H1975" s="8" t="s">
        <v>1715</v>
      </c>
      <c r="J1975" t="s">
        <v>23</v>
      </c>
      <c r="K1975" s="7">
        <v>2094</v>
      </c>
      <c r="L1975" s="9">
        <v>-1</v>
      </c>
      <c r="M1975" t="s">
        <v>1716</v>
      </c>
      <c r="N1975" t="s">
        <v>138</v>
      </c>
      <c r="O1975" s="27" t="str">
        <f>HYPERLINK("https://www.ncbi.nlm.nih.gov/nuccore/NZ_KB889714.1?report=graph&amp;from=9772&amp;to=10859", "TTA_codon")</f>
        <v>TTA_codon</v>
      </c>
    </row>
    <row r="1976" spans="1:15" x14ac:dyDescent="0.15">
      <c r="A1976" t="s">
        <v>21</v>
      </c>
      <c r="B1976">
        <v>1001206</v>
      </c>
      <c r="C1976">
        <v>352763</v>
      </c>
      <c r="F1976" s="7">
        <v>1</v>
      </c>
      <c r="G1976" s="7">
        <v>1279</v>
      </c>
      <c r="H1976" s="8">
        <v>727</v>
      </c>
      <c r="J1976" t="s">
        <v>23</v>
      </c>
      <c r="K1976" s="7">
        <v>2145</v>
      </c>
      <c r="L1976" s="9">
        <v>-1</v>
      </c>
      <c r="M1976" t="s">
        <v>472</v>
      </c>
      <c r="N1976" t="s">
        <v>473</v>
      </c>
      <c r="O1976" s="27" t="str">
        <f>HYPERLINK("https://www.ncbi.nlm.nih.gov/nuccore/NZ_ASHX02000001.1?report=graph&amp;from=1781281&amp;to=1781285", "TTA_codon")</f>
        <v>TTA_codon</v>
      </c>
    </row>
    <row r="1977" spans="1:15" x14ac:dyDescent="0.15">
      <c r="A1977" t="s">
        <v>21</v>
      </c>
      <c r="B1977">
        <v>1001206</v>
      </c>
      <c r="C1977">
        <v>355273</v>
      </c>
      <c r="F1977" s="7">
        <v>1</v>
      </c>
      <c r="G1977" s="7">
        <v>2314</v>
      </c>
      <c r="H1977" s="8">
        <v>1705</v>
      </c>
      <c r="J1977" t="s">
        <v>23</v>
      </c>
      <c r="K1977" s="7">
        <v>2043</v>
      </c>
      <c r="L1977" s="9">
        <v>-1</v>
      </c>
      <c r="M1977" t="s">
        <v>1717</v>
      </c>
      <c r="N1977" t="s">
        <v>295</v>
      </c>
      <c r="O1977" s="27" t="str">
        <f>HYPERLINK("https://www.ncbi.nlm.nih.gov/nuccore/NZ_JODL01000013.1?report=graph&amp;from=7504&amp;to=7508", "TTA_codon")</f>
        <v>TTA_codon</v>
      </c>
    </row>
    <row r="1978" spans="1:15" x14ac:dyDescent="0.15">
      <c r="A1978" t="s">
        <v>21</v>
      </c>
      <c r="B1978">
        <v>1001206</v>
      </c>
      <c r="C1978">
        <v>355890</v>
      </c>
      <c r="F1978" s="7">
        <v>1</v>
      </c>
      <c r="G1978" s="7">
        <v>1171</v>
      </c>
      <c r="H1978" s="8">
        <v>736</v>
      </c>
      <c r="J1978" t="s">
        <v>23</v>
      </c>
      <c r="K1978" s="7">
        <v>2202</v>
      </c>
      <c r="L1978" s="9">
        <v>-1</v>
      </c>
      <c r="M1978" t="s">
        <v>1390</v>
      </c>
      <c r="N1978" t="s">
        <v>384</v>
      </c>
      <c r="O1978" s="27" t="str">
        <f>HYPERLINK("https://www.ncbi.nlm.nih.gov/nuccore/NZ_JOAK01000005.1?report=graph&amp;from=53125&amp;to=53129", "TTA_codon")</f>
        <v>TTA_codon</v>
      </c>
    </row>
    <row r="1979" spans="1:15" x14ac:dyDescent="0.15">
      <c r="A1979" t="s">
        <v>21</v>
      </c>
      <c r="B1979">
        <v>1001206</v>
      </c>
      <c r="C1979">
        <v>356030</v>
      </c>
      <c r="F1979" s="7">
        <v>1</v>
      </c>
      <c r="G1979" s="7">
        <v>1597</v>
      </c>
      <c r="H1979" s="8">
        <v>1207</v>
      </c>
      <c r="J1979" t="s">
        <v>23</v>
      </c>
      <c r="K1979" s="7">
        <v>2262</v>
      </c>
      <c r="L1979" s="9">
        <v>-1</v>
      </c>
      <c r="M1979" t="s">
        <v>1718</v>
      </c>
      <c r="N1979" t="s">
        <v>146</v>
      </c>
      <c r="O1979" s="27" t="str">
        <f>HYPERLINK("https://www.ncbi.nlm.nih.gov/nuccore/NZ_JOFH01000008.1?report=graph&amp;from=138074&amp;to=138078", "TTA_codon")</f>
        <v>TTA_codon</v>
      </c>
    </row>
    <row r="1980" spans="1:15" x14ac:dyDescent="0.15">
      <c r="A1980" t="s">
        <v>21</v>
      </c>
      <c r="B1980">
        <v>1001206</v>
      </c>
      <c r="C1980">
        <v>357013</v>
      </c>
      <c r="F1980" s="7">
        <v>1</v>
      </c>
      <c r="G1980" s="7">
        <v>1438</v>
      </c>
      <c r="H1980" s="8">
        <v>937</v>
      </c>
      <c r="J1980" t="s">
        <v>23</v>
      </c>
      <c r="K1980" s="7">
        <v>2193</v>
      </c>
      <c r="L1980" s="9">
        <v>-1</v>
      </c>
      <c r="M1980" t="s">
        <v>162</v>
      </c>
      <c r="N1980" t="s">
        <v>163</v>
      </c>
      <c r="O1980" s="27" t="str">
        <f>HYPERLINK("https://www.ncbi.nlm.nih.gov/nuccore/NZ_CP010519.1?report=graph&amp;from=2250417&amp;to=2250421", "TTA_codon")</f>
        <v>TTA_codon</v>
      </c>
    </row>
    <row r="1981" spans="1:15" x14ac:dyDescent="0.15">
      <c r="A1981" t="s">
        <v>21</v>
      </c>
      <c r="B1981">
        <v>1001206</v>
      </c>
      <c r="C1981">
        <v>357400</v>
      </c>
      <c r="F1981" s="7">
        <v>1</v>
      </c>
      <c r="G1981" s="7">
        <v>1597</v>
      </c>
      <c r="H1981" s="8">
        <v>1261</v>
      </c>
      <c r="J1981" t="s">
        <v>23</v>
      </c>
      <c r="K1981" s="7">
        <v>2334</v>
      </c>
      <c r="L1981" s="9">
        <v>-1</v>
      </c>
      <c r="M1981" t="s">
        <v>80</v>
      </c>
      <c r="N1981" t="s">
        <v>81</v>
      </c>
      <c r="O1981" s="27" t="str">
        <f>HYPERLINK("https://www.ncbi.nlm.nih.gov/nuccore/NZ_LN831790.1?report=graph&amp;from=2657254&amp;to=2657258", "TTA_codon")</f>
        <v>TTA_codon</v>
      </c>
    </row>
    <row r="1982" spans="1:15" x14ac:dyDescent="0.15">
      <c r="A1982" t="s">
        <v>21</v>
      </c>
      <c r="B1982">
        <v>1001206</v>
      </c>
      <c r="C1982">
        <v>359060</v>
      </c>
      <c r="F1982" s="7">
        <v>1</v>
      </c>
      <c r="G1982" s="7">
        <v>1597</v>
      </c>
      <c r="H1982" s="8">
        <v>1225</v>
      </c>
      <c r="J1982" t="s">
        <v>23</v>
      </c>
      <c r="K1982" s="7">
        <v>2289</v>
      </c>
      <c r="L1982" s="9">
        <v>-1</v>
      </c>
      <c r="M1982" t="s">
        <v>1719</v>
      </c>
      <c r="N1982" t="s">
        <v>451</v>
      </c>
      <c r="O1982" s="27" t="str">
        <f>HYPERLINK("https://www.ncbi.nlm.nih.gov/nuccore/NZ_LIQZ01000187.1?report=graph&amp;from=9417&amp;to=9421", "TTA_codon")</f>
        <v>TTA_codon</v>
      </c>
    </row>
    <row r="1983" spans="1:15" x14ac:dyDescent="0.15">
      <c r="A1983" t="s">
        <v>21</v>
      </c>
      <c r="B1983">
        <v>1001206</v>
      </c>
      <c r="C1983">
        <v>362462</v>
      </c>
      <c r="F1983" s="7">
        <v>1</v>
      </c>
      <c r="G1983" s="7">
        <v>1597</v>
      </c>
      <c r="H1983" s="8">
        <v>1180</v>
      </c>
      <c r="J1983" t="s">
        <v>23</v>
      </c>
      <c r="K1983" s="7">
        <v>2226</v>
      </c>
      <c r="L1983" s="9">
        <v>-1</v>
      </c>
      <c r="M1983" t="s">
        <v>32</v>
      </c>
      <c r="N1983" t="s">
        <v>33</v>
      </c>
      <c r="O1983" s="27" t="str">
        <f>HYPERLINK("https://www.ncbi.nlm.nih.gov/nuccore/NZ_CP017248.1?report=graph&amp;from=3357363&amp;to=3357367", "TTA_codon")</f>
        <v>TTA_codon</v>
      </c>
    </row>
    <row r="1984" spans="1:15" x14ac:dyDescent="0.15">
      <c r="A1984" t="s">
        <v>21</v>
      </c>
      <c r="B1984">
        <v>1001206</v>
      </c>
      <c r="C1984">
        <v>366783</v>
      </c>
      <c r="F1984" s="7">
        <v>1</v>
      </c>
      <c r="G1984" s="7">
        <v>1693</v>
      </c>
      <c r="H1984" s="8">
        <v>1099</v>
      </c>
      <c r="J1984" t="s">
        <v>23</v>
      </c>
      <c r="K1984" s="7">
        <v>2094</v>
      </c>
      <c r="L1984" s="9">
        <v>-1</v>
      </c>
      <c r="M1984" t="s">
        <v>1720</v>
      </c>
      <c r="N1984" t="s">
        <v>209</v>
      </c>
      <c r="O1984" s="27" t="str">
        <f>HYPERLINK("https://www.ncbi.nlm.nih.gov/nuccore/NZ_FZOF01000008.1?report=graph&amp;from=183022&amp;to=183026", "TTA_codon")</f>
        <v>TTA_codon</v>
      </c>
    </row>
    <row r="1985" spans="1:15" x14ac:dyDescent="0.15">
      <c r="A1985" t="s">
        <v>21</v>
      </c>
      <c r="B1985" t="s">
        <v>1721</v>
      </c>
    </row>
    <row r="1986" spans="1:15" x14ac:dyDescent="0.15">
      <c r="A1986" t="s">
        <v>21</v>
      </c>
      <c r="B1986">
        <v>1001076</v>
      </c>
      <c r="C1986">
        <v>355266</v>
      </c>
      <c r="F1986" s="7">
        <v>1</v>
      </c>
      <c r="G1986" s="7">
        <v>196</v>
      </c>
      <c r="H1986" s="8">
        <v>193</v>
      </c>
      <c r="J1986" t="s">
        <v>23</v>
      </c>
      <c r="K1986" s="7">
        <v>612</v>
      </c>
      <c r="L1986" s="9">
        <v>-1</v>
      </c>
      <c r="M1986" t="s">
        <v>1722</v>
      </c>
      <c r="N1986" t="s">
        <v>295</v>
      </c>
      <c r="O1986" s="27" t="str">
        <f>HYPERLINK("https://www.ncbi.nlm.nih.gov/nuccore/NZ_JODL01000002.1?report=graph&amp;from=200333&amp;to=200337", "TTA_codon")</f>
        <v>TTA_codon</v>
      </c>
    </row>
    <row r="1987" spans="1:15" x14ac:dyDescent="0.15">
      <c r="A1987" t="s">
        <v>21</v>
      </c>
      <c r="B1987">
        <v>1001076</v>
      </c>
      <c r="C1987">
        <v>366077</v>
      </c>
      <c r="F1987" s="7">
        <v>1</v>
      </c>
      <c r="G1987" s="7">
        <v>196</v>
      </c>
      <c r="H1987" s="8">
        <v>196</v>
      </c>
      <c r="J1987" t="s">
        <v>23</v>
      </c>
      <c r="K1987" s="7">
        <v>615</v>
      </c>
      <c r="L1987" s="9">
        <v>-1</v>
      </c>
      <c r="M1987" t="s">
        <v>1723</v>
      </c>
      <c r="N1987" t="s">
        <v>257</v>
      </c>
      <c r="O1987" s="27" t="str">
        <f>HYPERLINK("https://www.ncbi.nlm.nih.gov/nuccore/NZ_FOET01000012.1?report=graph&amp;from=91810&amp;to=91814", "TTA_codon")</f>
        <v>TTA_codon</v>
      </c>
    </row>
    <row r="1988" spans="1:15" x14ac:dyDescent="0.15">
      <c r="A1988" t="s">
        <v>21</v>
      </c>
      <c r="B1988" t="s">
        <v>1724</v>
      </c>
    </row>
    <row r="1989" spans="1:15" x14ac:dyDescent="0.15">
      <c r="A1989" t="s">
        <v>21</v>
      </c>
      <c r="B1989">
        <v>1000968</v>
      </c>
      <c r="C1989">
        <v>353689</v>
      </c>
      <c r="F1989" s="7">
        <v>1</v>
      </c>
      <c r="G1989" s="7">
        <v>400</v>
      </c>
      <c r="H1989" s="8">
        <v>400</v>
      </c>
      <c r="J1989" t="s">
        <v>23</v>
      </c>
      <c r="K1989" s="7">
        <v>1170</v>
      </c>
      <c r="L1989" s="9">
        <v>1</v>
      </c>
      <c r="M1989" t="s">
        <v>1027</v>
      </c>
      <c r="N1989" t="s">
        <v>140</v>
      </c>
      <c r="O1989" s="27" t="str">
        <f>HYPERLINK("https://www.ncbi.nlm.nih.gov/nuccore/NZ_JNXG01000025.1?report=graph&amp;from=2787&amp;to=2791", "TTA_codon")</f>
        <v>TTA_codon</v>
      </c>
    </row>
    <row r="1990" spans="1:15" x14ac:dyDescent="0.15">
      <c r="A1990" t="s">
        <v>21</v>
      </c>
      <c r="B1990">
        <v>1000968</v>
      </c>
      <c r="C1990">
        <v>363048</v>
      </c>
      <c r="F1990" s="7">
        <v>1</v>
      </c>
      <c r="G1990" s="7">
        <v>445</v>
      </c>
      <c r="H1990" s="8">
        <v>445</v>
      </c>
      <c r="J1990" t="s">
        <v>23</v>
      </c>
      <c r="K1990" s="7">
        <v>1170</v>
      </c>
      <c r="L1990" s="9">
        <v>1</v>
      </c>
      <c r="M1990" t="s">
        <v>1725</v>
      </c>
      <c r="N1990" t="s">
        <v>1726</v>
      </c>
      <c r="O1990" s="27" t="str">
        <f>HYPERLINK("https://www.ncbi.nlm.nih.gov/nuccore/NZ_MLCF01000002.1?report=graph&amp;from=1334&amp;to=1338", "TTA_codon")</f>
        <v>TTA_codon</v>
      </c>
    </row>
    <row r="1991" spans="1:15" x14ac:dyDescent="0.15">
      <c r="A1991" t="s">
        <v>21</v>
      </c>
      <c r="B1991" t="s">
        <v>1727</v>
      </c>
    </row>
    <row r="1992" spans="1:15" x14ac:dyDescent="0.15">
      <c r="A1992" t="s">
        <v>21</v>
      </c>
      <c r="B1992">
        <v>1000867</v>
      </c>
      <c r="C1992">
        <v>352597</v>
      </c>
      <c r="F1992" s="7">
        <v>1</v>
      </c>
      <c r="G1992" s="7">
        <v>97</v>
      </c>
      <c r="H1992" s="8">
        <v>97</v>
      </c>
      <c r="J1992" t="s">
        <v>23</v>
      </c>
      <c r="K1992" s="7">
        <v>2343</v>
      </c>
      <c r="L1992" s="9">
        <v>-1</v>
      </c>
      <c r="M1992" t="s">
        <v>1728</v>
      </c>
      <c r="N1992" t="s">
        <v>436</v>
      </c>
      <c r="O1992" s="27" t="str">
        <f>HYPERLINK("https://www.ncbi.nlm.nih.gov/nuccore/NZ_AUBE01000004.1?report=graph&amp;from=317668&amp;to=317672", "TTA_codon")</f>
        <v>TTA_codon</v>
      </c>
    </row>
    <row r="1993" spans="1:15" x14ac:dyDescent="0.15">
      <c r="A1993" t="s">
        <v>21</v>
      </c>
      <c r="B1993">
        <v>1000867</v>
      </c>
      <c r="C1993">
        <v>363488</v>
      </c>
      <c r="F1993" s="7">
        <v>1</v>
      </c>
      <c r="G1993" s="7">
        <v>97</v>
      </c>
      <c r="H1993" s="8">
        <v>52</v>
      </c>
      <c r="J1993" t="s">
        <v>23</v>
      </c>
      <c r="K1993" s="7">
        <v>2319</v>
      </c>
      <c r="L1993" s="9">
        <v>-1</v>
      </c>
      <c r="M1993" t="s">
        <v>157</v>
      </c>
      <c r="N1993" t="s">
        <v>158</v>
      </c>
      <c r="O1993" s="27" t="str">
        <f>HYPERLINK("https://www.ncbi.nlm.nih.gov/nuccore/NZ_CP015588.1?report=graph&amp;from=3178257&amp;to=3178261", "TTA_codon")</f>
        <v>TTA_codon</v>
      </c>
    </row>
    <row r="1994" spans="1:15" x14ac:dyDescent="0.15">
      <c r="A1994" t="s">
        <v>21</v>
      </c>
      <c r="B1994" t="s">
        <v>1729</v>
      </c>
    </row>
    <row r="1995" spans="1:15" x14ac:dyDescent="0.15">
      <c r="A1995" t="s">
        <v>21</v>
      </c>
      <c r="B1995">
        <v>1001461</v>
      </c>
      <c r="C1995">
        <v>363718</v>
      </c>
      <c r="F1995" s="7">
        <v>1</v>
      </c>
      <c r="G1995" s="7">
        <v>49</v>
      </c>
      <c r="H1995" s="8">
        <v>49</v>
      </c>
      <c r="J1995" t="s">
        <v>23</v>
      </c>
      <c r="K1995" s="7">
        <v>528</v>
      </c>
      <c r="L1995" s="9">
        <v>1</v>
      </c>
      <c r="M1995" t="s">
        <v>101</v>
      </c>
      <c r="N1995" t="s">
        <v>102</v>
      </c>
      <c r="O1995" s="27" t="str">
        <f>HYPERLINK("https://www.ncbi.nlm.nih.gov/nuccore/NZ_CP019458.1?report=graph&amp;from=9259025&amp;to=9259029", "TTA_codon")</f>
        <v>TTA_codon</v>
      </c>
    </row>
    <row r="1996" spans="1:15" x14ac:dyDescent="0.15">
      <c r="A1996" t="s">
        <v>21</v>
      </c>
      <c r="B1996">
        <v>1001461</v>
      </c>
      <c r="C1996">
        <v>365694</v>
      </c>
      <c r="F1996" s="7">
        <v>1</v>
      </c>
      <c r="G1996" s="7">
        <v>49</v>
      </c>
      <c r="H1996" s="8">
        <v>46</v>
      </c>
      <c r="J1996" t="s">
        <v>23</v>
      </c>
      <c r="K1996" s="7">
        <v>525</v>
      </c>
      <c r="L1996" s="9">
        <v>1</v>
      </c>
      <c r="M1996" t="s">
        <v>213</v>
      </c>
      <c r="N1996" t="s">
        <v>214</v>
      </c>
      <c r="O1996" s="27" t="str">
        <f>HYPERLINK("https://www.ncbi.nlm.nih.gov/nuccore/NZ_FNST01000002.1?report=graph&amp;from=6912367&amp;to=6912371", "TTA_codon")</f>
        <v>TTA_codon</v>
      </c>
    </row>
    <row r="1997" spans="1:15" x14ac:dyDescent="0.15">
      <c r="A1997" t="s">
        <v>21</v>
      </c>
      <c r="B1997" t="s">
        <v>1730</v>
      </c>
    </row>
    <row r="1998" spans="1:15" x14ac:dyDescent="0.15">
      <c r="A1998" t="s">
        <v>21</v>
      </c>
      <c r="B1998">
        <v>1000286</v>
      </c>
      <c r="C1998">
        <v>347821</v>
      </c>
      <c r="F1998" s="7">
        <v>2</v>
      </c>
      <c r="G1998" s="7" t="s">
        <v>1731</v>
      </c>
      <c r="H1998" s="8" t="s">
        <v>1731</v>
      </c>
      <c r="J1998" t="s">
        <v>23</v>
      </c>
      <c r="K1998" s="7">
        <v>1071</v>
      </c>
      <c r="L1998" s="9">
        <v>-1</v>
      </c>
      <c r="M1998" t="s">
        <v>57</v>
      </c>
      <c r="N1998" t="s">
        <v>58</v>
      </c>
      <c r="O1998" s="27" t="str">
        <f>HYPERLINK("https://www.ncbi.nlm.nih.gov/nuccore/NC_013929.1?report=graph&amp;from=9741742&amp;to=9741815", "TTA_codon")</f>
        <v>TTA_codon</v>
      </c>
    </row>
    <row r="1999" spans="1:15" x14ac:dyDescent="0.15">
      <c r="A1999" t="s">
        <v>21</v>
      </c>
      <c r="B1999">
        <v>1000286</v>
      </c>
      <c r="C1999">
        <v>347822</v>
      </c>
      <c r="F1999" s="7">
        <v>2</v>
      </c>
      <c r="G1999" s="7" t="s">
        <v>1731</v>
      </c>
      <c r="H1999" s="8" t="s">
        <v>1731</v>
      </c>
      <c r="J1999" t="s">
        <v>23</v>
      </c>
      <c r="K1999" s="7">
        <v>1071</v>
      </c>
      <c r="L1999" s="9">
        <v>-1</v>
      </c>
      <c r="M1999" t="s">
        <v>57</v>
      </c>
      <c r="N1999" t="s">
        <v>58</v>
      </c>
      <c r="O1999" s="27" t="str">
        <f>HYPERLINK("https://www.ncbi.nlm.nih.gov/nuccore/NC_013929.1?report=graph&amp;from=6665707&amp;to=6665780", "TTA_codon")</f>
        <v>TTA_codon</v>
      </c>
    </row>
    <row r="2000" spans="1:15" x14ac:dyDescent="0.15">
      <c r="A2000" t="s">
        <v>21</v>
      </c>
      <c r="B2000" t="s">
        <v>1732</v>
      </c>
    </row>
    <row r="2001" spans="1:15" x14ac:dyDescent="0.15">
      <c r="A2001" t="s">
        <v>21</v>
      </c>
      <c r="B2001">
        <v>1001443</v>
      </c>
      <c r="C2001">
        <v>363606</v>
      </c>
      <c r="F2001" s="7">
        <v>1</v>
      </c>
      <c r="G2001" s="7">
        <v>112</v>
      </c>
      <c r="H2001" s="8">
        <v>85</v>
      </c>
      <c r="J2001" t="s">
        <v>23</v>
      </c>
      <c r="K2001" s="7">
        <v>915</v>
      </c>
      <c r="L2001" s="9">
        <v>1</v>
      </c>
      <c r="M2001" t="s">
        <v>101</v>
      </c>
      <c r="N2001" t="s">
        <v>102</v>
      </c>
      <c r="O2001" s="27" t="str">
        <f>HYPERLINK("https://www.ncbi.nlm.nih.gov/nuccore/NZ_CP019458.1?report=graph&amp;from=5240895&amp;to=5240899", "TTA_codon")</f>
        <v>TTA_codon</v>
      </c>
    </row>
    <row r="2002" spans="1:15" x14ac:dyDescent="0.15">
      <c r="A2002" t="s">
        <v>21</v>
      </c>
      <c r="B2002">
        <v>1001443</v>
      </c>
      <c r="C2002">
        <v>365580</v>
      </c>
      <c r="F2002" s="7">
        <v>1</v>
      </c>
      <c r="G2002" s="7">
        <v>112</v>
      </c>
      <c r="H2002" s="8">
        <v>94</v>
      </c>
      <c r="J2002" t="s">
        <v>23</v>
      </c>
      <c r="K2002" s="7">
        <v>924</v>
      </c>
      <c r="L2002" s="9">
        <v>1</v>
      </c>
      <c r="M2002" t="s">
        <v>213</v>
      </c>
      <c r="N2002" t="s">
        <v>214</v>
      </c>
      <c r="O2002" s="27" t="str">
        <f>HYPERLINK("https://www.ncbi.nlm.nih.gov/nuccore/NZ_FNST01000002.1?report=graph&amp;from=2793658&amp;to=2793662", "TTA_codon")</f>
        <v>TTA_codon</v>
      </c>
    </row>
    <row r="2003" spans="1:15" x14ac:dyDescent="0.15">
      <c r="A2003" t="s">
        <v>21</v>
      </c>
      <c r="B2003" t="s">
        <v>1733</v>
      </c>
    </row>
    <row r="2004" spans="1:15" x14ac:dyDescent="0.15">
      <c r="A2004" t="s">
        <v>21</v>
      </c>
      <c r="B2004">
        <v>1000319</v>
      </c>
      <c r="C2004">
        <v>348010</v>
      </c>
      <c r="F2004" s="7">
        <v>1</v>
      </c>
      <c r="G2004" s="7">
        <v>205</v>
      </c>
      <c r="H2004" s="8">
        <v>196</v>
      </c>
      <c r="J2004" t="s">
        <v>23</v>
      </c>
      <c r="K2004" s="7">
        <v>759</v>
      </c>
      <c r="L2004" s="9">
        <v>-1</v>
      </c>
      <c r="M2004" t="s">
        <v>59</v>
      </c>
      <c r="N2004" t="s">
        <v>60</v>
      </c>
      <c r="O2004" s="27" t="str">
        <f>HYPERLINK("https://www.ncbi.nlm.nih.gov/nuccore/NC_016582.1?report=graph&amp;from=9886931&amp;to=9886935", "TTA_codon")</f>
        <v>TTA_codon</v>
      </c>
    </row>
    <row r="2005" spans="1:15" x14ac:dyDescent="0.15">
      <c r="A2005" t="s">
        <v>21</v>
      </c>
      <c r="B2005">
        <v>1000319</v>
      </c>
      <c r="C2005">
        <v>360030</v>
      </c>
      <c r="F2005" s="7">
        <v>1</v>
      </c>
      <c r="G2005" s="7">
        <v>205</v>
      </c>
      <c r="H2005" s="8">
        <v>205</v>
      </c>
      <c r="J2005" t="s">
        <v>23</v>
      </c>
      <c r="K2005" s="7">
        <v>768</v>
      </c>
      <c r="L2005" s="9">
        <v>-1</v>
      </c>
      <c r="M2005" t="s">
        <v>1563</v>
      </c>
      <c r="N2005" t="s">
        <v>125</v>
      </c>
      <c r="O2005" s="27" t="str">
        <f>HYPERLINK("https://www.ncbi.nlm.nih.gov/nuccore/NZ_KQ948451.1?report=graph&amp;from=210638&amp;to=210642", "TTA_codon")</f>
        <v>TTA_codon</v>
      </c>
    </row>
    <row r="2006" spans="1:15" x14ac:dyDescent="0.15">
      <c r="A2006" t="s">
        <v>21</v>
      </c>
      <c r="B2006" t="s">
        <v>1734</v>
      </c>
    </row>
    <row r="2007" spans="1:15" x14ac:dyDescent="0.15">
      <c r="A2007" t="s">
        <v>21</v>
      </c>
      <c r="B2007">
        <v>1000537</v>
      </c>
      <c r="C2007">
        <v>349680</v>
      </c>
      <c r="F2007" s="7">
        <v>1</v>
      </c>
      <c r="G2007" s="7">
        <v>763</v>
      </c>
      <c r="H2007" s="8">
        <v>763</v>
      </c>
      <c r="J2007" t="s">
        <v>23</v>
      </c>
      <c r="K2007" s="7">
        <v>972</v>
      </c>
      <c r="L2007" s="9">
        <v>1</v>
      </c>
      <c r="M2007" t="s">
        <v>1064</v>
      </c>
      <c r="N2007" t="s">
        <v>335</v>
      </c>
      <c r="O2007" s="27" t="str">
        <f>HYPERLINK("https://www.ncbi.nlm.nih.gov/nuccore/NZ_AGBF01000008.1?report=graph&amp;from=96231&amp;to=96235", "TTA_codon")</f>
        <v>TTA_codon</v>
      </c>
    </row>
    <row r="2008" spans="1:15" x14ac:dyDescent="0.15">
      <c r="A2008" t="s">
        <v>21</v>
      </c>
      <c r="B2008">
        <v>1000537</v>
      </c>
      <c r="C2008">
        <v>349876</v>
      </c>
      <c r="F2008" s="7">
        <v>1</v>
      </c>
      <c r="G2008" s="7">
        <v>763</v>
      </c>
      <c r="H2008" s="8">
        <v>763</v>
      </c>
      <c r="J2008" t="s">
        <v>23</v>
      </c>
      <c r="K2008" s="7">
        <v>972</v>
      </c>
      <c r="L2008" s="9">
        <v>1</v>
      </c>
      <c r="M2008" t="s">
        <v>265</v>
      </c>
      <c r="N2008" t="s">
        <v>266</v>
      </c>
      <c r="O2008" s="27" t="str">
        <f>HYPERLINK("https://www.ncbi.nlm.nih.gov/nuccore/NC_017586.1?report=graph&amp;from=3057414&amp;to=3057418", "TTA_codon")</f>
        <v>TTA_codon</v>
      </c>
    </row>
    <row r="2009" spans="1:15" x14ac:dyDescent="0.15">
      <c r="A2009" t="s">
        <v>21</v>
      </c>
      <c r="B2009" t="s">
        <v>1735</v>
      </c>
    </row>
    <row r="2010" spans="1:15" x14ac:dyDescent="0.15">
      <c r="A2010" t="s">
        <v>21</v>
      </c>
      <c r="B2010">
        <v>1000952</v>
      </c>
      <c r="C2010">
        <v>353510</v>
      </c>
      <c r="F2010" s="7">
        <v>1</v>
      </c>
      <c r="G2010" s="7">
        <v>166</v>
      </c>
      <c r="H2010" s="8">
        <v>166</v>
      </c>
      <c r="J2010" t="s">
        <v>23</v>
      </c>
      <c r="K2010" s="7">
        <v>1029</v>
      </c>
      <c r="L2010" s="9">
        <v>-1</v>
      </c>
      <c r="M2010" t="s">
        <v>1736</v>
      </c>
      <c r="N2010" t="s">
        <v>169</v>
      </c>
      <c r="O2010" s="27" t="str">
        <f>HYPERLINK("https://www.ncbi.nlm.nih.gov/nuccore/NZ_JNWJ01000007.1?report=graph&amp;from=275270&amp;to=275274", "TTA_codon")</f>
        <v>TTA_codon</v>
      </c>
    </row>
    <row r="2011" spans="1:15" x14ac:dyDescent="0.15">
      <c r="A2011" t="s">
        <v>21</v>
      </c>
      <c r="B2011">
        <v>1000952</v>
      </c>
      <c r="C2011">
        <v>361318</v>
      </c>
      <c r="F2011" s="7">
        <v>1</v>
      </c>
      <c r="G2011" s="7">
        <v>178</v>
      </c>
      <c r="H2011" s="8">
        <v>169</v>
      </c>
      <c r="J2011" t="s">
        <v>23</v>
      </c>
      <c r="K2011" s="7">
        <v>1005</v>
      </c>
      <c r="L2011" s="9">
        <v>-1</v>
      </c>
      <c r="M2011" t="s">
        <v>98</v>
      </c>
      <c r="N2011" t="s">
        <v>99</v>
      </c>
      <c r="O2011" s="27" t="str">
        <f>HYPERLINK("https://www.ncbi.nlm.nih.gov/nuccore/NZ_CP016438.1?report=graph&amp;from=6006892&amp;to=6006896", "TTA_codon")</f>
        <v>TTA_codon</v>
      </c>
    </row>
    <row r="2012" spans="1:15" x14ac:dyDescent="0.15">
      <c r="A2012" t="s">
        <v>21</v>
      </c>
      <c r="B2012" t="s">
        <v>1737</v>
      </c>
    </row>
    <row r="2013" spans="1:15" x14ac:dyDescent="0.15">
      <c r="A2013" t="s">
        <v>21</v>
      </c>
      <c r="B2013">
        <v>1000169</v>
      </c>
      <c r="C2013">
        <v>347246</v>
      </c>
      <c r="F2013" s="7">
        <v>1</v>
      </c>
      <c r="G2013" s="7">
        <v>571</v>
      </c>
      <c r="H2013" s="8">
        <v>571</v>
      </c>
      <c r="J2013" t="s">
        <v>23</v>
      </c>
      <c r="K2013" s="7">
        <v>1326</v>
      </c>
      <c r="L2013" s="9">
        <v>1</v>
      </c>
      <c r="M2013" t="s">
        <v>53</v>
      </c>
      <c r="N2013" t="s">
        <v>54</v>
      </c>
      <c r="O2013" s="27" t="str">
        <f>HYPERLINK("https://www.ncbi.nlm.nih.gov/nuccore/NC_003155.5?report=graph&amp;from=8064157&amp;to=8064161", "TTA_codon")</f>
        <v>TTA_codon</v>
      </c>
    </row>
    <row r="2014" spans="1:15" x14ac:dyDescent="0.15">
      <c r="A2014" t="s">
        <v>21</v>
      </c>
      <c r="B2014">
        <v>1000169</v>
      </c>
      <c r="C2014">
        <v>354534</v>
      </c>
      <c r="F2014" s="7">
        <v>1</v>
      </c>
      <c r="G2014" s="7">
        <v>631</v>
      </c>
      <c r="H2014" s="8">
        <v>631</v>
      </c>
      <c r="J2014" t="s">
        <v>23</v>
      </c>
      <c r="K2014" s="7">
        <v>1326</v>
      </c>
      <c r="L2014" s="9">
        <v>1</v>
      </c>
      <c r="M2014" t="s">
        <v>679</v>
      </c>
      <c r="N2014" t="s">
        <v>272</v>
      </c>
      <c r="O2014" s="27" t="str">
        <f>HYPERLINK("https://www.ncbi.nlm.nih.gov/nuccore/NZ_JOEY01000024.1?report=graph&amp;from=110821&amp;to=110825", "TTA_codon")</f>
        <v>TTA_codon</v>
      </c>
    </row>
    <row r="2015" spans="1:15" x14ac:dyDescent="0.15">
      <c r="A2015" t="s">
        <v>21</v>
      </c>
      <c r="B2015" t="s">
        <v>1738</v>
      </c>
    </row>
    <row r="2016" spans="1:15" x14ac:dyDescent="0.15">
      <c r="A2016" t="s">
        <v>21</v>
      </c>
      <c r="B2016">
        <v>1001166</v>
      </c>
      <c r="C2016">
        <v>356390</v>
      </c>
      <c r="F2016" s="7">
        <v>1</v>
      </c>
      <c r="G2016" s="7">
        <v>292</v>
      </c>
      <c r="H2016" s="8">
        <v>292</v>
      </c>
      <c r="J2016" t="s">
        <v>23</v>
      </c>
      <c r="K2016" s="7">
        <v>1680</v>
      </c>
      <c r="L2016" s="9">
        <v>1</v>
      </c>
      <c r="M2016" t="s">
        <v>370</v>
      </c>
      <c r="N2016" t="s">
        <v>354</v>
      </c>
      <c r="O2016" s="27" t="str">
        <f>HYPERLINK("https://www.ncbi.nlm.nih.gov/nuccore/NZ_KN050729.1?report=graph&amp;from=686556&amp;to=686560", "TTA_codon")</f>
        <v>TTA_codon</v>
      </c>
    </row>
    <row r="2017" spans="1:15" x14ac:dyDescent="0.15">
      <c r="A2017" t="s">
        <v>21</v>
      </c>
      <c r="B2017">
        <v>1001166</v>
      </c>
      <c r="C2017">
        <v>356849</v>
      </c>
      <c r="F2017" s="7">
        <v>1</v>
      </c>
      <c r="G2017" s="7">
        <v>421</v>
      </c>
      <c r="H2017" s="8">
        <v>421</v>
      </c>
      <c r="J2017" t="s">
        <v>23</v>
      </c>
      <c r="K2017" s="7">
        <v>1608</v>
      </c>
      <c r="L2017" s="9">
        <v>1</v>
      </c>
      <c r="M2017" t="s">
        <v>78</v>
      </c>
      <c r="N2017" t="s">
        <v>79</v>
      </c>
      <c r="O2017" s="27" t="str">
        <f>HYPERLINK("https://www.ncbi.nlm.nih.gov/nuccore/NZ_CP009313.1?report=graph&amp;from=6542820&amp;to=6542824", "TTA_codon")</f>
        <v>TTA_codon</v>
      </c>
    </row>
    <row r="2018" spans="1:15" x14ac:dyDescent="0.15">
      <c r="A2018" t="s">
        <v>21</v>
      </c>
      <c r="B2018" t="s">
        <v>1739</v>
      </c>
    </row>
    <row r="2019" spans="1:15" x14ac:dyDescent="0.15">
      <c r="A2019" t="s">
        <v>21</v>
      </c>
      <c r="B2019">
        <v>1000489</v>
      </c>
      <c r="C2019">
        <v>349240</v>
      </c>
      <c r="F2019" s="7">
        <v>2</v>
      </c>
      <c r="G2019" s="7" t="s">
        <v>1740</v>
      </c>
      <c r="H2019" s="8" t="s">
        <v>1741</v>
      </c>
      <c r="J2019" t="s">
        <v>23</v>
      </c>
      <c r="K2019" s="7">
        <v>1200</v>
      </c>
      <c r="L2019" s="9">
        <v>-1</v>
      </c>
      <c r="M2019" t="s">
        <v>211</v>
      </c>
      <c r="N2019" t="s">
        <v>212</v>
      </c>
      <c r="O2019" s="27" t="str">
        <f>HYPERLINK("https://www.ncbi.nlm.nih.gov/nuccore/NZ_GG657754.1?report=graph&amp;from=2515921&amp;to=2516108", "TTA_codon")</f>
        <v>TTA_codon</v>
      </c>
    </row>
    <row r="2020" spans="1:15" x14ac:dyDescent="0.15">
      <c r="A2020" t="s">
        <v>21</v>
      </c>
      <c r="B2020">
        <v>1000489</v>
      </c>
      <c r="C2020">
        <v>363821</v>
      </c>
      <c r="F2020" s="7">
        <v>1</v>
      </c>
      <c r="G2020" s="7">
        <v>418</v>
      </c>
      <c r="H2020" s="8">
        <v>379</v>
      </c>
      <c r="J2020" t="s">
        <v>23</v>
      </c>
      <c r="K2020" s="7">
        <v>1167</v>
      </c>
      <c r="L2020" s="9">
        <v>-1</v>
      </c>
      <c r="M2020" t="s">
        <v>101</v>
      </c>
      <c r="N2020" t="s">
        <v>102</v>
      </c>
      <c r="O2020" s="27" t="str">
        <f>HYPERLINK("https://www.ncbi.nlm.nih.gov/nuccore/NZ_CP019458.1?report=graph&amp;from=2975276&amp;to=2975280", "TTA_codon")</f>
        <v>TTA_codon</v>
      </c>
    </row>
    <row r="2021" spans="1:15" x14ac:dyDescent="0.15">
      <c r="A2021" t="s">
        <v>21</v>
      </c>
      <c r="B2021" t="s">
        <v>1742</v>
      </c>
    </row>
    <row r="2022" spans="1:15" x14ac:dyDescent="0.15">
      <c r="A2022" t="s">
        <v>21</v>
      </c>
      <c r="B2022">
        <v>1000375</v>
      </c>
      <c r="C2022">
        <v>348300</v>
      </c>
      <c r="F2022" s="7">
        <v>1</v>
      </c>
      <c r="G2022" s="7">
        <v>607</v>
      </c>
      <c r="H2022" s="8">
        <v>589</v>
      </c>
      <c r="J2022" t="s">
        <v>23</v>
      </c>
      <c r="K2022" s="7">
        <v>762</v>
      </c>
      <c r="L2022" s="9">
        <v>1</v>
      </c>
      <c r="M2022" t="s">
        <v>59</v>
      </c>
      <c r="N2022" t="s">
        <v>60</v>
      </c>
      <c r="O2022" s="27" t="str">
        <f>HYPERLINK("https://www.ncbi.nlm.nih.gov/nuccore/NC_016582.1?report=graph&amp;from=2455788&amp;to=2455792", "TTA_codon")</f>
        <v>TTA_codon</v>
      </c>
    </row>
    <row r="2023" spans="1:15" x14ac:dyDescent="0.15">
      <c r="A2023" t="s">
        <v>21</v>
      </c>
      <c r="B2023">
        <v>1000375</v>
      </c>
      <c r="C2023">
        <v>352540</v>
      </c>
      <c r="F2023" s="7">
        <v>1</v>
      </c>
      <c r="G2023" s="7">
        <v>577</v>
      </c>
      <c r="H2023" s="8">
        <v>541</v>
      </c>
      <c r="J2023" t="s">
        <v>23</v>
      </c>
      <c r="K2023" s="7">
        <v>744</v>
      </c>
      <c r="L2023" s="9">
        <v>1</v>
      </c>
      <c r="M2023" t="s">
        <v>30</v>
      </c>
      <c r="N2023" t="s">
        <v>31</v>
      </c>
      <c r="O2023" s="27" t="str">
        <f>HYPERLINK("https://www.ncbi.nlm.nih.gov/nuccore/NZ_KB913030.1?report=graph&amp;from=2876360&amp;to=2876364", "TTA_codon")</f>
        <v>TTA_codon</v>
      </c>
    </row>
    <row r="2024" spans="1:15" x14ac:dyDescent="0.15">
      <c r="A2024" t="s">
        <v>21</v>
      </c>
      <c r="B2024">
        <v>1000375</v>
      </c>
      <c r="C2024">
        <v>354375</v>
      </c>
      <c r="F2024" s="7">
        <v>1</v>
      </c>
      <c r="G2024" s="7">
        <v>832</v>
      </c>
      <c r="H2024" s="8">
        <v>742</v>
      </c>
      <c r="J2024" t="s">
        <v>23</v>
      </c>
      <c r="K2024" s="7">
        <v>765</v>
      </c>
      <c r="L2024" s="9">
        <v>1</v>
      </c>
      <c r="M2024" t="s">
        <v>1089</v>
      </c>
      <c r="N2024" t="s">
        <v>142</v>
      </c>
      <c r="O2024" s="27" t="str">
        <f>HYPERLINK("https://www.ncbi.nlm.nih.gov/nuccore/NZ_JOEI01000007.1?report=graph&amp;from=69134&amp;to=69138", "TTA_codon")</f>
        <v>TTA_codon</v>
      </c>
    </row>
    <row r="2025" spans="1:15" x14ac:dyDescent="0.15">
      <c r="A2025" t="s">
        <v>21</v>
      </c>
      <c r="B2025">
        <v>1000375</v>
      </c>
      <c r="C2025">
        <v>356917</v>
      </c>
      <c r="F2025" s="7">
        <v>1</v>
      </c>
      <c r="G2025" s="7">
        <v>577</v>
      </c>
      <c r="H2025" s="8">
        <v>574</v>
      </c>
      <c r="J2025" t="s">
        <v>23</v>
      </c>
      <c r="K2025" s="7">
        <v>843</v>
      </c>
      <c r="L2025" s="9">
        <v>1</v>
      </c>
      <c r="M2025" t="s">
        <v>78</v>
      </c>
      <c r="N2025" t="s">
        <v>79</v>
      </c>
      <c r="O2025" s="27" t="str">
        <f>HYPERLINK("https://www.ncbi.nlm.nih.gov/nuccore/NZ_CP009313.1?report=graph&amp;from=3098854&amp;to=3098858", "TTA_codon")</f>
        <v>TTA_codon</v>
      </c>
    </row>
    <row r="2026" spans="1:15" x14ac:dyDescent="0.15">
      <c r="A2026" t="s">
        <v>21</v>
      </c>
      <c r="B2026">
        <v>1000375</v>
      </c>
      <c r="C2026">
        <v>357164</v>
      </c>
      <c r="F2026" s="7">
        <v>1</v>
      </c>
      <c r="G2026" s="7">
        <v>745</v>
      </c>
      <c r="H2026" s="8">
        <v>679</v>
      </c>
      <c r="J2026" t="s">
        <v>23</v>
      </c>
      <c r="K2026" s="7">
        <v>738</v>
      </c>
      <c r="L2026" s="9">
        <v>1</v>
      </c>
      <c r="M2026" t="s">
        <v>205</v>
      </c>
      <c r="N2026" t="s">
        <v>206</v>
      </c>
      <c r="O2026" s="27" t="str">
        <f>HYPERLINK("https://www.ncbi.nlm.nih.gov/nuccore/NZ_CP010407.1?report=graph&amp;from=3404505&amp;to=3404509", "TTA_codon")</f>
        <v>TTA_codon</v>
      </c>
    </row>
    <row r="2027" spans="1:15" x14ac:dyDescent="0.15">
      <c r="A2027" t="s">
        <v>21</v>
      </c>
      <c r="B2027" t="s">
        <v>1743</v>
      </c>
    </row>
    <row r="2028" spans="1:15" x14ac:dyDescent="0.15">
      <c r="A2028" t="s">
        <v>21</v>
      </c>
      <c r="B2028">
        <v>1000239</v>
      </c>
      <c r="C2028">
        <v>347624</v>
      </c>
      <c r="F2028" s="7">
        <v>1</v>
      </c>
      <c r="G2028" s="7">
        <v>643</v>
      </c>
      <c r="H2028" s="8">
        <v>553</v>
      </c>
      <c r="J2028" t="s">
        <v>23</v>
      </c>
      <c r="K2028" s="7">
        <v>1494</v>
      </c>
      <c r="L2028" s="9">
        <v>1</v>
      </c>
      <c r="M2028" t="s">
        <v>55</v>
      </c>
      <c r="N2028" t="s">
        <v>56</v>
      </c>
      <c r="O2028" s="27" t="str">
        <f>HYPERLINK("https://www.ncbi.nlm.nih.gov/nuccore/NC_010572.1?report=graph&amp;from=1810729&amp;to=1810733", "TTA_codon")</f>
        <v>TTA_codon</v>
      </c>
    </row>
    <row r="2029" spans="1:15" x14ac:dyDescent="0.15">
      <c r="A2029" t="s">
        <v>21</v>
      </c>
      <c r="B2029">
        <v>1000239</v>
      </c>
      <c r="C2029">
        <v>354551</v>
      </c>
      <c r="F2029" s="7">
        <v>1</v>
      </c>
      <c r="G2029" s="7">
        <v>523</v>
      </c>
      <c r="H2029" s="8">
        <v>451</v>
      </c>
      <c r="J2029" t="s">
        <v>23</v>
      </c>
      <c r="K2029" s="7">
        <v>1521</v>
      </c>
      <c r="L2029" s="9">
        <v>1</v>
      </c>
      <c r="M2029" t="s">
        <v>1744</v>
      </c>
      <c r="N2029" t="s">
        <v>272</v>
      </c>
      <c r="O2029" s="27" t="str">
        <f>HYPERLINK("https://www.ncbi.nlm.nih.gov/nuccore/NZ_JOEY01000014.1?report=graph&amp;from=104657&amp;to=104661", "TTA_codon")</f>
        <v>TTA_codon</v>
      </c>
    </row>
    <row r="2030" spans="1:15" x14ac:dyDescent="0.15">
      <c r="A2030" t="s">
        <v>21</v>
      </c>
      <c r="B2030" t="s">
        <v>1745</v>
      </c>
    </row>
    <row r="2031" spans="1:15" x14ac:dyDescent="0.15">
      <c r="A2031" t="s">
        <v>21</v>
      </c>
      <c r="B2031">
        <v>1000931</v>
      </c>
      <c r="C2031">
        <v>353260</v>
      </c>
      <c r="F2031" s="7">
        <v>1</v>
      </c>
      <c r="G2031" s="7">
        <v>592</v>
      </c>
      <c r="H2031" s="8">
        <v>592</v>
      </c>
      <c r="J2031" t="s">
        <v>23</v>
      </c>
      <c r="K2031" s="7">
        <v>780</v>
      </c>
      <c r="L2031" s="9">
        <v>-1</v>
      </c>
      <c r="M2031" t="s">
        <v>1746</v>
      </c>
      <c r="N2031" t="s">
        <v>169</v>
      </c>
      <c r="O2031" s="27" t="str">
        <f>HYPERLINK("https://www.ncbi.nlm.nih.gov/nuccore/NZ_JNWJ01000129.1?report=graph&amp;from=8798&amp;to=8802", "TTA_codon")</f>
        <v>TTA_codon</v>
      </c>
    </row>
    <row r="2032" spans="1:15" x14ac:dyDescent="0.15">
      <c r="A2032" t="s">
        <v>21</v>
      </c>
      <c r="B2032">
        <v>1000931</v>
      </c>
      <c r="C2032">
        <v>354596</v>
      </c>
      <c r="F2032" s="7">
        <v>1</v>
      </c>
      <c r="G2032" s="7">
        <v>592</v>
      </c>
      <c r="H2032" s="8">
        <v>592</v>
      </c>
      <c r="J2032" t="s">
        <v>23</v>
      </c>
      <c r="K2032" s="7">
        <v>780</v>
      </c>
      <c r="L2032" s="9">
        <v>-1</v>
      </c>
      <c r="M2032" t="s">
        <v>1747</v>
      </c>
      <c r="N2032" t="s">
        <v>272</v>
      </c>
      <c r="O2032" s="27" t="str">
        <f>HYPERLINK("https://www.ncbi.nlm.nih.gov/nuccore/NZ_JOEY01000062.1?report=graph&amp;from=10050&amp;to=10054", "TTA_codon")</f>
        <v>TTA_codon</v>
      </c>
    </row>
    <row r="2033" spans="1:15" x14ac:dyDescent="0.15">
      <c r="A2033" t="s">
        <v>21</v>
      </c>
      <c r="B2033">
        <v>1000931</v>
      </c>
      <c r="C2033">
        <v>360939</v>
      </c>
      <c r="F2033" s="7">
        <v>1</v>
      </c>
      <c r="G2033" s="7">
        <v>526</v>
      </c>
      <c r="H2033" s="8">
        <v>520</v>
      </c>
      <c r="J2033" t="s">
        <v>23</v>
      </c>
      <c r="K2033" s="7">
        <v>774</v>
      </c>
      <c r="L2033" s="9">
        <v>-1</v>
      </c>
      <c r="M2033" t="s">
        <v>1748</v>
      </c>
      <c r="N2033" t="s">
        <v>97</v>
      </c>
      <c r="O2033" s="27" t="str">
        <f>HYPERLINK("https://www.ncbi.nlm.nih.gov/nuccore/NZ_LOHS01000066.1?report=graph&amp;from=9904&amp;to=9908", "TTA_codon")</f>
        <v>TTA_codon</v>
      </c>
    </row>
    <row r="2034" spans="1:15" x14ac:dyDescent="0.15">
      <c r="A2034" t="s">
        <v>21</v>
      </c>
      <c r="B2034" t="s">
        <v>1749</v>
      </c>
    </row>
    <row r="2035" spans="1:15" x14ac:dyDescent="0.15">
      <c r="A2035" t="s">
        <v>21</v>
      </c>
      <c r="B2035">
        <v>1000903</v>
      </c>
      <c r="C2035">
        <v>352970</v>
      </c>
      <c r="F2035" s="7">
        <v>1</v>
      </c>
      <c r="G2035" s="7">
        <v>40</v>
      </c>
      <c r="H2035" s="8">
        <v>40</v>
      </c>
      <c r="J2035" t="s">
        <v>23</v>
      </c>
      <c r="K2035" s="7">
        <v>720</v>
      </c>
      <c r="L2035" s="9">
        <v>1</v>
      </c>
      <c r="M2035" t="s">
        <v>785</v>
      </c>
      <c r="N2035" t="s">
        <v>306</v>
      </c>
      <c r="O2035" s="27" t="str">
        <f>HYPERLINK("https://www.ncbi.nlm.nih.gov/nuccore/NZ_KL571056.1?report=graph&amp;from=342032&amp;to=342036", "TTA_codon")</f>
        <v>TTA_codon</v>
      </c>
    </row>
    <row r="2036" spans="1:15" x14ac:dyDescent="0.15">
      <c r="A2036" t="s">
        <v>21</v>
      </c>
      <c r="B2036">
        <v>1000903</v>
      </c>
      <c r="C2036">
        <v>353821</v>
      </c>
      <c r="F2036" s="7">
        <v>1</v>
      </c>
      <c r="G2036" s="7">
        <v>40</v>
      </c>
      <c r="H2036" s="8">
        <v>40</v>
      </c>
      <c r="J2036" t="s">
        <v>23</v>
      </c>
      <c r="K2036" s="7">
        <v>693</v>
      </c>
      <c r="L2036" s="9">
        <v>1</v>
      </c>
      <c r="M2036" t="s">
        <v>538</v>
      </c>
      <c r="N2036" t="s">
        <v>246</v>
      </c>
      <c r="O2036" s="27" t="str">
        <f>HYPERLINK("https://www.ncbi.nlm.nih.gov/nuccore/NZ_JNYR01000003.1?report=graph&amp;from=67957&amp;to=67961", "TTA_codon")</f>
        <v>TTA_codon</v>
      </c>
    </row>
    <row r="2037" spans="1:15" x14ac:dyDescent="0.15">
      <c r="A2037" t="s">
        <v>21</v>
      </c>
      <c r="B2037">
        <v>1000903</v>
      </c>
      <c r="C2037">
        <v>362290</v>
      </c>
      <c r="F2037" s="7">
        <v>1</v>
      </c>
      <c r="G2037" s="7">
        <v>40</v>
      </c>
      <c r="H2037" s="8">
        <v>40</v>
      </c>
      <c r="J2037" t="s">
        <v>23</v>
      </c>
      <c r="K2037" s="7">
        <v>723</v>
      </c>
      <c r="L2037" s="9">
        <v>1</v>
      </c>
      <c r="M2037" t="s">
        <v>39</v>
      </c>
      <c r="N2037" t="s">
        <v>40</v>
      </c>
      <c r="O2037" s="27" t="str">
        <f>HYPERLINK("https://www.ncbi.nlm.nih.gov/nuccore/NZ_CP017157.1?report=graph&amp;from=4754398&amp;to=4754402", "TTA_codon")</f>
        <v>TTA_codon</v>
      </c>
    </row>
    <row r="2038" spans="1:15" x14ac:dyDescent="0.15">
      <c r="A2038" t="s">
        <v>195</v>
      </c>
      <c r="B2038" t="s">
        <v>1750</v>
      </c>
    </row>
    <row r="2039" spans="1:15" x14ac:dyDescent="0.15">
      <c r="A2039" t="s">
        <v>195</v>
      </c>
      <c r="B2039">
        <v>1000087</v>
      </c>
      <c r="C2039">
        <v>346563</v>
      </c>
      <c r="F2039" s="7">
        <v>2</v>
      </c>
      <c r="G2039" s="7" t="s">
        <v>1751</v>
      </c>
      <c r="H2039" s="8" t="s">
        <v>1752</v>
      </c>
      <c r="J2039" t="s">
        <v>23</v>
      </c>
      <c r="K2039" s="7">
        <v>2049</v>
      </c>
      <c r="L2039" s="9">
        <v>-1</v>
      </c>
      <c r="M2039" t="s">
        <v>162</v>
      </c>
      <c r="N2039" t="s">
        <v>163</v>
      </c>
      <c r="O2039" s="27" t="str">
        <f>HYPERLINK("https://www.ncbi.nlm.nih.gov/nuccore/NZ_CP010519.1?report=graph&amp;from=3892000&amp;to=3892574", "TTA_codon")</f>
        <v>TTA_codon</v>
      </c>
    </row>
    <row r="2040" spans="1:15" x14ac:dyDescent="0.15">
      <c r="A2040" t="s">
        <v>21</v>
      </c>
      <c r="B2040">
        <v>1000087</v>
      </c>
      <c r="C2040">
        <v>360860</v>
      </c>
      <c r="F2040" s="7">
        <v>4</v>
      </c>
      <c r="G2040" s="7" t="s">
        <v>1753</v>
      </c>
      <c r="H2040" s="8" t="s">
        <v>1754</v>
      </c>
      <c r="J2040" t="s">
        <v>23</v>
      </c>
      <c r="K2040" s="7">
        <v>2061</v>
      </c>
      <c r="L2040" s="9">
        <v>-1</v>
      </c>
      <c r="M2040" t="s">
        <v>1050</v>
      </c>
      <c r="N2040" t="s">
        <v>95</v>
      </c>
      <c r="O2040" s="27" t="str">
        <f>HYPERLINK("https://www.ncbi.nlm.nih.gov/nuccore/NZ_JYIJ01000018.1?report=graph&amp;from=192347&amp;to=192813", "TTA_codon")</f>
        <v>TTA_codon</v>
      </c>
    </row>
    <row r="2041" spans="1:15" x14ac:dyDescent="0.15">
      <c r="A2041" t="s">
        <v>195</v>
      </c>
      <c r="B2041" t="s">
        <v>1755</v>
      </c>
    </row>
    <row r="2042" spans="1:15" x14ac:dyDescent="0.15">
      <c r="A2042" t="s">
        <v>195</v>
      </c>
      <c r="B2042">
        <v>1000099</v>
      </c>
      <c r="C2042">
        <v>346652</v>
      </c>
      <c r="F2042" s="7">
        <v>1</v>
      </c>
      <c r="G2042" s="7">
        <v>355</v>
      </c>
      <c r="H2042" s="8">
        <v>349</v>
      </c>
      <c r="J2042" t="s">
        <v>23</v>
      </c>
      <c r="K2042" s="7">
        <v>4020</v>
      </c>
      <c r="L2042" s="9">
        <v>-1</v>
      </c>
      <c r="M2042" t="s">
        <v>1756</v>
      </c>
      <c r="N2042" t="s">
        <v>85</v>
      </c>
      <c r="O2042" s="27" t="str">
        <f>HYPERLINK("https://www.ncbi.nlm.nih.gov/nuccore/NZ_LIQX01000117.1?report=graph&amp;from=9092&amp;to=9096", "TTA_codon")</f>
        <v>TTA_codon</v>
      </c>
    </row>
    <row r="2043" spans="1:15" x14ac:dyDescent="0.15">
      <c r="A2043" t="s">
        <v>21</v>
      </c>
      <c r="B2043">
        <v>1000099</v>
      </c>
      <c r="C2043">
        <v>351230</v>
      </c>
      <c r="F2043" s="7">
        <v>1</v>
      </c>
      <c r="G2043" s="7">
        <v>343</v>
      </c>
      <c r="H2043" s="8">
        <v>337</v>
      </c>
      <c r="J2043" t="s">
        <v>23</v>
      </c>
      <c r="K2043" s="7">
        <v>3966</v>
      </c>
      <c r="L2043" s="9">
        <v>-1</v>
      </c>
      <c r="M2043" t="s">
        <v>65</v>
      </c>
      <c r="N2043" t="s">
        <v>66</v>
      </c>
      <c r="O2043" s="27" t="str">
        <f>HYPERLINK("https://www.ncbi.nlm.nih.gov/nuccore/NC_020504.1?report=graph&amp;from=6407971&amp;to=6407975", "TTA_codon")</f>
        <v>TTA_codon</v>
      </c>
    </row>
    <row r="2044" spans="1:15" x14ac:dyDescent="0.15">
      <c r="A2044" t="s">
        <v>21</v>
      </c>
      <c r="B2044">
        <v>1000099</v>
      </c>
      <c r="C2044">
        <v>357712</v>
      </c>
      <c r="F2044" s="7">
        <v>1</v>
      </c>
      <c r="G2044" s="7">
        <v>343</v>
      </c>
      <c r="H2044" s="8">
        <v>337</v>
      </c>
      <c r="J2044" t="s">
        <v>23</v>
      </c>
      <c r="K2044" s="7">
        <v>4026</v>
      </c>
      <c r="L2044" s="9">
        <v>-1</v>
      </c>
      <c r="M2044" t="s">
        <v>1757</v>
      </c>
      <c r="N2044" t="s">
        <v>83</v>
      </c>
      <c r="O2044" s="27" t="str">
        <f>HYPERLINK("https://www.ncbi.nlm.nih.gov/nuccore/NZ_DF968241.1?report=graph&amp;from=37265&amp;to=37269", "TTA_codon")</f>
        <v>TTA_codon</v>
      </c>
    </row>
    <row r="2045" spans="1:15" x14ac:dyDescent="0.15">
      <c r="A2045" t="s">
        <v>21</v>
      </c>
      <c r="B2045">
        <v>1000099</v>
      </c>
      <c r="C2045">
        <v>363935</v>
      </c>
      <c r="F2045" s="7">
        <v>1</v>
      </c>
      <c r="G2045" s="7">
        <v>343</v>
      </c>
      <c r="H2045" s="8">
        <v>343</v>
      </c>
      <c r="J2045" t="s">
        <v>23</v>
      </c>
      <c r="K2045" s="7">
        <v>3765</v>
      </c>
      <c r="L2045" s="9">
        <v>-1</v>
      </c>
      <c r="M2045" t="s">
        <v>858</v>
      </c>
      <c r="N2045" t="s">
        <v>104</v>
      </c>
      <c r="O2045" s="27" t="str">
        <f>HYPERLINK("https://www.ncbi.nlm.nih.gov/nuccore/NZ_MVFC01000006.1?report=graph&amp;from=152681&amp;to=152685", "TTA_codon")</f>
        <v>TTA_codon</v>
      </c>
    </row>
    <row r="2046" spans="1:15" x14ac:dyDescent="0.15">
      <c r="A2046" t="s">
        <v>21</v>
      </c>
      <c r="B2046" t="s">
        <v>1758</v>
      </c>
    </row>
    <row r="2047" spans="1:15" x14ac:dyDescent="0.15">
      <c r="A2047" t="s">
        <v>21</v>
      </c>
      <c r="B2047">
        <v>1001370</v>
      </c>
      <c r="C2047">
        <v>361388</v>
      </c>
      <c r="F2047" s="7">
        <v>1</v>
      </c>
      <c r="G2047" s="7">
        <v>106</v>
      </c>
      <c r="H2047" s="8">
        <v>52</v>
      </c>
      <c r="J2047" t="s">
        <v>23</v>
      </c>
      <c r="K2047" s="7">
        <v>2220</v>
      </c>
      <c r="L2047" s="9">
        <v>-1</v>
      </c>
      <c r="M2047" t="s">
        <v>200</v>
      </c>
      <c r="N2047" t="s">
        <v>201</v>
      </c>
      <c r="O2047" s="27" t="str">
        <f>HYPERLINK("https://www.ncbi.nlm.nih.gov/nuccore/NZ_CP016559.1?report=graph&amp;from=6216901&amp;to=6216905", "TTA_codon")</f>
        <v>TTA_codon</v>
      </c>
    </row>
    <row r="2048" spans="1:15" x14ac:dyDescent="0.15">
      <c r="A2048" t="s">
        <v>21</v>
      </c>
      <c r="B2048">
        <v>1001370</v>
      </c>
      <c r="C2048">
        <v>361389</v>
      </c>
      <c r="F2048" s="7">
        <v>1</v>
      </c>
      <c r="G2048" s="7">
        <v>118</v>
      </c>
      <c r="H2048" s="8">
        <v>118</v>
      </c>
      <c r="J2048" t="s">
        <v>23</v>
      </c>
      <c r="K2048" s="7">
        <v>2400</v>
      </c>
      <c r="L2048" s="9">
        <v>-1</v>
      </c>
      <c r="M2048" t="s">
        <v>200</v>
      </c>
      <c r="N2048" t="s">
        <v>201</v>
      </c>
      <c r="O2048" s="27" t="str">
        <f>HYPERLINK("https://www.ncbi.nlm.nih.gov/nuccore/NZ_CP016559.1?report=graph&amp;from=6247156&amp;to=6247160", "TTA_codon")</f>
        <v>TTA_codon</v>
      </c>
    </row>
    <row r="2049" spans="1:15" x14ac:dyDescent="0.15">
      <c r="A2049" t="s">
        <v>195</v>
      </c>
      <c r="B2049" t="s">
        <v>1759</v>
      </c>
    </row>
    <row r="2050" spans="1:15" x14ac:dyDescent="0.15">
      <c r="A2050" t="s">
        <v>195</v>
      </c>
      <c r="B2050">
        <v>1000130</v>
      </c>
      <c r="C2050">
        <v>346912</v>
      </c>
      <c r="F2050" s="7">
        <v>1</v>
      </c>
      <c r="G2050" s="7">
        <v>1069</v>
      </c>
      <c r="H2050" s="8">
        <v>760</v>
      </c>
      <c r="J2050" t="s">
        <v>23</v>
      </c>
      <c r="K2050" s="7">
        <v>999</v>
      </c>
      <c r="L2050" s="9">
        <v>1</v>
      </c>
      <c r="M2050" t="s">
        <v>32</v>
      </c>
      <c r="N2050" t="s">
        <v>33</v>
      </c>
      <c r="O2050" s="27" t="str">
        <f>HYPERLINK("https://www.ncbi.nlm.nih.gov/nuccore/NZ_CP017248.1?report=graph&amp;from=2109207&amp;to=2109211", "TTA_codon")</f>
        <v>TTA_codon</v>
      </c>
    </row>
    <row r="2051" spans="1:15" x14ac:dyDescent="0.15">
      <c r="A2051" t="s">
        <v>21</v>
      </c>
      <c r="B2051">
        <v>1000130</v>
      </c>
      <c r="C2051">
        <v>348821</v>
      </c>
      <c r="F2051" s="7">
        <v>1</v>
      </c>
      <c r="G2051" s="7">
        <v>517</v>
      </c>
      <c r="H2051" s="8">
        <v>181</v>
      </c>
      <c r="J2051" t="s">
        <v>23</v>
      </c>
      <c r="K2051" s="7">
        <v>1353</v>
      </c>
      <c r="L2051" s="9">
        <v>1</v>
      </c>
      <c r="M2051" t="s">
        <v>211</v>
      </c>
      <c r="N2051" t="s">
        <v>212</v>
      </c>
      <c r="O2051" s="27" t="str">
        <f>HYPERLINK("https://www.ncbi.nlm.nih.gov/nuccore/NZ_GG657754.1?report=graph&amp;from=2144668&amp;to=2144672", "TTA_codon")</f>
        <v>TTA_codon</v>
      </c>
    </row>
    <row r="2052" spans="1:15" x14ac:dyDescent="0.15">
      <c r="A2052" t="s">
        <v>21</v>
      </c>
      <c r="B2052">
        <v>1000130</v>
      </c>
      <c r="C2052">
        <v>353219</v>
      </c>
      <c r="F2052" s="7">
        <v>3</v>
      </c>
      <c r="G2052" s="7" t="s">
        <v>1760</v>
      </c>
      <c r="H2052" s="8" t="s">
        <v>1761</v>
      </c>
      <c r="J2052" t="s">
        <v>23</v>
      </c>
      <c r="K2052" s="7">
        <v>1779</v>
      </c>
      <c r="L2052" s="9">
        <v>1</v>
      </c>
      <c r="M2052" t="s">
        <v>1550</v>
      </c>
      <c r="N2052" t="s">
        <v>169</v>
      </c>
      <c r="O2052" s="27" t="str">
        <f>HYPERLINK("https://www.ncbi.nlm.nih.gov/nuccore/NZ_JNWJ01000090.1?report=graph&amp;from=6366&amp;to=7087", "TTA_codon")</f>
        <v>TTA_codon</v>
      </c>
    </row>
    <row r="2053" spans="1:15" x14ac:dyDescent="0.15">
      <c r="A2053" t="s">
        <v>21</v>
      </c>
      <c r="B2053">
        <v>1000130</v>
      </c>
      <c r="C2053">
        <v>355895</v>
      </c>
      <c r="F2053" s="7">
        <v>1</v>
      </c>
      <c r="G2053" s="7">
        <v>1126</v>
      </c>
      <c r="H2053" s="8">
        <v>826</v>
      </c>
      <c r="J2053" t="s">
        <v>23</v>
      </c>
      <c r="K2053" s="7">
        <v>1449</v>
      </c>
      <c r="L2053" s="9">
        <v>1</v>
      </c>
      <c r="M2053" t="s">
        <v>1762</v>
      </c>
      <c r="N2053" t="s">
        <v>384</v>
      </c>
      <c r="O2053" s="27" t="str">
        <f>HYPERLINK("https://www.ncbi.nlm.nih.gov/nuccore/NZ_JOAK01000017.1?report=graph&amp;from=43491&amp;to=43495", "TTA_codon")</f>
        <v>TTA_codon</v>
      </c>
    </row>
    <row r="2054" spans="1:15" x14ac:dyDescent="0.15">
      <c r="A2054" t="s">
        <v>21</v>
      </c>
      <c r="B2054">
        <v>1000130</v>
      </c>
      <c r="C2054">
        <v>358114</v>
      </c>
      <c r="F2054" s="7">
        <v>1</v>
      </c>
      <c r="G2054" s="7">
        <v>1048</v>
      </c>
      <c r="H2054" s="8">
        <v>727</v>
      </c>
      <c r="J2054" t="s">
        <v>23</v>
      </c>
      <c r="K2054" s="7">
        <v>1284</v>
      </c>
      <c r="L2054" s="9">
        <v>1</v>
      </c>
      <c r="M2054" t="s">
        <v>1763</v>
      </c>
      <c r="N2054" t="s">
        <v>119</v>
      </c>
      <c r="O2054" s="27" t="str">
        <f>HYPERLINK("https://www.ncbi.nlm.nih.gov/nuccore/NZ_LIPP01000203.1?report=graph&amp;from=40162&amp;to=40166", "TTA_codon")</f>
        <v>TTA_codon</v>
      </c>
    </row>
    <row r="2055" spans="1:15" x14ac:dyDescent="0.15">
      <c r="A2055" t="s">
        <v>21</v>
      </c>
      <c r="B2055">
        <v>1000130</v>
      </c>
      <c r="C2055">
        <v>361610</v>
      </c>
      <c r="F2055" s="7">
        <v>1</v>
      </c>
      <c r="G2055" s="7">
        <v>385</v>
      </c>
      <c r="H2055" s="8">
        <v>151</v>
      </c>
      <c r="J2055" t="s">
        <v>23</v>
      </c>
      <c r="K2055" s="7">
        <v>1161</v>
      </c>
      <c r="L2055" s="9">
        <v>1</v>
      </c>
      <c r="M2055" t="s">
        <v>37</v>
      </c>
      <c r="N2055" t="s">
        <v>38</v>
      </c>
      <c r="O2055" s="27" t="str">
        <f>HYPERLINK("https://www.ncbi.nlm.nih.gov/nuccore/NZ_CP011533.1?report=graph&amp;from=3690857&amp;to=3690861", "TTA_codon")</f>
        <v>TTA_codon</v>
      </c>
    </row>
    <row r="2056" spans="1:15" x14ac:dyDescent="0.15">
      <c r="A2056" t="s">
        <v>21</v>
      </c>
      <c r="B2056">
        <v>1000130</v>
      </c>
      <c r="C2056">
        <v>362260</v>
      </c>
      <c r="F2056" s="7">
        <v>1</v>
      </c>
      <c r="G2056" s="7">
        <v>376</v>
      </c>
      <c r="H2056" s="8">
        <v>118</v>
      </c>
      <c r="J2056" t="s">
        <v>23</v>
      </c>
      <c r="K2056" s="7">
        <v>2109</v>
      </c>
      <c r="L2056" s="9">
        <v>1</v>
      </c>
      <c r="M2056" t="s">
        <v>39</v>
      </c>
      <c r="N2056" t="s">
        <v>40</v>
      </c>
      <c r="O2056" s="27" t="str">
        <f>HYPERLINK("https://www.ncbi.nlm.nih.gov/nuccore/NZ_CP017157.1?report=graph&amp;from=4301674&amp;to=4301678", "TTA_codon")</f>
        <v>TTA_codon</v>
      </c>
    </row>
    <row r="2057" spans="1:15" x14ac:dyDescent="0.15">
      <c r="A2057" t="s">
        <v>21</v>
      </c>
      <c r="B2057">
        <v>1000130</v>
      </c>
      <c r="C2057">
        <v>364454</v>
      </c>
      <c r="F2057" s="7">
        <v>2</v>
      </c>
      <c r="G2057" s="7" t="s">
        <v>1764</v>
      </c>
      <c r="H2057" s="8" t="s">
        <v>1765</v>
      </c>
      <c r="J2057" t="s">
        <v>23</v>
      </c>
      <c r="K2057" s="7">
        <v>1356</v>
      </c>
      <c r="L2057" s="9">
        <v>1</v>
      </c>
      <c r="M2057" t="s">
        <v>1766</v>
      </c>
      <c r="N2057" t="s">
        <v>326</v>
      </c>
      <c r="O2057" s="27" t="str">
        <f>HYPERLINK("https://www.ncbi.nlm.nih.gov/nuccore/NZ_MUBL01000675.1?report=graph&amp;from=1013&amp;to=2106", "TTA_codon")</f>
        <v>TTA_codon</v>
      </c>
    </row>
    <row r="2058" spans="1:15" x14ac:dyDescent="0.15">
      <c r="A2058" t="s">
        <v>21</v>
      </c>
      <c r="B2058">
        <v>1000130</v>
      </c>
      <c r="C2058">
        <v>366270</v>
      </c>
      <c r="F2058" s="7">
        <v>1</v>
      </c>
      <c r="G2058" s="7">
        <v>376</v>
      </c>
      <c r="H2058" s="8">
        <v>133</v>
      </c>
      <c r="J2058" t="s">
        <v>23</v>
      </c>
      <c r="K2058" s="7">
        <v>1578</v>
      </c>
      <c r="L2058" s="9">
        <v>1</v>
      </c>
      <c r="M2058" t="s">
        <v>1767</v>
      </c>
      <c r="N2058" t="s">
        <v>47</v>
      </c>
      <c r="O2058" s="27" t="str">
        <f>HYPERLINK("https://www.ncbi.nlm.nih.gov/nuccore/NZ_FOLM01000026.1?report=graph&amp;from=16327&amp;to=16331", "TTA_codon")</f>
        <v>TTA_codon</v>
      </c>
    </row>
    <row r="2059" spans="1:15" x14ac:dyDescent="0.15">
      <c r="A2059" t="s">
        <v>21</v>
      </c>
      <c r="B2059" t="s">
        <v>1768</v>
      </c>
    </row>
    <row r="2060" spans="1:15" x14ac:dyDescent="0.15">
      <c r="A2060" t="s">
        <v>21</v>
      </c>
      <c r="B2060">
        <v>1000592</v>
      </c>
      <c r="C2060">
        <v>350242</v>
      </c>
      <c r="F2060" s="7">
        <v>1</v>
      </c>
      <c r="G2060" s="7">
        <v>346</v>
      </c>
      <c r="H2060" s="8">
        <v>346</v>
      </c>
      <c r="J2060" t="s">
        <v>23</v>
      </c>
      <c r="K2060" s="7">
        <v>1386</v>
      </c>
      <c r="L2060" s="9">
        <v>1</v>
      </c>
      <c r="M2060" t="s">
        <v>35</v>
      </c>
      <c r="N2060" t="s">
        <v>36</v>
      </c>
      <c r="O2060" s="27" t="str">
        <f>HYPERLINK("https://www.ncbi.nlm.nih.gov/nuccore/NZ_JH725387.1?report=graph&amp;from=561675&amp;to=561679", "TTA_codon")</f>
        <v>TTA_codon</v>
      </c>
    </row>
    <row r="2061" spans="1:15" x14ac:dyDescent="0.15">
      <c r="A2061" t="s">
        <v>21</v>
      </c>
      <c r="B2061">
        <v>1000592</v>
      </c>
      <c r="C2061">
        <v>362184</v>
      </c>
      <c r="F2061" s="7">
        <v>1</v>
      </c>
      <c r="G2061" s="7">
        <v>346</v>
      </c>
      <c r="H2061" s="8">
        <v>346</v>
      </c>
      <c r="J2061" t="s">
        <v>23</v>
      </c>
      <c r="K2061" s="7">
        <v>1266</v>
      </c>
      <c r="L2061" s="9">
        <v>1</v>
      </c>
      <c r="M2061" t="s">
        <v>39</v>
      </c>
      <c r="N2061" t="s">
        <v>40</v>
      </c>
      <c r="O2061" s="27" t="str">
        <f>HYPERLINK("https://www.ncbi.nlm.nih.gov/nuccore/NZ_CP017157.1?report=graph&amp;from=5521686&amp;to=5521690", "TTA_codon")</f>
        <v>TTA_codon</v>
      </c>
    </row>
    <row r="2062" spans="1:15" x14ac:dyDescent="0.15">
      <c r="A2062" t="s">
        <v>21</v>
      </c>
      <c r="B2062" t="s">
        <v>1769</v>
      </c>
    </row>
    <row r="2063" spans="1:15" x14ac:dyDescent="0.15">
      <c r="A2063" t="s">
        <v>21</v>
      </c>
      <c r="B2063">
        <v>1000343</v>
      </c>
      <c r="C2063">
        <v>348115</v>
      </c>
      <c r="F2063" s="7">
        <v>1</v>
      </c>
      <c r="G2063" s="7">
        <v>355</v>
      </c>
      <c r="H2063" s="8">
        <v>355</v>
      </c>
      <c r="J2063" t="s">
        <v>23</v>
      </c>
      <c r="K2063" s="7">
        <v>1044</v>
      </c>
      <c r="L2063" s="9">
        <v>1</v>
      </c>
      <c r="M2063" t="s">
        <v>59</v>
      </c>
      <c r="N2063" t="s">
        <v>60</v>
      </c>
      <c r="O2063" s="27" t="str">
        <f>HYPERLINK("https://www.ncbi.nlm.nih.gov/nuccore/NC_016582.1?report=graph&amp;from=11817199&amp;to=11817203", "TTA_codon")</f>
        <v>TTA_codon</v>
      </c>
    </row>
    <row r="2064" spans="1:15" x14ac:dyDescent="0.15">
      <c r="A2064" t="s">
        <v>21</v>
      </c>
      <c r="B2064">
        <v>1000343</v>
      </c>
      <c r="C2064">
        <v>361959</v>
      </c>
      <c r="F2064" s="7">
        <v>1</v>
      </c>
      <c r="G2064" s="7">
        <v>355</v>
      </c>
      <c r="H2064" s="8">
        <v>355</v>
      </c>
      <c r="J2064" t="s">
        <v>23</v>
      </c>
      <c r="K2064" s="7">
        <v>1032</v>
      </c>
      <c r="L2064" s="9">
        <v>1</v>
      </c>
      <c r="M2064" t="s">
        <v>734</v>
      </c>
      <c r="N2064" t="s">
        <v>187</v>
      </c>
      <c r="O2064" s="27" t="str">
        <f>HYPERLINK("https://www.ncbi.nlm.nih.gov/nuccore/NZ_MAXF01000157.1?report=graph&amp;from=3376&amp;to=3380", "TTA_codon")</f>
        <v>TTA_codon</v>
      </c>
    </row>
    <row r="2065" spans="1:15" x14ac:dyDescent="0.15">
      <c r="A2065" t="s">
        <v>21</v>
      </c>
      <c r="B2065" t="s">
        <v>1770</v>
      </c>
    </row>
    <row r="2066" spans="1:15" x14ac:dyDescent="0.15">
      <c r="A2066" t="s">
        <v>21</v>
      </c>
      <c r="B2066">
        <v>1000365</v>
      </c>
      <c r="C2066">
        <v>348218</v>
      </c>
      <c r="F2066" s="7">
        <v>1</v>
      </c>
      <c r="G2066" s="7">
        <v>49</v>
      </c>
      <c r="H2066" s="8">
        <v>49</v>
      </c>
      <c r="J2066" t="s">
        <v>23</v>
      </c>
      <c r="K2066" s="7">
        <v>1929</v>
      </c>
      <c r="L2066" s="9">
        <v>-1</v>
      </c>
      <c r="M2066" t="s">
        <v>59</v>
      </c>
      <c r="N2066" t="s">
        <v>60</v>
      </c>
      <c r="O2066" s="27" t="str">
        <f>HYPERLINK("https://www.ncbi.nlm.nih.gov/nuccore/NC_016582.1?report=graph&amp;from=3429688&amp;to=3429692", "TTA_codon")</f>
        <v>TTA_codon</v>
      </c>
    </row>
    <row r="2067" spans="1:15" x14ac:dyDescent="0.15">
      <c r="A2067" t="s">
        <v>21</v>
      </c>
      <c r="B2067">
        <v>1000365</v>
      </c>
      <c r="C2067">
        <v>349258</v>
      </c>
      <c r="F2067" s="7">
        <v>1</v>
      </c>
      <c r="G2067" s="7">
        <v>49</v>
      </c>
      <c r="H2067" s="8">
        <v>49</v>
      </c>
      <c r="J2067" t="s">
        <v>23</v>
      </c>
      <c r="K2067" s="7">
        <v>1929</v>
      </c>
      <c r="L2067" s="9">
        <v>-1</v>
      </c>
      <c r="M2067" t="s">
        <v>211</v>
      </c>
      <c r="N2067" t="s">
        <v>212</v>
      </c>
      <c r="O2067" s="27" t="str">
        <f>HYPERLINK("https://www.ncbi.nlm.nih.gov/nuccore/NZ_GG657754.1?report=graph&amp;from=2236182&amp;to=2236186", "TTA_codon")</f>
        <v>TTA_codon</v>
      </c>
    </row>
    <row r="2068" spans="1:15" x14ac:dyDescent="0.15">
      <c r="A2068" t="s">
        <v>21</v>
      </c>
      <c r="B2068" t="s">
        <v>1771</v>
      </c>
    </row>
    <row r="2069" spans="1:15" x14ac:dyDescent="0.15">
      <c r="A2069" t="s">
        <v>21</v>
      </c>
      <c r="B2069">
        <v>1000798</v>
      </c>
      <c r="C2069">
        <v>351963</v>
      </c>
      <c r="F2069" s="7">
        <v>1</v>
      </c>
      <c r="G2069" s="7">
        <v>262</v>
      </c>
      <c r="H2069" s="8">
        <v>259</v>
      </c>
      <c r="J2069" t="s">
        <v>23</v>
      </c>
      <c r="K2069" s="7">
        <v>2745</v>
      </c>
      <c r="L2069" s="9">
        <v>1</v>
      </c>
      <c r="M2069" t="s">
        <v>1772</v>
      </c>
      <c r="N2069" t="s">
        <v>68</v>
      </c>
      <c r="O2069" s="27" t="str">
        <f>HYPERLINK("https://www.ncbi.nlm.nih.gov/nuccore/NZ_BARG01000061.1?report=graph&amp;from=42213&amp;to=42217", "TTA_codon")</f>
        <v>TTA_codon</v>
      </c>
    </row>
    <row r="2070" spans="1:15" x14ac:dyDescent="0.15">
      <c r="A2070" t="s">
        <v>21</v>
      </c>
      <c r="B2070">
        <v>1000798</v>
      </c>
      <c r="C2070">
        <v>365989</v>
      </c>
      <c r="F2070" s="7">
        <v>1</v>
      </c>
      <c r="G2070" s="7">
        <v>262</v>
      </c>
      <c r="H2070" s="8">
        <v>259</v>
      </c>
      <c r="J2070" t="s">
        <v>23</v>
      </c>
      <c r="K2070" s="7">
        <v>2919</v>
      </c>
      <c r="L2070" s="9">
        <v>1</v>
      </c>
      <c r="M2070" t="s">
        <v>1773</v>
      </c>
      <c r="N2070" t="s">
        <v>115</v>
      </c>
      <c r="O2070" s="27" t="str">
        <f>HYPERLINK("https://www.ncbi.nlm.nih.gov/nuccore/NZ_FODD01000011.1?report=graph&amp;from=113250&amp;to=113254", "TTA_codon")</f>
        <v>TTA_codon</v>
      </c>
    </row>
    <row r="2071" spans="1:15" x14ac:dyDescent="0.15">
      <c r="A2071" t="s">
        <v>21</v>
      </c>
      <c r="B2071" t="s">
        <v>1774</v>
      </c>
    </row>
    <row r="2072" spans="1:15" x14ac:dyDescent="0.15">
      <c r="A2072" t="s">
        <v>21</v>
      </c>
      <c r="B2072">
        <v>1000312</v>
      </c>
      <c r="C2072">
        <v>347977</v>
      </c>
      <c r="F2072" s="7">
        <v>1</v>
      </c>
      <c r="G2072" s="7">
        <v>211</v>
      </c>
      <c r="H2072" s="8">
        <v>211</v>
      </c>
      <c r="J2072" t="s">
        <v>23</v>
      </c>
      <c r="K2072" s="7">
        <v>1059</v>
      </c>
      <c r="L2072" s="9">
        <v>1</v>
      </c>
      <c r="M2072" t="s">
        <v>59</v>
      </c>
      <c r="N2072" t="s">
        <v>60</v>
      </c>
      <c r="O2072" s="27" t="str">
        <f>HYPERLINK("https://www.ncbi.nlm.nih.gov/nuccore/NC_016582.1?report=graph&amp;from=1124781&amp;to=1124785", "TTA_codon")</f>
        <v>TTA_codon</v>
      </c>
    </row>
    <row r="2073" spans="1:15" x14ac:dyDescent="0.15">
      <c r="A2073" t="s">
        <v>21</v>
      </c>
      <c r="B2073">
        <v>1000312</v>
      </c>
      <c r="C2073">
        <v>359013</v>
      </c>
      <c r="F2073" s="7">
        <v>1</v>
      </c>
      <c r="G2073" s="7">
        <v>148</v>
      </c>
      <c r="H2073" s="8">
        <v>142</v>
      </c>
      <c r="J2073" t="s">
        <v>23</v>
      </c>
      <c r="K2073" s="7">
        <v>1047</v>
      </c>
      <c r="L2073" s="9">
        <v>1</v>
      </c>
      <c r="M2073" t="s">
        <v>1775</v>
      </c>
      <c r="N2073" t="s">
        <v>451</v>
      </c>
      <c r="O2073" s="27" t="str">
        <f>HYPERLINK("https://www.ncbi.nlm.nih.gov/nuccore/NZ_LIQZ01000016.1?report=graph&amp;from=23926&amp;to=23930", "TTA_codon")</f>
        <v>TTA_codon</v>
      </c>
    </row>
    <row r="2074" spans="1:15" x14ac:dyDescent="0.15">
      <c r="A2074" t="s">
        <v>21</v>
      </c>
      <c r="B2074" t="s">
        <v>1776</v>
      </c>
    </row>
    <row r="2075" spans="1:15" x14ac:dyDescent="0.15">
      <c r="A2075" t="s">
        <v>21</v>
      </c>
      <c r="B2075">
        <v>1000603</v>
      </c>
      <c r="C2075">
        <v>350282</v>
      </c>
      <c r="F2075" s="7">
        <v>1</v>
      </c>
      <c r="G2075" s="7">
        <v>100</v>
      </c>
      <c r="H2075" s="8">
        <v>58</v>
      </c>
      <c r="J2075" t="s">
        <v>23</v>
      </c>
      <c r="K2075" s="7">
        <v>2085</v>
      </c>
      <c r="L2075" s="9">
        <v>1</v>
      </c>
      <c r="M2075" t="s">
        <v>1457</v>
      </c>
      <c r="N2075" t="s">
        <v>36</v>
      </c>
      <c r="O2075" s="27" t="str">
        <f>HYPERLINK("https://www.ncbi.nlm.nih.gov/nuccore/NZ_JH725388.1?report=graph&amp;from=353175&amp;to=353179", "TTA_codon")</f>
        <v>TTA_codon</v>
      </c>
    </row>
    <row r="2076" spans="1:15" x14ac:dyDescent="0.15">
      <c r="A2076" t="s">
        <v>21</v>
      </c>
      <c r="B2076">
        <v>1000603</v>
      </c>
      <c r="C2076">
        <v>353225</v>
      </c>
      <c r="F2076" s="7">
        <v>1</v>
      </c>
      <c r="G2076" s="7">
        <v>103</v>
      </c>
      <c r="H2076" s="8">
        <v>103</v>
      </c>
      <c r="J2076" t="s">
        <v>23</v>
      </c>
      <c r="K2076" s="7">
        <v>2118</v>
      </c>
      <c r="L2076" s="9">
        <v>1</v>
      </c>
      <c r="M2076" t="s">
        <v>168</v>
      </c>
      <c r="N2076" t="s">
        <v>169</v>
      </c>
      <c r="O2076" s="27" t="str">
        <f>HYPERLINK("https://www.ncbi.nlm.nih.gov/nuccore/NZ_JNWJ01000008.1?report=graph&amp;from=187735&amp;to=187739", "TTA_codon")</f>
        <v>TTA_codon</v>
      </c>
    </row>
    <row r="2077" spans="1:15" x14ac:dyDescent="0.15">
      <c r="A2077" t="s">
        <v>21</v>
      </c>
      <c r="B2077" t="s">
        <v>1777</v>
      </c>
    </row>
    <row r="2078" spans="1:15" x14ac:dyDescent="0.15">
      <c r="A2078" t="s">
        <v>21</v>
      </c>
      <c r="B2078">
        <v>1001409</v>
      </c>
      <c r="C2078">
        <v>362148</v>
      </c>
      <c r="F2078" s="7">
        <v>1</v>
      </c>
      <c r="G2078" s="7">
        <v>157</v>
      </c>
      <c r="H2078" s="8">
        <v>157</v>
      </c>
      <c r="J2078" t="s">
        <v>23</v>
      </c>
      <c r="K2078" s="7">
        <v>849</v>
      </c>
      <c r="L2078" s="9">
        <v>1</v>
      </c>
      <c r="M2078" t="s">
        <v>1778</v>
      </c>
      <c r="N2078" t="s">
        <v>187</v>
      </c>
      <c r="O2078" s="27" t="str">
        <f>HYPERLINK("https://www.ncbi.nlm.nih.gov/nuccore/NZ_MAXF01000209.1?report=graph&amp;from=2311&amp;to=2315", "TTA_codon")</f>
        <v>TTA_codon</v>
      </c>
    </row>
    <row r="2079" spans="1:15" x14ac:dyDescent="0.15">
      <c r="A2079" t="s">
        <v>21</v>
      </c>
      <c r="B2079">
        <v>1001409</v>
      </c>
      <c r="C2079">
        <v>362152</v>
      </c>
      <c r="F2079" s="7">
        <v>1</v>
      </c>
      <c r="G2079" s="7">
        <v>157</v>
      </c>
      <c r="H2079" s="8">
        <v>157</v>
      </c>
      <c r="J2079" t="s">
        <v>23</v>
      </c>
      <c r="K2079" s="7">
        <v>849</v>
      </c>
      <c r="L2079" s="9">
        <v>1</v>
      </c>
      <c r="M2079" t="s">
        <v>1779</v>
      </c>
      <c r="N2079" t="s">
        <v>187</v>
      </c>
      <c r="O2079" s="27" t="str">
        <f>HYPERLINK("https://www.ncbi.nlm.nih.gov/nuccore/NZ_MAXF01000243.1?report=graph&amp;from=1799&amp;to=1803", "TTA_codon")</f>
        <v>TTA_codon</v>
      </c>
    </row>
    <row r="2080" spans="1:15" x14ac:dyDescent="0.15">
      <c r="A2080" t="s">
        <v>21</v>
      </c>
      <c r="B2080" t="s">
        <v>1780</v>
      </c>
    </row>
    <row r="2081" spans="1:15" x14ac:dyDescent="0.15">
      <c r="A2081" t="s">
        <v>21</v>
      </c>
      <c r="B2081">
        <v>1000248</v>
      </c>
      <c r="C2081">
        <v>347641</v>
      </c>
      <c r="F2081" s="7">
        <v>1</v>
      </c>
      <c r="G2081" s="7">
        <v>322</v>
      </c>
      <c r="H2081" s="8">
        <v>142</v>
      </c>
      <c r="J2081" t="s">
        <v>23</v>
      </c>
      <c r="K2081" s="7">
        <v>2226</v>
      </c>
      <c r="L2081" s="9">
        <v>1</v>
      </c>
      <c r="M2081" t="s">
        <v>55</v>
      </c>
      <c r="N2081" t="s">
        <v>56</v>
      </c>
      <c r="O2081" s="27" t="str">
        <f>HYPERLINK("https://www.ncbi.nlm.nih.gov/nuccore/NC_010572.1?report=graph&amp;from=2592785&amp;to=2592789", "TTA_codon")</f>
        <v>TTA_codon</v>
      </c>
    </row>
    <row r="2082" spans="1:15" x14ac:dyDescent="0.15">
      <c r="A2082" t="s">
        <v>21</v>
      </c>
      <c r="B2082">
        <v>1000248</v>
      </c>
      <c r="C2082">
        <v>356890</v>
      </c>
      <c r="F2082" s="7">
        <v>1</v>
      </c>
      <c r="G2082" s="7">
        <v>322</v>
      </c>
      <c r="H2082" s="8">
        <v>304</v>
      </c>
      <c r="J2082" t="s">
        <v>23</v>
      </c>
      <c r="K2082" s="7">
        <v>1374</v>
      </c>
      <c r="L2082" s="9">
        <v>1</v>
      </c>
      <c r="M2082" t="s">
        <v>78</v>
      </c>
      <c r="N2082" t="s">
        <v>79</v>
      </c>
      <c r="O2082" s="27" t="str">
        <f>HYPERLINK("https://www.ncbi.nlm.nih.gov/nuccore/NZ_CP009313.1?report=graph&amp;from=145723&amp;to=145727", "TTA_codon")</f>
        <v>TTA_codon</v>
      </c>
    </row>
    <row r="2083" spans="1:15" x14ac:dyDescent="0.15">
      <c r="A2083" t="s">
        <v>21</v>
      </c>
      <c r="B2083">
        <v>1000248</v>
      </c>
      <c r="C2083">
        <v>366288</v>
      </c>
      <c r="F2083" s="7">
        <v>1</v>
      </c>
      <c r="G2083" s="7">
        <v>322</v>
      </c>
      <c r="H2083" s="8">
        <v>91</v>
      </c>
      <c r="J2083" t="s">
        <v>23</v>
      </c>
      <c r="K2083" s="7">
        <v>2346</v>
      </c>
      <c r="L2083" s="9">
        <v>1</v>
      </c>
      <c r="M2083" t="s">
        <v>1781</v>
      </c>
      <c r="N2083" t="s">
        <v>47</v>
      </c>
      <c r="O2083" s="27" t="str">
        <f>HYPERLINK("https://www.ncbi.nlm.nih.gov/nuccore/NZ_FOLM01000002.1?report=graph&amp;from=357681&amp;to=357685", "TTA_codon")</f>
        <v>TTA_codon</v>
      </c>
    </row>
    <row r="2084" spans="1:15" x14ac:dyDescent="0.15">
      <c r="A2084" t="s">
        <v>21</v>
      </c>
      <c r="B2084" t="s">
        <v>1782</v>
      </c>
    </row>
    <row r="2085" spans="1:15" x14ac:dyDescent="0.15">
      <c r="A2085" t="s">
        <v>21</v>
      </c>
      <c r="B2085">
        <v>1000965</v>
      </c>
      <c r="C2085">
        <v>353667</v>
      </c>
      <c r="F2085" s="7">
        <v>1</v>
      </c>
      <c r="G2085" s="7">
        <v>94</v>
      </c>
      <c r="H2085" s="8">
        <v>94</v>
      </c>
      <c r="J2085" t="s">
        <v>23</v>
      </c>
      <c r="K2085" s="7">
        <v>1113</v>
      </c>
      <c r="L2085" s="9">
        <v>1</v>
      </c>
      <c r="M2085" t="s">
        <v>1138</v>
      </c>
      <c r="N2085" t="s">
        <v>140</v>
      </c>
      <c r="O2085" s="27" t="str">
        <f>HYPERLINK("https://www.ncbi.nlm.nih.gov/nuccore/NZ_JNXG01000001.1?report=graph&amp;from=510009&amp;to=510013", "TTA_codon")</f>
        <v>TTA_codon</v>
      </c>
    </row>
    <row r="2086" spans="1:15" x14ac:dyDescent="0.15">
      <c r="A2086" t="s">
        <v>21</v>
      </c>
      <c r="B2086">
        <v>1000965</v>
      </c>
      <c r="C2086">
        <v>360279</v>
      </c>
      <c r="F2086" s="7">
        <v>1</v>
      </c>
      <c r="G2086" s="7">
        <v>55</v>
      </c>
      <c r="H2086" s="8">
        <v>55</v>
      </c>
      <c r="J2086" t="s">
        <v>23</v>
      </c>
      <c r="K2086" s="7">
        <v>1119</v>
      </c>
      <c r="L2086" s="9">
        <v>1</v>
      </c>
      <c r="M2086" t="s">
        <v>617</v>
      </c>
      <c r="N2086" t="s">
        <v>125</v>
      </c>
      <c r="O2086" s="27" t="str">
        <f>HYPERLINK("https://www.ncbi.nlm.nih.gov/nuccore/NZ_KQ948452.1?report=graph&amp;from=15641&amp;to=15645", "TTA_codon")</f>
        <v>TTA_codon</v>
      </c>
    </row>
    <row r="2087" spans="1:15" x14ac:dyDescent="0.15">
      <c r="A2087" t="s">
        <v>21</v>
      </c>
      <c r="B2087" t="s">
        <v>1783</v>
      </c>
    </row>
    <row r="2088" spans="1:15" x14ac:dyDescent="0.15">
      <c r="A2088" t="s">
        <v>21</v>
      </c>
      <c r="B2088">
        <v>1001375</v>
      </c>
      <c r="C2088">
        <v>350427</v>
      </c>
      <c r="F2088" s="7">
        <v>2</v>
      </c>
      <c r="G2088" s="7" t="s">
        <v>1784</v>
      </c>
      <c r="H2088" s="8" t="s">
        <v>1785</v>
      </c>
      <c r="J2088" t="s">
        <v>23</v>
      </c>
      <c r="K2088" s="7">
        <v>1317</v>
      </c>
      <c r="L2088" s="9">
        <v>1</v>
      </c>
      <c r="M2088" t="s">
        <v>1457</v>
      </c>
      <c r="N2088" t="s">
        <v>36</v>
      </c>
      <c r="O2088" s="27" t="str">
        <f>HYPERLINK("https://www.ncbi.nlm.nih.gov/nuccore/NZ_JH725388.1?report=graph&amp;from=661198&amp;to=661328", "TTA_codon")</f>
        <v>TTA_codon</v>
      </c>
    </row>
    <row r="2089" spans="1:15" x14ac:dyDescent="0.15">
      <c r="A2089" t="s">
        <v>21</v>
      </c>
      <c r="B2089">
        <v>1001375</v>
      </c>
      <c r="C2089">
        <v>354288</v>
      </c>
      <c r="F2089" s="7">
        <v>2</v>
      </c>
      <c r="G2089" s="7" t="s">
        <v>1786</v>
      </c>
      <c r="H2089" s="8" t="s">
        <v>1787</v>
      </c>
      <c r="J2089" t="s">
        <v>23</v>
      </c>
      <c r="K2089" s="7">
        <v>1230</v>
      </c>
      <c r="L2089" s="9">
        <v>1</v>
      </c>
      <c r="M2089" t="s">
        <v>1179</v>
      </c>
      <c r="N2089" t="s">
        <v>142</v>
      </c>
      <c r="O2089" s="27" t="str">
        <f>HYPERLINK("https://www.ncbi.nlm.nih.gov/nuccore/NZ_JOEI01000014.1?report=graph&amp;from=217132&amp;to=217163", "TTA_codon")</f>
        <v>TTA_codon</v>
      </c>
    </row>
    <row r="2090" spans="1:15" x14ac:dyDescent="0.15">
      <c r="A2090" t="s">
        <v>21</v>
      </c>
      <c r="B2090">
        <v>1001375</v>
      </c>
      <c r="C2090">
        <v>357361</v>
      </c>
      <c r="F2090" s="7">
        <v>1</v>
      </c>
      <c r="G2090" s="7">
        <v>67</v>
      </c>
      <c r="H2090" s="8">
        <v>67</v>
      </c>
      <c r="J2090" t="s">
        <v>23</v>
      </c>
      <c r="K2090" s="7">
        <v>1215</v>
      </c>
      <c r="L2090" s="9">
        <v>1</v>
      </c>
      <c r="M2090" t="s">
        <v>250</v>
      </c>
      <c r="N2090" t="s">
        <v>251</v>
      </c>
      <c r="O2090" s="27" t="str">
        <f>HYPERLINK("https://www.ncbi.nlm.nih.gov/nuccore/NZ_CP009922.2?report=graph&amp;from=1573976&amp;to=1573980", "TTA_codon")</f>
        <v>TTA_codon</v>
      </c>
    </row>
    <row r="2091" spans="1:15" x14ac:dyDescent="0.15">
      <c r="A2091" t="s">
        <v>21</v>
      </c>
      <c r="B2091">
        <v>1001375</v>
      </c>
      <c r="C2091">
        <v>357379</v>
      </c>
      <c r="F2091" s="7">
        <v>1</v>
      </c>
      <c r="G2091" s="7">
        <v>67</v>
      </c>
      <c r="H2091" s="8">
        <v>40</v>
      </c>
      <c r="J2091" t="s">
        <v>23</v>
      </c>
      <c r="K2091" s="7">
        <v>1233</v>
      </c>
      <c r="L2091" s="9">
        <v>1</v>
      </c>
      <c r="M2091" t="s">
        <v>80</v>
      </c>
      <c r="N2091" t="s">
        <v>81</v>
      </c>
      <c r="O2091" s="27" t="str">
        <f>HYPERLINK("https://www.ncbi.nlm.nih.gov/nuccore/NZ_LN831790.1?report=graph&amp;from=3208778&amp;to=3208782", "TTA_codon")</f>
        <v>TTA_codon</v>
      </c>
    </row>
    <row r="2092" spans="1:15" x14ac:dyDescent="0.15">
      <c r="A2092" t="s">
        <v>21</v>
      </c>
      <c r="B2092">
        <v>1001375</v>
      </c>
      <c r="C2092">
        <v>359628</v>
      </c>
      <c r="F2092" s="7">
        <v>3</v>
      </c>
      <c r="G2092" s="7" t="s">
        <v>1788</v>
      </c>
      <c r="H2092" s="8" t="s">
        <v>1789</v>
      </c>
      <c r="J2092" t="s">
        <v>23</v>
      </c>
      <c r="K2092" s="7">
        <v>1224</v>
      </c>
      <c r="L2092" s="9">
        <v>1</v>
      </c>
      <c r="M2092" t="s">
        <v>838</v>
      </c>
      <c r="N2092" t="s">
        <v>651</v>
      </c>
      <c r="O2092" s="27" t="str">
        <f>HYPERLINK("https://www.ncbi.nlm.nih.gov/nuccore/NZ_LN929895.1?report=graph&amp;from=482632&amp;to=482804", "TTA_codon")</f>
        <v>TTA_codon</v>
      </c>
    </row>
    <row r="2093" spans="1:15" x14ac:dyDescent="0.15">
      <c r="A2093" t="s">
        <v>21</v>
      </c>
      <c r="B2093">
        <v>1001375</v>
      </c>
      <c r="C2093">
        <v>361347</v>
      </c>
      <c r="F2093" s="7">
        <v>2</v>
      </c>
      <c r="G2093" s="7" t="s">
        <v>1790</v>
      </c>
      <c r="H2093" s="8" t="s">
        <v>1791</v>
      </c>
      <c r="J2093" t="s">
        <v>23</v>
      </c>
      <c r="K2093" s="7">
        <v>1248</v>
      </c>
      <c r="L2093" s="9">
        <v>1</v>
      </c>
      <c r="M2093" t="s">
        <v>200</v>
      </c>
      <c r="N2093" t="s">
        <v>201</v>
      </c>
      <c r="O2093" s="27" t="str">
        <f>HYPERLINK("https://www.ncbi.nlm.nih.gov/nuccore/NZ_CP016559.1?report=graph&amp;from=3846785&amp;to=3846966", "TTA_codon")</f>
        <v>TTA_codon</v>
      </c>
    </row>
    <row r="2094" spans="1:15" x14ac:dyDescent="0.15">
      <c r="A2094" t="s">
        <v>21</v>
      </c>
      <c r="B2094">
        <v>1001375</v>
      </c>
      <c r="C2094">
        <v>361563</v>
      </c>
      <c r="F2094" s="7">
        <v>1</v>
      </c>
      <c r="G2094" s="7">
        <v>274</v>
      </c>
      <c r="H2094" s="8">
        <v>241</v>
      </c>
      <c r="J2094" t="s">
        <v>23</v>
      </c>
      <c r="K2094" s="7">
        <v>1269</v>
      </c>
      <c r="L2094" s="9">
        <v>1</v>
      </c>
      <c r="M2094" t="s">
        <v>37</v>
      </c>
      <c r="N2094" t="s">
        <v>38</v>
      </c>
      <c r="O2094" s="27" t="str">
        <f>HYPERLINK("https://www.ncbi.nlm.nih.gov/nuccore/NZ_CP011533.1?report=graph&amp;from=1624128&amp;to=1624132", "TTA_codon")</f>
        <v>TTA_codon</v>
      </c>
    </row>
    <row r="2095" spans="1:15" x14ac:dyDescent="0.15">
      <c r="A2095" t="s">
        <v>21</v>
      </c>
      <c r="B2095" t="s">
        <v>1792</v>
      </c>
    </row>
    <row r="2096" spans="1:15" x14ac:dyDescent="0.15">
      <c r="A2096" t="s">
        <v>21</v>
      </c>
      <c r="B2096">
        <v>1001281</v>
      </c>
      <c r="C2096">
        <v>358551</v>
      </c>
      <c r="F2096" s="7">
        <v>2</v>
      </c>
      <c r="G2096" s="7" t="s">
        <v>1793</v>
      </c>
      <c r="H2096" s="8" t="s">
        <v>1793</v>
      </c>
      <c r="J2096" t="s">
        <v>23</v>
      </c>
      <c r="K2096" s="7">
        <v>936</v>
      </c>
      <c r="L2096" s="9">
        <v>-1</v>
      </c>
      <c r="M2096" t="s">
        <v>1794</v>
      </c>
      <c r="N2096" t="s">
        <v>299</v>
      </c>
      <c r="O2096" s="27" t="str">
        <f>HYPERLINK("https://www.ncbi.nlm.nih.gov/nuccore/NZ_LIQY01000089.1?report=graph&amp;from=4212&amp;to=4822", "TTA_codon")</f>
        <v>TTA_codon</v>
      </c>
    </row>
    <row r="2097" spans="1:15" x14ac:dyDescent="0.15">
      <c r="A2097" t="s">
        <v>21</v>
      </c>
      <c r="B2097">
        <v>1001281</v>
      </c>
      <c r="C2097">
        <v>362418</v>
      </c>
      <c r="F2097" s="7">
        <v>1</v>
      </c>
      <c r="G2097" s="7">
        <v>559</v>
      </c>
      <c r="H2097" s="8">
        <v>418</v>
      </c>
      <c r="J2097" t="s">
        <v>23</v>
      </c>
      <c r="K2097" s="7">
        <v>786</v>
      </c>
      <c r="L2097" s="9">
        <v>-1</v>
      </c>
      <c r="M2097" t="s">
        <v>32</v>
      </c>
      <c r="N2097" t="s">
        <v>33</v>
      </c>
      <c r="O2097" s="27" t="str">
        <f>HYPERLINK("https://www.ncbi.nlm.nih.gov/nuccore/NZ_CP017248.1?report=graph&amp;from=6063068&amp;to=6063072", "TTA_codon")</f>
        <v>TTA_codon</v>
      </c>
    </row>
    <row r="2098" spans="1:15" x14ac:dyDescent="0.15">
      <c r="A2098" t="s">
        <v>21</v>
      </c>
      <c r="B2098" t="s">
        <v>1795</v>
      </c>
    </row>
    <row r="2099" spans="1:15" x14ac:dyDescent="0.15">
      <c r="A2099" t="s">
        <v>21</v>
      </c>
      <c r="B2099">
        <v>1000475</v>
      </c>
      <c r="C2099">
        <v>349050</v>
      </c>
      <c r="F2099" s="7">
        <v>1</v>
      </c>
      <c r="G2099" s="7">
        <v>187</v>
      </c>
      <c r="H2099" s="8">
        <v>187</v>
      </c>
      <c r="J2099" t="s">
        <v>23</v>
      </c>
      <c r="K2099" s="7">
        <v>894</v>
      </c>
      <c r="L2099" s="9">
        <v>-1</v>
      </c>
      <c r="M2099" t="s">
        <v>211</v>
      </c>
      <c r="N2099" t="s">
        <v>212</v>
      </c>
      <c r="O2099" s="27" t="str">
        <f>HYPERLINK("https://www.ncbi.nlm.nih.gov/nuccore/NZ_GG657754.1?report=graph&amp;from=6665982&amp;to=6665986", "TTA_codon")</f>
        <v>TTA_codon</v>
      </c>
    </row>
    <row r="2100" spans="1:15" x14ac:dyDescent="0.15">
      <c r="A2100" t="s">
        <v>21</v>
      </c>
      <c r="B2100">
        <v>1000475</v>
      </c>
      <c r="C2100">
        <v>350207</v>
      </c>
      <c r="F2100" s="7">
        <v>1</v>
      </c>
      <c r="G2100" s="7">
        <v>175</v>
      </c>
      <c r="H2100" s="8">
        <v>175</v>
      </c>
      <c r="J2100" t="s">
        <v>23</v>
      </c>
      <c r="K2100" s="7">
        <v>861</v>
      </c>
      <c r="L2100" s="9">
        <v>-1</v>
      </c>
      <c r="M2100" t="s">
        <v>1796</v>
      </c>
      <c r="N2100" t="s">
        <v>249</v>
      </c>
      <c r="O2100" s="27" t="str">
        <f>HYPERLINK("https://www.ncbi.nlm.nih.gov/nuccore/NZ_AHBF01000018.1?report=graph&amp;from=74181&amp;to=74185", "TTA_codon")</f>
        <v>TTA_codon</v>
      </c>
    </row>
    <row r="2101" spans="1:15" x14ac:dyDescent="0.15">
      <c r="A2101" t="s">
        <v>21</v>
      </c>
      <c r="B2101">
        <v>1000475</v>
      </c>
      <c r="C2101">
        <v>356251</v>
      </c>
      <c r="F2101" s="7">
        <v>1</v>
      </c>
      <c r="G2101" s="7">
        <v>52</v>
      </c>
      <c r="H2101" s="8">
        <v>52</v>
      </c>
      <c r="J2101" t="s">
        <v>23</v>
      </c>
      <c r="K2101" s="7">
        <v>867</v>
      </c>
      <c r="L2101" s="9">
        <v>-1</v>
      </c>
      <c r="M2101" t="s">
        <v>1561</v>
      </c>
      <c r="N2101" t="s">
        <v>77</v>
      </c>
      <c r="O2101" s="27" t="str">
        <f>HYPERLINK("https://www.ncbi.nlm.nih.gov/nuccore/NZ_JNXD01000001.1?report=graph&amp;from=87415&amp;to=87419", "TTA_codon")</f>
        <v>TTA_codon</v>
      </c>
    </row>
    <row r="2102" spans="1:15" x14ac:dyDescent="0.15">
      <c r="A2102" t="s">
        <v>21</v>
      </c>
      <c r="B2102" t="s">
        <v>1797</v>
      </c>
    </row>
    <row r="2103" spans="1:15" x14ac:dyDescent="0.15">
      <c r="A2103" t="s">
        <v>21</v>
      </c>
      <c r="B2103">
        <v>1001287</v>
      </c>
      <c r="C2103">
        <v>358633</v>
      </c>
      <c r="F2103" s="7">
        <v>1</v>
      </c>
      <c r="G2103" s="7">
        <v>520</v>
      </c>
      <c r="H2103" s="8">
        <v>508</v>
      </c>
      <c r="J2103" t="s">
        <v>23</v>
      </c>
      <c r="K2103" s="7">
        <v>846</v>
      </c>
      <c r="L2103" s="9">
        <v>-1</v>
      </c>
      <c r="M2103" t="s">
        <v>1798</v>
      </c>
      <c r="N2103" t="s">
        <v>299</v>
      </c>
      <c r="O2103" s="27" t="str">
        <f>HYPERLINK("https://www.ncbi.nlm.nih.gov/nuccore/NZ_LIQY01000380.1?report=graph&amp;from=349&amp;to=353", "TTA_codon")</f>
        <v>TTA_codon</v>
      </c>
    </row>
    <row r="2104" spans="1:15" x14ac:dyDescent="0.15">
      <c r="A2104" t="s">
        <v>21</v>
      </c>
      <c r="B2104">
        <v>1001287</v>
      </c>
      <c r="C2104">
        <v>363765</v>
      </c>
      <c r="F2104" s="7">
        <v>1</v>
      </c>
      <c r="G2104" s="7">
        <v>379</v>
      </c>
      <c r="H2104" s="8">
        <v>319</v>
      </c>
      <c r="J2104" t="s">
        <v>23</v>
      </c>
      <c r="K2104" s="7">
        <v>1023</v>
      </c>
      <c r="L2104" s="9">
        <v>-1</v>
      </c>
      <c r="M2104" t="s">
        <v>101</v>
      </c>
      <c r="N2104" t="s">
        <v>102</v>
      </c>
      <c r="O2104" s="27" t="str">
        <f>HYPERLINK("https://www.ncbi.nlm.nih.gov/nuccore/NZ_CP019458.1?report=graph&amp;from=5814945&amp;to=5814949", "TTA_codon")</f>
        <v>TTA_codon</v>
      </c>
    </row>
    <row r="2105" spans="1:15" x14ac:dyDescent="0.15">
      <c r="A2105" t="s">
        <v>21</v>
      </c>
      <c r="B2105">
        <v>1001287</v>
      </c>
      <c r="C2105">
        <v>365870</v>
      </c>
      <c r="F2105" s="7">
        <v>1</v>
      </c>
      <c r="G2105" s="7">
        <v>379</v>
      </c>
      <c r="H2105" s="8">
        <v>319</v>
      </c>
      <c r="J2105" t="s">
        <v>23</v>
      </c>
      <c r="K2105" s="7">
        <v>1023</v>
      </c>
      <c r="L2105" s="9">
        <v>-1</v>
      </c>
      <c r="M2105" t="s">
        <v>213</v>
      </c>
      <c r="N2105" t="s">
        <v>214</v>
      </c>
      <c r="O2105" s="27" t="str">
        <f>HYPERLINK("https://www.ncbi.nlm.nih.gov/nuccore/NZ_FNST01000002.1?report=graph&amp;from=3403516&amp;to=3403520", "TTA_codon")</f>
        <v>TTA_codon</v>
      </c>
    </row>
    <row r="2106" spans="1:15" x14ac:dyDescent="0.15">
      <c r="A2106" t="s">
        <v>21</v>
      </c>
      <c r="B2106" t="s">
        <v>1799</v>
      </c>
    </row>
    <row r="2107" spans="1:15" x14ac:dyDescent="0.15">
      <c r="A2107" t="s">
        <v>21</v>
      </c>
      <c r="B2107">
        <v>1000262</v>
      </c>
      <c r="C2107">
        <v>347733</v>
      </c>
      <c r="F2107" s="7">
        <v>1</v>
      </c>
      <c r="G2107" s="7">
        <v>289</v>
      </c>
      <c r="H2107" s="8">
        <v>289</v>
      </c>
      <c r="J2107" t="s">
        <v>23</v>
      </c>
      <c r="K2107" s="7">
        <v>678</v>
      </c>
      <c r="L2107" s="9">
        <v>-1</v>
      </c>
      <c r="M2107" t="s">
        <v>55</v>
      </c>
      <c r="N2107" t="s">
        <v>56</v>
      </c>
      <c r="O2107" s="27" t="str">
        <f>HYPERLINK("https://www.ncbi.nlm.nih.gov/nuccore/NC_010572.1?report=graph&amp;from=2415665&amp;to=2415669", "TTA_codon")</f>
        <v>TTA_codon</v>
      </c>
    </row>
    <row r="2108" spans="1:15" x14ac:dyDescent="0.15">
      <c r="A2108" t="s">
        <v>21</v>
      </c>
      <c r="B2108">
        <v>1000262</v>
      </c>
      <c r="C2108">
        <v>356406</v>
      </c>
      <c r="F2108" s="7">
        <v>1</v>
      </c>
      <c r="G2108" s="7">
        <v>289</v>
      </c>
      <c r="H2108" s="8">
        <v>289</v>
      </c>
      <c r="J2108" t="s">
        <v>23</v>
      </c>
      <c r="K2108" s="7">
        <v>660</v>
      </c>
      <c r="L2108" s="9">
        <v>-1</v>
      </c>
      <c r="M2108" t="s">
        <v>1800</v>
      </c>
      <c r="N2108" t="s">
        <v>354</v>
      </c>
      <c r="O2108" s="27" t="str">
        <f>HYPERLINK("https://www.ncbi.nlm.nih.gov/nuccore/NZ_JQJU01000004.1?report=graph&amp;from=237404&amp;to=237408", "TTA_codon")</f>
        <v>TTA_codon</v>
      </c>
    </row>
    <row r="2109" spans="1:15" x14ac:dyDescent="0.15">
      <c r="A2109" t="s">
        <v>21</v>
      </c>
      <c r="B2109" t="s">
        <v>1801</v>
      </c>
    </row>
    <row r="2110" spans="1:15" x14ac:dyDescent="0.15">
      <c r="A2110" t="s">
        <v>21</v>
      </c>
      <c r="B2110">
        <v>1001108</v>
      </c>
      <c r="C2110">
        <v>355670</v>
      </c>
      <c r="F2110" s="7">
        <v>1</v>
      </c>
      <c r="G2110" s="7">
        <v>187</v>
      </c>
      <c r="H2110" s="8">
        <v>139</v>
      </c>
      <c r="J2110" t="s">
        <v>23</v>
      </c>
      <c r="K2110" s="7">
        <v>1368</v>
      </c>
      <c r="L2110" s="9">
        <v>1</v>
      </c>
      <c r="M2110" t="s">
        <v>1094</v>
      </c>
      <c r="N2110" t="s">
        <v>278</v>
      </c>
      <c r="O2110" s="27" t="str">
        <f>HYPERLINK("https://www.ncbi.nlm.nih.gov/nuccore/NZ_JOID01000017.1?report=graph&amp;from=72434&amp;to=72438", "TTA_codon")</f>
        <v>TTA_codon</v>
      </c>
    </row>
    <row r="2111" spans="1:15" x14ac:dyDescent="0.15">
      <c r="A2111" t="s">
        <v>21</v>
      </c>
      <c r="B2111">
        <v>1001108</v>
      </c>
      <c r="C2111">
        <v>362709</v>
      </c>
      <c r="F2111" s="7">
        <v>2</v>
      </c>
      <c r="G2111" s="7" t="s">
        <v>1802</v>
      </c>
      <c r="H2111" s="8" t="s">
        <v>1803</v>
      </c>
      <c r="J2111" t="s">
        <v>23</v>
      </c>
      <c r="K2111" s="7">
        <v>1425</v>
      </c>
      <c r="L2111" s="9">
        <v>1</v>
      </c>
      <c r="M2111" t="s">
        <v>1804</v>
      </c>
      <c r="N2111" t="s">
        <v>985</v>
      </c>
      <c r="O2111" s="27" t="str">
        <f>HYPERLINK("https://www.ncbi.nlm.nih.gov/nuccore/NZ_LJGU01000093.1?report=graph&amp;from=63539&amp;to=63732", "TTA_codon")</f>
        <v>TTA_codon</v>
      </c>
    </row>
    <row r="2112" spans="1:15" x14ac:dyDescent="0.15">
      <c r="A2112" t="s">
        <v>195</v>
      </c>
      <c r="B2112" t="s">
        <v>1805</v>
      </c>
    </row>
    <row r="2113" spans="1:15" x14ac:dyDescent="0.15">
      <c r="A2113" t="s">
        <v>195</v>
      </c>
      <c r="B2113">
        <v>1000132</v>
      </c>
      <c r="C2113">
        <v>346941</v>
      </c>
      <c r="F2113" s="7">
        <v>1</v>
      </c>
      <c r="G2113" s="7">
        <v>403</v>
      </c>
      <c r="H2113" s="8">
        <v>328</v>
      </c>
      <c r="J2113" t="s">
        <v>23</v>
      </c>
      <c r="K2113" s="7">
        <v>1767</v>
      </c>
      <c r="L2113" s="9">
        <v>-1</v>
      </c>
      <c r="M2113" t="s">
        <v>1806</v>
      </c>
      <c r="N2113" t="s">
        <v>985</v>
      </c>
      <c r="O2113" s="27" t="str">
        <f>HYPERLINK("https://www.ncbi.nlm.nih.gov/nuccore/NZ_LJGU01000120.1?report=graph&amp;from=13721&amp;to=13725", "TTA_codon")</f>
        <v>TTA_codon</v>
      </c>
    </row>
    <row r="2114" spans="1:15" x14ac:dyDescent="0.15">
      <c r="A2114" t="s">
        <v>21</v>
      </c>
      <c r="B2114">
        <v>1000132</v>
      </c>
      <c r="C2114">
        <v>353293</v>
      </c>
      <c r="F2114" s="7">
        <v>1</v>
      </c>
      <c r="G2114" s="7">
        <v>304</v>
      </c>
      <c r="H2114" s="8">
        <v>250</v>
      </c>
      <c r="J2114" t="s">
        <v>23</v>
      </c>
      <c r="K2114" s="7">
        <v>1746</v>
      </c>
      <c r="L2114" s="9">
        <v>-1</v>
      </c>
      <c r="M2114" t="s">
        <v>449</v>
      </c>
      <c r="N2114" t="s">
        <v>169</v>
      </c>
      <c r="O2114" s="27" t="str">
        <f>HYPERLINK("https://www.ncbi.nlm.nih.gov/nuccore/NZ_JNWJ01000022.1?report=graph&amp;from=109954&amp;to=109958", "TTA_codon")</f>
        <v>TTA_codon</v>
      </c>
    </row>
    <row r="2115" spans="1:15" x14ac:dyDescent="0.15">
      <c r="A2115" t="s">
        <v>21</v>
      </c>
      <c r="B2115">
        <v>1000132</v>
      </c>
      <c r="C2115">
        <v>354618</v>
      </c>
      <c r="F2115" s="7">
        <v>1</v>
      </c>
      <c r="G2115" s="7">
        <v>427</v>
      </c>
      <c r="H2115" s="8">
        <v>376</v>
      </c>
      <c r="J2115" t="s">
        <v>23</v>
      </c>
      <c r="K2115" s="7">
        <v>1794</v>
      </c>
      <c r="L2115" s="9">
        <v>-1</v>
      </c>
      <c r="M2115" t="s">
        <v>1807</v>
      </c>
      <c r="N2115" t="s">
        <v>272</v>
      </c>
      <c r="O2115" s="27" t="str">
        <f>HYPERLINK("https://www.ncbi.nlm.nih.gov/nuccore/NZ_JOEY01000033.1?report=graph&amp;from=141721&amp;to=141725", "TTA_codon")</f>
        <v>TTA_codon</v>
      </c>
    </row>
    <row r="2116" spans="1:15" x14ac:dyDescent="0.15">
      <c r="A2116" t="s">
        <v>21</v>
      </c>
      <c r="B2116">
        <v>1000132</v>
      </c>
      <c r="C2116">
        <v>363682</v>
      </c>
      <c r="F2116" s="7">
        <v>1</v>
      </c>
      <c r="G2116" s="7">
        <v>475</v>
      </c>
      <c r="H2116" s="8">
        <v>460</v>
      </c>
      <c r="J2116" t="s">
        <v>23</v>
      </c>
      <c r="K2116" s="7">
        <v>1152</v>
      </c>
      <c r="L2116" s="9">
        <v>-1</v>
      </c>
      <c r="M2116" t="s">
        <v>101</v>
      </c>
      <c r="N2116" t="s">
        <v>102</v>
      </c>
      <c r="O2116" s="27" t="str">
        <f>HYPERLINK("https://www.ncbi.nlm.nih.gov/nuccore/NZ_CP019458.1?report=graph&amp;from=8483208&amp;to=8483212", "TTA_codon")</f>
        <v>TTA_codon</v>
      </c>
    </row>
    <row r="2117" spans="1:15" x14ac:dyDescent="0.15">
      <c r="A2117" t="s">
        <v>21</v>
      </c>
      <c r="B2117" t="s">
        <v>1808</v>
      </c>
    </row>
    <row r="2118" spans="1:15" x14ac:dyDescent="0.15">
      <c r="A2118" t="s">
        <v>21</v>
      </c>
      <c r="B2118">
        <v>1001042</v>
      </c>
      <c r="C2118">
        <v>354740</v>
      </c>
      <c r="F2118" s="7">
        <v>1</v>
      </c>
      <c r="G2118" s="7">
        <v>91</v>
      </c>
      <c r="H2118" s="8">
        <v>91</v>
      </c>
      <c r="J2118" t="s">
        <v>23</v>
      </c>
      <c r="K2118" s="7">
        <v>762</v>
      </c>
      <c r="L2118" s="9">
        <v>1</v>
      </c>
      <c r="M2118" t="s">
        <v>512</v>
      </c>
      <c r="N2118" t="s">
        <v>272</v>
      </c>
      <c r="O2118" s="27" t="str">
        <f>HYPERLINK("https://www.ncbi.nlm.nih.gov/nuccore/NZ_JOEY01000012.1?report=graph&amp;from=207923&amp;to=207927", "TTA_codon")</f>
        <v>TTA_codon</v>
      </c>
    </row>
    <row r="2119" spans="1:15" x14ac:dyDescent="0.15">
      <c r="A2119" t="s">
        <v>21</v>
      </c>
      <c r="B2119">
        <v>1001042</v>
      </c>
      <c r="C2119">
        <v>359970</v>
      </c>
      <c r="F2119" s="7">
        <v>1</v>
      </c>
      <c r="G2119" s="7">
        <v>91</v>
      </c>
      <c r="H2119" s="8">
        <v>91</v>
      </c>
      <c r="J2119" t="s">
        <v>23</v>
      </c>
      <c r="K2119" s="7">
        <v>765</v>
      </c>
      <c r="L2119" s="9">
        <v>1</v>
      </c>
      <c r="M2119" t="s">
        <v>1809</v>
      </c>
      <c r="N2119" t="s">
        <v>91</v>
      </c>
      <c r="O2119" s="27" t="str">
        <f>HYPERLINK("https://www.ncbi.nlm.nih.gov/nuccore/NZ_KQ948320.1?report=graph&amp;from=196752&amp;to=196756", "TTA_codon")</f>
        <v>TTA_codon</v>
      </c>
    </row>
    <row r="2120" spans="1:15" x14ac:dyDescent="0.15">
      <c r="A2120" t="s">
        <v>21</v>
      </c>
      <c r="B2120">
        <v>1001042</v>
      </c>
      <c r="C2120">
        <v>361263</v>
      </c>
      <c r="F2120" s="7">
        <v>1</v>
      </c>
      <c r="G2120" s="7">
        <v>91</v>
      </c>
      <c r="H2120" s="8">
        <v>91</v>
      </c>
      <c r="J2120" t="s">
        <v>23</v>
      </c>
      <c r="K2120" s="7">
        <v>777</v>
      </c>
      <c r="L2120" s="9">
        <v>1</v>
      </c>
      <c r="M2120" t="s">
        <v>98</v>
      </c>
      <c r="N2120" t="s">
        <v>99</v>
      </c>
      <c r="O2120" s="27" t="str">
        <f>HYPERLINK("https://www.ncbi.nlm.nih.gov/nuccore/NZ_CP016438.1?report=graph&amp;from=3878413&amp;to=3878417", "TTA_codon")</f>
        <v>TTA_codon</v>
      </c>
    </row>
    <row r="2121" spans="1:15" x14ac:dyDescent="0.15">
      <c r="A2121" t="s">
        <v>21</v>
      </c>
      <c r="B2121" t="s">
        <v>1810</v>
      </c>
    </row>
    <row r="2122" spans="1:15" x14ac:dyDescent="0.15">
      <c r="A2122" t="s">
        <v>21</v>
      </c>
      <c r="B2122">
        <v>1000217</v>
      </c>
      <c r="C2122">
        <v>347421</v>
      </c>
      <c r="F2122" s="7">
        <v>1</v>
      </c>
      <c r="G2122" s="7">
        <v>85</v>
      </c>
      <c r="H2122" s="8">
        <v>85</v>
      </c>
      <c r="J2122" t="s">
        <v>23</v>
      </c>
      <c r="K2122" s="7">
        <v>1038</v>
      </c>
      <c r="L2122" s="9">
        <v>-1</v>
      </c>
      <c r="M2122" t="s">
        <v>217</v>
      </c>
      <c r="N2122" t="s">
        <v>218</v>
      </c>
      <c r="O2122" s="27" t="str">
        <f>HYPERLINK("https://www.ncbi.nlm.nih.gov/nuccore/NC_021985.1?report=graph&amp;from=2050746&amp;to=2050750", "TTA_codon")</f>
        <v>TTA_codon</v>
      </c>
    </row>
    <row r="2123" spans="1:15" x14ac:dyDescent="0.15">
      <c r="A2123" t="s">
        <v>21</v>
      </c>
      <c r="B2123">
        <v>1000217</v>
      </c>
      <c r="C2123">
        <v>360497</v>
      </c>
      <c r="F2123" s="7">
        <v>1</v>
      </c>
      <c r="G2123" s="7">
        <v>85</v>
      </c>
      <c r="H2123" s="8">
        <v>85</v>
      </c>
      <c r="J2123" t="s">
        <v>23</v>
      </c>
      <c r="K2123" s="7">
        <v>1002</v>
      </c>
      <c r="L2123" s="9">
        <v>-1</v>
      </c>
      <c r="M2123" t="s">
        <v>121</v>
      </c>
      <c r="N2123" t="s">
        <v>122</v>
      </c>
      <c r="O2123" s="27" t="str">
        <f>HYPERLINK("https://www.ncbi.nlm.nih.gov/nuccore/NZ_CP016279.1?report=graph&amp;from=8108048&amp;to=8108052", "TTA_codon")</f>
        <v>TTA_codon</v>
      </c>
    </row>
    <row r="2124" spans="1:15" x14ac:dyDescent="0.15">
      <c r="A2124" t="s">
        <v>21</v>
      </c>
      <c r="B2124" t="s">
        <v>1811</v>
      </c>
    </row>
    <row r="2125" spans="1:15" x14ac:dyDescent="0.15">
      <c r="A2125" t="s">
        <v>21</v>
      </c>
      <c r="B2125">
        <v>1000627</v>
      </c>
      <c r="C2125">
        <v>350436</v>
      </c>
      <c r="F2125" s="7">
        <v>1</v>
      </c>
      <c r="G2125" s="7">
        <v>448</v>
      </c>
      <c r="H2125" s="8">
        <v>448</v>
      </c>
      <c r="J2125" t="s">
        <v>23</v>
      </c>
      <c r="K2125" s="7">
        <v>651</v>
      </c>
      <c r="L2125" s="9">
        <v>1</v>
      </c>
      <c r="M2125" t="s">
        <v>1457</v>
      </c>
      <c r="N2125" t="s">
        <v>36</v>
      </c>
      <c r="O2125" s="27" t="str">
        <f>HYPERLINK("https://www.ncbi.nlm.nih.gov/nuccore/NZ_JH725388.1?report=graph&amp;from=848485&amp;to=848489", "TTA_codon")</f>
        <v>TTA_codon</v>
      </c>
    </row>
    <row r="2126" spans="1:15" x14ac:dyDescent="0.15">
      <c r="A2126" t="s">
        <v>21</v>
      </c>
      <c r="B2126">
        <v>1000627</v>
      </c>
      <c r="C2126">
        <v>366866</v>
      </c>
      <c r="F2126" s="7">
        <v>1</v>
      </c>
      <c r="G2126" s="7">
        <v>484</v>
      </c>
      <c r="H2126" s="8">
        <v>484</v>
      </c>
      <c r="J2126" t="s">
        <v>23</v>
      </c>
      <c r="K2126" s="7">
        <v>651</v>
      </c>
      <c r="L2126" s="9">
        <v>1</v>
      </c>
      <c r="M2126" t="s">
        <v>1812</v>
      </c>
      <c r="N2126" t="s">
        <v>209</v>
      </c>
      <c r="O2126" s="27" t="str">
        <f>HYPERLINK("https://www.ncbi.nlm.nih.gov/nuccore/NZ_FZOF01000057.1?report=graph&amp;from=20280&amp;to=20284", "TTA_codon")</f>
        <v>TTA_codon</v>
      </c>
    </row>
    <row r="2127" spans="1:15" x14ac:dyDescent="0.15">
      <c r="A2127" t="s">
        <v>21</v>
      </c>
      <c r="B2127" t="s">
        <v>1813</v>
      </c>
    </row>
    <row r="2128" spans="1:15" x14ac:dyDescent="0.15">
      <c r="A2128" t="s">
        <v>21</v>
      </c>
      <c r="B2128">
        <v>1001394</v>
      </c>
      <c r="C2128">
        <v>347614</v>
      </c>
      <c r="F2128" s="7">
        <v>1</v>
      </c>
      <c r="G2128" s="7">
        <v>1090</v>
      </c>
      <c r="H2128" s="8">
        <v>787</v>
      </c>
      <c r="J2128" t="s">
        <v>23</v>
      </c>
      <c r="K2128" s="7">
        <v>1575</v>
      </c>
      <c r="L2128" s="9">
        <v>-1</v>
      </c>
      <c r="M2128" t="s">
        <v>55</v>
      </c>
      <c r="N2128" t="s">
        <v>56</v>
      </c>
      <c r="O2128" s="27" t="str">
        <f>HYPERLINK("https://www.ncbi.nlm.nih.gov/nuccore/NC_010572.1?report=graph&amp;from=4577942&amp;to=4577946", "TTA_codon")</f>
        <v>TTA_codon</v>
      </c>
    </row>
    <row r="2129" spans="1:15" x14ac:dyDescent="0.15">
      <c r="A2129" t="s">
        <v>21</v>
      </c>
      <c r="B2129">
        <v>1001394</v>
      </c>
      <c r="C2129">
        <v>348019</v>
      </c>
      <c r="F2129" s="7">
        <v>1</v>
      </c>
      <c r="G2129" s="7">
        <v>925</v>
      </c>
      <c r="H2129" s="8">
        <v>511</v>
      </c>
      <c r="J2129" t="s">
        <v>23</v>
      </c>
      <c r="K2129" s="7">
        <v>1419</v>
      </c>
      <c r="L2129" s="9">
        <v>-1</v>
      </c>
      <c r="M2129" t="s">
        <v>59</v>
      </c>
      <c r="N2129" t="s">
        <v>60</v>
      </c>
      <c r="O2129" s="27" t="str">
        <f>HYPERLINK("https://www.ncbi.nlm.nih.gov/nuccore/NC_016582.1?report=graph&amp;from=7022642&amp;to=7022646", "TTA_codon")</f>
        <v>TTA_codon</v>
      </c>
    </row>
    <row r="2130" spans="1:15" x14ac:dyDescent="0.15">
      <c r="A2130" t="s">
        <v>21</v>
      </c>
      <c r="B2130">
        <v>1001394</v>
      </c>
      <c r="C2130">
        <v>348740</v>
      </c>
      <c r="F2130" s="7">
        <v>1</v>
      </c>
      <c r="G2130" s="7">
        <v>478</v>
      </c>
      <c r="H2130" s="8">
        <v>370</v>
      </c>
      <c r="J2130" t="s">
        <v>23</v>
      </c>
      <c r="K2130" s="7">
        <v>1356</v>
      </c>
      <c r="L2130" s="9">
        <v>-1</v>
      </c>
      <c r="M2130" t="s">
        <v>211</v>
      </c>
      <c r="N2130" t="s">
        <v>212</v>
      </c>
      <c r="O2130" s="27" t="str">
        <f>HYPERLINK("https://www.ncbi.nlm.nih.gov/nuccore/NZ_GG657754.1?report=graph&amp;from=4117236&amp;to=4117240", "TTA_codon")</f>
        <v>TTA_codon</v>
      </c>
    </row>
    <row r="2131" spans="1:15" x14ac:dyDescent="0.15">
      <c r="A2131" t="s">
        <v>21</v>
      </c>
      <c r="B2131">
        <v>1001394</v>
      </c>
      <c r="C2131">
        <v>349305</v>
      </c>
      <c r="F2131" s="7">
        <v>1</v>
      </c>
      <c r="G2131" s="7">
        <v>1090</v>
      </c>
      <c r="H2131" s="8">
        <v>619</v>
      </c>
      <c r="J2131" t="s">
        <v>23</v>
      </c>
      <c r="K2131" s="7">
        <v>1407</v>
      </c>
      <c r="L2131" s="9">
        <v>-1</v>
      </c>
      <c r="M2131" t="s">
        <v>458</v>
      </c>
      <c r="N2131" t="s">
        <v>315</v>
      </c>
      <c r="O2131" s="27" t="str">
        <f>HYPERLINK("https://www.ncbi.nlm.nih.gov/nuccore/NC_003888.3?report=graph&amp;from=4514462&amp;to=4514466", "TTA_codon")</f>
        <v>TTA_codon</v>
      </c>
    </row>
    <row r="2132" spans="1:15" x14ac:dyDescent="0.15">
      <c r="A2132" t="s">
        <v>21</v>
      </c>
      <c r="B2132">
        <v>1001394</v>
      </c>
      <c r="C2132">
        <v>349738</v>
      </c>
      <c r="F2132" s="7">
        <v>1</v>
      </c>
      <c r="G2132" s="7">
        <v>262</v>
      </c>
      <c r="H2132" s="8">
        <v>226</v>
      </c>
      <c r="J2132" t="s">
        <v>23</v>
      </c>
      <c r="K2132" s="7">
        <v>1377</v>
      </c>
      <c r="L2132" s="9">
        <v>-1</v>
      </c>
      <c r="M2132" t="s">
        <v>265</v>
      </c>
      <c r="N2132" t="s">
        <v>266</v>
      </c>
      <c r="O2132" s="27" t="str">
        <f>HYPERLINK("https://www.ncbi.nlm.nih.gov/nuccore/NC_017586.1?report=graph&amp;from=2961605&amp;to=2961609", "TTA_codon")</f>
        <v>TTA_codon</v>
      </c>
    </row>
    <row r="2133" spans="1:15" x14ac:dyDescent="0.15">
      <c r="A2133" t="s">
        <v>21</v>
      </c>
      <c r="B2133">
        <v>1001394</v>
      </c>
      <c r="C2133">
        <v>350493</v>
      </c>
      <c r="F2133" s="7">
        <v>2</v>
      </c>
      <c r="G2133" s="7" t="s">
        <v>1814</v>
      </c>
      <c r="H2133" s="8" t="s">
        <v>1815</v>
      </c>
      <c r="J2133" t="s">
        <v>23</v>
      </c>
      <c r="K2133" s="7">
        <v>1359</v>
      </c>
      <c r="L2133" s="9">
        <v>-1</v>
      </c>
      <c r="M2133" t="s">
        <v>1816</v>
      </c>
      <c r="N2133" t="s">
        <v>134</v>
      </c>
      <c r="O2133" s="27" t="str">
        <f>HYPERLINK("https://www.ncbi.nlm.nih.gov/nuccore/NZ_AJSZ01000521.1?report=graph&amp;from=14642&amp;to=14883", "TTA_codon")</f>
        <v>TTA_codon</v>
      </c>
    </row>
    <row r="2134" spans="1:15" x14ac:dyDescent="0.15">
      <c r="A2134" t="s">
        <v>21</v>
      </c>
      <c r="B2134">
        <v>1001394</v>
      </c>
      <c r="C2134">
        <v>350725</v>
      </c>
      <c r="F2134" s="7">
        <v>1</v>
      </c>
      <c r="G2134" s="7">
        <v>1153</v>
      </c>
      <c r="H2134" s="8">
        <v>625</v>
      </c>
      <c r="J2134" t="s">
        <v>23</v>
      </c>
      <c r="K2134" s="7">
        <v>1359</v>
      </c>
      <c r="L2134" s="9">
        <v>-1</v>
      </c>
      <c r="M2134" t="s">
        <v>1817</v>
      </c>
      <c r="N2134" t="s">
        <v>51</v>
      </c>
      <c r="O2134" s="27" t="str">
        <f>HYPERLINK("https://www.ncbi.nlm.nih.gov/nuccore/NZ_AEJB01000070.1?report=graph&amp;from=62216&amp;to=62220", "TTA_codon")</f>
        <v>TTA_codon</v>
      </c>
    </row>
    <row r="2135" spans="1:15" x14ac:dyDescent="0.15">
      <c r="A2135" t="s">
        <v>21</v>
      </c>
      <c r="B2135">
        <v>1001394</v>
      </c>
      <c r="C2135">
        <v>351022</v>
      </c>
      <c r="F2135" s="7">
        <v>1</v>
      </c>
      <c r="G2135" s="7">
        <v>130</v>
      </c>
      <c r="H2135" s="8">
        <v>103</v>
      </c>
      <c r="J2135" t="s">
        <v>23</v>
      </c>
      <c r="K2135" s="7">
        <v>1521</v>
      </c>
      <c r="L2135" s="9">
        <v>-1</v>
      </c>
      <c r="M2135" t="s">
        <v>1818</v>
      </c>
      <c r="N2135" t="s">
        <v>136</v>
      </c>
      <c r="O2135" s="27" t="str">
        <f>HYPERLINK("https://www.ncbi.nlm.nih.gov/nuccore/NZ_AORZ01000189.1?report=graph&amp;from=5760&amp;to=5764", "TTA_codon")</f>
        <v>TTA_codon</v>
      </c>
    </row>
    <row r="2136" spans="1:15" x14ac:dyDescent="0.15">
      <c r="A2136" t="s">
        <v>21</v>
      </c>
      <c r="B2136">
        <v>1001394</v>
      </c>
      <c r="C2136">
        <v>353561</v>
      </c>
      <c r="F2136" s="7">
        <v>1</v>
      </c>
      <c r="G2136" s="7">
        <v>1090</v>
      </c>
      <c r="H2136" s="8">
        <v>694</v>
      </c>
      <c r="J2136" t="s">
        <v>23</v>
      </c>
      <c r="K2136" s="7">
        <v>1482</v>
      </c>
      <c r="L2136" s="9">
        <v>-1</v>
      </c>
      <c r="M2136" t="s">
        <v>1138</v>
      </c>
      <c r="N2136" t="s">
        <v>140</v>
      </c>
      <c r="O2136" s="27" t="str">
        <f>HYPERLINK("https://www.ncbi.nlm.nih.gov/nuccore/NZ_JNXG01000001.1?report=graph&amp;from=683955&amp;to=683959", "TTA_codon")</f>
        <v>TTA_codon</v>
      </c>
    </row>
    <row r="2137" spans="1:15" x14ac:dyDescent="0.15">
      <c r="A2137" t="s">
        <v>21</v>
      </c>
      <c r="B2137">
        <v>1001394</v>
      </c>
      <c r="C2137">
        <v>353724</v>
      </c>
      <c r="F2137" s="7">
        <v>2</v>
      </c>
      <c r="G2137" s="7" t="s">
        <v>1819</v>
      </c>
      <c r="H2137" s="8" t="s">
        <v>1652</v>
      </c>
      <c r="J2137" t="s">
        <v>23</v>
      </c>
      <c r="K2137" s="7">
        <v>1359</v>
      </c>
      <c r="L2137" s="9">
        <v>-1</v>
      </c>
      <c r="M2137" t="s">
        <v>1820</v>
      </c>
      <c r="N2137" t="s">
        <v>246</v>
      </c>
      <c r="O2137" s="27" t="str">
        <f>HYPERLINK("https://www.ncbi.nlm.nih.gov/nuccore/NZ_JNYR01000006.1?report=graph&amp;from=65624&amp;to=65727", "TTA_codon")</f>
        <v>TTA_codon</v>
      </c>
    </row>
    <row r="2138" spans="1:15" x14ac:dyDescent="0.15">
      <c r="A2138" t="s">
        <v>21</v>
      </c>
      <c r="B2138">
        <v>1001394</v>
      </c>
      <c r="C2138">
        <v>354287</v>
      </c>
      <c r="F2138" s="7">
        <v>1</v>
      </c>
      <c r="G2138" s="7">
        <v>193</v>
      </c>
      <c r="H2138" s="8">
        <v>163</v>
      </c>
      <c r="J2138" t="s">
        <v>23</v>
      </c>
      <c r="K2138" s="7">
        <v>1368</v>
      </c>
      <c r="L2138" s="9">
        <v>-1</v>
      </c>
      <c r="M2138" t="s">
        <v>1089</v>
      </c>
      <c r="N2138" t="s">
        <v>142</v>
      </c>
      <c r="O2138" s="27" t="str">
        <f>HYPERLINK("https://www.ncbi.nlm.nih.gov/nuccore/NZ_JOEI01000007.1?report=graph&amp;from=367980&amp;to=367984", "TTA_codon")</f>
        <v>TTA_codon</v>
      </c>
    </row>
    <row r="2139" spans="1:15" x14ac:dyDescent="0.15">
      <c r="A2139" t="s">
        <v>21</v>
      </c>
      <c r="B2139">
        <v>1001394</v>
      </c>
      <c r="C2139">
        <v>355060</v>
      </c>
      <c r="F2139" s="7">
        <v>1</v>
      </c>
      <c r="G2139" s="7">
        <v>925</v>
      </c>
      <c r="H2139" s="8">
        <v>523</v>
      </c>
      <c r="J2139" t="s">
        <v>23</v>
      </c>
      <c r="K2139" s="7">
        <v>1431</v>
      </c>
      <c r="L2139" s="9">
        <v>-1</v>
      </c>
      <c r="M2139" t="s">
        <v>1821</v>
      </c>
      <c r="N2139" t="s">
        <v>433</v>
      </c>
      <c r="O2139" s="27" t="str">
        <f>HYPERLINK("https://www.ncbi.nlm.nih.gov/nuccore/NZ_JOBF01000034.1?report=graph&amp;from=144874&amp;to=144878", "TTA_codon")</f>
        <v>TTA_codon</v>
      </c>
    </row>
    <row r="2140" spans="1:15" x14ac:dyDescent="0.15">
      <c r="A2140" t="s">
        <v>21</v>
      </c>
      <c r="B2140">
        <v>1001394</v>
      </c>
      <c r="C2140">
        <v>356010</v>
      </c>
      <c r="F2140" s="7">
        <v>1</v>
      </c>
      <c r="G2140" s="7">
        <v>1090</v>
      </c>
      <c r="H2140" s="8">
        <v>622</v>
      </c>
      <c r="J2140" t="s">
        <v>23</v>
      </c>
      <c r="K2140" s="7">
        <v>1410</v>
      </c>
      <c r="L2140" s="9">
        <v>-1</v>
      </c>
      <c r="M2140" t="s">
        <v>1083</v>
      </c>
      <c r="N2140" t="s">
        <v>146</v>
      </c>
      <c r="O2140" s="27" t="str">
        <f>HYPERLINK("https://www.ncbi.nlm.nih.gov/nuccore/NZ_JOFH01000014.1?report=graph&amp;from=386987&amp;to=386991", "TTA_codon")</f>
        <v>TTA_codon</v>
      </c>
    </row>
    <row r="2141" spans="1:15" x14ac:dyDescent="0.15">
      <c r="A2141" t="s">
        <v>21</v>
      </c>
      <c r="B2141">
        <v>1001394</v>
      </c>
      <c r="C2141">
        <v>356164</v>
      </c>
      <c r="F2141" s="7">
        <v>1</v>
      </c>
      <c r="G2141" s="7">
        <v>1090</v>
      </c>
      <c r="H2141" s="8">
        <v>622</v>
      </c>
      <c r="J2141" t="s">
        <v>23</v>
      </c>
      <c r="K2141" s="7">
        <v>1410</v>
      </c>
      <c r="L2141" s="9">
        <v>-1</v>
      </c>
      <c r="M2141" t="s">
        <v>1317</v>
      </c>
      <c r="N2141" t="s">
        <v>77</v>
      </c>
      <c r="O2141" s="27" t="str">
        <f>HYPERLINK("https://www.ncbi.nlm.nih.gov/nuccore/NZ_JNXD01000011.1?report=graph&amp;from=528206&amp;to=528210", "TTA_codon")</f>
        <v>TTA_codon</v>
      </c>
    </row>
    <row r="2142" spans="1:15" x14ac:dyDescent="0.15">
      <c r="A2142" t="s">
        <v>21</v>
      </c>
      <c r="B2142">
        <v>1001394</v>
      </c>
      <c r="C2142">
        <v>356345</v>
      </c>
      <c r="F2142" s="7">
        <v>1</v>
      </c>
      <c r="G2142" s="7">
        <v>1090</v>
      </c>
      <c r="H2142" s="8">
        <v>724</v>
      </c>
      <c r="J2142" t="s">
        <v>23</v>
      </c>
      <c r="K2142" s="7">
        <v>1512</v>
      </c>
      <c r="L2142" s="9">
        <v>-1</v>
      </c>
      <c r="M2142" t="s">
        <v>1822</v>
      </c>
      <c r="N2142" t="s">
        <v>354</v>
      </c>
      <c r="O2142" s="27" t="str">
        <f>HYPERLINK("https://www.ncbi.nlm.nih.gov/nuccore/NZ_JQJU01000044.1?report=graph&amp;from=46481&amp;to=46485", "TTA_codon")</f>
        <v>TTA_codon</v>
      </c>
    </row>
    <row r="2143" spans="1:15" x14ac:dyDescent="0.15">
      <c r="A2143" t="s">
        <v>21</v>
      </c>
      <c r="B2143">
        <v>1001394</v>
      </c>
      <c r="C2143">
        <v>356999</v>
      </c>
      <c r="F2143" s="7">
        <v>1</v>
      </c>
      <c r="G2143" s="7">
        <v>1006</v>
      </c>
      <c r="H2143" s="8">
        <v>532</v>
      </c>
      <c r="J2143" t="s">
        <v>23</v>
      </c>
      <c r="K2143" s="7">
        <v>1404</v>
      </c>
      <c r="L2143" s="9">
        <v>-1</v>
      </c>
      <c r="M2143" t="s">
        <v>162</v>
      </c>
      <c r="N2143" t="s">
        <v>163</v>
      </c>
      <c r="O2143" s="27" t="str">
        <f>HYPERLINK("https://www.ncbi.nlm.nih.gov/nuccore/NZ_CP010519.1?report=graph&amp;from=4753185&amp;to=4753189", "TTA_codon")</f>
        <v>TTA_codon</v>
      </c>
    </row>
    <row r="2144" spans="1:15" x14ac:dyDescent="0.15">
      <c r="A2144" t="s">
        <v>21</v>
      </c>
      <c r="B2144">
        <v>1001394</v>
      </c>
      <c r="C2144">
        <v>357129</v>
      </c>
      <c r="F2144" s="7">
        <v>1</v>
      </c>
      <c r="G2144" s="7">
        <v>1090</v>
      </c>
      <c r="H2144" s="8">
        <v>643</v>
      </c>
      <c r="J2144" t="s">
        <v>23</v>
      </c>
      <c r="K2144" s="7">
        <v>1431</v>
      </c>
      <c r="L2144" s="9">
        <v>-1</v>
      </c>
      <c r="M2144" t="s">
        <v>205</v>
      </c>
      <c r="N2144" t="s">
        <v>206</v>
      </c>
      <c r="O2144" s="27" t="str">
        <f>HYPERLINK("https://www.ncbi.nlm.nih.gov/nuccore/NZ_CP010407.1?report=graph&amp;from=4511118&amp;to=4511122", "TTA_codon")</f>
        <v>TTA_codon</v>
      </c>
    </row>
    <row r="2145" spans="1:15" x14ac:dyDescent="0.15">
      <c r="A2145" t="s">
        <v>21</v>
      </c>
      <c r="B2145">
        <v>1001394</v>
      </c>
      <c r="C2145">
        <v>357533</v>
      </c>
      <c r="F2145" s="7">
        <v>1</v>
      </c>
      <c r="G2145" s="7">
        <v>130</v>
      </c>
      <c r="H2145" s="8">
        <v>103</v>
      </c>
      <c r="J2145" t="s">
        <v>23</v>
      </c>
      <c r="K2145" s="7">
        <v>1458</v>
      </c>
      <c r="L2145" s="9">
        <v>-1</v>
      </c>
      <c r="M2145" t="s">
        <v>1262</v>
      </c>
      <c r="N2145" t="s">
        <v>378</v>
      </c>
      <c r="O2145" s="27" t="str">
        <f>HYPERLINK("https://www.ncbi.nlm.nih.gov/nuccore/NZ_LFXA01000004.1?report=graph&amp;from=357472&amp;to=357476", "TTA_codon")</f>
        <v>TTA_codon</v>
      </c>
    </row>
    <row r="2146" spans="1:15" x14ac:dyDescent="0.15">
      <c r="A2146" t="s">
        <v>21</v>
      </c>
      <c r="B2146">
        <v>1001394</v>
      </c>
      <c r="C2146">
        <v>358075</v>
      </c>
      <c r="F2146" s="7">
        <v>1</v>
      </c>
      <c r="G2146" s="7">
        <v>1090</v>
      </c>
      <c r="H2146" s="8">
        <v>622</v>
      </c>
      <c r="J2146" t="s">
        <v>23</v>
      </c>
      <c r="K2146" s="7">
        <v>1410</v>
      </c>
      <c r="L2146" s="9">
        <v>-1</v>
      </c>
      <c r="M2146" t="s">
        <v>1823</v>
      </c>
      <c r="N2146" t="s">
        <v>119</v>
      </c>
      <c r="O2146" s="27" t="str">
        <f>HYPERLINK("https://www.ncbi.nlm.nih.gov/nuccore/NZ_LIPP01000076.1?report=graph&amp;from=2464&amp;to=2468", "TTA_codon")</f>
        <v>TTA_codon</v>
      </c>
    </row>
    <row r="2147" spans="1:15" x14ac:dyDescent="0.15">
      <c r="A2147" t="s">
        <v>21</v>
      </c>
      <c r="B2147">
        <v>1001394</v>
      </c>
      <c r="C2147">
        <v>358338</v>
      </c>
      <c r="F2147" s="7">
        <v>2</v>
      </c>
      <c r="G2147" s="7" t="s">
        <v>1824</v>
      </c>
      <c r="H2147" s="8" t="s">
        <v>1825</v>
      </c>
      <c r="J2147" t="s">
        <v>23</v>
      </c>
      <c r="K2147" s="7">
        <v>1398</v>
      </c>
      <c r="L2147" s="9">
        <v>-1</v>
      </c>
      <c r="M2147" t="s">
        <v>1826</v>
      </c>
      <c r="N2147" t="s">
        <v>85</v>
      </c>
      <c r="O2147" s="27" t="str">
        <f>HYPERLINK("https://www.ncbi.nlm.nih.gov/nuccore/NZ_LIQX01000428.1?report=graph&amp;from=1227&amp;to=1396", "TTA_codon")</f>
        <v>TTA_codon</v>
      </c>
    </row>
    <row r="2148" spans="1:15" x14ac:dyDescent="0.15">
      <c r="A2148" t="s">
        <v>21</v>
      </c>
      <c r="B2148">
        <v>1001394</v>
      </c>
      <c r="C2148">
        <v>358686</v>
      </c>
      <c r="F2148" s="7">
        <v>1</v>
      </c>
      <c r="G2148" s="7">
        <v>289</v>
      </c>
      <c r="H2148" s="8">
        <v>250</v>
      </c>
      <c r="J2148" t="s">
        <v>23</v>
      </c>
      <c r="K2148" s="7">
        <v>1377</v>
      </c>
      <c r="L2148" s="9">
        <v>-1</v>
      </c>
      <c r="M2148" t="s">
        <v>1827</v>
      </c>
      <c r="N2148" t="s">
        <v>757</v>
      </c>
      <c r="O2148" s="27" t="str">
        <f>HYPERLINK("https://www.ncbi.nlm.nih.gov/nuccore/NZ_LIQR01000122.1?report=graph&amp;from=12840&amp;to=12844", "TTA_codon")</f>
        <v>TTA_codon</v>
      </c>
    </row>
    <row r="2149" spans="1:15" x14ac:dyDescent="0.15">
      <c r="A2149" t="s">
        <v>21</v>
      </c>
      <c r="B2149">
        <v>1001394</v>
      </c>
      <c r="C2149">
        <v>359437</v>
      </c>
      <c r="F2149" s="7">
        <v>1</v>
      </c>
      <c r="G2149" s="7">
        <v>1090</v>
      </c>
      <c r="H2149" s="8">
        <v>697</v>
      </c>
      <c r="J2149" t="s">
        <v>23</v>
      </c>
      <c r="K2149" s="7">
        <v>1485</v>
      </c>
      <c r="L2149" s="9">
        <v>-1</v>
      </c>
      <c r="M2149" t="s">
        <v>151</v>
      </c>
      <c r="N2149" t="s">
        <v>152</v>
      </c>
      <c r="O2149" s="27" t="str">
        <f>HYPERLINK("https://www.ncbi.nlm.nih.gov/nuccore/NZ_CP013129.1?report=graph&amp;from=4743836&amp;to=4743840", "TTA_codon")</f>
        <v>TTA_codon</v>
      </c>
    </row>
    <row r="2150" spans="1:15" x14ac:dyDescent="0.15">
      <c r="A2150" t="s">
        <v>21</v>
      </c>
      <c r="B2150">
        <v>1001394</v>
      </c>
      <c r="C2150">
        <v>359810</v>
      </c>
      <c r="F2150" s="7">
        <v>1</v>
      </c>
      <c r="G2150" s="7">
        <v>1090</v>
      </c>
      <c r="H2150" s="8">
        <v>622</v>
      </c>
      <c r="J2150" t="s">
        <v>23</v>
      </c>
      <c r="K2150" s="7">
        <v>1410</v>
      </c>
      <c r="L2150" s="9">
        <v>-1</v>
      </c>
      <c r="M2150" t="s">
        <v>1086</v>
      </c>
      <c r="N2150" t="s">
        <v>91</v>
      </c>
      <c r="O2150" s="27" t="str">
        <f>HYPERLINK("https://www.ncbi.nlm.nih.gov/nuccore/NZ_KQ948307.1?report=graph&amp;from=533882&amp;to=533886", "TTA_codon")</f>
        <v>TTA_codon</v>
      </c>
    </row>
    <row r="2151" spans="1:15" x14ac:dyDescent="0.15">
      <c r="A2151" t="s">
        <v>21</v>
      </c>
      <c r="B2151">
        <v>1001394</v>
      </c>
      <c r="C2151">
        <v>361914</v>
      </c>
      <c r="F2151" s="7">
        <v>1</v>
      </c>
      <c r="G2151" s="7">
        <v>406</v>
      </c>
      <c r="H2151" s="8">
        <v>148</v>
      </c>
      <c r="J2151" t="s">
        <v>23</v>
      </c>
      <c r="K2151" s="7">
        <v>1164</v>
      </c>
      <c r="L2151" s="9">
        <v>-1</v>
      </c>
      <c r="M2151" t="s">
        <v>1828</v>
      </c>
      <c r="N2151" t="s">
        <v>187</v>
      </c>
      <c r="O2151" s="27" t="str">
        <f>HYPERLINK("https://www.ncbi.nlm.nih.gov/nuccore/NZ_MAXF01000021.1?report=graph&amp;from=3954&amp;to=3958", "TTA_codon")</f>
        <v>TTA_codon</v>
      </c>
    </row>
    <row r="2152" spans="1:15" x14ac:dyDescent="0.15">
      <c r="A2152" t="s">
        <v>21</v>
      </c>
      <c r="B2152">
        <v>1001394</v>
      </c>
      <c r="C2152">
        <v>361915</v>
      </c>
      <c r="F2152" s="7">
        <v>1</v>
      </c>
      <c r="G2152" s="7">
        <v>925</v>
      </c>
      <c r="H2152" s="8">
        <v>511</v>
      </c>
      <c r="J2152" t="s">
        <v>23</v>
      </c>
      <c r="K2152" s="7">
        <v>1419</v>
      </c>
      <c r="L2152" s="9">
        <v>-1</v>
      </c>
      <c r="M2152" t="s">
        <v>1185</v>
      </c>
      <c r="N2152" t="s">
        <v>187</v>
      </c>
      <c r="O2152" s="27" t="str">
        <f>HYPERLINK("https://www.ncbi.nlm.nih.gov/nuccore/NZ_MAXF01000077.1?report=graph&amp;from=46844&amp;to=46848", "TTA_codon")</f>
        <v>TTA_codon</v>
      </c>
    </row>
    <row r="2153" spans="1:15" x14ac:dyDescent="0.15">
      <c r="A2153" t="s">
        <v>21</v>
      </c>
      <c r="B2153">
        <v>1001394</v>
      </c>
      <c r="C2153">
        <v>362199</v>
      </c>
      <c r="F2153" s="7">
        <v>1</v>
      </c>
      <c r="G2153" s="7">
        <v>1111</v>
      </c>
      <c r="H2153" s="8">
        <v>667</v>
      </c>
      <c r="J2153" t="s">
        <v>23</v>
      </c>
      <c r="K2153" s="7">
        <v>1434</v>
      </c>
      <c r="L2153" s="9">
        <v>-1</v>
      </c>
      <c r="M2153" t="s">
        <v>39</v>
      </c>
      <c r="N2153" t="s">
        <v>40</v>
      </c>
      <c r="O2153" s="27" t="str">
        <f>HYPERLINK("https://www.ncbi.nlm.nih.gov/nuccore/NZ_CP017157.1?report=graph&amp;from=313059&amp;to=313063", "TTA_codon")</f>
        <v>TTA_codon</v>
      </c>
    </row>
    <row r="2154" spans="1:15" x14ac:dyDescent="0.15">
      <c r="A2154" t="s">
        <v>21</v>
      </c>
      <c r="B2154">
        <v>1001394</v>
      </c>
      <c r="C2154">
        <v>362200</v>
      </c>
      <c r="F2154" s="7">
        <v>1</v>
      </c>
      <c r="G2154" s="7">
        <v>511</v>
      </c>
      <c r="H2154" s="8">
        <v>415</v>
      </c>
      <c r="J2154" t="s">
        <v>23</v>
      </c>
      <c r="K2154" s="7">
        <v>1383</v>
      </c>
      <c r="L2154" s="9">
        <v>-1</v>
      </c>
      <c r="M2154" t="s">
        <v>39</v>
      </c>
      <c r="N2154" t="s">
        <v>40</v>
      </c>
      <c r="O2154" s="27" t="str">
        <f>HYPERLINK("https://www.ncbi.nlm.nih.gov/nuccore/NZ_CP017157.1?report=graph&amp;from=677202&amp;to=677206", "TTA_codon")</f>
        <v>TTA_codon</v>
      </c>
    </row>
    <row r="2155" spans="1:15" x14ac:dyDescent="0.15">
      <c r="A2155" t="s">
        <v>21</v>
      </c>
      <c r="B2155">
        <v>1001394</v>
      </c>
      <c r="C2155">
        <v>362673</v>
      </c>
      <c r="F2155" s="7">
        <v>1</v>
      </c>
      <c r="G2155" s="7">
        <v>667</v>
      </c>
      <c r="H2155" s="8">
        <v>532</v>
      </c>
      <c r="J2155" t="s">
        <v>23</v>
      </c>
      <c r="K2155" s="7">
        <v>1596</v>
      </c>
      <c r="L2155" s="9">
        <v>-1</v>
      </c>
      <c r="M2155" t="s">
        <v>1829</v>
      </c>
      <c r="N2155" t="s">
        <v>985</v>
      </c>
      <c r="O2155" s="27" t="str">
        <f>HYPERLINK("https://www.ncbi.nlm.nih.gov/nuccore/NZ_LJGU01000158.1?report=graph&amp;from=79144&amp;to=79148", "TTA_codon")</f>
        <v>TTA_codon</v>
      </c>
    </row>
    <row r="2156" spans="1:15" x14ac:dyDescent="0.15">
      <c r="A2156" t="s">
        <v>21</v>
      </c>
      <c r="B2156">
        <v>1001394</v>
      </c>
      <c r="C2156">
        <v>362807</v>
      </c>
      <c r="F2156" s="7">
        <v>1</v>
      </c>
      <c r="G2156" s="7">
        <v>1111</v>
      </c>
      <c r="H2156" s="8">
        <v>712</v>
      </c>
      <c r="J2156" t="s">
        <v>23</v>
      </c>
      <c r="K2156" s="7">
        <v>1479</v>
      </c>
      <c r="L2156" s="9">
        <v>-1</v>
      </c>
      <c r="M2156" t="s">
        <v>1830</v>
      </c>
      <c r="N2156" t="s">
        <v>156</v>
      </c>
      <c r="O2156" s="27" t="str">
        <f>HYPERLINK("https://www.ncbi.nlm.nih.gov/nuccore/NZ_LJGW01000701.1?report=graph&amp;from=3920&amp;to=3924", "TTA_codon")</f>
        <v>TTA_codon</v>
      </c>
    </row>
    <row r="2157" spans="1:15" x14ac:dyDescent="0.15">
      <c r="A2157" t="s">
        <v>21</v>
      </c>
      <c r="B2157">
        <v>1001394</v>
      </c>
      <c r="C2157">
        <v>362810</v>
      </c>
      <c r="F2157" s="7">
        <v>1</v>
      </c>
      <c r="G2157" s="7">
        <v>1372</v>
      </c>
      <c r="H2157" s="8">
        <v>859</v>
      </c>
      <c r="J2157" t="s">
        <v>23</v>
      </c>
      <c r="K2157" s="7">
        <v>1359</v>
      </c>
      <c r="L2157" s="9">
        <v>-1</v>
      </c>
      <c r="M2157" t="s">
        <v>1831</v>
      </c>
      <c r="N2157" t="s">
        <v>156</v>
      </c>
      <c r="O2157" s="27" t="str">
        <f>HYPERLINK("https://www.ncbi.nlm.nih.gov/nuccore/NZ_LJGW01000383.1?report=graph&amp;from=1195&amp;to=1199", "TTA_codon")</f>
        <v>TTA_codon</v>
      </c>
    </row>
    <row r="2158" spans="1:15" x14ac:dyDescent="0.15">
      <c r="A2158" t="s">
        <v>21</v>
      </c>
      <c r="B2158">
        <v>1001394</v>
      </c>
      <c r="C2158">
        <v>363083</v>
      </c>
      <c r="F2158" s="7">
        <v>1</v>
      </c>
      <c r="G2158" s="7">
        <v>1090</v>
      </c>
      <c r="H2158" s="8">
        <v>619</v>
      </c>
      <c r="J2158" t="s">
        <v>23</v>
      </c>
      <c r="K2158" s="7">
        <v>1407</v>
      </c>
      <c r="L2158" s="9">
        <v>-1</v>
      </c>
      <c r="M2158" t="s">
        <v>635</v>
      </c>
      <c r="N2158" t="s">
        <v>401</v>
      </c>
      <c r="O2158" s="27" t="str">
        <f>HYPERLINK("https://www.ncbi.nlm.nih.gov/nuccore/NZ_LFBV01000002.1?report=graph&amp;from=1342112&amp;to=1342116", "TTA_codon")</f>
        <v>TTA_codon</v>
      </c>
    </row>
    <row r="2159" spans="1:15" x14ac:dyDescent="0.15">
      <c r="A2159" t="s">
        <v>21</v>
      </c>
      <c r="B2159">
        <v>1001394</v>
      </c>
      <c r="C2159">
        <v>363442</v>
      </c>
      <c r="F2159" s="7">
        <v>1</v>
      </c>
      <c r="G2159" s="7">
        <v>130</v>
      </c>
      <c r="H2159" s="8">
        <v>97</v>
      </c>
      <c r="J2159" t="s">
        <v>23</v>
      </c>
      <c r="K2159" s="7">
        <v>1434</v>
      </c>
      <c r="L2159" s="9">
        <v>-1</v>
      </c>
      <c r="M2159" t="s">
        <v>157</v>
      </c>
      <c r="N2159" t="s">
        <v>158</v>
      </c>
      <c r="O2159" s="27" t="str">
        <f>HYPERLINK("https://www.ncbi.nlm.nih.gov/nuccore/NZ_CP015588.1?report=graph&amp;from=4549356&amp;to=4549360", "TTA_codon")</f>
        <v>TTA_codon</v>
      </c>
    </row>
    <row r="2160" spans="1:15" x14ac:dyDescent="0.15">
      <c r="A2160" t="s">
        <v>21</v>
      </c>
      <c r="B2160">
        <v>1001394</v>
      </c>
      <c r="C2160">
        <v>363623</v>
      </c>
      <c r="F2160" s="7">
        <v>1</v>
      </c>
      <c r="G2160" s="7">
        <v>160</v>
      </c>
      <c r="H2160" s="8">
        <v>115</v>
      </c>
      <c r="J2160" t="s">
        <v>23</v>
      </c>
      <c r="K2160" s="7">
        <v>1353</v>
      </c>
      <c r="L2160" s="9">
        <v>-1</v>
      </c>
      <c r="M2160" t="s">
        <v>101</v>
      </c>
      <c r="N2160" t="s">
        <v>102</v>
      </c>
      <c r="O2160" s="27" t="str">
        <f>HYPERLINK("https://www.ncbi.nlm.nih.gov/nuccore/NZ_CP019458.1?report=graph&amp;from=3799069&amp;to=3799073", "TTA_codon")</f>
        <v>TTA_codon</v>
      </c>
    </row>
    <row r="2161" spans="1:15" x14ac:dyDescent="0.15">
      <c r="A2161" t="s">
        <v>21</v>
      </c>
      <c r="B2161">
        <v>1001394</v>
      </c>
      <c r="C2161">
        <v>363936</v>
      </c>
      <c r="F2161" s="7">
        <v>1</v>
      </c>
      <c r="G2161" s="7">
        <v>208</v>
      </c>
      <c r="H2161" s="8">
        <v>160</v>
      </c>
      <c r="J2161" t="s">
        <v>23</v>
      </c>
      <c r="K2161" s="7">
        <v>1356</v>
      </c>
      <c r="L2161" s="9">
        <v>-1</v>
      </c>
      <c r="M2161" t="s">
        <v>858</v>
      </c>
      <c r="N2161" t="s">
        <v>104</v>
      </c>
      <c r="O2161" s="27" t="str">
        <f>HYPERLINK("https://www.ncbi.nlm.nih.gov/nuccore/NZ_MVFC01000006.1?report=graph&amp;from=94686&amp;to=94690", "TTA_codon")</f>
        <v>TTA_codon</v>
      </c>
    </row>
    <row r="2162" spans="1:15" x14ac:dyDescent="0.15">
      <c r="A2162" t="s">
        <v>21</v>
      </c>
      <c r="B2162">
        <v>1001394</v>
      </c>
      <c r="C2162">
        <v>364126</v>
      </c>
      <c r="F2162" s="7">
        <v>2</v>
      </c>
      <c r="G2162" s="7" t="s">
        <v>1832</v>
      </c>
      <c r="H2162" s="8" t="s">
        <v>1833</v>
      </c>
      <c r="J2162" t="s">
        <v>23</v>
      </c>
      <c r="K2162" s="7">
        <v>1356</v>
      </c>
      <c r="L2162" s="9">
        <v>-1</v>
      </c>
      <c r="M2162" t="s">
        <v>254</v>
      </c>
      <c r="N2162" t="s">
        <v>255</v>
      </c>
      <c r="O2162" s="27" t="str">
        <f>HYPERLINK("https://www.ncbi.nlm.nih.gov/nuccore/NZ_CP018047.1?report=graph&amp;from=2781576&amp;to=2781664", "TTA_codon")</f>
        <v>TTA_codon</v>
      </c>
    </row>
    <row r="2163" spans="1:15" x14ac:dyDescent="0.15">
      <c r="A2163" t="s">
        <v>21</v>
      </c>
      <c r="B2163">
        <v>1001394</v>
      </c>
      <c r="C2163">
        <v>364439</v>
      </c>
      <c r="F2163" s="7">
        <v>1</v>
      </c>
      <c r="G2163" s="7">
        <v>130</v>
      </c>
      <c r="H2163" s="8">
        <v>82</v>
      </c>
      <c r="J2163" t="s">
        <v>23</v>
      </c>
      <c r="K2163" s="7">
        <v>1332</v>
      </c>
      <c r="L2163" s="9">
        <v>-1</v>
      </c>
      <c r="M2163" t="s">
        <v>1834</v>
      </c>
      <c r="N2163" t="s">
        <v>326</v>
      </c>
      <c r="O2163" s="27" t="str">
        <f>HYPERLINK("https://www.ncbi.nlm.nih.gov/nuccore/NZ_MUBL01000388.1?report=graph&amp;from=2743&amp;to=2747", "TTA_codon")</f>
        <v>TTA_codon</v>
      </c>
    </row>
    <row r="2164" spans="1:15" x14ac:dyDescent="0.15">
      <c r="A2164" t="s">
        <v>21</v>
      </c>
      <c r="B2164">
        <v>1001394</v>
      </c>
      <c r="C2164">
        <v>364542</v>
      </c>
      <c r="F2164" s="7">
        <v>1</v>
      </c>
      <c r="G2164" s="7">
        <v>1090</v>
      </c>
      <c r="H2164" s="8">
        <v>619</v>
      </c>
      <c r="J2164" t="s">
        <v>23</v>
      </c>
      <c r="K2164" s="7">
        <v>1407</v>
      </c>
      <c r="L2164" s="9">
        <v>-1</v>
      </c>
      <c r="M2164" t="s">
        <v>1835</v>
      </c>
      <c r="N2164" t="s">
        <v>108</v>
      </c>
      <c r="O2164" s="27" t="str">
        <f>HYPERLINK("https://www.ncbi.nlm.nih.gov/nuccore/NZ_MUMD01000035.1?report=graph&amp;from=29512&amp;to=29516", "TTA_codon")</f>
        <v>TTA_codon</v>
      </c>
    </row>
    <row r="2165" spans="1:15" x14ac:dyDescent="0.15">
      <c r="A2165" t="s">
        <v>21</v>
      </c>
      <c r="B2165">
        <v>1001394</v>
      </c>
      <c r="C2165">
        <v>365209</v>
      </c>
      <c r="F2165" s="7">
        <v>1</v>
      </c>
      <c r="G2165" s="7">
        <v>1090</v>
      </c>
      <c r="H2165" s="8">
        <v>643</v>
      </c>
      <c r="J2165" t="s">
        <v>23</v>
      </c>
      <c r="K2165" s="7">
        <v>1431</v>
      </c>
      <c r="L2165" s="9">
        <v>-1</v>
      </c>
      <c r="M2165" t="s">
        <v>1836</v>
      </c>
      <c r="N2165" t="s">
        <v>347</v>
      </c>
      <c r="O2165" s="27" t="str">
        <f>HYPERLINK("https://www.ncbi.nlm.nih.gov/nuccore/NZ_FNFF01000023.1?report=graph&amp;from=64603&amp;to=64607", "TTA_codon")</f>
        <v>TTA_codon</v>
      </c>
    </row>
    <row r="2166" spans="1:15" x14ac:dyDescent="0.15">
      <c r="A2166" t="s">
        <v>21</v>
      </c>
      <c r="B2166">
        <v>1001394</v>
      </c>
      <c r="C2166">
        <v>365558</v>
      </c>
      <c r="F2166" s="7">
        <v>1</v>
      </c>
      <c r="G2166" s="7">
        <v>262</v>
      </c>
      <c r="H2166" s="8">
        <v>223</v>
      </c>
      <c r="J2166" t="s">
        <v>23</v>
      </c>
      <c r="K2166" s="7">
        <v>1647</v>
      </c>
      <c r="L2166" s="9">
        <v>-1</v>
      </c>
      <c r="M2166" t="s">
        <v>213</v>
      </c>
      <c r="N2166" t="s">
        <v>214</v>
      </c>
      <c r="O2166" s="27" t="str">
        <f>HYPERLINK("https://www.ncbi.nlm.nih.gov/nuccore/NZ_FNST01000002.1?report=graph&amp;from=1180694&amp;to=1180698", "TTA_codon")</f>
        <v>TTA_codon</v>
      </c>
    </row>
    <row r="2167" spans="1:15" x14ac:dyDescent="0.15">
      <c r="A2167" t="s">
        <v>21</v>
      </c>
      <c r="B2167">
        <v>1001394</v>
      </c>
      <c r="C2167">
        <v>365560</v>
      </c>
      <c r="F2167" s="7">
        <v>1</v>
      </c>
      <c r="G2167" s="7">
        <v>925</v>
      </c>
      <c r="H2167" s="8">
        <v>538</v>
      </c>
      <c r="J2167" t="s">
        <v>23</v>
      </c>
      <c r="K2167" s="7">
        <v>1449</v>
      </c>
      <c r="L2167" s="9">
        <v>-1</v>
      </c>
      <c r="M2167" t="s">
        <v>213</v>
      </c>
      <c r="N2167" t="s">
        <v>214</v>
      </c>
      <c r="O2167" s="27" t="str">
        <f>HYPERLINK("https://www.ncbi.nlm.nih.gov/nuccore/NZ_FNST01000002.1?report=graph&amp;from=3699847&amp;to=3699851", "TTA_codon")</f>
        <v>TTA_codon</v>
      </c>
    </row>
    <row r="2168" spans="1:15" x14ac:dyDescent="0.15">
      <c r="A2168" t="s">
        <v>21</v>
      </c>
      <c r="B2168">
        <v>1001394</v>
      </c>
      <c r="C2168">
        <v>366175</v>
      </c>
      <c r="F2168" s="7">
        <v>1</v>
      </c>
      <c r="G2168" s="7">
        <v>130</v>
      </c>
      <c r="H2168" s="8">
        <v>82</v>
      </c>
      <c r="J2168" t="s">
        <v>23</v>
      </c>
      <c r="K2168" s="7">
        <v>1341</v>
      </c>
      <c r="L2168" s="9">
        <v>-1</v>
      </c>
      <c r="M2168" t="s">
        <v>1837</v>
      </c>
      <c r="N2168" t="s">
        <v>178</v>
      </c>
      <c r="O2168" s="27" t="str">
        <f>HYPERLINK("https://www.ncbi.nlm.nih.gov/nuccore/NZ_FOGO01000009.1?report=graph&amp;from=32955&amp;to=32959", "TTA_codon")</f>
        <v>TTA_codon</v>
      </c>
    </row>
    <row r="2169" spans="1:15" x14ac:dyDescent="0.15">
      <c r="A2169" t="s">
        <v>21</v>
      </c>
      <c r="B2169">
        <v>1001394</v>
      </c>
      <c r="C2169">
        <v>366542</v>
      </c>
      <c r="F2169" s="7">
        <v>2</v>
      </c>
      <c r="G2169" s="7" t="s">
        <v>1838</v>
      </c>
      <c r="H2169" s="8" t="s">
        <v>1839</v>
      </c>
      <c r="J2169" t="s">
        <v>23</v>
      </c>
      <c r="K2169" s="7">
        <v>1320</v>
      </c>
      <c r="L2169" s="9">
        <v>-1</v>
      </c>
      <c r="M2169" t="s">
        <v>1007</v>
      </c>
      <c r="N2169" t="s">
        <v>180</v>
      </c>
      <c r="O2169" s="27" t="str">
        <f>HYPERLINK("https://www.ncbi.nlm.nih.gov/nuccore/NZ_FRBI01000003.1?report=graph&amp;from=80681&amp;to=81324", "TTA_codon")</f>
        <v>TTA_codon</v>
      </c>
    </row>
    <row r="2170" spans="1:15" x14ac:dyDescent="0.15">
      <c r="A2170" t="s">
        <v>21</v>
      </c>
      <c r="B2170">
        <v>1001394</v>
      </c>
      <c r="C2170">
        <v>366543</v>
      </c>
      <c r="F2170" s="7">
        <v>1</v>
      </c>
      <c r="G2170" s="7">
        <v>922</v>
      </c>
      <c r="H2170" s="8">
        <v>460</v>
      </c>
      <c r="J2170" t="s">
        <v>23</v>
      </c>
      <c r="K2170" s="7">
        <v>1389</v>
      </c>
      <c r="L2170" s="9">
        <v>-1</v>
      </c>
      <c r="M2170" t="s">
        <v>1840</v>
      </c>
      <c r="N2170" t="s">
        <v>180</v>
      </c>
      <c r="O2170" s="27" t="str">
        <f>HYPERLINK("https://www.ncbi.nlm.nih.gov/nuccore/NZ_FRBI01000006.1?report=graph&amp;from=353633&amp;to=353637", "TTA_codon")</f>
        <v>TTA_codon</v>
      </c>
    </row>
    <row r="2171" spans="1:15" x14ac:dyDescent="0.15">
      <c r="A2171" t="s">
        <v>21</v>
      </c>
      <c r="B2171" t="s">
        <v>1841</v>
      </c>
    </row>
    <row r="2172" spans="1:15" x14ac:dyDescent="0.15">
      <c r="A2172" t="s">
        <v>21</v>
      </c>
      <c r="B2172">
        <v>1001462</v>
      </c>
      <c r="C2172">
        <v>363771</v>
      </c>
      <c r="F2172" s="7">
        <v>1</v>
      </c>
      <c r="G2172" s="7">
        <v>271</v>
      </c>
      <c r="H2172" s="8">
        <v>265</v>
      </c>
      <c r="J2172" t="s">
        <v>23</v>
      </c>
      <c r="K2172" s="7">
        <v>462</v>
      </c>
      <c r="L2172" s="9">
        <v>1</v>
      </c>
      <c r="M2172" t="s">
        <v>101</v>
      </c>
      <c r="N2172" t="s">
        <v>102</v>
      </c>
      <c r="O2172" s="27" t="str">
        <f>HYPERLINK("https://www.ncbi.nlm.nih.gov/nuccore/NZ_CP019458.1?report=graph&amp;from=7242428&amp;to=7242432", "TTA_codon")</f>
        <v>TTA_codon</v>
      </c>
    </row>
    <row r="2173" spans="1:15" x14ac:dyDescent="0.15">
      <c r="A2173" t="s">
        <v>21</v>
      </c>
      <c r="B2173">
        <v>1001462</v>
      </c>
      <c r="C2173">
        <v>365883</v>
      </c>
      <c r="F2173" s="7">
        <v>1</v>
      </c>
      <c r="G2173" s="7">
        <v>271</v>
      </c>
      <c r="H2173" s="8">
        <v>271</v>
      </c>
      <c r="J2173" t="s">
        <v>23</v>
      </c>
      <c r="K2173" s="7">
        <v>453</v>
      </c>
      <c r="L2173" s="9">
        <v>1</v>
      </c>
      <c r="M2173" t="s">
        <v>213</v>
      </c>
      <c r="N2173" t="s">
        <v>214</v>
      </c>
      <c r="O2173" s="27" t="str">
        <f>HYPERLINK("https://www.ncbi.nlm.nih.gov/nuccore/NZ_FNST01000002.1?report=graph&amp;from=4697247&amp;to=4697251", "TTA_codon")</f>
        <v>TTA_codon</v>
      </c>
    </row>
    <row r="2174" spans="1:15" x14ac:dyDescent="0.15">
      <c r="A2174" t="s">
        <v>21</v>
      </c>
      <c r="B2174" t="s">
        <v>1842</v>
      </c>
    </row>
    <row r="2175" spans="1:15" x14ac:dyDescent="0.15">
      <c r="A2175" t="s">
        <v>21</v>
      </c>
      <c r="B2175">
        <v>1001164</v>
      </c>
      <c r="C2175">
        <v>356363</v>
      </c>
      <c r="F2175" s="7">
        <v>1</v>
      </c>
      <c r="G2175" s="7">
        <v>259</v>
      </c>
      <c r="H2175" s="8">
        <v>178</v>
      </c>
      <c r="J2175" t="s">
        <v>23</v>
      </c>
      <c r="K2175" s="7">
        <v>4308</v>
      </c>
      <c r="L2175" s="9">
        <v>1</v>
      </c>
      <c r="M2175" t="s">
        <v>1843</v>
      </c>
      <c r="N2175" t="s">
        <v>354</v>
      </c>
      <c r="O2175" s="27" t="str">
        <f>HYPERLINK("https://www.ncbi.nlm.nih.gov/nuccore/NZ_JQJU01000007.1?report=graph&amp;from=197883&amp;to=197887", "TTA_codon")</f>
        <v>TTA_codon</v>
      </c>
    </row>
    <row r="2176" spans="1:15" x14ac:dyDescent="0.15">
      <c r="A2176" t="s">
        <v>21</v>
      </c>
      <c r="B2176">
        <v>1001164</v>
      </c>
      <c r="C2176">
        <v>361116</v>
      </c>
      <c r="F2176" s="7">
        <v>2</v>
      </c>
      <c r="G2176" s="7" t="s">
        <v>1844</v>
      </c>
      <c r="H2176" s="8" t="s">
        <v>1845</v>
      </c>
      <c r="J2176" t="s">
        <v>23</v>
      </c>
      <c r="K2176" s="7">
        <v>4512</v>
      </c>
      <c r="L2176" s="9">
        <v>1</v>
      </c>
      <c r="M2176" t="s">
        <v>98</v>
      </c>
      <c r="N2176" t="s">
        <v>99</v>
      </c>
      <c r="O2176" s="27" t="str">
        <f>HYPERLINK("https://www.ncbi.nlm.nih.gov/nuccore/NZ_CP016438.1?report=graph&amp;from=7614728&amp;to=7614840", "TTA_codon")</f>
        <v>TTA_codon</v>
      </c>
    </row>
    <row r="2177" spans="1:15" x14ac:dyDescent="0.15">
      <c r="A2177" t="s">
        <v>21</v>
      </c>
      <c r="B2177" t="s">
        <v>1846</v>
      </c>
    </row>
    <row r="2178" spans="1:15" x14ac:dyDescent="0.15">
      <c r="A2178" t="s">
        <v>21</v>
      </c>
      <c r="B2178">
        <v>1001482</v>
      </c>
      <c r="C2178">
        <v>355144</v>
      </c>
      <c r="F2178" s="7">
        <v>1</v>
      </c>
      <c r="G2178" s="7">
        <v>67</v>
      </c>
      <c r="H2178" s="8">
        <v>67</v>
      </c>
      <c r="J2178" t="s">
        <v>23</v>
      </c>
      <c r="K2178" s="7">
        <v>1764</v>
      </c>
      <c r="L2178" s="9">
        <v>1</v>
      </c>
      <c r="M2178" t="s">
        <v>544</v>
      </c>
      <c r="N2178" t="s">
        <v>433</v>
      </c>
      <c r="O2178" s="27" t="str">
        <f>HYPERLINK("https://www.ncbi.nlm.nih.gov/nuccore/NZ_JOBF01000016.1?report=graph&amp;from=116018&amp;to=116022", "TTA_codon")</f>
        <v>TTA_codon</v>
      </c>
    </row>
    <row r="2179" spans="1:15" x14ac:dyDescent="0.15">
      <c r="A2179" t="s">
        <v>21</v>
      </c>
      <c r="B2179">
        <v>1001482</v>
      </c>
      <c r="C2179">
        <v>362929</v>
      </c>
      <c r="F2179" s="7">
        <v>2</v>
      </c>
      <c r="G2179" s="7" t="s">
        <v>1847</v>
      </c>
      <c r="H2179" s="8" t="s">
        <v>1847</v>
      </c>
      <c r="J2179" t="s">
        <v>23</v>
      </c>
      <c r="K2179" s="7">
        <v>1743</v>
      </c>
      <c r="L2179" s="9">
        <v>1</v>
      </c>
      <c r="M2179" t="s">
        <v>1848</v>
      </c>
      <c r="N2179" t="s">
        <v>156</v>
      </c>
      <c r="O2179" s="27" t="str">
        <f>HYPERLINK("https://www.ncbi.nlm.nih.gov/nuccore/NZ_LJGW01000428.1?report=graph&amp;from=3298&amp;to=3545", "TTA_codon")</f>
        <v>TTA_codon</v>
      </c>
    </row>
    <row r="2180" spans="1:15" x14ac:dyDescent="0.15">
      <c r="A2180" t="s">
        <v>21</v>
      </c>
      <c r="B2180">
        <v>1001482</v>
      </c>
      <c r="C2180">
        <v>364465</v>
      </c>
      <c r="F2180" s="7">
        <v>1</v>
      </c>
      <c r="G2180" s="7">
        <v>271</v>
      </c>
      <c r="H2180" s="8">
        <v>187</v>
      </c>
      <c r="J2180" t="s">
        <v>23</v>
      </c>
      <c r="K2180" s="7">
        <v>1659</v>
      </c>
      <c r="L2180" s="9">
        <v>1</v>
      </c>
      <c r="M2180" t="s">
        <v>703</v>
      </c>
      <c r="N2180" t="s">
        <v>326</v>
      </c>
      <c r="O2180" s="27" t="str">
        <f>HYPERLINK("https://www.ncbi.nlm.nih.gov/nuccore/NZ_MUBL01000403.1?report=graph&amp;from=8949&amp;to=8953", "TTA_codon")</f>
        <v>TTA_codon</v>
      </c>
    </row>
    <row r="2181" spans="1:15" x14ac:dyDescent="0.15">
      <c r="A2181" t="s">
        <v>21</v>
      </c>
      <c r="B2181" t="s">
        <v>1849</v>
      </c>
    </row>
    <row r="2182" spans="1:15" x14ac:dyDescent="0.15">
      <c r="A2182" t="s">
        <v>21</v>
      </c>
      <c r="B2182">
        <v>1000954</v>
      </c>
      <c r="C2182">
        <v>353533</v>
      </c>
      <c r="F2182" s="7">
        <v>1</v>
      </c>
      <c r="G2182" s="7">
        <v>154</v>
      </c>
      <c r="H2182" s="8">
        <v>154</v>
      </c>
      <c r="J2182" t="s">
        <v>23</v>
      </c>
      <c r="K2182" s="7">
        <v>528</v>
      </c>
      <c r="L2182" s="9">
        <v>1</v>
      </c>
      <c r="M2182" t="s">
        <v>449</v>
      </c>
      <c r="N2182" t="s">
        <v>169</v>
      </c>
      <c r="O2182" s="27" t="str">
        <f>HYPERLINK("https://www.ncbi.nlm.nih.gov/nuccore/NZ_JNWJ01000022.1?report=graph&amp;from=120680&amp;to=120684", "TTA_codon")</f>
        <v>TTA_codon</v>
      </c>
    </row>
    <row r="2183" spans="1:15" x14ac:dyDescent="0.15">
      <c r="A2183" t="s">
        <v>21</v>
      </c>
      <c r="B2183">
        <v>1000954</v>
      </c>
      <c r="C2183">
        <v>355730</v>
      </c>
      <c r="F2183" s="7">
        <v>1</v>
      </c>
      <c r="G2183" s="7">
        <v>67</v>
      </c>
      <c r="H2183" s="8">
        <v>67</v>
      </c>
      <c r="J2183" t="s">
        <v>23</v>
      </c>
      <c r="K2183" s="7">
        <v>528</v>
      </c>
      <c r="L2183" s="9">
        <v>1</v>
      </c>
      <c r="M2183" t="s">
        <v>1850</v>
      </c>
      <c r="N2183" t="s">
        <v>278</v>
      </c>
      <c r="O2183" s="27" t="str">
        <f>HYPERLINK("https://www.ncbi.nlm.nih.gov/nuccore/NZ_JOID01000010.1?report=graph&amp;from=27732&amp;to=27736", "TTA_codon")</f>
        <v>TTA_codon</v>
      </c>
    </row>
    <row r="2184" spans="1:15" x14ac:dyDescent="0.15">
      <c r="A2184" t="s">
        <v>21</v>
      </c>
      <c r="B2184" t="s">
        <v>1851</v>
      </c>
    </row>
    <row r="2185" spans="1:15" x14ac:dyDescent="0.15">
      <c r="A2185" t="s">
        <v>21</v>
      </c>
      <c r="B2185">
        <v>1000863</v>
      </c>
      <c r="C2185">
        <v>352581</v>
      </c>
      <c r="F2185" s="7">
        <v>1</v>
      </c>
      <c r="G2185" s="7">
        <v>937</v>
      </c>
      <c r="H2185" s="8">
        <v>694</v>
      </c>
      <c r="J2185" t="s">
        <v>23</v>
      </c>
      <c r="K2185" s="7">
        <v>1875</v>
      </c>
      <c r="L2185" s="9">
        <v>-1</v>
      </c>
      <c r="M2185" t="s">
        <v>1852</v>
      </c>
      <c r="N2185" t="s">
        <v>436</v>
      </c>
      <c r="O2185" s="27" t="str">
        <f>HYPERLINK("https://www.ncbi.nlm.nih.gov/nuccore/NZ_AUBE01000020.1?report=graph&amp;from=84812&amp;to=84816", "TTA_codon")</f>
        <v>TTA_codon</v>
      </c>
    </row>
    <row r="2186" spans="1:15" x14ac:dyDescent="0.15">
      <c r="A2186" t="s">
        <v>21</v>
      </c>
      <c r="B2186">
        <v>1000863</v>
      </c>
      <c r="C2186">
        <v>359046</v>
      </c>
      <c r="F2186" s="7">
        <v>1</v>
      </c>
      <c r="G2186" s="7">
        <v>1147</v>
      </c>
      <c r="H2186" s="8">
        <v>862</v>
      </c>
      <c r="J2186" t="s">
        <v>23</v>
      </c>
      <c r="K2186" s="7">
        <v>1833</v>
      </c>
      <c r="L2186" s="9">
        <v>-1</v>
      </c>
      <c r="M2186" t="s">
        <v>1853</v>
      </c>
      <c r="N2186" t="s">
        <v>451</v>
      </c>
      <c r="O2186" s="27" t="str">
        <f>HYPERLINK("https://www.ncbi.nlm.nih.gov/nuccore/NZ_LIQZ01000373.1?report=graph&amp;from=20229&amp;to=20233", "TTA_codon")</f>
        <v>TTA_codon</v>
      </c>
    </row>
    <row r="2187" spans="1:15" x14ac:dyDescent="0.15">
      <c r="A2187" t="s">
        <v>21</v>
      </c>
      <c r="B2187">
        <v>1000863</v>
      </c>
      <c r="C2187">
        <v>362684</v>
      </c>
      <c r="F2187" s="7">
        <v>1</v>
      </c>
      <c r="G2187" s="7">
        <v>1006</v>
      </c>
      <c r="H2187" s="8">
        <v>655</v>
      </c>
      <c r="J2187" t="s">
        <v>23</v>
      </c>
      <c r="K2187" s="7">
        <v>1767</v>
      </c>
      <c r="L2187" s="9">
        <v>-1</v>
      </c>
      <c r="M2187" t="s">
        <v>1854</v>
      </c>
      <c r="N2187" t="s">
        <v>985</v>
      </c>
      <c r="O2187" s="27" t="str">
        <f>HYPERLINK("https://www.ncbi.nlm.nih.gov/nuccore/NZ_LJGU01000113.1?report=graph&amp;from=279876&amp;to=279880", "TTA_codon")</f>
        <v>TTA_codon</v>
      </c>
    </row>
    <row r="2188" spans="1:15" x14ac:dyDescent="0.15">
      <c r="A2188" t="s">
        <v>21</v>
      </c>
      <c r="B2188">
        <v>1000863</v>
      </c>
      <c r="C2188">
        <v>363453</v>
      </c>
      <c r="F2188" s="7">
        <v>1</v>
      </c>
      <c r="G2188" s="7">
        <v>1006</v>
      </c>
      <c r="H2188" s="8">
        <v>907</v>
      </c>
      <c r="J2188" t="s">
        <v>23</v>
      </c>
      <c r="K2188" s="7">
        <v>2019</v>
      </c>
      <c r="L2188" s="9">
        <v>-1</v>
      </c>
      <c r="M2188" t="s">
        <v>157</v>
      </c>
      <c r="N2188" t="s">
        <v>158</v>
      </c>
      <c r="O2188" s="27" t="str">
        <f>HYPERLINK("https://www.ncbi.nlm.nih.gov/nuccore/NZ_CP015588.1?report=graph&amp;from=2538917&amp;to=2538921", "TTA_codon")</f>
        <v>TTA_codon</v>
      </c>
    </row>
    <row r="2189" spans="1:15" x14ac:dyDescent="0.15">
      <c r="A2189" t="s">
        <v>21</v>
      </c>
      <c r="B2189">
        <v>1000863</v>
      </c>
      <c r="C2189">
        <v>363931</v>
      </c>
      <c r="F2189" s="7">
        <v>1</v>
      </c>
      <c r="G2189" s="7">
        <v>1009</v>
      </c>
      <c r="H2189" s="8">
        <v>733</v>
      </c>
      <c r="J2189" t="s">
        <v>23</v>
      </c>
      <c r="K2189" s="7">
        <v>1842</v>
      </c>
      <c r="L2189" s="9">
        <v>-1</v>
      </c>
      <c r="M2189" t="s">
        <v>1855</v>
      </c>
      <c r="N2189" t="s">
        <v>104</v>
      </c>
      <c r="O2189" s="27" t="str">
        <f>HYPERLINK("https://www.ncbi.nlm.nih.gov/nuccore/NZ_MVFC01000024.1?report=graph&amp;from=87925&amp;to=87929", "TTA_codon")</f>
        <v>TTA_codon</v>
      </c>
    </row>
    <row r="2190" spans="1:15" x14ac:dyDescent="0.15">
      <c r="A2190" t="s">
        <v>21</v>
      </c>
      <c r="B2190" t="s">
        <v>1856</v>
      </c>
    </row>
    <row r="2191" spans="1:15" x14ac:dyDescent="0.15">
      <c r="A2191" t="s">
        <v>21</v>
      </c>
      <c r="B2191">
        <v>1000309</v>
      </c>
      <c r="C2191">
        <v>347959</v>
      </c>
      <c r="F2191" s="7">
        <v>1</v>
      </c>
      <c r="G2191" s="7">
        <v>52</v>
      </c>
      <c r="H2191" s="8">
        <v>40</v>
      </c>
      <c r="J2191" t="s">
        <v>23</v>
      </c>
      <c r="K2191" s="7">
        <v>357</v>
      </c>
      <c r="L2191" s="9">
        <v>1</v>
      </c>
      <c r="M2191" t="s">
        <v>59</v>
      </c>
      <c r="N2191" t="s">
        <v>60</v>
      </c>
      <c r="O2191" s="27" t="str">
        <f>HYPERLINK("https://www.ncbi.nlm.nih.gov/nuccore/NC_016582.1?report=graph&amp;from=5709727&amp;to=5709731", "TTA_codon")</f>
        <v>TTA_codon</v>
      </c>
    </row>
    <row r="2192" spans="1:15" x14ac:dyDescent="0.15">
      <c r="A2192" t="s">
        <v>21</v>
      </c>
      <c r="B2192">
        <v>1000309</v>
      </c>
      <c r="C2192">
        <v>354265</v>
      </c>
      <c r="F2192" s="7">
        <v>1</v>
      </c>
      <c r="G2192" s="7">
        <v>52</v>
      </c>
      <c r="H2192" s="8">
        <v>46</v>
      </c>
      <c r="J2192" t="s">
        <v>23</v>
      </c>
      <c r="K2192" s="7">
        <v>366</v>
      </c>
      <c r="L2192" s="9">
        <v>1</v>
      </c>
      <c r="M2192" t="s">
        <v>1857</v>
      </c>
      <c r="N2192" t="s">
        <v>142</v>
      </c>
      <c r="O2192" s="27" t="str">
        <f>HYPERLINK("https://www.ncbi.nlm.nih.gov/nuccore/NZ_JOEI01000005.1?report=graph&amp;from=449682&amp;to=449686", "TTA_codon")</f>
        <v>TTA_codon</v>
      </c>
    </row>
    <row r="2193" spans="1:15" x14ac:dyDescent="0.15">
      <c r="A2193" t="s">
        <v>21</v>
      </c>
      <c r="B2193">
        <v>1000309</v>
      </c>
      <c r="C2193">
        <v>357247</v>
      </c>
      <c r="F2193" s="7">
        <v>1</v>
      </c>
      <c r="G2193" s="7">
        <v>52</v>
      </c>
      <c r="H2193" s="8">
        <v>43</v>
      </c>
      <c r="J2193" t="s">
        <v>23</v>
      </c>
      <c r="K2193" s="7">
        <v>363</v>
      </c>
      <c r="L2193" s="9">
        <v>1</v>
      </c>
      <c r="M2193" t="s">
        <v>250</v>
      </c>
      <c r="N2193" t="s">
        <v>251</v>
      </c>
      <c r="O2193" s="27" t="str">
        <f>HYPERLINK("https://www.ncbi.nlm.nih.gov/nuccore/NZ_CP009922.2?report=graph&amp;from=5403506&amp;to=5403510", "TTA_codon")</f>
        <v>TTA_codon</v>
      </c>
    </row>
    <row r="2194" spans="1:15" x14ac:dyDescent="0.15">
      <c r="A2194" t="s">
        <v>21</v>
      </c>
      <c r="B2194">
        <v>1000309</v>
      </c>
      <c r="C2194">
        <v>359607</v>
      </c>
      <c r="F2194" s="7">
        <v>1</v>
      </c>
      <c r="G2194" s="7">
        <v>52</v>
      </c>
      <c r="H2194" s="8">
        <v>43</v>
      </c>
      <c r="J2194" t="s">
        <v>23</v>
      </c>
      <c r="K2194" s="7">
        <v>363</v>
      </c>
      <c r="L2194" s="9">
        <v>1</v>
      </c>
      <c r="M2194" t="s">
        <v>1858</v>
      </c>
      <c r="N2194" t="s">
        <v>651</v>
      </c>
      <c r="O2194" s="27" t="str">
        <f>HYPERLINK("https://www.ncbi.nlm.nih.gov/nuccore/NZ_LN929757.1?report=graph&amp;from=118098&amp;to=118102", "TTA_codon")</f>
        <v>TTA_codon</v>
      </c>
    </row>
    <row r="2195" spans="1:15" x14ac:dyDescent="0.15">
      <c r="A2195" t="s">
        <v>21</v>
      </c>
      <c r="B2195">
        <v>1000309</v>
      </c>
      <c r="C2195">
        <v>361876</v>
      </c>
      <c r="F2195" s="7">
        <v>1</v>
      </c>
      <c r="G2195" s="7">
        <v>52</v>
      </c>
      <c r="H2195" s="8">
        <v>40</v>
      </c>
      <c r="J2195" t="s">
        <v>23</v>
      </c>
      <c r="K2195" s="7">
        <v>357</v>
      </c>
      <c r="L2195" s="9">
        <v>1</v>
      </c>
      <c r="M2195" t="s">
        <v>1859</v>
      </c>
      <c r="N2195" t="s">
        <v>187</v>
      </c>
      <c r="O2195" s="27" t="str">
        <f>HYPERLINK("https://www.ncbi.nlm.nih.gov/nuccore/NZ_MAXF01000038.1?report=graph&amp;from=200724&amp;to=200728", "TTA_codon")</f>
        <v>TTA_codon</v>
      </c>
    </row>
    <row r="2196" spans="1:15" x14ac:dyDescent="0.15">
      <c r="A2196" t="s">
        <v>21</v>
      </c>
      <c r="B2196">
        <v>1000309</v>
      </c>
      <c r="C2196">
        <v>363557</v>
      </c>
      <c r="F2196" s="7">
        <v>1</v>
      </c>
      <c r="G2196" s="7">
        <v>52</v>
      </c>
      <c r="H2196" s="8">
        <v>40</v>
      </c>
      <c r="J2196" t="s">
        <v>23</v>
      </c>
      <c r="K2196" s="7">
        <v>357</v>
      </c>
      <c r="L2196" s="9">
        <v>1</v>
      </c>
      <c r="M2196" t="s">
        <v>101</v>
      </c>
      <c r="N2196" t="s">
        <v>102</v>
      </c>
      <c r="O2196" s="27" t="str">
        <f>HYPERLINK("https://www.ncbi.nlm.nih.gov/nuccore/NZ_CP019458.1?report=graph&amp;from=4940779&amp;to=4940783", "TTA_codon")</f>
        <v>TTA_codon</v>
      </c>
    </row>
    <row r="2197" spans="1:15" x14ac:dyDescent="0.15">
      <c r="A2197" t="s">
        <v>21</v>
      </c>
      <c r="B2197">
        <v>1000309</v>
      </c>
      <c r="C2197">
        <v>365533</v>
      </c>
      <c r="F2197" s="7">
        <v>1</v>
      </c>
      <c r="G2197" s="7">
        <v>52</v>
      </c>
      <c r="H2197" s="8">
        <v>40</v>
      </c>
      <c r="J2197" t="s">
        <v>23</v>
      </c>
      <c r="K2197" s="7">
        <v>357</v>
      </c>
      <c r="L2197" s="9">
        <v>1</v>
      </c>
      <c r="M2197" t="s">
        <v>213</v>
      </c>
      <c r="N2197" t="s">
        <v>214</v>
      </c>
      <c r="O2197" s="27" t="str">
        <f>HYPERLINK("https://www.ncbi.nlm.nih.gov/nuccore/NZ_FNST01000002.1?report=graph&amp;from=2503255&amp;to=2503259", "TTA_codon")</f>
        <v>TTA_codon</v>
      </c>
    </row>
    <row r="2198" spans="1:15" x14ac:dyDescent="0.15">
      <c r="A2198" t="s">
        <v>21</v>
      </c>
      <c r="B2198" t="s">
        <v>1860</v>
      </c>
    </row>
    <row r="2199" spans="1:15" x14ac:dyDescent="0.15">
      <c r="A2199" t="s">
        <v>21</v>
      </c>
      <c r="B2199">
        <v>1001122</v>
      </c>
      <c r="C2199">
        <v>352445</v>
      </c>
      <c r="F2199" s="7">
        <v>1</v>
      </c>
      <c r="G2199" s="7">
        <v>133</v>
      </c>
      <c r="H2199" s="8">
        <v>97</v>
      </c>
      <c r="J2199" t="s">
        <v>23</v>
      </c>
      <c r="K2199" s="7">
        <v>591</v>
      </c>
      <c r="L2199" s="9">
        <v>-1</v>
      </c>
      <c r="M2199" t="s">
        <v>30</v>
      </c>
      <c r="N2199" t="s">
        <v>31</v>
      </c>
      <c r="O2199" s="27" t="str">
        <f>HYPERLINK("https://www.ncbi.nlm.nih.gov/nuccore/NZ_KB913030.1?report=graph&amp;from=5753019&amp;to=5753023", "TTA_codon")</f>
        <v>TTA_codon</v>
      </c>
    </row>
    <row r="2200" spans="1:15" x14ac:dyDescent="0.15">
      <c r="A2200" t="s">
        <v>21</v>
      </c>
      <c r="B2200">
        <v>1001122</v>
      </c>
      <c r="C2200">
        <v>355804</v>
      </c>
      <c r="F2200" s="7">
        <v>1</v>
      </c>
      <c r="G2200" s="7">
        <v>238</v>
      </c>
      <c r="H2200" s="8">
        <v>238</v>
      </c>
      <c r="J2200" t="s">
        <v>23</v>
      </c>
      <c r="K2200" s="7">
        <v>627</v>
      </c>
      <c r="L2200" s="9">
        <v>-1</v>
      </c>
      <c r="M2200" t="s">
        <v>1861</v>
      </c>
      <c r="N2200" t="s">
        <v>75</v>
      </c>
      <c r="O2200" s="27" t="str">
        <f>HYPERLINK("https://www.ncbi.nlm.nih.gov/nuccore/NZ_JOII01000006.1?report=graph&amp;from=224233&amp;to=224237", "TTA_codon")</f>
        <v>TTA_codon</v>
      </c>
    </row>
    <row r="2201" spans="1:15" x14ac:dyDescent="0.15">
      <c r="A2201" t="s">
        <v>21</v>
      </c>
      <c r="B2201">
        <v>1001122</v>
      </c>
      <c r="C2201">
        <v>358834</v>
      </c>
      <c r="F2201" s="7">
        <v>1</v>
      </c>
      <c r="G2201" s="7">
        <v>73</v>
      </c>
      <c r="H2201" s="8">
        <v>37</v>
      </c>
      <c r="J2201" t="s">
        <v>23</v>
      </c>
      <c r="K2201" s="7">
        <v>591</v>
      </c>
      <c r="L2201" s="9">
        <v>-1</v>
      </c>
      <c r="M2201" t="s">
        <v>1862</v>
      </c>
      <c r="N2201" t="s">
        <v>87</v>
      </c>
      <c r="O2201" s="27" t="str">
        <f>HYPERLINK("https://www.ncbi.nlm.nih.gov/nuccore/NZ_LIQS01000197.1?report=graph&amp;from=7573&amp;to=7577", "TTA_codon")</f>
        <v>TTA_codon</v>
      </c>
    </row>
    <row r="2202" spans="1:15" x14ac:dyDescent="0.15">
      <c r="A2202" t="s">
        <v>195</v>
      </c>
      <c r="B2202" t="s">
        <v>1863</v>
      </c>
    </row>
    <row r="2203" spans="1:15" x14ac:dyDescent="0.15">
      <c r="A2203" t="s">
        <v>195</v>
      </c>
      <c r="B2203">
        <v>1000067</v>
      </c>
      <c r="C2203">
        <v>346346</v>
      </c>
      <c r="F2203" s="7">
        <v>1</v>
      </c>
      <c r="G2203" s="7">
        <v>325</v>
      </c>
      <c r="H2203" s="8">
        <v>244</v>
      </c>
      <c r="J2203" t="s">
        <v>23</v>
      </c>
      <c r="K2203" s="7">
        <v>771</v>
      </c>
      <c r="L2203" s="9">
        <v>-1</v>
      </c>
      <c r="M2203" t="s">
        <v>1864</v>
      </c>
      <c r="N2203" t="s">
        <v>169</v>
      </c>
      <c r="O2203" s="27" t="str">
        <f>HYPERLINK("https://www.ncbi.nlm.nih.gov/nuccore/NZ_JNWJ01000165.1?report=graph&amp;from=2022&amp;to=2026", "TTA_codon")</f>
        <v>TTA_codon</v>
      </c>
    </row>
    <row r="2204" spans="1:15" x14ac:dyDescent="0.15">
      <c r="A2204" t="s">
        <v>21</v>
      </c>
      <c r="B2204">
        <v>1000067</v>
      </c>
      <c r="C2204">
        <v>348494</v>
      </c>
      <c r="F2204" s="7">
        <v>1</v>
      </c>
      <c r="G2204" s="7">
        <v>325</v>
      </c>
      <c r="H2204" s="8">
        <v>310</v>
      </c>
      <c r="J2204" t="s">
        <v>23</v>
      </c>
      <c r="K2204" s="7">
        <v>840</v>
      </c>
      <c r="L2204" s="9">
        <v>-1</v>
      </c>
      <c r="M2204" t="s">
        <v>61</v>
      </c>
      <c r="N2204" t="s">
        <v>62</v>
      </c>
      <c r="O2204" s="27" t="str">
        <f>HYPERLINK("https://www.ncbi.nlm.nih.gov/nuccore/NZ_DS999641.1?report=graph&amp;from=8098998&amp;to=8099002", "TTA_codon")</f>
        <v>TTA_codon</v>
      </c>
    </row>
    <row r="2205" spans="1:15" x14ac:dyDescent="0.15">
      <c r="A2205" t="s">
        <v>21</v>
      </c>
      <c r="B2205">
        <v>1000067</v>
      </c>
      <c r="C2205">
        <v>351745</v>
      </c>
      <c r="F2205" s="7">
        <v>1</v>
      </c>
      <c r="G2205" s="7">
        <v>466</v>
      </c>
      <c r="H2205" s="8">
        <v>463</v>
      </c>
      <c r="J2205" t="s">
        <v>23</v>
      </c>
      <c r="K2205" s="7">
        <v>831</v>
      </c>
      <c r="L2205" s="9">
        <v>-1</v>
      </c>
      <c r="M2205" t="s">
        <v>1865</v>
      </c>
      <c r="N2205" t="s">
        <v>68</v>
      </c>
      <c r="O2205" s="27" t="str">
        <f>HYPERLINK("https://www.ncbi.nlm.nih.gov/nuccore/NZ_BARG01000137.1?report=graph&amp;from=10350&amp;to=10354", "TTA_codon")</f>
        <v>TTA_codon</v>
      </c>
    </row>
    <row r="2206" spans="1:15" x14ac:dyDescent="0.15">
      <c r="A2206" t="s">
        <v>21</v>
      </c>
      <c r="B2206">
        <v>1000067</v>
      </c>
      <c r="C2206">
        <v>351746</v>
      </c>
      <c r="F2206" s="7">
        <v>1</v>
      </c>
      <c r="G2206" s="7">
        <v>325</v>
      </c>
      <c r="H2206" s="8">
        <v>307</v>
      </c>
      <c r="J2206" t="s">
        <v>23</v>
      </c>
      <c r="K2206" s="7">
        <v>834</v>
      </c>
      <c r="L2206" s="9">
        <v>-1</v>
      </c>
      <c r="M2206" t="s">
        <v>1866</v>
      </c>
      <c r="N2206" t="s">
        <v>68</v>
      </c>
      <c r="O2206" s="27" t="str">
        <f>HYPERLINK("https://www.ncbi.nlm.nih.gov/nuccore/NZ_BARG01000018.1?report=graph&amp;from=304234&amp;to=304238", "TTA_codon")</f>
        <v>TTA_codon</v>
      </c>
    </row>
    <row r="2207" spans="1:15" x14ac:dyDescent="0.15">
      <c r="A2207" t="s">
        <v>21</v>
      </c>
      <c r="B2207">
        <v>1000067</v>
      </c>
      <c r="C2207">
        <v>353164</v>
      </c>
      <c r="F2207" s="7">
        <v>1</v>
      </c>
      <c r="G2207" s="7">
        <v>304</v>
      </c>
      <c r="H2207" s="8">
        <v>295</v>
      </c>
      <c r="J2207" t="s">
        <v>23</v>
      </c>
      <c r="K2207" s="7">
        <v>855</v>
      </c>
      <c r="L2207" s="9">
        <v>-1</v>
      </c>
      <c r="M2207" t="s">
        <v>1867</v>
      </c>
      <c r="N2207" t="s">
        <v>169</v>
      </c>
      <c r="O2207" s="27" t="str">
        <f>HYPERLINK("https://www.ncbi.nlm.nih.gov/nuccore/NZ_JNWJ01000150.1?report=graph&amp;from=693&amp;to=697", "TTA_codon")</f>
        <v>TTA_codon</v>
      </c>
    </row>
    <row r="2208" spans="1:15" x14ac:dyDescent="0.15">
      <c r="A2208" t="s">
        <v>21</v>
      </c>
      <c r="B2208">
        <v>1000067</v>
      </c>
      <c r="C2208">
        <v>353165</v>
      </c>
      <c r="F2208" s="7">
        <v>1</v>
      </c>
      <c r="G2208" s="7">
        <v>304</v>
      </c>
      <c r="H2208" s="8">
        <v>295</v>
      </c>
      <c r="J2208" t="s">
        <v>23</v>
      </c>
      <c r="K2208" s="7">
        <v>684</v>
      </c>
      <c r="L2208" s="9">
        <v>-1</v>
      </c>
      <c r="M2208" t="s">
        <v>1868</v>
      </c>
      <c r="N2208" t="s">
        <v>169</v>
      </c>
      <c r="O2208" s="27" t="str">
        <f>HYPERLINK("https://www.ncbi.nlm.nih.gov/nuccore/NZ_JNWJ01000206.1?report=graph&amp;from=425&amp;to=429", "TTA_codon")</f>
        <v>TTA_codon</v>
      </c>
    </row>
    <row r="2209" spans="1:15" x14ac:dyDescent="0.15">
      <c r="A2209" t="s">
        <v>21</v>
      </c>
      <c r="B2209">
        <v>1000067</v>
      </c>
      <c r="C2209">
        <v>363243</v>
      </c>
      <c r="F2209" s="7">
        <v>1</v>
      </c>
      <c r="G2209" s="7">
        <v>466</v>
      </c>
      <c r="H2209" s="8">
        <v>463</v>
      </c>
      <c r="J2209" t="s">
        <v>23</v>
      </c>
      <c r="K2209" s="7">
        <v>840</v>
      </c>
      <c r="L2209" s="9">
        <v>-1</v>
      </c>
      <c r="M2209" t="s">
        <v>1869</v>
      </c>
      <c r="N2209" t="s">
        <v>28</v>
      </c>
      <c r="O2209" s="27" t="str">
        <f>HYPERLINK("https://www.ncbi.nlm.nih.gov/nuccore/NZ_JUJA01000023.1?report=graph&amp;from=12938&amp;to=12942", "TTA_codon")</f>
        <v>TTA_codon</v>
      </c>
    </row>
    <row r="2210" spans="1:15" x14ac:dyDescent="0.15">
      <c r="A2210" t="s">
        <v>195</v>
      </c>
      <c r="B2210" t="s">
        <v>1870</v>
      </c>
    </row>
    <row r="2211" spans="1:15" x14ac:dyDescent="0.15">
      <c r="A2211" t="s">
        <v>195</v>
      </c>
      <c r="B2211">
        <v>1000113</v>
      </c>
      <c r="C2211">
        <v>346756</v>
      </c>
      <c r="F2211" s="7">
        <v>1</v>
      </c>
      <c r="G2211" s="7">
        <v>511</v>
      </c>
      <c r="H2211" s="8">
        <v>355</v>
      </c>
      <c r="J2211" t="s">
        <v>23</v>
      </c>
      <c r="K2211" s="7">
        <v>7146</v>
      </c>
      <c r="L2211" s="9">
        <v>1</v>
      </c>
      <c r="M2211" t="s">
        <v>1599</v>
      </c>
      <c r="N2211" t="s">
        <v>125</v>
      </c>
      <c r="O2211" s="27" t="str">
        <f>HYPERLINK("https://www.ncbi.nlm.nih.gov/nuccore/NZ_KQ948463.1?report=graph&amp;from=34930&amp;to=34934", "TTA_codon")</f>
        <v>TTA_codon</v>
      </c>
    </row>
    <row r="2212" spans="1:15" x14ac:dyDescent="0.15">
      <c r="A2212" t="s">
        <v>195</v>
      </c>
      <c r="B2212">
        <v>1000113</v>
      </c>
      <c r="C2212">
        <v>347155</v>
      </c>
      <c r="F2212" s="7">
        <v>4</v>
      </c>
      <c r="G2212" s="7" t="s">
        <v>1871</v>
      </c>
      <c r="H2212" s="8" t="s">
        <v>1872</v>
      </c>
      <c r="J2212" t="s">
        <v>23</v>
      </c>
      <c r="K2212" s="7">
        <v>6696</v>
      </c>
      <c r="L2212" s="9">
        <v>1</v>
      </c>
      <c r="M2212" t="s">
        <v>213</v>
      </c>
      <c r="N2212" t="s">
        <v>214</v>
      </c>
      <c r="O2212" s="27" t="str">
        <f>HYPERLINK("https://www.ncbi.nlm.nih.gov/nuccore/NZ_FNST01000002.1?report=graph&amp;from=9689383&amp;to=9693005", "TTA_codon")</f>
        <v>TTA_codon</v>
      </c>
    </row>
    <row r="2213" spans="1:15" x14ac:dyDescent="0.15">
      <c r="A2213" t="s">
        <v>21</v>
      </c>
      <c r="B2213">
        <v>1000113</v>
      </c>
      <c r="C2213">
        <v>355113</v>
      </c>
      <c r="F2213" s="7">
        <v>1</v>
      </c>
      <c r="G2213" s="7">
        <v>460</v>
      </c>
      <c r="H2213" s="8">
        <v>421</v>
      </c>
      <c r="J2213" t="s">
        <v>23</v>
      </c>
      <c r="K2213" s="7">
        <v>7350</v>
      </c>
      <c r="L2213" s="9">
        <v>1</v>
      </c>
      <c r="M2213" t="s">
        <v>544</v>
      </c>
      <c r="N2213" t="s">
        <v>433</v>
      </c>
      <c r="O2213" s="27" t="str">
        <f>HYPERLINK("https://www.ncbi.nlm.nih.gov/nuccore/NZ_JOBF01000016.1?report=graph&amp;from=81997&amp;to=82001", "TTA_codon")</f>
        <v>TTA_codon</v>
      </c>
    </row>
    <row r="2214" spans="1:15" x14ac:dyDescent="0.15">
      <c r="A2214" t="s">
        <v>21</v>
      </c>
      <c r="B2214" t="s">
        <v>1873</v>
      </c>
    </row>
    <row r="2215" spans="1:15" x14ac:dyDescent="0.15">
      <c r="A2215" t="s">
        <v>21</v>
      </c>
      <c r="B2215">
        <v>1000991</v>
      </c>
      <c r="C2215">
        <v>354064</v>
      </c>
      <c r="F2215" s="7">
        <v>1</v>
      </c>
      <c r="G2215" s="7">
        <v>436</v>
      </c>
      <c r="H2215" s="8">
        <v>247</v>
      </c>
      <c r="J2215" t="s">
        <v>23</v>
      </c>
      <c r="K2215" s="7">
        <v>1203</v>
      </c>
      <c r="L2215" s="9">
        <v>1</v>
      </c>
      <c r="M2215" t="s">
        <v>1874</v>
      </c>
      <c r="N2215" t="s">
        <v>270</v>
      </c>
      <c r="O2215" s="27" t="str">
        <f>HYPERLINK("https://www.ncbi.nlm.nih.gov/nuccore/NZ_JOBH01000027.1?report=graph&amp;from=64130&amp;to=64134", "TTA_codon")</f>
        <v>TTA_codon</v>
      </c>
    </row>
    <row r="2216" spans="1:15" x14ac:dyDescent="0.15">
      <c r="A2216" t="s">
        <v>21</v>
      </c>
      <c r="B2216">
        <v>1000991</v>
      </c>
      <c r="C2216">
        <v>355744</v>
      </c>
      <c r="F2216" s="7">
        <v>1</v>
      </c>
      <c r="G2216" s="7">
        <v>475</v>
      </c>
      <c r="H2216" s="8">
        <v>232</v>
      </c>
      <c r="J2216" t="s">
        <v>23</v>
      </c>
      <c r="K2216" s="7">
        <v>990</v>
      </c>
      <c r="L2216" s="9">
        <v>1</v>
      </c>
      <c r="M2216" t="s">
        <v>1875</v>
      </c>
      <c r="N2216" t="s">
        <v>278</v>
      </c>
      <c r="O2216" s="27" t="str">
        <f>HYPERLINK("https://www.ncbi.nlm.nih.gov/nuccore/NZ_JOID01000050.1?report=graph&amp;from=1063&amp;to=1067", "TTA_codon")</f>
        <v>TTA_codon</v>
      </c>
    </row>
    <row r="2217" spans="1:15" x14ac:dyDescent="0.15">
      <c r="A2217" t="s">
        <v>21</v>
      </c>
      <c r="B2217">
        <v>1000991</v>
      </c>
      <c r="C2217">
        <v>363780</v>
      </c>
      <c r="F2217" s="7">
        <v>1</v>
      </c>
      <c r="G2217" s="7">
        <v>574</v>
      </c>
      <c r="H2217" s="8">
        <v>289</v>
      </c>
      <c r="J2217" t="s">
        <v>23</v>
      </c>
      <c r="K2217" s="7">
        <v>1149</v>
      </c>
      <c r="L2217" s="9">
        <v>1</v>
      </c>
      <c r="M2217" t="s">
        <v>101</v>
      </c>
      <c r="N2217" t="s">
        <v>102</v>
      </c>
      <c r="O2217" s="27" t="str">
        <f>HYPERLINK("https://www.ncbi.nlm.nih.gov/nuccore/NZ_CP019458.1?report=graph&amp;from=7659768&amp;to=7659772", "TTA_codon")</f>
        <v>TTA_codon</v>
      </c>
    </row>
    <row r="2218" spans="1:15" x14ac:dyDescent="0.15">
      <c r="A2218" t="s">
        <v>21</v>
      </c>
      <c r="B2218">
        <v>1000991</v>
      </c>
      <c r="C2218">
        <v>365670</v>
      </c>
      <c r="F2218" s="7">
        <v>1</v>
      </c>
      <c r="G2218" s="7">
        <v>574</v>
      </c>
      <c r="H2218" s="8">
        <v>568</v>
      </c>
      <c r="J2218" t="s">
        <v>23</v>
      </c>
      <c r="K2218" s="7">
        <v>1428</v>
      </c>
      <c r="L2218" s="9">
        <v>1</v>
      </c>
      <c r="M2218" t="s">
        <v>213</v>
      </c>
      <c r="N2218" t="s">
        <v>214</v>
      </c>
      <c r="O2218" s="27" t="str">
        <f>HYPERLINK("https://www.ncbi.nlm.nih.gov/nuccore/NZ_FNST01000002.1?report=graph&amp;from=5108918&amp;to=5108922", "TTA_codon")</f>
        <v>TTA_codon</v>
      </c>
    </row>
    <row r="2219" spans="1:15" x14ac:dyDescent="0.15">
      <c r="A2219" t="s">
        <v>21</v>
      </c>
      <c r="B2219" t="s">
        <v>1876</v>
      </c>
    </row>
    <row r="2220" spans="1:15" x14ac:dyDescent="0.15">
      <c r="A2220" t="s">
        <v>21</v>
      </c>
      <c r="B2220">
        <v>1001307</v>
      </c>
      <c r="C2220">
        <v>359342</v>
      </c>
      <c r="F2220" s="7">
        <v>1</v>
      </c>
      <c r="G2220" s="7">
        <v>70</v>
      </c>
      <c r="H2220" s="8">
        <v>70</v>
      </c>
      <c r="J2220" t="s">
        <v>23</v>
      </c>
      <c r="K2220" s="7">
        <v>2487</v>
      </c>
      <c r="L2220" s="9">
        <v>-1</v>
      </c>
      <c r="M2220" t="s">
        <v>1877</v>
      </c>
      <c r="N2220" t="s">
        <v>89</v>
      </c>
      <c r="O2220" s="27" t="str">
        <f>HYPERLINK("https://www.ncbi.nlm.nih.gov/nuccore/NZ_LIRG01000625.1?report=graph&amp;from=2937&amp;to=2941", "TTA_codon")</f>
        <v>TTA_codon</v>
      </c>
    </row>
    <row r="2221" spans="1:15" x14ac:dyDescent="0.15">
      <c r="A2221" t="s">
        <v>21</v>
      </c>
      <c r="B2221">
        <v>1001307</v>
      </c>
      <c r="C2221">
        <v>363337</v>
      </c>
      <c r="F2221" s="7">
        <v>1</v>
      </c>
      <c r="G2221" s="7">
        <v>58</v>
      </c>
      <c r="H2221" s="8">
        <v>40</v>
      </c>
      <c r="J2221" t="s">
        <v>23</v>
      </c>
      <c r="K2221" s="7">
        <v>2475</v>
      </c>
      <c r="L2221" s="9">
        <v>-1</v>
      </c>
      <c r="M2221" t="s">
        <v>1878</v>
      </c>
      <c r="N2221" t="s">
        <v>28</v>
      </c>
      <c r="O2221" s="27" t="str">
        <f>HYPERLINK("https://www.ncbi.nlm.nih.gov/nuccore/NZ_JUJA01000077.1?report=graph&amp;from=15068&amp;to=15072", "TTA_codon")</f>
        <v>TTA_codon</v>
      </c>
    </row>
    <row r="2222" spans="1:15" x14ac:dyDescent="0.15">
      <c r="A2222" t="s">
        <v>21</v>
      </c>
      <c r="B2222" t="s">
        <v>1879</v>
      </c>
    </row>
    <row r="2223" spans="1:15" x14ac:dyDescent="0.15">
      <c r="A2223" t="s">
        <v>21</v>
      </c>
      <c r="B2223">
        <v>1000221</v>
      </c>
      <c r="C2223">
        <v>347458</v>
      </c>
      <c r="F2223" s="7">
        <v>3</v>
      </c>
      <c r="G2223" s="7" t="s">
        <v>1880</v>
      </c>
      <c r="H2223" s="8" t="s">
        <v>1881</v>
      </c>
      <c r="J2223" t="s">
        <v>23</v>
      </c>
      <c r="K2223" s="7">
        <v>840</v>
      </c>
      <c r="L2223" s="9">
        <v>1</v>
      </c>
      <c r="M2223" t="s">
        <v>217</v>
      </c>
      <c r="N2223" t="s">
        <v>218</v>
      </c>
      <c r="O2223" s="27" t="str">
        <f>HYPERLINK("https://www.ncbi.nlm.nih.gov/nuccore/NC_021985.1?report=graph&amp;from=5750659&amp;to=5750984", "TTA_codon")</f>
        <v>TTA_codon</v>
      </c>
    </row>
    <row r="2224" spans="1:15" x14ac:dyDescent="0.15">
      <c r="A2224" t="s">
        <v>21</v>
      </c>
      <c r="B2224">
        <v>1000221</v>
      </c>
      <c r="C2224">
        <v>365392</v>
      </c>
      <c r="F2224" s="7">
        <v>2</v>
      </c>
      <c r="G2224" s="7" t="s">
        <v>1882</v>
      </c>
      <c r="H2224" s="8" t="s">
        <v>1882</v>
      </c>
      <c r="J2224" t="s">
        <v>23</v>
      </c>
      <c r="K2224" s="7">
        <v>882</v>
      </c>
      <c r="L2224" s="9">
        <v>1</v>
      </c>
      <c r="M2224" t="s">
        <v>128</v>
      </c>
      <c r="N2224" t="s">
        <v>129</v>
      </c>
      <c r="O2224" s="27" t="str">
        <f>HYPERLINK("https://www.ncbi.nlm.nih.gov/nuccore/NZ_FNHI01000040.1?report=graph&amp;from=9818&amp;to=10077", "TTA_codon")</f>
        <v>TTA_codon</v>
      </c>
    </row>
    <row r="2225" spans="1:15" x14ac:dyDescent="0.15">
      <c r="A2225" t="s">
        <v>21</v>
      </c>
      <c r="B2225" t="s">
        <v>1883</v>
      </c>
    </row>
    <row r="2226" spans="1:15" x14ac:dyDescent="0.15">
      <c r="A2226" t="s">
        <v>21</v>
      </c>
      <c r="B2226">
        <v>1000384</v>
      </c>
      <c r="C2226">
        <v>348343</v>
      </c>
      <c r="F2226" s="7">
        <v>1</v>
      </c>
      <c r="G2226" s="7">
        <v>91</v>
      </c>
      <c r="H2226" s="8">
        <v>82</v>
      </c>
      <c r="J2226" t="s">
        <v>23</v>
      </c>
      <c r="K2226" s="7">
        <v>966</v>
      </c>
      <c r="L2226" s="9">
        <v>-1</v>
      </c>
      <c r="M2226" t="s">
        <v>59</v>
      </c>
      <c r="N2226" t="s">
        <v>60</v>
      </c>
      <c r="O2226" s="27" t="str">
        <f>HYPERLINK("https://www.ncbi.nlm.nih.gov/nuccore/NC_016582.1?report=graph&amp;from=2965522&amp;to=2965526", "TTA_codon")</f>
        <v>TTA_codon</v>
      </c>
    </row>
    <row r="2227" spans="1:15" x14ac:dyDescent="0.15">
      <c r="A2227" t="s">
        <v>21</v>
      </c>
      <c r="B2227">
        <v>1000384</v>
      </c>
      <c r="C2227">
        <v>363806</v>
      </c>
      <c r="F2227" s="7">
        <v>2</v>
      </c>
      <c r="G2227" s="7" t="s">
        <v>1884</v>
      </c>
      <c r="H2227" s="8" t="s">
        <v>1884</v>
      </c>
      <c r="J2227" t="s">
        <v>23</v>
      </c>
      <c r="K2227" s="7">
        <v>978</v>
      </c>
      <c r="L2227" s="9">
        <v>-1</v>
      </c>
      <c r="M2227" t="s">
        <v>101</v>
      </c>
      <c r="N2227" t="s">
        <v>102</v>
      </c>
      <c r="O2227" s="27" t="str">
        <f>HYPERLINK("https://www.ncbi.nlm.nih.gov/nuccore/NZ_CP019458.1?report=graph&amp;from=1395104&amp;to=1395117", "TTA_codon")</f>
        <v>TTA_codon</v>
      </c>
    </row>
    <row r="2228" spans="1:15" x14ac:dyDescent="0.15">
      <c r="A2228" t="s">
        <v>21</v>
      </c>
      <c r="B2228" t="s">
        <v>1885</v>
      </c>
    </row>
    <row r="2229" spans="1:15" x14ac:dyDescent="0.15">
      <c r="A2229" t="s">
        <v>21</v>
      </c>
      <c r="B2229">
        <v>1000806</v>
      </c>
      <c r="C2229">
        <v>352047</v>
      </c>
      <c r="F2229" s="7">
        <v>1</v>
      </c>
      <c r="G2229" s="7">
        <v>304</v>
      </c>
      <c r="H2229" s="8">
        <v>298</v>
      </c>
      <c r="J2229" t="s">
        <v>23</v>
      </c>
      <c r="K2229" s="7">
        <v>1407</v>
      </c>
      <c r="L2229" s="9">
        <v>-1</v>
      </c>
      <c r="M2229" t="s">
        <v>1387</v>
      </c>
      <c r="N2229" t="s">
        <v>70</v>
      </c>
      <c r="O2229" s="27" t="str">
        <f>HYPERLINK("https://www.ncbi.nlm.nih.gov/nuccore/NZ_KB904691.1?report=graph&amp;from=189052&amp;to=189056", "TTA_codon")</f>
        <v>TTA_codon</v>
      </c>
    </row>
    <row r="2230" spans="1:15" x14ac:dyDescent="0.15">
      <c r="A2230" t="s">
        <v>21</v>
      </c>
      <c r="B2230">
        <v>1000806</v>
      </c>
      <c r="C2230">
        <v>353715</v>
      </c>
      <c r="F2230" s="7">
        <v>1</v>
      </c>
      <c r="G2230" s="7">
        <v>478</v>
      </c>
      <c r="H2230" s="8">
        <v>427</v>
      </c>
      <c r="J2230" t="s">
        <v>23</v>
      </c>
      <c r="K2230" s="7">
        <v>1365</v>
      </c>
      <c r="L2230" s="9">
        <v>-1</v>
      </c>
      <c r="M2230" t="s">
        <v>1886</v>
      </c>
      <c r="N2230" t="s">
        <v>246</v>
      </c>
      <c r="O2230" s="27" t="str">
        <f>HYPERLINK("https://www.ncbi.nlm.nih.gov/nuccore/NZ_JNYR01000004.1?report=graph&amp;from=209015&amp;to=209019", "TTA_codon")</f>
        <v>TTA_codon</v>
      </c>
    </row>
    <row r="2231" spans="1:15" x14ac:dyDescent="0.15">
      <c r="A2231" t="s">
        <v>21</v>
      </c>
      <c r="B2231">
        <v>1000806</v>
      </c>
      <c r="C2231">
        <v>353981</v>
      </c>
      <c r="F2231" s="7">
        <v>1</v>
      </c>
      <c r="G2231" s="7">
        <v>382</v>
      </c>
      <c r="H2231" s="8">
        <v>331</v>
      </c>
      <c r="J2231" t="s">
        <v>23</v>
      </c>
      <c r="K2231" s="7">
        <v>1380</v>
      </c>
      <c r="L2231" s="9">
        <v>-1</v>
      </c>
      <c r="M2231" t="s">
        <v>1887</v>
      </c>
      <c r="N2231" t="s">
        <v>270</v>
      </c>
      <c r="O2231" s="27" t="str">
        <f>HYPERLINK("https://www.ncbi.nlm.nih.gov/nuccore/NZ_JOBH01000008.1?report=graph&amp;from=196741&amp;to=196745", "TTA_codon")</f>
        <v>TTA_codon</v>
      </c>
    </row>
    <row r="2232" spans="1:15" x14ac:dyDescent="0.15">
      <c r="A2232" t="s">
        <v>21</v>
      </c>
      <c r="B2232">
        <v>1000806</v>
      </c>
      <c r="C2232">
        <v>361548</v>
      </c>
      <c r="F2232" s="7">
        <v>2</v>
      </c>
      <c r="G2232" s="7" t="s">
        <v>1888</v>
      </c>
      <c r="H2232" s="8" t="s">
        <v>1889</v>
      </c>
      <c r="J2232" t="s">
        <v>23</v>
      </c>
      <c r="K2232" s="7">
        <v>1401</v>
      </c>
      <c r="L2232" s="9">
        <v>-1</v>
      </c>
      <c r="M2232" t="s">
        <v>37</v>
      </c>
      <c r="N2232" t="s">
        <v>38</v>
      </c>
      <c r="O2232" s="27" t="str">
        <f>HYPERLINK("https://www.ncbi.nlm.nih.gov/nuccore/NZ_CP011533.1?report=graph&amp;from=234583&amp;to=235157", "TTA_codon")</f>
        <v>TTA_codon</v>
      </c>
    </row>
    <row r="2233" spans="1:15" x14ac:dyDescent="0.15">
      <c r="A2233" t="s">
        <v>21</v>
      </c>
      <c r="B2233">
        <v>1000806</v>
      </c>
      <c r="C2233">
        <v>362417</v>
      </c>
      <c r="F2233" s="7">
        <v>1</v>
      </c>
      <c r="G2233" s="7">
        <v>634</v>
      </c>
      <c r="H2233" s="8">
        <v>571</v>
      </c>
      <c r="J2233" t="s">
        <v>23</v>
      </c>
      <c r="K2233" s="7">
        <v>1365</v>
      </c>
      <c r="L2233" s="9">
        <v>-1</v>
      </c>
      <c r="M2233" t="s">
        <v>32</v>
      </c>
      <c r="N2233" t="s">
        <v>33</v>
      </c>
      <c r="O2233" s="27" t="str">
        <f>HYPERLINK("https://www.ncbi.nlm.nih.gov/nuccore/NZ_CP017248.1?report=graph&amp;from=2232762&amp;to=2232766", "TTA_codon")</f>
        <v>TTA_codon</v>
      </c>
    </row>
    <row r="2234" spans="1:15" x14ac:dyDescent="0.15">
      <c r="A2234" t="s">
        <v>195</v>
      </c>
      <c r="B2234" t="s">
        <v>1890</v>
      </c>
    </row>
    <row r="2235" spans="1:15" x14ac:dyDescent="0.15">
      <c r="A2235" t="s">
        <v>195</v>
      </c>
      <c r="B2235">
        <v>1000060</v>
      </c>
      <c r="C2235">
        <v>346303</v>
      </c>
      <c r="F2235" s="7">
        <v>1</v>
      </c>
      <c r="G2235" s="7">
        <v>37</v>
      </c>
      <c r="H2235" s="8">
        <v>37</v>
      </c>
      <c r="J2235" t="s">
        <v>23</v>
      </c>
      <c r="K2235" s="7">
        <v>1971</v>
      </c>
      <c r="L2235" s="9">
        <v>-1</v>
      </c>
      <c r="M2235" t="s">
        <v>472</v>
      </c>
      <c r="N2235" t="s">
        <v>473</v>
      </c>
      <c r="O2235" s="27" t="str">
        <f>HYPERLINK("https://www.ncbi.nlm.nih.gov/nuccore/NZ_ASHX02000001.1?report=graph&amp;from=2105464&amp;to=2105468", "TTA_codon")</f>
        <v>TTA_codon</v>
      </c>
    </row>
    <row r="2236" spans="1:15" x14ac:dyDescent="0.15">
      <c r="A2236" t="s">
        <v>21</v>
      </c>
      <c r="B2236">
        <v>1000060</v>
      </c>
      <c r="C2236">
        <v>351277</v>
      </c>
      <c r="F2236" s="7">
        <v>1</v>
      </c>
      <c r="G2236" s="7">
        <v>82</v>
      </c>
      <c r="H2236" s="8">
        <v>82</v>
      </c>
      <c r="J2236" t="s">
        <v>23</v>
      </c>
      <c r="K2236" s="7">
        <v>1854</v>
      </c>
      <c r="L2236" s="9">
        <v>-1</v>
      </c>
      <c r="M2236" t="s">
        <v>65</v>
      </c>
      <c r="N2236" t="s">
        <v>66</v>
      </c>
      <c r="O2236" s="27" t="str">
        <f>HYPERLINK("https://www.ncbi.nlm.nih.gov/nuccore/NC_020504.1?report=graph&amp;from=3662395&amp;to=3662399", "TTA_codon")</f>
        <v>TTA_codon</v>
      </c>
    </row>
    <row r="2237" spans="1:15" x14ac:dyDescent="0.15">
      <c r="A2237" t="s">
        <v>21</v>
      </c>
      <c r="B2237">
        <v>1000060</v>
      </c>
      <c r="C2237">
        <v>362503</v>
      </c>
      <c r="F2237" s="7">
        <v>1</v>
      </c>
      <c r="G2237" s="7">
        <v>37</v>
      </c>
      <c r="H2237" s="8">
        <v>37</v>
      </c>
      <c r="J2237" t="s">
        <v>23</v>
      </c>
      <c r="K2237" s="7">
        <v>1797</v>
      </c>
      <c r="L2237" s="9">
        <v>-1</v>
      </c>
      <c r="M2237" t="s">
        <v>32</v>
      </c>
      <c r="N2237" t="s">
        <v>33</v>
      </c>
      <c r="O2237" s="27" t="str">
        <f>HYPERLINK("https://www.ncbi.nlm.nih.gov/nuccore/NZ_CP017248.1?report=graph&amp;from=3691566&amp;to=3691570", "TTA_codon")</f>
        <v>TTA_codon</v>
      </c>
    </row>
    <row r="2238" spans="1:15" x14ac:dyDescent="0.15">
      <c r="A2238" t="s">
        <v>21</v>
      </c>
      <c r="B2238" t="s">
        <v>1891</v>
      </c>
    </row>
    <row r="2239" spans="1:15" x14ac:dyDescent="0.15">
      <c r="A2239" t="s">
        <v>21</v>
      </c>
      <c r="B2239">
        <v>1000793</v>
      </c>
      <c r="C2239">
        <v>351925</v>
      </c>
      <c r="F2239" s="7">
        <v>1</v>
      </c>
      <c r="G2239" s="7">
        <v>469</v>
      </c>
      <c r="H2239" s="8">
        <v>439</v>
      </c>
      <c r="J2239" t="s">
        <v>23</v>
      </c>
      <c r="K2239" s="7">
        <v>714</v>
      </c>
      <c r="L2239" s="9">
        <v>-1</v>
      </c>
      <c r="M2239" t="s">
        <v>1892</v>
      </c>
      <c r="N2239" t="s">
        <v>68</v>
      </c>
      <c r="O2239" s="27" t="str">
        <f>HYPERLINK("https://www.ncbi.nlm.nih.gov/nuccore/NZ_BARG01000017.1?report=graph&amp;from=49661&amp;to=49665", "TTA_codon")</f>
        <v>TTA_codon</v>
      </c>
    </row>
    <row r="2240" spans="1:15" x14ac:dyDescent="0.15">
      <c r="A2240" t="s">
        <v>21</v>
      </c>
      <c r="B2240">
        <v>1000793</v>
      </c>
      <c r="C2240">
        <v>352635</v>
      </c>
      <c r="F2240" s="7">
        <v>1</v>
      </c>
      <c r="G2240" s="7">
        <v>418</v>
      </c>
      <c r="H2240" s="8">
        <v>406</v>
      </c>
      <c r="J2240" t="s">
        <v>23</v>
      </c>
      <c r="K2240" s="7">
        <v>744</v>
      </c>
      <c r="L2240" s="9">
        <v>-1</v>
      </c>
      <c r="M2240" t="s">
        <v>1568</v>
      </c>
      <c r="N2240" t="s">
        <v>436</v>
      </c>
      <c r="O2240" s="27" t="str">
        <f>HYPERLINK("https://www.ncbi.nlm.nih.gov/nuccore/NZ_AUBE01000008.1?report=graph&amp;from=146133&amp;to=146137", "TTA_codon")</f>
        <v>TTA_codon</v>
      </c>
    </row>
    <row r="2241" spans="1:15" x14ac:dyDescent="0.15">
      <c r="A2241" t="s">
        <v>21</v>
      </c>
      <c r="B2241" t="s">
        <v>1893</v>
      </c>
    </row>
    <row r="2242" spans="1:15" x14ac:dyDescent="0.15">
      <c r="A2242" t="s">
        <v>21</v>
      </c>
      <c r="B2242">
        <v>1000935</v>
      </c>
      <c r="C2242">
        <v>353294</v>
      </c>
      <c r="F2242" s="7">
        <v>1</v>
      </c>
      <c r="G2242" s="7">
        <v>1504</v>
      </c>
      <c r="H2242" s="8">
        <v>1504</v>
      </c>
      <c r="J2242" t="s">
        <v>23</v>
      </c>
      <c r="K2242" s="7">
        <v>1896</v>
      </c>
      <c r="L2242" s="9">
        <v>-1</v>
      </c>
      <c r="M2242" t="s">
        <v>1894</v>
      </c>
      <c r="N2242" t="s">
        <v>169</v>
      </c>
      <c r="O2242" s="27" t="str">
        <f>HYPERLINK("https://www.ncbi.nlm.nih.gov/nuccore/NZ_JNWJ01000041.1?report=graph&amp;from=68293&amp;to=68297", "TTA_codon")</f>
        <v>TTA_codon</v>
      </c>
    </row>
    <row r="2243" spans="1:15" x14ac:dyDescent="0.15">
      <c r="A2243" t="s">
        <v>21</v>
      </c>
      <c r="B2243">
        <v>1000935</v>
      </c>
      <c r="C2243">
        <v>355671</v>
      </c>
      <c r="F2243" s="7">
        <v>1</v>
      </c>
      <c r="G2243" s="7">
        <v>1513</v>
      </c>
      <c r="H2243" s="8">
        <v>1498</v>
      </c>
      <c r="J2243" t="s">
        <v>23</v>
      </c>
      <c r="K2243" s="7">
        <v>1893</v>
      </c>
      <c r="L2243" s="9">
        <v>-1</v>
      </c>
      <c r="M2243" t="s">
        <v>277</v>
      </c>
      <c r="N2243" t="s">
        <v>278</v>
      </c>
      <c r="O2243" s="27" t="str">
        <f>HYPERLINK("https://www.ncbi.nlm.nih.gov/nuccore/NZ_JOID01000016.1?report=graph&amp;from=239839&amp;to=239843", "TTA_codon")</f>
        <v>TTA_codon</v>
      </c>
    </row>
    <row r="2244" spans="1:15" x14ac:dyDescent="0.15">
      <c r="A2244" t="s">
        <v>21</v>
      </c>
      <c r="B2244" t="s">
        <v>1895</v>
      </c>
    </row>
    <row r="2245" spans="1:15" x14ac:dyDescent="0.15">
      <c r="A2245" t="s">
        <v>21</v>
      </c>
      <c r="B2245">
        <v>1000320</v>
      </c>
      <c r="C2245">
        <v>348018</v>
      </c>
      <c r="F2245" s="7">
        <v>1</v>
      </c>
      <c r="G2245" s="7">
        <v>1231</v>
      </c>
      <c r="H2245" s="8">
        <v>1231</v>
      </c>
      <c r="J2245" t="s">
        <v>23</v>
      </c>
      <c r="K2245" s="7">
        <v>1323</v>
      </c>
      <c r="L2245" s="9">
        <v>-1</v>
      </c>
      <c r="M2245" t="s">
        <v>59</v>
      </c>
      <c r="N2245" t="s">
        <v>60</v>
      </c>
      <c r="O2245" s="27" t="str">
        <f>HYPERLINK("https://www.ncbi.nlm.nih.gov/nuccore/NC_016582.1?report=graph&amp;from=3376719&amp;to=3376723", "TTA_codon")</f>
        <v>TTA_codon</v>
      </c>
    </row>
    <row r="2246" spans="1:15" x14ac:dyDescent="0.15">
      <c r="A2246" t="s">
        <v>21</v>
      </c>
      <c r="B2246">
        <v>1000320</v>
      </c>
      <c r="C2246">
        <v>348741</v>
      </c>
      <c r="F2246" s="7">
        <v>1</v>
      </c>
      <c r="G2246" s="7">
        <v>1231</v>
      </c>
      <c r="H2246" s="8">
        <v>1231</v>
      </c>
      <c r="J2246" t="s">
        <v>23</v>
      </c>
      <c r="K2246" s="7">
        <v>1323</v>
      </c>
      <c r="L2246" s="9">
        <v>-1</v>
      </c>
      <c r="M2246" t="s">
        <v>211</v>
      </c>
      <c r="N2246" t="s">
        <v>212</v>
      </c>
      <c r="O2246" s="27" t="str">
        <f>HYPERLINK("https://www.ncbi.nlm.nih.gov/nuccore/NZ_GG657754.1?report=graph&amp;from=2176488&amp;to=2176492", "TTA_codon")</f>
        <v>TTA_codon</v>
      </c>
    </row>
    <row r="2247" spans="1:15" x14ac:dyDescent="0.15">
      <c r="A2247" t="s">
        <v>21</v>
      </c>
      <c r="B2247">
        <v>1000320</v>
      </c>
      <c r="C2247">
        <v>352866</v>
      </c>
      <c r="F2247" s="7">
        <v>1</v>
      </c>
      <c r="G2247" s="7">
        <v>1231</v>
      </c>
      <c r="H2247" s="8">
        <v>1231</v>
      </c>
      <c r="J2247" t="s">
        <v>23</v>
      </c>
      <c r="K2247" s="7">
        <v>1323</v>
      </c>
      <c r="L2247" s="9">
        <v>-1</v>
      </c>
      <c r="M2247" t="s">
        <v>1896</v>
      </c>
      <c r="N2247" t="s">
        <v>306</v>
      </c>
      <c r="O2247" s="27" t="str">
        <f>HYPERLINK("https://www.ncbi.nlm.nih.gov/nuccore/NZ_JNYL01000309.1?report=graph&amp;from=17616&amp;to=17620", "TTA_codon")</f>
        <v>TTA_codon</v>
      </c>
    </row>
    <row r="2248" spans="1:15" x14ac:dyDescent="0.15">
      <c r="A2248" t="s">
        <v>21</v>
      </c>
      <c r="B2248">
        <v>1000320</v>
      </c>
      <c r="C2248">
        <v>353988</v>
      </c>
      <c r="F2248" s="7">
        <v>1</v>
      </c>
      <c r="G2248" s="7">
        <v>1231</v>
      </c>
      <c r="H2248" s="8">
        <v>1231</v>
      </c>
      <c r="J2248" t="s">
        <v>23</v>
      </c>
      <c r="K2248" s="7">
        <v>1323</v>
      </c>
      <c r="L2248" s="9">
        <v>-1</v>
      </c>
      <c r="M2248" t="s">
        <v>269</v>
      </c>
      <c r="N2248" t="s">
        <v>270</v>
      </c>
      <c r="O2248" s="27" t="str">
        <f>HYPERLINK("https://www.ncbi.nlm.nih.gov/nuccore/NZ_JOBH01000002.1?report=graph&amp;from=570750&amp;to=570754", "TTA_codon")</f>
        <v>TTA_codon</v>
      </c>
    </row>
    <row r="2249" spans="1:15" x14ac:dyDescent="0.15">
      <c r="A2249" t="s">
        <v>21</v>
      </c>
      <c r="B2249">
        <v>1000320</v>
      </c>
      <c r="C2249">
        <v>355388</v>
      </c>
      <c r="F2249" s="7">
        <v>1</v>
      </c>
      <c r="G2249" s="7">
        <v>1231</v>
      </c>
      <c r="H2249" s="8">
        <v>1231</v>
      </c>
      <c r="J2249" t="s">
        <v>23</v>
      </c>
      <c r="K2249" s="7">
        <v>1323</v>
      </c>
      <c r="L2249" s="9">
        <v>-1</v>
      </c>
      <c r="M2249" t="s">
        <v>1897</v>
      </c>
      <c r="N2249" t="s">
        <v>198</v>
      </c>
      <c r="O2249" s="27" t="str">
        <f>HYPERLINK("https://www.ncbi.nlm.nih.gov/nuccore/NZ_JOFL01000040.1?report=graph&amp;from=21732&amp;to=21736", "TTA_codon")</f>
        <v>TTA_codon</v>
      </c>
    </row>
    <row r="2250" spans="1:15" x14ac:dyDescent="0.15">
      <c r="A2250" t="s">
        <v>21</v>
      </c>
      <c r="B2250" t="s">
        <v>1898</v>
      </c>
    </row>
    <row r="2251" spans="1:15" x14ac:dyDescent="0.15">
      <c r="A2251" t="s">
        <v>21</v>
      </c>
      <c r="B2251">
        <v>1001528</v>
      </c>
      <c r="C2251">
        <v>352444</v>
      </c>
      <c r="F2251" s="7">
        <v>1</v>
      </c>
      <c r="G2251" s="7">
        <v>280</v>
      </c>
      <c r="H2251" s="8">
        <v>142</v>
      </c>
      <c r="J2251" t="s">
        <v>23</v>
      </c>
      <c r="K2251" s="7">
        <v>2460</v>
      </c>
      <c r="L2251" s="9">
        <v>-1</v>
      </c>
      <c r="M2251" t="s">
        <v>30</v>
      </c>
      <c r="N2251" t="s">
        <v>31</v>
      </c>
      <c r="O2251" s="27" t="str">
        <f>HYPERLINK("https://www.ncbi.nlm.nih.gov/nuccore/NZ_KB913030.1?report=graph&amp;from=6274298&amp;to=6274302", "TTA_codon")</f>
        <v>TTA_codon</v>
      </c>
    </row>
    <row r="2252" spans="1:15" x14ac:dyDescent="0.15">
      <c r="A2252" t="s">
        <v>21</v>
      </c>
      <c r="B2252">
        <v>1001528</v>
      </c>
      <c r="C2252">
        <v>353270</v>
      </c>
      <c r="F2252" s="7">
        <v>1</v>
      </c>
      <c r="G2252" s="7">
        <v>55</v>
      </c>
      <c r="H2252" s="8">
        <v>34</v>
      </c>
      <c r="J2252" t="s">
        <v>23</v>
      </c>
      <c r="K2252" s="7">
        <v>2502</v>
      </c>
      <c r="L2252" s="9">
        <v>-1</v>
      </c>
      <c r="M2252" t="s">
        <v>1899</v>
      </c>
      <c r="N2252" t="s">
        <v>169</v>
      </c>
      <c r="O2252" s="27" t="str">
        <f>HYPERLINK("https://www.ncbi.nlm.nih.gov/nuccore/NZ_JNWJ01000045.1?report=graph&amp;from=141678&amp;to=141682", "TTA_codon")</f>
        <v>TTA_codon</v>
      </c>
    </row>
    <row r="2253" spans="1:15" x14ac:dyDescent="0.15">
      <c r="A2253" t="s">
        <v>21</v>
      </c>
      <c r="B2253">
        <v>1001528</v>
      </c>
      <c r="C2253">
        <v>355660</v>
      </c>
      <c r="F2253" s="7">
        <v>1</v>
      </c>
      <c r="G2253" s="7">
        <v>289</v>
      </c>
      <c r="H2253" s="8">
        <v>211</v>
      </c>
      <c r="J2253" t="s">
        <v>23</v>
      </c>
      <c r="K2253" s="7">
        <v>2544</v>
      </c>
      <c r="L2253" s="9">
        <v>-1</v>
      </c>
      <c r="M2253" t="s">
        <v>1900</v>
      </c>
      <c r="N2253" t="s">
        <v>278</v>
      </c>
      <c r="O2253" s="27" t="str">
        <f>HYPERLINK("https://www.ncbi.nlm.nih.gov/nuccore/NZ_JOID01000033.1?report=graph&amp;from=46236&amp;to=46240", "TTA_codon")</f>
        <v>TTA_codon</v>
      </c>
    </row>
    <row r="2254" spans="1:15" x14ac:dyDescent="0.15">
      <c r="A2254" t="s">
        <v>21</v>
      </c>
      <c r="B2254">
        <v>1001528</v>
      </c>
      <c r="C2254">
        <v>356376</v>
      </c>
      <c r="F2254" s="7">
        <v>1</v>
      </c>
      <c r="G2254" s="7">
        <v>121</v>
      </c>
      <c r="H2254" s="8">
        <v>40</v>
      </c>
      <c r="J2254" t="s">
        <v>23</v>
      </c>
      <c r="K2254" s="7">
        <v>3474</v>
      </c>
      <c r="L2254" s="9">
        <v>-1</v>
      </c>
      <c r="M2254" t="s">
        <v>1901</v>
      </c>
      <c r="N2254" t="s">
        <v>354</v>
      </c>
      <c r="O2254" s="27" t="str">
        <f>HYPERLINK("https://www.ncbi.nlm.nih.gov/nuccore/NZ_JQJU01000028.1?report=graph&amp;from=59800&amp;to=59804", "TTA_codon")</f>
        <v>TTA_codon</v>
      </c>
    </row>
    <row r="2255" spans="1:15" x14ac:dyDescent="0.15">
      <c r="A2255" t="s">
        <v>21</v>
      </c>
      <c r="B2255">
        <v>1001528</v>
      </c>
      <c r="C2255">
        <v>366770</v>
      </c>
      <c r="F2255" s="7">
        <v>1</v>
      </c>
      <c r="G2255" s="7">
        <v>115</v>
      </c>
      <c r="H2255" s="8">
        <v>97</v>
      </c>
      <c r="J2255" t="s">
        <v>23</v>
      </c>
      <c r="K2255" s="7">
        <v>3993</v>
      </c>
      <c r="L2255" s="9">
        <v>-1</v>
      </c>
      <c r="M2255" t="s">
        <v>1902</v>
      </c>
      <c r="N2255" t="s">
        <v>209</v>
      </c>
      <c r="O2255" s="27" t="str">
        <f>HYPERLINK("https://www.ncbi.nlm.nih.gov/nuccore/NZ_FZOF01000065.1?report=graph&amp;from=7106&amp;to=7110", "TTA_codon")</f>
        <v>TTA_codon</v>
      </c>
    </row>
    <row r="2256" spans="1:15" x14ac:dyDescent="0.15">
      <c r="A2256" t="s">
        <v>21</v>
      </c>
      <c r="B2256">
        <v>1001528</v>
      </c>
      <c r="C2256">
        <v>366794</v>
      </c>
      <c r="F2256" s="7">
        <v>1</v>
      </c>
      <c r="G2256" s="7">
        <v>274</v>
      </c>
      <c r="H2256" s="8">
        <v>139</v>
      </c>
      <c r="J2256" t="s">
        <v>23</v>
      </c>
      <c r="K2256" s="7">
        <v>2466</v>
      </c>
      <c r="L2256" s="9">
        <v>-1</v>
      </c>
      <c r="M2256" t="s">
        <v>1903</v>
      </c>
      <c r="N2256" t="s">
        <v>209</v>
      </c>
      <c r="O2256" s="27" t="str">
        <f>HYPERLINK("https://www.ncbi.nlm.nih.gov/nuccore/NZ_FZOF01000029.1?report=graph&amp;from=41289&amp;to=41293", "TTA_codon")</f>
        <v>TTA_codon</v>
      </c>
    </row>
    <row r="2257" spans="1:15" x14ac:dyDescent="0.15">
      <c r="A2257" t="s">
        <v>21</v>
      </c>
      <c r="B2257" t="s">
        <v>1904</v>
      </c>
    </row>
    <row r="2258" spans="1:15" x14ac:dyDescent="0.15">
      <c r="A2258" t="s">
        <v>21</v>
      </c>
      <c r="B2258">
        <v>1000721</v>
      </c>
      <c r="C2258">
        <v>351159</v>
      </c>
      <c r="F2258" s="7">
        <v>1</v>
      </c>
      <c r="G2258" s="7">
        <v>211</v>
      </c>
      <c r="H2258" s="8">
        <v>151</v>
      </c>
      <c r="J2258" t="s">
        <v>23</v>
      </c>
      <c r="K2258" s="7">
        <v>387</v>
      </c>
      <c r="L2258" s="9">
        <v>1</v>
      </c>
      <c r="M2258" t="s">
        <v>65</v>
      </c>
      <c r="N2258" t="s">
        <v>66</v>
      </c>
      <c r="O2258" s="27" t="str">
        <f>HYPERLINK("https://www.ncbi.nlm.nih.gov/nuccore/NC_020504.1?report=graph&amp;from=7801513&amp;to=7801517", "TTA_codon")</f>
        <v>TTA_codon</v>
      </c>
    </row>
    <row r="2259" spans="1:15" x14ac:dyDescent="0.15">
      <c r="A2259" t="s">
        <v>21</v>
      </c>
      <c r="B2259">
        <v>1000721</v>
      </c>
      <c r="C2259">
        <v>351732</v>
      </c>
      <c r="F2259" s="7">
        <v>1</v>
      </c>
      <c r="G2259" s="7">
        <v>40</v>
      </c>
      <c r="H2259" s="8">
        <v>40</v>
      </c>
      <c r="J2259" t="s">
        <v>23</v>
      </c>
      <c r="K2259" s="7">
        <v>384</v>
      </c>
      <c r="L2259" s="9">
        <v>1</v>
      </c>
      <c r="M2259" t="s">
        <v>1905</v>
      </c>
      <c r="N2259" t="s">
        <v>68</v>
      </c>
      <c r="O2259" s="27" t="str">
        <f>HYPERLINK("https://www.ncbi.nlm.nih.gov/nuccore/NZ_BARG01000007.1?report=graph&amp;from=123523&amp;to=123527", "TTA_codon")</f>
        <v>TTA_codon</v>
      </c>
    </row>
    <row r="2260" spans="1:15" x14ac:dyDescent="0.15">
      <c r="A2260" t="s">
        <v>21</v>
      </c>
      <c r="B2260">
        <v>1000721</v>
      </c>
      <c r="C2260">
        <v>354523</v>
      </c>
      <c r="F2260" s="7">
        <v>1</v>
      </c>
      <c r="G2260" s="7">
        <v>211</v>
      </c>
      <c r="H2260" s="8">
        <v>202</v>
      </c>
      <c r="J2260" t="s">
        <v>23</v>
      </c>
      <c r="K2260" s="7">
        <v>438</v>
      </c>
      <c r="L2260" s="9">
        <v>1</v>
      </c>
      <c r="M2260" t="s">
        <v>679</v>
      </c>
      <c r="N2260" t="s">
        <v>272</v>
      </c>
      <c r="O2260" s="27" t="str">
        <f>HYPERLINK("https://www.ncbi.nlm.nih.gov/nuccore/NZ_JOEY01000024.1?report=graph&amp;from=70138&amp;to=70142", "TTA_codon")</f>
        <v>TTA_codon</v>
      </c>
    </row>
    <row r="2261" spans="1:15" x14ac:dyDescent="0.15">
      <c r="A2261" t="s">
        <v>21</v>
      </c>
      <c r="B2261">
        <v>1000721</v>
      </c>
      <c r="C2261">
        <v>355998</v>
      </c>
      <c r="F2261" s="7">
        <v>1</v>
      </c>
      <c r="G2261" s="7">
        <v>55</v>
      </c>
      <c r="H2261" s="8">
        <v>55</v>
      </c>
      <c r="J2261" t="s">
        <v>23</v>
      </c>
      <c r="K2261" s="7">
        <v>429</v>
      </c>
      <c r="L2261" s="9">
        <v>1</v>
      </c>
      <c r="M2261" t="s">
        <v>1906</v>
      </c>
      <c r="N2261" t="s">
        <v>146</v>
      </c>
      <c r="O2261" s="27" t="str">
        <f>HYPERLINK("https://www.ncbi.nlm.nih.gov/nuccore/NZ_JOFH01000060.1?report=graph&amp;from=2538&amp;to=2542", "TTA_codon")</f>
        <v>TTA_codon</v>
      </c>
    </row>
    <row r="2262" spans="1:15" x14ac:dyDescent="0.15">
      <c r="A2262" t="s">
        <v>21</v>
      </c>
      <c r="B2262">
        <v>1000721</v>
      </c>
      <c r="C2262">
        <v>356150</v>
      </c>
      <c r="F2262" s="7">
        <v>1</v>
      </c>
      <c r="G2262" s="7">
        <v>211</v>
      </c>
      <c r="H2262" s="8">
        <v>148</v>
      </c>
      <c r="J2262" t="s">
        <v>23</v>
      </c>
      <c r="K2262" s="7">
        <v>387</v>
      </c>
      <c r="L2262" s="9">
        <v>1</v>
      </c>
      <c r="M2262" t="s">
        <v>843</v>
      </c>
      <c r="N2262" t="s">
        <v>77</v>
      </c>
      <c r="O2262" s="27" t="str">
        <f>HYPERLINK("https://www.ncbi.nlm.nih.gov/nuccore/NZ_JNXD01000023.1?report=graph&amp;from=73331&amp;to=73335", "TTA_codon")</f>
        <v>TTA_codon</v>
      </c>
    </row>
    <row r="2263" spans="1:15" x14ac:dyDescent="0.15">
      <c r="A2263" t="s">
        <v>21</v>
      </c>
      <c r="B2263">
        <v>1000721</v>
      </c>
      <c r="C2263">
        <v>357668</v>
      </c>
      <c r="F2263" s="7">
        <v>1</v>
      </c>
      <c r="G2263" s="7">
        <v>211</v>
      </c>
      <c r="H2263" s="8">
        <v>145</v>
      </c>
      <c r="J2263" t="s">
        <v>23</v>
      </c>
      <c r="K2263" s="7">
        <v>384</v>
      </c>
      <c r="L2263" s="9">
        <v>1</v>
      </c>
      <c r="M2263" t="s">
        <v>1907</v>
      </c>
      <c r="N2263" t="s">
        <v>83</v>
      </c>
      <c r="O2263" s="27" t="str">
        <f>HYPERLINK("https://www.ncbi.nlm.nih.gov/nuccore/NZ_DF968304.1?report=graph&amp;from=51772&amp;to=51776", "TTA_codon")</f>
        <v>TTA_codon</v>
      </c>
    </row>
    <row r="2264" spans="1:15" x14ac:dyDescent="0.15">
      <c r="A2264" t="s">
        <v>21</v>
      </c>
      <c r="B2264">
        <v>1000721</v>
      </c>
      <c r="C2264">
        <v>358770</v>
      </c>
      <c r="F2264" s="7">
        <v>1</v>
      </c>
      <c r="G2264" s="7">
        <v>211</v>
      </c>
      <c r="H2264" s="8">
        <v>160</v>
      </c>
      <c r="J2264" t="s">
        <v>23</v>
      </c>
      <c r="K2264" s="7">
        <v>396</v>
      </c>
      <c r="L2264" s="9">
        <v>1</v>
      </c>
      <c r="M2264" t="s">
        <v>1908</v>
      </c>
      <c r="N2264" t="s">
        <v>87</v>
      </c>
      <c r="O2264" s="27" t="str">
        <f>HYPERLINK("https://www.ncbi.nlm.nih.gov/nuccore/NZ_LIQS01000784.1?report=graph&amp;from=3211&amp;to=3215", "TTA_codon")</f>
        <v>TTA_codon</v>
      </c>
    </row>
    <row r="2265" spans="1:15" x14ac:dyDescent="0.15">
      <c r="A2265" t="s">
        <v>21</v>
      </c>
      <c r="B2265">
        <v>1000721</v>
      </c>
      <c r="C2265">
        <v>360004</v>
      </c>
      <c r="F2265" s="7">
        <v>1</v>
      </c>
      <c r="G2265" s="7">
        <v>211</v>
      </c>
      <c r="H2265" s="8">
        <v>184</v>
      </c>
      <c r="J2265" t="s">
        <v>23</v>
      </c>
      <c r="K2265" s="7">
        <v>423</v>
      </c>
      <c r="L2265" s="9">
        <v>1</v>
      </c>
      <c r="M2265" t="s">
        <v>292</v>
      </c>
      <c r="N2265" t="s">
        <v>125</v>
      </c>
      <c r="O2265" s="27" t="str">
        <f>HYPERLINK("https://www.ncbi.nlm.nih.gov/nuccore/NZ_KQ948453.1?report=graph&amp;from=252789&amp;to=252793", "TTA_codon")</f>
        <v>TTA_codon</v>
      </c>
    </row>
    <row r="2266" spans="1:15" x14ac:dyDescent="0.15">
      <c r="A2266" t="s">
        <v>21</v>
      </c>
      <c r="B2266">
        <v>1000721</v>
      </c>
      <c r="C2266">
        <v>364532</v>
      </c>
      <c r="F2266" s="7">
        <v>1</v>
      </c>
      <c r="G2266" s="7">
        <v>85</v>
      </c>
      <c r="H2266" s="8">
        <v>52</v>
      </c>
      <c r="J2266" t="s">
        <v>23</v>
      </c>
      <c r="K2266" s="7">
        <v>396</v>
      </c>
      <c r="L2266" s="9">
        <v>1</v>
      </c>
      <c r="M2266" t="s">
        <v>1909</v>
      </c>
      <c r="N2266" t="s">
        <v>108</v>
      </c>
      <c r="O2266" s="27" t="str">
        <f>HYPERLINK("https://www.ncbi.nlm.nih.gov/nuccore/NZ_MUMD01000051.1?report=graph&amp;from=2576&amp;to=2580", "TTA_codon")</f>
        <v>TTA_codon</v>
      </c>
    </row>
    <row r="2267" spans="1:15" x14ac:dyDescent="0.15">
      <c r="A2267" t="s">
        <v>21</v>
      </c>
      <c r="B2267" t="s">
        <v>1910</v>
      </c>
    </row>
    <row r="2268" spans="1:15" x14ac:dyDescent="0.15">
      <c r="A2268" t="s">
        <v>21</v>
      </c>
      <c r="B2268">
        <v>1000860</v>
      </c>
      <c r="C2268">
        <v>347825</v>
      </c>
      <c r="F2268" s="7">
        <v>1</v>
      </c>
      <c r="G2268" s="7">
        <v>43</v>
      </c>
      <c r="H2268" s="8">
        <v>34</v>
      </c>
      <c r="J2268" t="s">
        <v>23</v>
      </c>
      <c r="K2268" s="7">
        <v>501</v>
      </c>
      <c r="L2268" s="9">
        <v>1</v>
      </c>
      <c r="M2268" t="s">
        <v>57</v>
      </c>
      <c r="N2268" t="s">
        <v>58</v>
      </c>
      <c r="O2268" s="27" t="str">
        <f>HYPERLINK("https://www.ncbi.nlm.nih.gov/nuccore/NC_013929.1?report=graph&amp;from=4488608&amp;to=4488612", "TTA_codon")</f>
        <v>TTA_codon</v>
      </c>
    </row>
    <row r="2269" spans="1:15" x14ac:dyDescent="0.15">
      <c r="A2269" t="s">
        <v>21</v>
      </c>
      <c r="B2269">
        <v>1000860</v>
      </c>
      <c r="C2269">
        <v>348504</v>
      </c>
      <c r="F2269" s="7">
        <v>1</v>
      </c>
      <c r="G2269" s="7">
        <v>43</v>
      </c>
      <c r="H2269" s="8">
        <v>34</v>
      </c>
      <c r="J2269" t="s">
        <v>23</v>
      </c>
      <c r="K2269" s="7">
        <v>504</v>
      </c>
      <c r="L2269" s="9">
        <v>1</v>
      </c>
      <c r="M2269" t="s">
        <v>61</v>
      </c>
      <c r="N2269" t="s">
        <v>62</v>
      </c>
      <c r="O2269" s="27" t="str">
        <f>HYPERLINK("https://www.ncbi.nlm.nih.gov/nuccore/NZ_DS999641.1?report=graph&amp;from=3554826&amp;to=3554830", "TTA_codon")</f>
        <v>TTA_codon</v>
      </c>
    </row>
    <row r="2270" spans="1:15" x14ac:dyDescent="0.15">
      <c r="A2270" t="s">
        <v>21</v>
      </c>
      <c r="B2270">
        <v>1000860</v>
      </c>
      <c r="C2270">
        <v>350296</v>
      </c>
      <c r="F2270" s="7">
        <v>1</v>
      </c>
      <c r="G2270" s="7">
        <v>43</v>
      </c>
      <c r="H2270" s="8">
        <v>34</v>
      </c>
      <c r="J2270" t="s">
        <v>23</v>
      </c>
      <c r="K2270" s="7">
        <v>468</v>
      </c>
      <c r="L2270" s="9">
        <v>1</v>
      </c>
      <c r="M2270" t="s">
        <v>35</v>
      </c>
      <c r="N2270" t="s">
        <v>36</v>
      </c>
      <c r="O2270" s="27" t="str">
        <f>HYPERLINK("https://www.ncbi.nlm.nih.gov/nuccore/NZ_JH725387.1?report=graph&amp;from=2796139&amp;to=2796143", "TTA_codon")</f>
        <v>TTA_codon</v>
      </c>
    </row>
    <row r="2271" spans="1:15" x14ac:dyDescent="0.15">
      <c r="A2271" t="s">
        <v>21</v>
      </c>
      <c r="B2271">
        <v>1000860</v>
      </c>
      <c r="C2271">
        <v>350739</v>
      </c>
      <c r="F2271" s="7">
        <v>1</v>
      </c>
      <c r="G2271" s="7">
        <v>43</v>
      </c>
      <c r="H2271" s="8">
        <v>34</v>
      </c>
      <c r="J2271" t="s">
        <v>23</v>
      </c>
      <c r="K2271" s="7">
        <v>495</v>
      </c>
      <c r="L2271" s="9">
        <v>1</v>
      </c>
      <c r="M2271" t="s">
        <v>1911</v>
      </c>
      <c r="N2271" t="s">
        <v>51</v>
      </c>
      <c r="O2271" s="27" t="str">
        <f>HYPERLINK("https://www.ncbi.nlm.nih.gov/nuccore/NZ_AEJB01000223.1?report=graph&amp;from=2805&amp;to=2809", "TTA_codon")</f>
        <v>TTA_codon</v>
      </c>
    </row>
    <row r="2272" spans="1:15" x14ac:dyDescent="0.15">
      <c r="A2272" t="s">
        <v>21</v>
      </c>
      <c r="B2272">
        <v>1000860</v>
      </c>
      <c r="C2272">
        <v>352069</v>
      </c>
      <c r="F2272" s="7">
        <v>1</v>
      </c>
      <c r="G2272" s="7">
        <v>43</v>
      </c>
      <c r="H2272" s="8">
        <v>34</v>
      </c>
      <c r="J2272" t="s">
        <v>23</v>
      </c>
      <c r="K2272" s="7">
        <v>504</v>
      </c>
      <c r="L2272" s="9">
        <v>1</v>
      </c>
      <c r="M2272" t="s">
        <v>1912</v>
      </c>
      <c r="N2272" t="s">
        <v>70</v>
      </c>
      <c r="O2272" s="27" t="str">
        <f>HYPERLINK("https://www.ncbi.nlm.nih.gov/nuccore/NZ_KB904665.1?report=graph&amp;from=40895&amp;to=40899", "TTA_codon")</f>
        <v>TTA_codon</v>
      </c>
    </row>
    <row r="2273" spans="1:15" x14ac:dyDescent="0.15">
      <c r="A2273" t="s">
        <v>21</v>
      </c>
      <c r="B2273">
        <v>1000860</v>
      </c>
      <c r="C2273">
        <v>352571</v>
      </c>
      <c r="F2273" s="7">
        <v>1</v>
      </c>
      <c r="G2273" s="7">
        <v>43</v>
      </c>
      <c r="H2273" s="8">
        <v>43</v>
      </c>
      <c r="J2273" t="s">
        <v>23</v>
      </c>
      <c r="K2273" s="7">
        <v>495</v>
      </c>
      <c r="L2273" s="9">
        <v>1</v>
      </c>
      <c r="M2273" t="s">
        <v>1067</v>
      </c>
      <c r="N2273" t="s">
        <v>436</v>
      </c>
      <c r="O2273" s="27" t="str">
        <f>HYPERLINK("https://www.ncbi.nlm.nih.gov/nuccore/NZ_AUBE01000001.1?report=graph&amp;from=79481&amp;to=79485", "TTA_codon")</f>
        <v>TTA_codon</v>
      </c>
    </row>
    <row r="2274" spans="1:15" x14ac:dyDescent="0.15">
      <c r="A2274" t="s">
        <v>21</v>
      </c>
      <c r="B2274">
        <v>1000860</v>
      </c>
      <c r="C2274">
        <v>352749</v>
      </c>
      <c r="F2274" s="7">
        <v>1</v>
      </c>
      <c r="G2274" s="7">
        <v>43</v>
      </c>
      <c r="H2274" s="8">
        <v>34</v>
      </c>
      <c r="J2274" t="s">
        <v>23</v>
      </c>
      <c r="K2274" s="7">
        <v>486</v>
      </c>
      <c r="L2274" s="9">
        <v>1</v>
      </c>
      <c r="M2274" t="s">
        <v>472</v>
      </c>
      <c r="N2274" t="s">
        <v>473</v>
      </c>
      <c r="O2274" s="27" t="str">
        <f>HYPERLINK("https://www.ncbi.nlm.nih.gov/nuccore/NZ_ASHX02000001.1?report=graph&amp;from=2784174&amp;to=2784178", "TTA_codon")</f>
        <v>TTA_codon</v>
      </c>
    </row>
    <row r="2275" spans="1:15" x14ac:dyDescent="0.15">
      <c r="A2275" t="s">
        <v>21</v>
      </c>
      <c r="B2275">
        <v>1000860</v>
      </c>
      <c r="C2275">
        <v>352879</v>
      </c>
      <c r="F2275" s="7">
        <v>1</v>
      </c>
      <c r="G2275" s="7">
        <v>43</v>
      </c>
      <c r="H2275" s="8">
        <v>34</v>
      </c>
      <c r="J2275" t="s">
        <v>23</v>
      </c>
      <c r="K2275" s="7">
        <v>507</v>
      </c>
      <c r="L2275" s="9">
        <v>1</v>
      </c>
      <c r="M2275" t="s">
        <v>1913</v>
      </c>
      <c r="N2275" t="s">
        <v>306</v>
      </c>
      <c r="O2275" s="27" t="str">
        <f>HYPERLINK("https://www.ncbi.nlm.nih.gov/nuccore/NZ_KL571061.1?report=graph&amp;from=61582&amp;to=61586", "TTA_codon")</f>
        <v>TTA_codon</v>
      </c>
    </row>
    <row r="2276" spans="1:15" x14ac:dyDescent="0.15">
      <c r="A2276" t="s">
        <v>21</v>
      </c>
      <c r="B2276">
        <v>1000860</v>
      </c>
      <c r="C2276">
        <v>353742</v>
      </c>
      <c r="F2276" s="7">
        <v>1</v>
      </c>
      <c r="G2276" s="7">
        <v>43</v>
      </c>
      <c r="H2276" s="8">
        <v>34</v>
      </c>
      <c r="J2276" t="s">
        <v>23</v>
      </c>
      <c r="K2276" s="7">
        <v>483</v>
      </c>
      <c r="L2276" s="9">
        <v>1</v>
      </c>
      <c r="M2276" t="s">
        <v>1914</v>
      </c>
      <c r="N2276" t="s">
        <v>246</v>
      </c>
      <c r="O2276" s="27" t="str">
        <f>HYPERLINK("https://www.ncbi.nlm.nih.gov/nuccore/NZ_JNYR01000036.1?report=graph&amp;from=51323&amp;to=51327", "TTA_codon")</f>
        <v>TTA_codon</v>
      </c>
    </row>
    <row r="2277" spans="1:15" x14ac:dyDescent="0.15">
      <c r="A2277" t="s">
        <v>21</v>
      </c>
      <c r="B2277">
        <v>1000860</v>
      </c>
      <c r="C2277">
        <v>354346</v>
      </c>
      <c r="F2277" s="7">
        <v>1</v>
      </c>
      <c r="G2277" s="7">
        <v>43</v>
      </c>
      <c r="H2277" s="8">
        <v>34</v>
      </c>
      <c r="J2277" t="s">
        <v>23</v>
      </c>
      <c r="K2277" s="7">
        <v>483</v>
      </c>
      <c r="L2277" s="9">
        <v>1</v>
      </c>
      <c r="M2277" t="s">
        <v>1915</v>
      </c>
      <c r="N2277" t="s">
        <v>142</v>
      </c>
      <c r="O2277" s="27" t="str">
        <f>HYPERLINK("https://www.ncbi.nlm.nih.gov/nuccore/NZ_JOEI01000025.1?report=graph&amp;from=81927&amp;to=81931", "TTA_codon")</f>
        <v>TTA_codon</v>
      </c>
    </row>
    <row r="2278" spans="1:15" x14ac:dyDescent="0.15">
      <c r="A2278" t="s">
        <v>21</v>
      </c>
      <c r="B2278">
        <v>1000860</v>
      </c>
      <c r="C2278">
        <v>355096</v>
      </c>
      <c r="F2278" s="7">
        <v>1</v>
      </c>
      <c r="G2278" s="7">
        <v>43</v>
      </c>
      <c r="H2278" s="8">
        <v>34</v>
      </c>
      <c r="J2278" t="s">
        <v>23</v>
      </c>
      <c r="K2278" s="7">
        <v>504</v>
      </c>
      <c r="L2278" s="9">
        <v>1</v>
      </c>
      <c r="M2278" t="s">
        <v>1419</v>
      </c>
      <c r="N2278" t="s">
        <v>433</v>
      </c>
      <c r="O2278" s="27" t="str">
        <f>HYPERLINK("https://www.ncbi.nlm.nih.gov/nuccore/NZ_JOBF01000006.1?report=graph&amp;from=111905&amp;to=111909", "TTA_codon")</f>
        <v>TTA_codon</v>
      </c>
    </row>
    <row r="2279" spans="1:15" x14ac:dyDescent="0.15">
      <c r="A2279" t="s">
        <v>21</v>
      </c>
      <c r="B2279">
        <v>1000860</v>
      </c>
      <c r="C2279">
        <v>355264</v>
      </c>
      <c r="F2279" s="7">
        <v>1</v>
      </c>
      <c r="G2279" s="7">
        <v>43</v>
      </c>
      <c r="H2279" s="8">
        <v>34</v>
      </c>
      <c r="J2279" t="s">
        <v>23</v>
      </c>
      <c r="K2279" s="7">
        <v>588</v>
      </c>
      <c r="L2279" s="9">
        <v>1</v>
      </c>
      <c r="M2279" t="s">
        <v>1916</v>
      </c>
      <c r="N2279" t="s">
        <v>295</v>
      </c>
      <c r="O2279" s="27" t="str">
        <f>HYPERLINK("https://www.ncbi.nlm.nih.gov/nuccore/NZ_JODL01000015.1?report=graph&amp;from=45049&amp;to=45053", "TTA_codon")</f>
        <v>TTA_codon</v>
      </c>
    </row>
    <row r="2280" spans="1:15" x14ac:dyDescent="0.15">
      <c r="A2280" t="s">
        <v>21</v>
      </c>
      <c r="B2280">
        <v>1000860</v>
      </c>
      <c r="C2280">
        <v>355807</v>
      </c>
      <c r="F2280" s="7">
        <v>1</v>
      </c>
      <c r="G2280" s="7">
        <v>43</v>
      </c>
      <c r="H2280" s="8">
        <v>34</v>
      </c>
      <c r="J2280" t="s">
        <v>23</v>
      </c>
      <c r="K2280" s="7">
        <v>465</v>
      </c>
      <c r="L2280" s="9">
        <v>1</v>
      </c>
      <c r="M2280" t="s">
        <v>1917</v>
      </c>
      <c r="N2280" t="s">
        <v>75</v>
      </c>
      <c r="O2280" s="27" t="str">
        <f>HYPERLINK("https://www.ncbi.nlm.nih.gov/nuccore/NZ_JOII01000053.1?report=graph&amp;from=5049&amp;to=5053", "TTA_codon")</f>
        <v>TTA_codon</v>
      </c>
    </row>
    <row r="2281" spans="1:15" x14ac:dyDescent="0.15">
      <c r="A2281" t="s">
        <v>21</v>
      </c>
      <c r="B2281">
        <v>1000860</v>
      </c>
      <c r="C2281">
        <v>356168</v>
      </c>
      <c r="F2281" s="7">
        <v>1</v>
      </c>
      <c r="G2281" s="7">
        <v>43</v>
      </c>
      <c r="H2281" s="8">
        <v>34</v>
      </c>
      <c r="J2281" t="s">
        <v>23</v>
      </c>
      <c r="K2281" s="7">
        <v>498</v>
      </c>
      <c r="L2281" s="9">
        <v>1</v>
      </c>
      <c r="M2281" t="s">
        <v>1198</v>
      </c>
      <c r="N2281" t="s">
        <v>77</v>
      </c>
      <c r="O2281" s="27" t="str">
        <f>HYPERLINK("https://www.ncbi.nlm.nih.gov/nuccore/NZ_JNXD01000018.1?report=graph&amp;from=83771&amp;to=83775", "TTA_codon")</f>
        <v>TTA_codon</v>
      </c>
    </row>
    <row r="2282" spans="1:15" x14ac:dyDescent="0.15">
      <c r="A2282" t="s">
        <v>21</v>
      </c>
      <c r="B2282">
        <v>1000860</v>
      </c>
      <c r="C2282">
        <v>357031</v>
      </c>
      <c r="F2282" s="7">
        <v>1</v>
      </c>
      <c r="G2282" s="7">
        <v>43</v>
      </c>
      <c r="H2282" s="8">
        <v>34</v>
      </c>
      <c r="J2282" t="s">
        <v>23</v>
      </c>
      <c r="K2282" s="7">
        <v>462</v>
      </c>
      <c r="L2282" s="9">
        <v>1</v>
      </c>
      <c r="M2282" t="s">
        <v>162</v>
      </c>
      <c r="N2282" t="s">
        <v>163</v>
      </c>
      <c r="O2282" s="27" t="str">
        <f>HYPERLINK("https://www.ncbi.nlm.nih.gov/nuccore/NZ_CP010519.1?report=graph&amp;from=3588062&amp;to=3588066", "TTA_codon")</f>
        <v>TTA_codon</v>
      </c>
    </row>
    <row r="2283" spans="1:15" x14ac:dyDescent="0.15">
      <c r="A2283" t="s">
        <v>21</v>
      </c>
      <c r="B2283">
        <v>1000860</v>
      </c>
      <c r="C2283">
        <v>357151</v>
      </c>
      <c r="F2283" s="7">
        <v>1</v>
      </c>
      <c r="G2283" s="7">
        <v>43</v>
      </c>
      <c r="H2283" s="8">
        <v>34</v>
      </c>
      <c r="J2283" t="s">
        <v>23</v>
      </c>
      <c r="K2283" s="7">
        <v>483</v>
      </c>
      <c r="L2283" s="9">
        <v>1</v>
      </c>
      <c r="M2283" t="s">
        <v>205</v>
      </c>
      <c r="N2283" t="s">
        <v>206</v>
      </c>
      <c r="O2283" s="27" t="str">
        <f>HYPERLINK("https://www.ncbi.nlm.nih.gov/nuccore/NZ_CP010407.1?report=graph&amp;from=3838654&amp;to=3838658", "TTA_codon")</f>
        <v>TTA_codon</v>
      </c>
    </row>
    <row r="2284" spans="1:15" x14ac:dyDescent="0.15">
      <c r="A2284" t="s">
        <v>21</v>
      </c>
      <c r="B2284">
        <v>1000860</v>
      </c>
      <c r="C2284">
        <v>357963</v>
      </c>
      <c r="F2284" s="7">
        <v>1</v>
      </c>
      <c r="G2284" s="7">
        <v>43</v>
      </c>
      <c r="H2284" s="8">
        <v>34</v>
      </c>
      <c r="J2284" t="s">
        <v>23</v>
      </c>
      <c r="K2284" s="7">
        <v>480</v>
      </c>
      <c r="L2284" s="9">
        <v>1</v>
      </c>
      <c r="M2284" t="s">
        <v>261</v>
      </c>
      <c r="N2284" t="s">
        <v>262</v>
      </c>
      <c r="O2284" s="27" t="str">
        <f>HYPERLINK("https://www.ncbi.nlm.nih.gov/nuccore/NZ_CP011340.1?report=graph&amp;from=4008380&amp;to=4008384", "TTA_codon")</f>
        <v>TTA_codon</v>
      </c>
    </row>
    <row r="2285" spans="1:15" x14ac:dyDescent="0.15">
      <c r="A2285" t="s">
        <v>21</v>
      </c>
      <c r="B2285">
        <v>1000860</v>
      </c>
      <c r="C2285">
        <v>358397</v>
      </c>
      <c r="F2285" s="7">
        <v>1</v>
      </c>
      <c r="G2285" s="7">
        <v>43</v>
      </c>
      <c r="H2285" s="8">
        <v>34</v>
      </c>
      <c r="J2285" t="s">
        <v>23</v>
      </c>
      <c r="K2285" s="7">
        <v>507</v>
      </c>
      <c r="L2285" s="9">
        <v>1</v>
      </c>
      <c r="M2285" t="s">
        <v>1918</v>
      </c>
      <c r="N2285" t="s">
        <v>85</v>
      </c>
      <c r="O2285" s="27" t="str">
        <f>HYPERLINK("https://www.ncbi.nlm.nih.gov/nuccore/NZ_LIQX01000396.1?report=graph&amp;from=13266&amp;to=13270", "TTA_codon")</f>
        <v>TTA_codon</v>
      </c>
    </row>
    <row r="2286" spans="1:15" x14ac:dyDescent="0.15">
      <c r="A2286" t="s">
        <v>21</v>
      </c>
      <c r="B2286">
        <v>1000860</v>
      </c>
      <c r="C2286">
        <v>359315</v>
      </c>
      <c r="F2286" s="7">
        <v>1</v>
      </c>
      <c r="G2286" s="7">
        <v>43</v>
      </c>
      <c r="H2286" s="8">
        <v>34</v>
      </c>
      <c r="J2286" t="s">
        <v>23</v>
      </c>
      <c r="K2286" s="7">
        <v>486</v>
      </c>
      <c r="L2286" s="9">
        <v>1</v>
      </c>
      <c r="M2286" t="s">
        <v>1919</v>
      </c>
      <c r="N2286" t="s">
        <v>89</v>
      </c>
      <c r="O2286" s="27" t="str">
        <f>HYPERLINK("https://www.ncbi.nlm.nih.gov/nuccore/NZ_LIRG01000384.1?report=graph&amp;from=9999&amp;to=10003", "TTA_codon")</f>
        <v>TTA_codon</v>
      </c>
    </row>
    <row r="2287" spans="1:15" x14ac:dyDescent="0.15">
      <c r="A2287" t="s">
        <v>21</v>
      </c>
      <c r="B2287">
        <v>1000860</v>
      </c>
      <c r="C2287">
        <v>359480</v>
      </c>
      <c r="F2287" s="7">
        <v>1</v>
      </c>
      <c r="G2287" s="7">
        <v>43</v>
      </c>
      <c r="H2287" s="8">
        <v>34</v>
      </c>
      <c r="J2287" t="s">
        <v>23</v>
      </c>
      <c r="K2287" s="7">
        <v>492</v>
      </c>
      <c r="L2287" s="9">
        <v>1</v>
      </c>
      <c r="M2287" t="s">
        <v>151</v>
      </c>
      <c r="N2287" t="s">
        <v>152</v>
      </c>
      <c r="O2287" s="27" t="str">
        <f>HYPERLINK("https://www.ncbi.nlm.nih.gov/nuccore/NZ_CP013129.1?report=graph&amp;from=4091710&amp;to=4091714", "TTA_codon")</f>
        <v>TTA_codon</v>
      </c>
    </row>
    <row r="2288" spans="1:15" x14ac:dyDescent="0.15">
      <c r="A2288" t="s">
        <v>21</v>
      </c>
      <c r="B2288">
        <v>1000860</v>
      </c>
      <c r="C2288">
        <v>361591</v>
      </c>
      <c r="F2288" s="7">
        <v>1</v>
      </c>
      <c r="G2288" s="7">
        <v>43</v>
      </c>
      <c r="H2288" s="8">
        <v>40</v>
      </c>
      <c r="J2288" t="s">
        <v>23</v>
      </c>
      <c r="K2288" s="7">
        <v>495</v>
      </c>
      <c r="L2288" s="9">
        <v>1</v>
      </c>
      <c r="M2288" t="s">
        <v>37</v>
      </c>
      <c r="N2288" t="s">
        <v>38</v>
      </c>
      <c r="O2288" s="27" t="str">
        <f>HYPERLINK("https://www.ncbi.nlm.nih.gov/nuccore/NZ_CP011533.1?report=graph&amp;from=4389480&amp;to=4389484", "TTA_codon")</f>
        <v>TTA_codon</v>
      </c>
    </row>
    <row r="2289" spans="1:15" x14ac:dyDescent="0.15">
      <c r="A2289" t="s">
        <v>21</v>
      </c>
      <c r="B2289">
        <v>1000860</v>
      </c>
      <c r="C2289">
        <v>362244</v>
      </c>
      <c r="F2289" s="7">
        <v>1</v>
      </c>
      <c r="G2289" s="7">
        <v>43</v>
      </c>
      <c r="H2289" s="8">
        <v>34</v>
      </c>
      <c r="J2289" t="s">
        <v>23</v>
      </c>
      <c r="K2289" s="7">
        <v>468</v>
      </c>
      <c r="L2289" s="9">
        <v>1</v>
      </c>
      <c r="M2289" t="s">
        <v>39</v>
      </c>
      <c r="N2289" t="s">
        <v>40</v>
      </c>
      <c r="O2289" s="27" t="str">
        <f>HYPERLINK("https://www.ncbi.nlm.nih.gov/nuccore/NZ_CP017157.1?report=graph&amp;from=7713125&amp;to=7713129", "TTA_codon")</f>
        <v>TTA_codon</v>
      </c>
    </row>
    <row r="2290" spans="1:15" x14ac:dyDescent="0.15">
      <c r="A2290" t="s">
        <v>21</v>
      </c>
      <c r="B2290">
        <v>1000860</v>
      </c>
      <c r="C2290">
        <v>362700</v>
      </c>
      <c r="F2290" s="7">
        <v>1</v>
      </c>
      <c r="G2290" s="7">
        <v>43</v>
      </c>
      <c r="H2290" s="8">
        <v>34</v>
      </c>
      <c r="J2290" t="s">
        <v>23</v>
      </c>
      <c r="K2290" s="7">
        <v>594</v>
      </c>
      <c r="L2290" s="9">
        <v>1</v>
      </c>
      <c r="M2290" t="s">
        <v>1920</v>
      </c>
      <c r="N2290" t="s">
        <v>985</v>
      </c>
      <c r="O2290" s="27" t="str">
        <f>HYPERLINK("https://www.ncbi.nlm.nih.gov/nuccore/NZ_LJGU01000153.1?report=graph&amp;from=15549&amp;to=15553", "TTA_codon")</f>
        <v>TTA_codon</v>
      </c>
    </row>
    <row r="2291" spans="1:15" x14ac:dyDescent="0.15">
      <c r="A2291" t="s">
        <v>21</v>
      </c>
      <c r="B2291">
        <v>1000860</v>
      </c>
      <c r="C2291">
        <v>363124</v>
      </c>
      <c r="F2291" s="7">
        <v>1</v>
      </c>
      <c r="G2291" s="7">
        <v>43</v>
      </c>
      <c r="H2291" s="8">
        <v>34</v>
      </c>
      <c r="J2291" t="s">
        <v>23</v>
      </c>
      <c r="K2291" s="7">
        <v>477</v>
      </c>
      <c r="L2291" s="9">
        <v>1</v>
      </c>
      <c r="M2291" t="s">
        <v>1921</v>
      </c>
      <c r="N2291" t="s">
        <v>401</v>
      </c>
      <c r="O2291" s="27" t="str">
        <f>HYPERLINK("https://www.ncbi.nlm.nih.gov/nuccore/NZ_LFBV01000012.1?report=graph&amp;from=96420&amp;to=96424", "TTA_codon")</f>
        <v>TTA_codon</v>
      </c>
    </row>
    <row r="2292" spans="1:15" x14ac:dyDescent="0.15">
      <c r="A2292" t="s">
        <v>21</v>
      </c>
      <c r="B2292">
        <v>1000860</v>
      </c>
      <c r="C2292">
        <v>363475</v>
      </c>
      <c r="F2292" s="7">
        <v>1</v>
      </c>
      <c r="G2292" s="7">
        <v>43</v>
      </c>
      <c r="H2292" s="8">
        <v>34</v>
      </c>
      <c r="J2292" t="s">
        <v>23</v>
      </c>
      <c r="K2292" s="7">
        <v>474</v>
      </c>
      <c r="L2292" s="9">
        <v>1</v>
      </c>
      <c r="M2292" t="s">
        <v>157</v>
      </c>
      <c r="N2292" t="s">
        <v>158</v>
      </c>
      <c r="O2292" s="27" t="str">
        <f>HYPERLINK("https://www.ncbi.nlm.nih.gov/nuccore/NZ_CP015588.1?report=graph&amp;from=3971583&amp;to=3971587", "TTA_codon")</f>
        <v>TTA_codon</v>
      </c>
    </row>
    <row r="2293" spans="1:15" x14ac:dyDescent="0.15">
      <c r="A2293" t="s">
        <v>21</v>
      </c>
      <c r="B2293">
        <v>1000860</v>
      </c>
      <c r="C2293">
        <v>364151</v>
      </c>
      <c r="F2293" s="7">
        <v>1</v>
      </c>
      <c r="G2293" s="7">
        <v>43</v>
      </c>
      <c r="H2293" s="8">
        <v>34</v>
      </c>
      <c r="J2293" t="s">
        <v>23</v>
      </c>
      <c r="K2293" s="7">
        <v>480</v>
      </c>
      <c r="L2293" s="9">
        <v>1</v>
      </c>
      <c r="M2293" t="s">
        <v>254</v>
      </c>
      <c r="N2293" t="s">
        <v>255</v>
      </c>
      <c r="O2293" s="27" t="str">
        <f>HYPERLINK("https://www.ncbi.nlm.nih.gov/nuccore/NZ_CP018047.1?report=graph&amp;from=3350353&amp;to=3350357", "TTA_codon")</f>
        <v>TTA_codon</v>
      </c>
    </row>
    <row r="2294" spans="1:15" x14ac:dyDescent="0.15">
      <c r="A2294" t="s">
        <v>21</v>
      </c>
      <c r="B2294" t="s">
        <v>1922</v>
      </c>
    </row>
    <row r="2295" spans="1:15" x14ac:dyDescent="0.15">
      <c r="A2295" t="s">
        <v>21</v>
      </c>
      <c r="B2295">
        <v>1001248</v>
      </c>
      <c r="C2295">
        <v>357754</v>
      </c>
      <c r="F2295" s="7">
        <v>1</v>
      </c>
      <c r="G2295" s="7">
        <v>37</v>
      </c>
      <c r="H2295" s="8">
        <v>37</v>
      </c>
      <c r="J2295" t="s">
        <v>23</v>
      </c>
      <c r="K2295" s="7">
        <v>1242</v>
      </c>
      <c r="L2295" s="9">
        <v>1</v>
      </c>
      <c r="M2295" t="s">
        <v>1923</v>
      </c>
      <c r="N2295" t="s">
        <v>83</v>
      </c>
      <c r="O2295" s="27" t="str">
        <f>HYPERLINK("https://www.ncbi.nlm.nih.gov/nuccore/NZ_DF968239.1?report=graph&amp;from=23407&amp;to=23411", "TTA_codon")</f>
        <v>TTA_codon</v>
      </c>
    </row>
    <row r="2296" spans="1:15" x14ac:dyDescent="0.15">
      <c r="A2296" t="s">
        <v>21</v>
      </c>
      <c r="B2296">
        <v>1001248</v>
      </c>
      <c r="C2296">
        <v>362501</v>
      </c>
      <c r="F2296" s="7">
        <v>2</v>
      </c>
      <c r="G2296" s="7" t="s">
        <v>1924</v>
      </c>
      <c r="H2296" s="8" t="s">
        <v>1924</v>
      </c>
      <c r="J2296" t="s">
        <v>23</v>
      </c>
      <c r="K2296" s="7">
        <v>1242</v>
      </c>
      <c r="L2296" s="9">
        <v>1</v>
      </c>
      <c r="M2296" t="s">
        <v>32</v>
      </c>
      <c r="N2296" t="s">
        <v>33</v>
      </c>
      <c r="O2296" s="27" t="str">
        <f>HYPERLINK("https://www.ncbi.nlm.nih.gov/nuccore/NZ_CP017248.1?report=graph&amp;from=318848&amp;to=319401", "TTA_codon")</f>
        <v>TTA_codon</v>
      </c>
    </row>
    <row r="2297" spans="1:15" x14ac:dyDescent="0.15">
      <c r="A2297" t="s">
        <v>21</v>
      </c>
      <c r="B2297" t="s">
        <v>1925</v>
      </c>
    </row>
    <row r="2298" spans="1:15" x14ac:dyDescent="0.15">
      <c r="A2298" t="s">
        <v>21</v>
      </c>
      <c r="B2298">
        <v>1001425</v>
      </c>
      <c r="C2298">
        <v>362827</v>
      </c>
      <c r="F2298" s="7">
        <v>1</v>
      </c>
      <c r="G2298" s="7">
        <v>94</v>
      </c>
      <c r="H2298" s="8">
        <v>94</v>
      </c>
      <c r="J2298" t="s">
        <v>23</v>
      </c>
      <c r="K2298" s="7">
        <v>1422</v>
      </c>
      <c r="L2298" s="9">
        <v>1</v>
      </c>
      <c r="M2298" t="s">
        <v>1926</v>
      </c>
      <c r="N2298" t="s">
        <v>156</v>
      </c>
      <c r="O2298" s="27" t="str">
        <f>HYPERLINK("https://www.ncbi.nlm.nih.gov/nuccore/NZ_LJGW01000715.1?report=graph&amp;from=5417&amp;to=5421", "TTA_codon")</f>
        <v>TTA_codon</v>
      </c>
    </row>
    <row r="2299" spans="1:15" x14ac:dyDescent="0.15">
      <c r="A2299" t="s">
        <v>21</v>
      </c>
      <c r="B2299">
        <v>1001425</v>
      </c>
      <c r="C2299">
        <v>366085</v>
      </c>
      <c r="F2299" s="7">
        <v>1</v>
      </c>
      <c r="G2299" s="7">
        <v>217</v>
      </c>
      <c r="H2299" s="8">
        <v>211</v>
      </c>
      <c r="J2299" t="s">
        <v>23</v>
      </c>
      <c r="K2299" s="7">
        <v>1368</v>
      </c>
      <c r="L2299" s="9">
        <v>1</v>
      </c>
      <c r="M2299" t="s">
        <v>1927</v>
      </c>
      <c r="N2299" t="s">
        <v>257</v>
      </c>
      <c r="O2299" s="27" t="str">
        <f>HYPERLINK("https://www.ncbi.nlm.nih.gov/nuccore/NZ_FOET01000002.1?report=graph&amp;from=78010&amp;to=78014", "TTA_codon")</f>
        <v>TTA_codon</v>
      </c>
    </row>
    <row r="2300" spans="1:15" x14ac:dyDescent="0.15">
      <c r="A2300" t="s">
        <v>21</v>
      </c>
      <c r="B2300">
        <v>1001425</v>
      </c>
      <c r="C2300">
        <v>366183</v>
      </c>
      <c r="F2300" s="7">
        <v>1</v>
      </c>
      <c r="G2300" s="7">
        <v>61</v>
      </c>
      <c r="H2300" s="8">
        <v>58</v>
      </c>
      <c r="J2300" t="s">
        <v>23</v>
      </c>
      <c r="K2300" s="7">
        <v>1263</v>
      </c>
      <c r="L2300" s="9">
        <v>1</v>
      </c>
      <c r="M2300" t="s">
        <v>1543</v>
      </c>
      <c r="N2300" t="s">
        <v>178</v>
      </c>
      <c r="O2300" s="27" t="str">
        <f>HYPERLINK("https://www.ncbi.nlm.nih.gov/nuccore/NZ_FOGO01000006.1?report=graph&amp;from=269428&amp;to=269432", "TTA_codon")</f>
        <v>TTA_codon</v>
      </c>
    </row>
    <row r="2301" spans="1:15" x14ac:dyDescent="0.15">
      <c r="A2301" t="s">
        <v>195</v>
      </c>
      <c r="B2301" t="s">
        <v>1928</v>
      </c>
    </row>
    <row r="2302" spans="1:15" x14ac:dyDescent="0.15">
      <c r="A2302" t="s">
        <v>195</v>
      </c>
      <c r="B2302">
        <v>1001460</v>
      </c>
      <c r="C2302">
        <v>347038</v>
      </c>
      <c r="F2302" s="7">
        <v>1</v>
      </c>
      <c r="G2302" s="7">
        <v>244</v>
      </c>
      <c r="H2302" s="8">
        <v>94</v>
      </c>
      <c r="J2302" t="s">
        <v>23</v>
      </c>
      <c r="K2302" s="7">
        <v>969</v>
      </c>
      <c r="L2302" s="9">
        <v>-1</v>
      </c>
      <c r="M2302" t="s">
        <v>126</v>
      </c>
      <c r="N2302" t="s">
        <v>127</v>
      </c>
      <c r="O2302" s="27" t="str">
        <f>HYPERLINK("https://www.ncbi.nlm.nih.gov/nuccore/NZ_CP021748.1?report=graph&amp;from=369484&amp;to=369488", "TTA_codon")</f>
        <v>TTA_codon</v>
      </c>
    </row>
    <row r="2303" spans="1:15" x14ac:dyDescent="0.15">
      <c r="A2303" t="s">
        <v>21</v>
      </c>
      <c r="B2303">
        <v>1001460</v>
      </c>
      <c r="C2303">
        <v>347900</v>
      </c>
      <c r="F2303" s="7">
        <v>1</v>
      </c>
      <c r="G2303" s="7">
        <v>304</v>
      </c>
      <c r="H2303" s="8">
        <v>178</v>
      </c>
      <c r="J2303" t="s">
        <v>23</v>
      </c>
      <c r="K2303" s="7">
        <v>975</v>
      </c>
      <c r="L2303" s="9">
        <v>-1</v>
      </c>
      <c r="M2303" t="s">
        <v>57</v>
      </c>
      <c r="N2303" t="s">
        <v>58</v>
      </c>
      <c r="O2303" s="27" t="str">
        <f>HYPERLINK("https://www.ncbi.nlm.nih.gov/nuccore/NC_013929.1?report=graph&amp;from=317936&amp;to=317940", "TTA_codon")</f>
        <v>TTA_codon</v>
      </c>
    </row>
    <row r="2304" spans="1:15" x14ac:dyDescent="0.15">
      <c r="A2304" t="s">
        <v>21</v>
      </c>
      <c r="B2304">
        <v>1001460</v>
      </c>
      <c r="C2304">
        <v>348296</v>
      </c>
      <c r="F2304" s="7">
        <v>1</v>
      </c>
      <c r="G2304" s="7">
        <v>529</v>
      </c>
      <c r="H2304" s="8">
        <v>292</v>
      </c>
      <c r="J2304" t="s">
        <v>23</v>
      </c>
      <c r="K2304" s="7">
        <v>855</v>
      </c>
      <c r="L2304" s="9">
        <v>-1</v>
      </c>
      <c r="M2304" t="s">
        <v>59</v>
      </c>
      <c r="N2304" t="s">
        <v>60</v>
      </c>
      <c r="O2304" s="27" t="str">
        <f>HYPERLINK("https://www.ncbi.nlm.nih.gov/nuccore/NC_016582.1?report=graph&amp;from=8800736&amp;to=8800740", "TTA_codon")</f>
        <v>TTA_codon</v>
      </c>
    </row>
    <row r="2305" spans="1:15" x14ac:dyDescent="0.15">
      <c r="A2305" t="s">
        <v>21</v>
      </c>
      <c r="B2305">
        <v>1001460</v>
      </c>
      <c r="C2305">
        <v>348309</v>
      </c>
      <c r="F2305" s="7">
        <v>2</v>
      </c>
      <c r="G2305" s="7" t="s">
        <v>1929</v>
      </c>
      <c r="H2305" s="8" t="s">
        <v>1930</v>
      </c>
      <c r="J2305" t="s">
        <v>23</v>
      </c>
      <c r="K2305" s="7">
        <v>1023</v>
      </c>
      <c r="L2305" s="9">
        <v>-1</v>
      </c>
      <c r="M2305" t="s">
        <v>59</v>
      </c>
      <c r="N2305" t="s">
        <v>60</v>
      </c>
      <c r="O2305" s="27" t="str">
        <f>HYPERLINK("https://www.ncbi.nlm.nih.gov/nuccore/NC_016582.1?report=graph&amp;from=216333&amp;to=216397", "TTA_codon")</f>
        <v>TTA_codon</v>
      </c>
    </row>
    <row r="2306" spans="1:15" x14ac:dyDescent="0.15">
      <c r="A2306" t="s">
        <v>21</v>
      </c>
      <c r="B2306">
        <v>1001460</v>
      </c>
      <c r="C2306">
        <v>350368</v>
      </c>
      <c r="F2306" s="7">
        <v>1</v>
      </c>
      <c r="G2306" s="7">
        <v>562</v>
      </c>
      <c r="H2306" s="8">
        <v>406</v>
      </c>
      <c r="J2306" t="s">
        <v>23</v>
      </c>
      <c r="K2306" s="7">
        <v>954</v>
      </c>
      <c r="L2306" s="9">
        <v>-1</v>
      </c>
      <c r="M2306" t="s">
        <v>770</v>
      </c>
      <c r="N2306" t="s">
        <v>36</v>
      </c>
      <c r="O2306" s="27" t="str">
        <f>HYPERLINK("https://www.ncbi.nlm.nih.gov/nuccore/NZ_JH725391.1?report=graph&amp;from=36246&amp;to=36250", "TTA_codon")</f>
        <v>TTA_codon</v>
      </c>
    </row>
    <row r="2307" spans="1:15" x14ac:dyDescent="0.15">
      <c r="A2307" t="s">
        <v>21</v>
      </c>
      <c r="B2307">
        <v>1001460</v>
      </c>
      <c r="C2307">
        <v>350565</v>
      </c>
      <c r="F2307" s="7">
        <v>1</v>
      </c>
      <c r="G2307" s="7">
        <v>520</v>
      </c>
      <c r="H2307" s="8">
        <v>376</v>
      </c>
      <c r="J2307" t="s">
        <v>23</v>
      </c>
      <c r="K2307" s="7">
        <v>996</v>
      </c>
      <c r="L2307" s="9">
        <v>-1</v>
      </c>
      <c r="M2307" t="s">
        <v>1931</v>
      </c>
      <c r="N2307" t="s">
        <v>134</v>
      </c>
      <c r="O2307" s="27" t="str">
        <f>HYPERLINK("https://www.ncbi.nlm.nih.gov/nuccore/NZ_AJSZ01000301.1?report=graph&amp;from=18780&amp;to=18784", "TTA_codon")</f>
        <v>TTA_codon</v>
      </c>
    </row>
    <row r="2308" spans="1:15" x14ac:dyDescent="0.15">
      <c r="A2308" t="s">
        <v>21</v>
      </c>
      <c r="B2308">
        <v>1001460</v>
      </c>
      <c r="C2308">
        <v>352156</v>
      </c>
      <c r="F2308" s="7">
        <v>2</v>
      </c>
      <c r="G2308" s="7" t="s">
        <v>1932</v>
      </c>
      <c r="H2308" s="8" t="s">
        <v>1933</v>
      </c>
      <c r="J2308" t="s">
        <v>23</v>
      </c>
      <c r="K2308" s="7">
        <v>996</v>
      </c>
      <c r="L2308" s="9">
        <v>-1</v>
      </c>
      <c r="M2308" t="s">
        <v>1934</v>
      </c>
      <c r="N2308" t="s">
        <v>70</v>
      </c>
      <c r="O2308" s="27" t="str">
        <f>HYPERLINK("https://www.ncbi.nlm.nih.gov/nuccore/NZ_KB904667.1?report=graph&amp;from=57027&amp;to=57586", "TTA_codon")</f>
        <v>TTA_codon</v>
      </c>
    </row>
    <row r="2309" spans="1:15" x14ac:dyDescent="0.15">
      <c r="A2309" t="s">
        <v>21</v>
      </c>
      <c r="B2309">
        <v>1001460</v>
      </c>
      <c r="C2309">
        <v>354787</v>
      </c>
      <c r="F2309" s="7">
        <v>1</v>
      </c>
      <c r="G2309" s="7">
        <v>262</v>
      </c>
      <c r="H2309" s="8">
        <v>139</v>
      </c>
      <c r="J2309" t="s">
        <v>23</v>
      </c>
      <c r="K2309" s="7">
        <v>990</v>
      </c>
      <c r="L2309" s="9">
        <v>-1</v>
      </c>
      <c r="M2309" t="s">
        <v>1935</v>
      </c>
      <c r="N2309" t="s">
        <v>272</v>
      </c>
      <c r="O2309" s="27" t="str">
        <f>HYPERLINK("https://www.ncbi.nlm.nih.gov/nuccore/NZ_JOEY01000081.1?report=graph&amp;from=38660&amp;to=38664", "TTA_codon")</f>
        <v>TTA_codon</v>
      </c>
    </row>
    <row r="2310" spans="1:15" x14ac:dyDescent="0.15">
      <c r="A2310" t="s">
        <v>21</v>
      </c>
      <c r="B2310">
        <v>1001460</v>
      </c>
      <c r="C2310">
        <v>354965</v>
      </c>
      <c r="F2310" s="7">
        <v>1</v>
      </c>
      <c r="G2310" s="7">
        <v>562</v>
      </c>
      <c r="H2310" s="8">
        <v>328</v>
      </c>
      <c r="J2310" t="s">
        <v>23</v>
      </c>
      <c r="K2310" s="7">
        <v>909</v>
      </c>
      <c r="L2310" s="9">
        <v>-1</v>
      </c>
      <c r="M2310" t="s">
        <v>1936</v>
      </c>
      <c r="N2310" t="s">
        <v>25</v>
      </c>
      <c r="O2310" s="27" t="str">
        <f>HYPERLINK("https://www.ncbi.nlm.nih.gov/nuccore/NZ_JOFU01000017.1?report=graph&amp;from=107816&amp;to=107820", "TTA_codon")</f>
        <v>TTA_codon</v>
      </c>
    </row>
    <row r="2311" spans="1:15" x14ac:dyDescent="0.15">
      <c r="A2311" t="s">
        <v>21</v>
      </c>
      <c r="B2311">
        <v>1001460</v>
      </c>
      <c r="C2311">
        <v>356913</v>
      </c>
      <c r="F2311" s="7">
        <v>1</v>
      </c>
      <c r="G2311" s="7">
        <v>562</v>
      </c>
      <c r="H2311" s="8">
        <v>523</v>
      </c>
      <c r="J2311" t="s">
        <v>23</v>
      </c>
      <c r="K2311" s="7">
        <v>1107</v>
      </c>
      <c r="L2311" s="9">
        <v>-1</v>
      </c>
      <c r="M2311" t="s">
        <v>78</v>
      </c>
      <c r="N2311" t="s">
        <v>79</v>
      </c>
      <c r="O2311" s="27" t="str">
        <f>HYPERLINK("https://www.ncbi.nlm.nih.gov/nuccore/NZ_CP009313.1?report=graph&amp;from=137341&amp;to=137345", "TTA_codon")</f>
        <v>TTA_codon</v>
      </c>
    </row>
    <row r="2312" spans="1:15" x14ac:dyDescent="0.15">
      <c r="A2312" t="s">
        <v>21</v>
      </c>
      <c r="B2312">
        <v>1001460</v>
      </c>
      <c r="C2312">
        <v>358271</v>
      </c>
      <c r="F2312" s="7">
        <v>2</v>
      </c>
      <c r="G2312" s="7" t="s">
        <v>1937</v>
      </c>
      <c r="H2312" s="8" t="s">
        <v>1938</v>
      </c>
      <c r="J2312" t="s">
        <v>23</v>
      </c>
      <c r="K2312" s="7">
        <v>987</v>
      </c>
      <c r="L2312" s="9">
        <v>-1</v>
      </c>
      <c r="M2312" t="s">
        <v>1939</v>
      </c>
      <c r="N2312" t="s">
        <v>119</v>
      </c>
      <c r="O2312" s="27" t="str">
        <f>HYPERLINK("https://www.ncbi.nlm.nih.gov/nuccore/NZ_LIPP01000159.1?report=graph&amp;from=7719&amp;to=7765", "TTA_codon")</f>
        <v>TTA_codon</v>
      </c>
    </row>
    <row r="2313" spans="1:15" x14ac:dyDescent="0.15">
      <c r="A2313" t="s">
        <v>21</v>
      </c>
      <c r="B2313">
        <v>1001460</v>
      </c>
      <c r="C2313">
        <v>360590</v>
      </c>
      <c r="F2313" s="7">
        <v>1</v>
      </c>
      <c r="G2313" s="7">
        <v>793</v>
      </c>
      <c r="H2313" s="8">
        <v>670</v>
      </c>
      <c r="J2313" t="s">
        <v>23</v>
      </c>
      <c r="K2313" s="7">
        <v>1002</v>
      </c>
      <c r="L2313" s="9">
        <v>-1</v>
      </c>
      <c r="M2313" t="s">
        <v>121</v>
      </c>
      <c r="N2313" t="s">
        <v>122</v>
      </c>
      <c r="O2313" s="27" t="str">
        <f>HYPERLINK("https://www.ncbi.nlm.nih.gov/nuccore/NZ_CP016279.1?report=graph&amp;from=4496673&amp;to=4496677", "TTA_codon")</f>
        <v>TTA_codon</v>
      </c>
    </row>
    <row r="2314" spans="1:15" x14ac:dyDescent="0.15">
      <c r="A2314" t="s">
        <v>21</v>
      </c>
      <c r="B2314">
        <v>1001460</v>
      </c>
      <c r="C2314">
        <v>361499</v>
      </c>
      <c r="F2314" s="7">
        <v>1</v>
      </c>
      <c r="G2314" s="7">
        <v>562</v>
      </c>
      <c r="H2314" s="8">
        <v>412</v>
      </c>
      <c r="J2314" t="s">
        <v>23</v>
      </c>
      <c r="K2314" s="7">
        <v>963</v>
      </c>
      <c r="L2314" s="9">
        <v>-1</v>
      </c>
      <c r="M2314" t="s">
        <v>286</v>
      </c>
      <c r="N2314" t="s">
        <v>201</v>
      </c>
      <c r="O2314" s="27" t="str">
        <f>HYPERLINK("https://www.ncbi.nlm.nih.gov/nuccore/NZ_CP016560.1?report=graph&amp;from=141447&amp;to=141451", "TTA_codon")</f>
        <v>TTA_codon</v>
      </c>
    </row>
    <row r="2315" spans="1:15" x14ac:dyDescent="0.15">
      <c r="A2315" t="s">
        <v>21</v>
      </c>
      <c r="B2315">
        <v>1001460</v>
      </c>
      <c r="C2315">
        <v>362581</v>
      </c>
      <c r="F2315" s="7">
        <v>2</v>
      </c>
      <c r="G2315" s="7" t="s">
        <v>1940</v>
      </c>
      <c r="H2315" s="8" t="s">
        <v>1941</v>
      </c>
      <c r="J2315" t="s">
        <v>23</v>
      </c>
      <c r="K2315" s="7">
        <v>966</v>
      </c>
      <c r="L2315" s="9">
        <v>-1</v>
      </c>
      <c r="M2315" t="s">
        <v>32</v>
      </c>
      <c r="N2315" t="s">
        <v>33</v>
      </c>
      <c r="O2315" s="27" t="str">
        <f>HYPERLINK("https://www.ncbi.nlm.nih.gov/nuccore/NZ_CP017248.1?report=graph&amp;from=349282&amp;to=349598", "TTA_codon")</f>
        <v>TTA_codon</v>
      </c>
    </row>
    <row r="2316" spans="1:15" x14ac:dyDescent="0.15">
      <c r="A2316" t="s">
        <v>21</v>
      </c>
      <c r="B2316">
        <v>1001460</v>
      </c>
      <c r="C2316">
        <v>363713</v>
      </c>
      <c r="F2316" s="7">
        <v>1</v>
      </c>
      <c r="G2316" s="7">
        <v>826</v>
      </c>
      <c r="H2316" s="8">
        <v>208</v>
      </c>
      <c r="J2316" t="s">
        <v>23</v>
      </c>
      <c r="K2316" s="7">
        <v>1086</v>
      </c>
      <c r="L2316" s="9">
        <v>-1</v>
      </c>
      <c r="M2316" t="s">
        <v>101</v>
      </c>
      <c r="N2316" t="s">
        <v>102</v>
      </c>
      <c r="O2316" s="27" t="str">
        <f>HYPERLINK("https://www.ncbi.nlm.nih.gov/nuccore/NZ_CP019458.1?report=graph&amp;from=9132814&amp;to=9132818", "TTA_codon")</f>
        <v>TTA_codon</v>
      </c>
    </row>
    <row r="2317" spans="1:15" x14ac:dyDescent="0.15">
      <c r="A2317" t="s">
        <v>21</v>
      </c>
      <c r="B2317">
        <v>1001460</v>
      </c>
      <c r="C2317">
        <v>364912</v>
      </c>
      <c r="F2317" s="7">
        <v>1</v>
      </c>
      <c r="G2317" s="7">
        <v>256</v>
      </c>
      <c r="H2317" s="8">
        <v>133</v>
      </c>
      <c r="J2317" t="s">
        <v>23</v>
      </c>
      <c r="K2317" s="7">
        <v>981</v>
      </c>
      <c r="L2317" s="9">
        <v>-1</v>
      </c>
      <c r="M2317" t="s">
        <v>126</v>
      </c>
      <c r="N2317" t="s">
        <v>127</v>
      </c>
      <c r="O2317" s="27" t="str">
        <f>HYPERLINK("https://www.ncbi.nlm.nih.gov/nuccore/NZ_CP021748.1?report=graph&amp;from=9512847&amp;to=9512851", "TTA_codon")</f>
        <v>TTA_codon</v>
      </c>
    </row>
    <row r="2318" spans="1:15" x14ac:dyDescent="0.15">
      <c r="A2318" t="s">
        <v>21</v>
      </c>
      <c r="B2318">
        <v>1001460</v>
      </c>
      <c r="C2318">
        <v>365150</v>
      </c>
      <c r="F2318" s="7">
        <v>1</v>
      </c>
      <c r="G2318" s="7">
        <v>280</v>
      </c>
      <c r="H2318" s="8">
        <v>157</v>
      </c>
      <c r="J2318" t="s">
        <v>23</v>
      </c>
      <c r="K2318" s="7">
        <v>987</v>
      </c>
      <c r="L2318" s="9">
        <v>-1</v>
      </c>
      <c r="M2318" t="s">
        <v>111</v>
      </c>
      <c r="N2318" t="s">
        <v>112</v>
      </c>
      <c r="O2318" s="27" t="str">
        <f>HYPERLINK("https://www.ncbi.nlm.nih.gov/nuccore/NZ_CP021744.1?report=graph&amp;from=314461&amp;to=314465", "TTA_codon")</f>
        <v>TTA_codon</v>
      </c>
    </row>
    <row r="2319" spans="1:15" x14ac:dyDescent="0.15">
      <c r="A2319" t="s">
        <v>21</v>
      </c>
      <c r="B2319">
        <v>1001460</v>
      </c>
      <c r="C2319">
        <v>365833</v>
      </c>
      <c r="F2319" s="7">
        <v>1</v>
      </c>
      <c r="G2319" s="7">
        <v>796</v>
      </c>
      <c r="H2319" s="8">
        <v>646</v>
      </c>
      <c r="J2319" t="s">
        <v>23</v>
      </c>
      <c r="K2319" s="7">
        <v>1032</v>
      </c>
      <c r="L2319" s="9">
        <v>-1</v>
      </c>
      <c r="M2319" t="s">
        <v>213</v>
      </c>
      <c r="N2319" t="s">
        <v>214</v>
      </c>
      <c r="O2319" s="27" t="str">
        <f>HYPERLINK("https://www.ncbi.nlm.nih.gov/nuccore/NZ_FNST01000002.1?report=graph&amp;from=4136357&amp;to=4136361", "TTA_codon")</f>
        <v>TTA_codon</v>
      </c>
    </row>
    <row r="2320" spans="1:15" x14ac:dyDescent="0.15">
      <c r="A2320" t="s">
        <v>21</v>
      </c>
      <c r="B2320">
        <v>1001460</v>
      </c>
      <c r="C2320">
        <v>366036</v>
      </c>
      <c r="F2320" s="7">
        <v>2</v>
      </c>
      <c r="G2320" s="7" t="s">
        <v>1942</v>
      </c>
      <c r="H2320" s="8" t="s">
        <v>1943</v>
      </c>
      <c r="J2320" t="s">
        <v>23</v>
      </c>
      <c r="K2320" s="7">
        <v>996</v>
      </c>
      <c r="L2320" s="9">
        <v>-1</v>
      </c>
      <c r="M2320" t="s">
        <v>1944</v>
      </c>
      <c r="N2320" t="s">
        <v>115</v>
      </c>
      <c r="O2320" s="27" t="str">
        <f>HYPERLINK("https://www.ncbi.nlm.nih.gov/nuccore/NZ_FODD01000075.1?report=graph&amp;from=8939&amp;to=8958", "TTA_codon")</f>
        <v>TTA_codon</v>
      </c>
    </row>
    <row r="2321" spans="1:15" x14ac:dyDescent="0.15">
      <c r="A2321" t="s">
        <v>21</v>
      </c>
      <c r="B2321">
        <v>1001460</v>
      </c>
      <c r="C2321">
        <v>366232</v>
      </c>
      <c r="F2321" s="7">
        <v>1</v>
      </c>
      <c r="G2321" s="7">
        <v>310</v>
      </c>
      <c r="H2321" s="8">
        <v>184</v>
      </c>
      <c r="J2321" t="s">
        <v>23</v>
      </c>
      <c r="K2321" s="7">
        <v>999</v>
      </c>
      <c r="L2321" s="9">
        <v>-1</v>
      </c>
      <c r="M2321" t="s">
        <v>1696</v>
      </c>
      <c r="N2321" t="s">
        <v>178</v>
      </c>
      <c r="O2321" s="27" t="str">
        <f>HYPERLINK("https://www.ncbi.nlm.nih.gov/nuccore/NZ_FOGO01000003.1?report=graph&amp;from=167819&amp;to=167823", "TTA_codon")</f>
        <v>TTA_codon</v>
      </c>
    </row>
    <row r="2322" spans="1:15" x14ac:dyDescent="0.15">
      <c r="A2322" t="s">
        <v>21</v>
      </c>
      <c r="B2322" t="s">
        <v>1945</v>
      </c>
    </row>
    <row r="2323" spans="1:15" x14ac:dyDescent="0.15">
      <c r="A2323" t="s">
        <v>21</v>
      </c>
      <c r="B2323">
        <v>1000839</v>
      </c>
      <c r="C2323">
        <v>352414</v>
      </c>
      <c r="F2323" s="7">
        <v>1</v>
      </c>
      <c r="G2323" s="7">
        <v>1003</v>
      </c>
      <c r="H2323" s="8">
        <v>1003</v>
      </c>
      <c r="J2323" t="s">
        <v>23</v>
      </c>
      <c r="K2323" s="7">
        <v>1959</v>
      </c>
      <c r="L2323" s="9">
        <v>-1</v>
      </c>
      <c r="M2323" t="s">
        <v>30</v>
      </c>
      <c r="N2323" t="s">
        <v>31</v>
      </c>
      <c r="O2323" s="27" t="str">
        <f>HYPERLINK("https://www.ncbi.nlm.nih.gov/nuccore/NZ_KB913030.1?report=graph&amp;from=6983063&amp;to=6983067", "TTA_codon")</f>
        <v>TTA_codon</v>
      </c>
    </row>
    <row r="2324" spans="1:15" x14ac:dyDescent="0.15">
      <c r="A2324" t="s">
        <v>21</v>
      </c>
      <c r="B2324">
        <v>1000839</v>
      </c>
      <c r="C2324">
        <v>359452</v>
      </c>
      <c r="F2324" s="7">
        <v>2</v>
      </c>
      <c r="G2324" s="7" t="s">
        <v>1946</v>
      </c>
      <c r="H2324" s="8" t="s">
        <v>1947</v>
      </c>
      <c r="J2324" t="s">
        <v>23</v>
      </c>
      <c r="K2324" s="7">
        <v>1953</v>
      </c>
      <c r="L2324" s="9">
        <v>-1</v>
      </c>
      <c r="M2324" t="s">
        <v>151</v>
      </c>
      <c r="N2324" t="s">
        <v>152</v>
      </c>
      <c r="O2324" s="27" t="str">
        <f>HYPERLINK("https://www.ncbi.nlm.nih.gov/nuccore/NZ_CP013129.1?report=graph&amp;from=8406628&amp;to=8407286", "TTA_codon")</f>
        <v>TTA_codon</v>
      </c>
    </row>
    <row r="2325" spans="1:15" x14ac:dyDescent="0.15">
      <c r="A2325" t="s">
        <v>21</v>
      </c>
      <c r="B2325">
        <v>1000839</v>
      </c>
      <c r="C2325">
        <v>361587</v>
      </c>
      <c r="F2325" s="7">
        <v>1</v>
      </c>
      <c r="G2325" s="7">
        <v>1003</v>
      </c>
      <c r="H2325" s="8">
        <v>1003</v>
      </c>
      <c r="J2325" t="s">
        <v>23</v>
      </c>
      <c r="K2325" s="7">
        <v>1962</v>
      </c>
      <c r="L2325" s="9">
        <v>-1</v>
      </c>
      <c r="M2325" t="s">
        <v>37</v>
      </c>
      <c r="N2325" t="s">
        <v>38</v>
      </c>
      <c r="O2325" s="27" t="str">
        <f>HYPERLINK("https://www.ncbi.nlm.nih.gov/nuccore/NZ_CP011533.1?report=graph&amp;from=8391918&amp;to=8391922", "TTA_codon")</f>
        <v>TTA_codon</v>
      </c>
    </row>
    <row r="2326" spans="1:15" x14ac:dyDescent="0.15">
      <c r="A2326" t="s">
        <v>21</v>
      </c>
      <c r="B2326" t="s">
        <v>1948</v>
      </c>
    </row>
    <row r="2327" spans="1:15" x14ac:dyDescent="0.15">
      <c r="A2327" t="s">
        <v>21</v>
      </c>
      <c r="B2327">
        <v>1000288</v>
      </c>
      <c r="C2327">
        <v>347831</v>
      </c>
      <c r="F2327" s="7">
        <v>1</v>
      </c>
      <c r="G2327" s="7">
        <v>154</v>
      </c>
      <c r="H2327" s="8">
        <v>61</v>
      </c>
      <c r="J2327" t="s">
        <v>23</v>
      </c>
      <c r="K2327" s="7">
        <v>591</v>
      </c>
      <c r="L2327" s="9">
        <v>1</v>
      </c>
      <c r="M2327" t="s">
        <v>57</v>
      </c>
      <c r="N2327" t="s">
        <v>58</v>
      </c>
      <c r="O2327" s="27" t="str">
        <f>HYPERLINK("https://www.ncbi.nlm.nih.gov/nuccore/NC_013929.1?report=graph&amp;from=4512351&amp;to=4512355", "TTA_codon")</f>
        <v>TTA_codon</v>
      </c>
    </row>
    <row r="2328" spans="1:15" x14ac:dyDescent="0.15">
      <c r="A2328" t="s">
        <v>21</v>
      </c>
      <c r="B2328">
        <v>1000288</v>
      </c>
      <c r="C2328">
        <v>353273</v>
      </c>
      <c r="F2328" s="7">
        <v>1</v>
      </c>
      <c r="G2328" s="7">
        <v>148</v>
      </c>
      <c r="H2328" s="8">
        <v>82</v>
      </c>
      <c r="J2328" t="s">
        <v>23</v>
      </c>
      <c r="K2328" s="7">
        <v>618</v>
      </c>
      <c r="L2328" s="9">
        <v>1</v>
      </c>
      <c r="M2328" t="s">
        <v>1949</v>
      </c>
      <c r="N2328" t="s">
        <v>169</v>
      </c>
      <c r="O2328" s="27" t="str">
        <f>HYPERLINK("https://www.ncbi.nlm.nih.gov/nuccore/NZ_JNWJ01000032.1?report=graph&amp;from=52134&amp;to=52138", "TTA_codon")</f>
        <v>TTA_codon</v>
      </c>
    </row>
    <row r="2329" spans="1:15" x14ac:dyDescent="0.15">
      <c r="A2329" t="s">
        <v>21</v>
      </c>
      <c r="B2329">
        <v>1000288</v>
      </c>
      <c r="C2329">
        <v>355285</v>
      </c>
      <c r="F2329" s="7">
        <v>1</v>
      </c>
      <c r="G2329" s="7">
        <v>298</v>
      </c>
      <c r="H2329" s="8">
        <v>205</v>
      </c>
      <c r="J2329" t="s">
        <v>23</v>
      </c>
      <c r="K2329" s="7">
        <v>591</v>
      </c>
      <c r="L2329" s="9">
        <v>1</v>
      </c>
      <c r="M2329" t="s">
        <v>1950</v>
      </c>
      <c r="N2329" t="s">
        <v>295</v>
      </c>
      <c r="O2329" s="27" t="str">
        <f>HYPERLINK("https://www.ncbi.nlm.nih.gov/nuccore/NZ_JODL01000012.1?report=graph&amp;from=49393&amp;to=49397", "TTA_codon")</f>
        <v>TTA_codon</v>
      </c>
    </row>
    <row r="2330" spans="1:15" x14ac:dyDescent="0.15">
      <c r="A2330" t="s">
        <v>21</v>
      </c>
      <c r="B2330">
        <v>1000288</v>
      </c>
      <c r="C2330">
        <v>359306</v>
      </c>
      <c r="F2330" s="7">
        <v>2</v>
      </c>
      <c r="G2330" s="7" t="s">
        <v>1951</v>
      </c>
      <c r="H2330" s="8" t="s">
        <v>1951</v>
      </c>
      <c r="J2330" t="s">
        <v>23</v>
      </c>
      <c r="K2330" s="7">
        <v>684</v>
      </c>
      <c r="L2330" s="9">
        <v>1</v>
      </c>
      <c r="M2330" t="s">
        <v>1952</v>
      </c>
      <c r="N2330" t="s">
        <v>89</v>
      </c>
      <c r="O2330" s="27" t="str">
        <f>HYPERLINK("https://www.ncbi.nlm.nih.gov/nuccore/NZ_LIRG01000043.1?report=graph&amp;from=41062&amp;to=41186", "TTA_codon")</f>
        <v>TTA_codon</v>
      </c>
    </row>
    <row r="2331" spans="1:15" x14ac:dyDescent="0.15">
      <c r="A2331" t="s">
        <v>21</v>
      </c>
      <c r="B2331">
        <v>1000288</v>
      </c>
      <c r="C2331">
        <v>360109</v>
      </c>
      <c r="F2331" s="7">
        <v>1</v>
      </c>
      <c r="G2331" s="7">
        <v>172</v>
      </c>
      <c r="H2331" s="8">
        <v>79</v>
      </c>
      <c r="J2331" t="s">
        <v>23</v>
      </c>
      <c r="K2331" s="7">
        <v>594</v>
      </c>
      <c r="L2331" s="9">
        <v>1</v>
      </c>
      <c r="M2331" t="s">
        <v>1024</v>
      </c>
      <c r="N2331" t="s">
        <v>125</v>
      </c>
      <c r="O2331" s="27" t="str">
        <f>HYPERLINK("https://www.ncbi.nlm.nih.gov/nuccore/NZ_KQ948457.1?report=graph&amp;from=98003&amp;to=98007", "TTA_codon")</f>
        <v>TTA_codon</v>
      </c>
    </row>
    <row r="2332" spans="1:15" x14ac:dyDescent="0.15">
      <c r="A2332" t="s">
        <v>21</v>
      </c>
      <c r="B2332">
        <v>1000288</v>
      </c>
      <c r="C2332">
        <v>366093</v>
      </c>
      <c r="F2332" s="7">
        <v>1</v>
      </c>
      <c r="G2332" s="7">
        <v>361</v>
      </c>
      <c r="H2332" s="8">
        <v>268</v>
      </c>
      <c r="J2332" t="s">
        <v>23</v>
      </c>
      <c r="K2332" s="7">
        <v>591</v>
      </c>
      <c r="L2332" s="9">
        <v>1</v>
      </c>
      <c r="M2332" t="s">
        <v>1953</v>
      </c>
      <c r="N2332" t="s">
        <v>257</v>
      </c>
      <c r="O2332" s="27" t="str">
        <f>HYPERLINK("https://www.ncbi.nlm.nih.gov/nuccore/NZ_FOET01000016.1?report=graph&amp;from=19858&amp;to=19862", "TTA_codon")</f>
        <v>TTA_codon</v>
      </c>
    </row>
    <row r="2333" spans="1:15" x14ac:dyDescent="0.15">
      <c r="A2333" t="s">
        <v>21</v>
      </c>
      <c r="B2333" t="s">
        <v>1954</v>
      </c>
    </row>
    <row r="2334" spans="1:15" x14ac:dyDescent="0.15">
      <c r="A2334" t="s">
        <v>21</v>
      </c>
      <c r="B2334">
        <v>1000719</v>
      </c>
      <c r="C2334">
        <v>351146</v>
      </c>
      <c r="F2334" s="7">
        <v>1</v>
      </c>
      <c r="G2334" s="7">
        <v>265</v>
      </c>
      <c r="H2334" s="8">
        <v>265</v>
      </c>
      <c r="J2334" t="s">
        <v>23</v>
      </c>
      <c r="K2334" s="7">
        <v>945</v>
      </c>
      <c r="L2334" s="9">
        <v>1</v>
      </c>
      <c r="M2334" t="s">
        <v>700</v>
      </c>
      <c r="N2334" t="s">
        <v>136</v>
      </c>
      <c r="O2334" s="27" t="str">
        <f>HYPERLINK("https://www.ncbi.nlm.nih.gov/nuccore/NZ_AORZ01000003.1?report=graph&amp;from=46672&amp;to=46676", "TTA_codon")</f>
        <v>TTA_codon</v>
      </c>
    </row>
    <row r="2335" spans="1:15" x14ac:dyDescent="0.15">
      <c r="A2335" t="s">
        <v>21</v>
      </c>
      <c r="B2335">
        <v>1000719</v>
      </c>
      <c r="C2335">
        <v>357051</v>
      </c>
      <c r="F2335" s="7">
        <v>1</v>
      </c>
      <c r="G2335" s="7">
        <v>118</v>
      </c>
      <c r="H2335" s="8">
        <v>118</v>
      </c>
      <c r="J2335" t="s">
        <v>23</v>
      </c>
      <c r="K2335" s="7">
        <v>942</v>
      </c>
      <c r="L2335" s="9">
        <v>1</v>
      </c>
      <c r="M2335" t="s">
        <v>162</v>
      </c>
      <c r="N2335" t="s">
        <v>163</v>
      </c>
      <c r="O2335" s="27" t="str">
        <f>HYPERLINK("https://www.ncbi.nlm.nih.gov/nuccore/NZ_CP010519.1?report=graph&amp;from=2494953&amp;to=2494957", "TTA_codon")</f>
        <v>TTA_codon</v>
      </c>
    </row>
    <row r="2336" spans="1:15" x14ac:dyDescent="0.15">
      <c r="A2336" t="s">
        <v>21</v>
      </c>
      <c r="B2336">
        <v>1000719</v>
      </c>
      <c r="C2336">
        <v>361467</v>
      </c>
      <c r="F2336" s="7">
        <v>1</v>
      </c>
      <c r="G2336" s="7">
        <v>244</v>
      </c>
      <c r="H2336" s="8">
        <v>244</v>
      </c>
      <c r="J2336" t="s">
        <v>23</v>
      </c>
      <c r="K2336" s="7">
        <v>942</v>
      </c>
      <c r="L2336" s="9">
        <v>1</v>
      </c>
      <c r="M2336" t="s">
        <v>200</v>
      </c>
      <c r="N2336" t="s">
        <v>201</v>
      </c>
      <c r="O2336" s="27" t="str">
        <f>HYPERLINK("https://www.ncbi.nlm.nih.gov/nuccore/NZ_CP016559.1?report=graph&amp;from=6525994&amp;to=6525998", "TTA_codon")</f>
        <v>TTA_codon</v>
      </c>
    </row>
    <row r="2337" spans="1:15" x14ac:dyDescent="0.15">
      <c r="A2337" t="s">
        <v>21</v>
      </c>
      <c r="B2337">
        <v>1000719</v>
      </c>
      <c r="C2337">
        <v>361793</v>
      </c>
      <c r="F2337" s="7">
        <v>1</v>
      </c>
      <c r="G2337" s="7">
        <v>244</v>
      </c>
      <c r="H2337" s="8">
        <v>244</v>
      </c>
      <c r="J2337" t="s">
        <v>23</v>
      </c>
      <c r="K2337" s="7">
        <v>942</v>
      </c>
      <c r="L2337" s="9">
        <v>1</v>
      </c>
      <c r="M2337" t="s">
        <v>37</v>
      </c>
      <c r="N2337" t="s">
        <v>38</v>
      </c>
      <c r="O2337" s="27" t="str">
        <f>HYPERLINK("https://www.ncbi.nlm.nih.gov/nuccore/NZ_CP011533.1?report=graph&amp;from=7935635&amp;to=7935639", "TTA_codon")</f>
        <v>TTA_codon</v>
      </c>
    </row>
    <row r="2338" spans="1:15" x14ac:dyDescent="0.15">
      <c r="A2338" t="s">
        <v>21</v>
      </c>
      <c r="B2338" t="s">
        <v>1955</v>
      </c>
    </row>
    <row r="2339" spans="1:15" x14ac:dyDescent="0.15">
      <c r="A2339" t="s">
        <v>21</v>
      </c>
      <c r="B2339">
        <v>1000778</v>
      </c>
      <c r="C2339">
        <v>351797</v>
      </c>
      <c r="F2339" s="7">
        <v>1</v>
      </c>
      <c r="G2339" s="7">
        <v>202</v>
      </c>
      <c r="H2339" s="8">
        <v>202</v>
      </c>
      <c r="J2339" t="s">
        <v>23</v>
      </c>
      <c r="K2339" s="7">
        <v>996</v>
      </c>
      <c r="L2339" s="9">
        <v>1</v>
      </c>
      <c r="M2339" t="s">
        <v>1956</v>
      </c>
      <c r="N2339" t="s">
        <v>68</v>
      </c>
      <c r="O2339" s="27" t="str">
        <f>HYPERLINK("https://www.ncbi.nlm.nih.gov/nuccore/NZ_BARG01000006.1?report=graph&amp;from=189961&amp;to=189965", "TTA_codon")</f>
        <v>TTA_codon</v>
      </c>
    </row>
    <row r="2340" spans="1:15" x14ac:dyDescent="0.15">
      <c r="A2340" t="s">
        <v>21</v>
      </c>
      <c r="B2340">
        <v>1000778</v>
      </c>
      <c r="C2340">
        <v>354580</v>
      </c>
      <c r="F2340" s="7">
        <v>1</v>
      </c>
      <c r="G2340" s="7">
        <v>202</v>
      </c>
      <c r="H2340" s="8">
        <v>202</v>
      </c>
      <c r="J2340" t="s">
        <v>23</v>
      </c>
      <c r="K2340" s="7">
        <v>996</v>
      </c>
      <c r="L2340" s="9">
        <v>1</v>
      </c>
      <c r="M2340" t="s">
        <v>1957</v>
      </c>
      <c r="N2340" t="s">
        <v>272</v>
      </c>
      <c r="O2340" s="27" t="str">
        <f>HYPERLINK("https://www.ncbi.nlm.nih.gov/nuccore/NZ_JOEY01000017.1?report=graph&amp;from=115565&amp;to=115569", "TTA_codon")</f>
        <v>TTA_codon</v>
      </c>
    </row>
    <row r="2341" spans="1:15" x14ac:dyDescent="0.15">
      <c r="A2341" t="s">
        <v>21</v>
      </c>
      <c r="B2341" t="s">
        <v>1958</v>
      </c>
    </row>
    <row r="2342" spans="1:15" x14ac:dyDescent="0.15">
      <c r="A2342" t="s">
        <v>21</v>
      </c>
      <c r="B2342">
        <v>1000948</v>
      </c>
      <c r="C2342">
        <v>353495</v>
      </c>
      <c r="F2342" s="7">
        <v>1</v>
      </c>
      <c r="G2342" s="7">
        <v>37</v>
      </c>
      <c r="H2342" s="8">
        <v>37</v>
      </c>
      <c r="J2342" t="s">
        <v>23</v>
      </c>
      <c r="K2342" s="7">
        <v>636</v>
      </c>
      <c r="L2342" s="9">
        <v>-1</v>
      </c>
      <c r="M2342" t="s">
        <v>1522</v>
      </c>
      <c r="N2342" t="s">
        <v>169</v>
      </c>
      <c r="O2342" s="27" t="str">
        <f>HYPERLINK("https://www.ncbi.nlm.nih.gov/nuccore/NZ_JNWJ01000009.1?report=graph&amp;from=109717&amp;to=109721", "TTA_codon")</f>
        <v>TTA_codon</v>
      </c>
    </row>
    <row r="2343" spans="1:15" x14ac:dyDescent="0.15">
      <c r="A2343" t="s">
        <v>21</v>
      </c>
      <c r="B2343">
        <v>1000948</v>
      </c>
      <c r="C2343">
        <v>360972</v>
      </c>
      <c r="F2343" s="7">
        <v>1</v>
      </c>
      <c r="G2343" s="7">
        <v>37</v>
      </c>
      <c r="H2343" s="8">
        <v>37</v>
      </c>
      <c r="J2343" t="s">
        <v>23</v>
      </c>
      <c r="K2343" s="7">
        <v>636</v>
      </c>
      <c r="L2343" s="9">
        <v>-1</v>
      </c>
      <c r="M2343" t="s">
        <v>1525</v>
      </c>
      <c r="N2343" t="s">
        <v>97</v>
      </c>
      <c r="O2343" s="27" t="str">
        <f>HYPERLINK("https://www.ncbi.nlm.nih.gov/nuccore/NZ_LOHS01000062.1?report=graph&amp;from=51173&amp;to=51177", "TTA_codon")</f>
        <v>TTA_codon</v>
      </c>
    </row>
    <row r="2344" spans="1:15" x14ac:dyDescent="0.15">
      <c r="A2344" t="s">
        <v>21</v>
      </c>
      <c r="B2344" t="s">
        <v>1959</v>
      </c>
    </row>
    <row r="2345" spans="1:15" x14ac:dyDescent="0.15">
      <c r="A2345" t="s">
        <v>21</v>
      </c>
      <c r="B2345">
        <v>1001441</v>
      </c>
      <c r="C2345">
        <v>363597</v>
      </c>
      <c r="F2345" s="7">
        <v>1</v>
      </c>
      <c r="G2345" s="7">
        <v>244</v>
      </c>
      <c r="H2345" s="8">
        <v>244</v>
      </c>
      <c r="J2345" t="s">
        <v>23</v>
      </c>
      <c r="K2345" s="7">
        <v>618</v>
      </c>
      <c r="L2345" s="9">
        <v>-1</v>
      </c>
      <c r="M2345" t="s">
        <v>101</v>
      </c>
      <c r="N2345" t="s">
        <v>102</v>
      </c>
      <c r="O2345" s="27" t="str">
        <f>HYPERLINK("https://www.ncbi.nlm.nih.gov/nuccore/NZ_CP019458.1?report=graph&amp;from=9081050&amp;to=9081054", "TTA_codon")</f>
        <v>TTA_codon</v>
      </c>
    </row>
    <row r="2346" spans="1:15" x14ac:dyDescent="0.15">
      <c r="A2346" t="s">
        <v>21</v>
      </c>
      <c r="B2346">
        <v>1001441</v>
      </c>
      <c r="C2346">
        <v>365569</v>
      </c>
      <c r="F2346" s="7">
        <v>1</v>
      </c>
      <c r="G2346" s="7">
        <v>244</v>
      </c>
      <c r="H2346" s="8">
        <v>244</v>
      </c>
      <c r="J2346" t="s">
        <v>23</v>
      </c>
      <c r="K2346" s="7">
        <v>618</v>
      </c>
      <c r="L2346" s="9">
        <v>-1</v>
      </c>
      <c r="M2346" t="s">
        <v>213</v>
      </c>
      <c r="N2346" t="s">
        <v>214</v>
      </c>
      <c r="O2346" s="27" t="str">
        <f>HYPERLINK("https://www.ncbi.nlm.nih.gov/nuccore/NZ_FNST01000002.1?report=graph&amp;from=6613156&amp;to=6613160", "TTA_codon")</f>
        <v>TTA_codon</v>
      </c>
    </row>
    <row r="2347" spans="1:15" x14ac:dyDescent="0.15">
      <c r="A2347" t="s">
        <v>21</v>
      </c>
      <c r="B2347" t="s">
        <v>1960</v>
      </c>
    </row>
    <row r="2348" spans="1:15" x14ac:dyDescent="0.15">
      <c r="A2348" t="s">
        <v>21</v>
      </c>
      <c r="B2348">
        <v>1000278</v>
      </c>
      <c r="C2348">
        <v>347802</v>
      </c>
      <c r="F2348" s="7">
        <v>1</v>
      </c>
      <c r="G2348" s="7">
        <v>205</v>
      </c>
      <c r="H2348" s="8">
        <v>205</v>
      </c>
      <c r="J2348" t="s">
        <v>23</v>
      </c>
      <c r="K2348" s="7">
        <v>999</v>
      </c>
      <c r="L2348" s="9">
        <v>-1</v>
      </c>
      <c r="M2348" t="s">
        <v>57</v>
      </c>
      <c r="N2348" t="s">
        <v>58</v>
      </c>
      <c r="O2348" s="27" t="str">
        <f>HYPERLINK("https://www.ncbi.nlm.nih.gov/nuccore/NC_013929.1?report=graph&amp;from=6221590&amp;to=6221594", "TTA_codon")</f>
        <v>TTA_codon</v>
      </c>
    </row>
    <row r="2349" spans="1:15" x14ac:dyDescent="0.15">
      <c r="A2349" t="s">
        <v>21</v>
      </c>
      <c r="B2349">
        <v>1000278</v>
      </c>
      <c r="C2349">
        <v>357717</v>
      </c>
      <c r="F2349" s="7">
        <v>1</v>
      </c>
      <c r="G2349" s="7">
        <v>205</v>
      </c>
      <c r="H2349" s="8">
        <v>202</v>
      </c>
      <c r="J2349" t="s">
        <v>23</v>
      </c>
      <c r="K2349" s="7">
        <v>990</v>
      </c>
      <c r="L2349" s="9">
        <v>-1</v>
      </c>
      <c r="M2349" t="s">
        <v>1961</v>
      </c>
      <c r="N2349" t="s">
        <v>83</v>
      </c>
      <c r="O2349" s="27" t="str">
        <f>HYPERLINK("https://www.ncbi.nlm.nih.gov/nuccore/NZ_DF968257.1?report=graph&amp;from=805&amp;to=809", "TTA_codon")</f>
        <v>TTA_codon</v>
      </c>
    </row>
    <row r="2350" spans="1:15" x14ac:dyDescent="0.15">
      <c r="A2350" t="s">
        <v>21</v>
      </c>
      <c r="B2350">
        <v>1000278</v>
      </c>
      <c r="C2350">
        <v>359064</v>
      </c>
      <c r="F2350" s="7">
        <v>1</v>
      </c>
      <c r="G2350" s="7">
        <v>205</v>
      </c>
      <c r="H2350" s="8">
        <v>202</v>
      </c>
      <c r="J2350" t="s">
        <v>23</v>
      </c>
      <c r="K2350" s="7">
        <v>993</v>
      </c>
      <c r="L2350" s="9">
        <v>-1</v>
      </c>
      <c r="M2350" t="s">
        <v>664</v>
      </c>
      <c r="N2350" t="s">
        <v>451</v>
      </c>
      <c r="O2350" s="27" t="str">
        <f>HYPERLINK("https://www.ncbi.nlm.nih.gov/nuccore/NZ_LIQZ01000256.1?report=graph&amp;from=29639&amp;to=29643", "TTA_codon")</f>
        <v>TTA_codon</v>
      </c>
    </row>
    <row r="2351" spans="1:15" x14ac:dyDescent="0.15">
      <c r="A2351" t="s">
        <v>21</v>
      </c>
      <c r="B2351" t="s">
        <v>1962</v>
      </c>
    </row>
    <row r="2352" spans="1:15" x14ac:dyDescent="0.15">
      <c r="A2352" t="s">
        <v>21</v>
      </c>
      <c r="B2352">
        <v>1001114</v>
      </c>
      <c r="C2352">
        <v>355710</v>
      </c>
      <c r="F2352" s="7">
        <v>1</v>
      </c>
      <c r="G2352" s="7">
        <v>49</v>
      </c>
      <c r="H2352" s="8">
        <v>49</v>
      </c>
      <c r="J2352" t="s">
        <v>23</v>
      </c>
      <c r="K2352" s="7">
        <v>804</v>
      </c>
      <c r="L2352" s="9">
        <v>1</v>
      </c>
      <c r="M2352" t="s">
        <v>1963</v>
      </c>
      <c r="N2352" t="s">
        <v>278</v>
      </c>
      <c r="O2352" s="27" t="str">
        <f>HYPERLINK("https://www.ncbi.nlm.nih.gov/nuccore/NZ_JOID01000038.1?report=graph&amp;from=5070&amp;to=5074", "TTA_codon")</f>
        <v>TTA_codon</v>
      </c>
    </row>
    <row r="2353" spans="1:15" x14ac:dyDescent="0.15">
      <c r="A2353" t="s">
        <v>21</v>
      </c>
      <c r="B2353">
        <v>1001114</v>
      </c>
      <c r="C2353">
        <v>365701</v>
      </c>
      <c r="F2353" s="7">
        <v>1</v>
      </c>
      <c r="G2353" s="7">
        <v>40</v>
      </c>
      <c r="H2353" s="8">
        <v>40</v>
      </c>
      <c r="J2353" t="s">
        <v>23</v>
      </c>
      <c r="K2353" s="7">
        <v>774</v>
      </c>
      <c r="L2353" s="9">
        <v>1</v>
      </c>
      <c r="M2353" t="s">
        <v>213</v>
      </c>
      <c r="N2353" t="s">
        <v>214</v>
      </c>
      <c r="O2353" s="27" t="str">
        <f>HYPERLINK("https://www.ncbi.nlm.nih.gov/nuccore/NZ_FNST01000002.1?report=graph&amp;from=9680391&amp;to=9680395", "TTA_codon")</f>
        <v>TTA_codon</v>
      </c>
    </row>
    <row r="2354" spans="1:15" x14ac:dyDescent="0.15">
      <c r="A2354" t="s">
        <v>21</v>
      </c>
      <c r="B2354" t="s">
        <v>1964</v>
      </c>
    </row>
    <row r="2355" spans="1:15" x14ac:dyDescent="0.15">
      <c r="A2355" t="s">
        <v>21</v>
      </c>
      <c r="B2355">
        <v>1000284</v>
      </c>
      <c r="C2355">
        <v>347812</v>
      </c>
      <c r="F2355" s="7">
        <v>1</v>
      </c>
      <c r="G2355" s="7">
        <v>46</v>
      </c>
      <c r="H2355" s="8">
        <v>46</v>
      </c>
      <c r="J2355" t="s">
        <v>23</v>
      </c>
      <c r="K2355" s="7">
        <v>1239</v>
      </c>
      <c r="L2355" s="9">
        <v>-1</v>
      </c>
      <c r="M2355" t="s">
        <v>57</v>
      </c>
      <c r="N2355" t="s">
        <v>58</v>
      </c>
      <c r="O2355" s="27" t="str">
        <f>HYPERLINK("https://www.ncbi.nlm.nih.gov/nuccore/NC_013929.1?report=graph&amp;from=6995822&amp;to=6995826", "TTA_codon")</f>
        <v>TTA_codon</v>
      </c>
    </row>
    <row r="2356" spans="1:15" x14ac:dyDescent="0.15">
      <c r="A2356" t="s">
        <v>21</v>
      </c>
      <c r="B2356">
        <v>1000284</v>
      </c>
      <c r="C2356">
        <v>358392</v>
      </c>
      <c r="F2356" s="7">
        <v>1</v>
      </c>
      <c r="G2356" s="7">
        <v>46</v>
      </c>
      <c r="H2356" s="8">
        <v>46</v>
      </c>
      <c r="J2356" t="s">
        <v>23</v>
      </c>
      <c r="K2356" s="7">
        <v>1239</v>
      </c>
      <c r="L2356" s="9">
        <v>-1</v>
      </c>
      <c r="M2356" t="s">
        <v>1965</v>
      </c>
      <c r="N2356" t="s">
        <v>85</v>
      </c>
      <c r="O2356" s="27" t="str">
        <f>HYPERLINK("https://www.ncbi.nlm.nih.gov/nuccore/NZ_LIQX01000712.1?report=graph&amp;from=2564&amp;to=2568", "TTA_codon")</f>
        <v>TTA_codon</v>
      </c>
    </row>
    <row r="2357" spans="1:15" x14ac:dyDescent="0.15">
      <c r="A2357" t="s">
        <v>21</v>
      </c>
      <c r="B2357" t="s">
        <v>1966</v>
      </c>
    </row>
    <row r="2358" spans="1:15" x14ac:dyDescent="0.15">
      <c r="A2358" t="s">
        <v>21</v>
      </c>
      <c r="B2358">
        <v>1000756</v>
      </c>
      <c r="C2358">
        <v>351023</v>
      </c>
      <c r="F2358" s="7">
        <v>1</v>
      </c>
      <c r="G2358" s="7">
        <v>337</v>
      </c>
      <c r="H2358" s="8">
        <v>40</v>
      </c>
      <c r="J2358" t="s">
        <v>23</v>
      </c>
      <c r="K2358" s="7">
        <v>981</v>
      </c>
      <c r="L2358" s="9">
        <v>1</v>
      </c>
      <c r="M2358" t="s">
        <v>1967</v>
      </c>
      <c r="N2358" t="s">
        <v>136</v>
      </c>
      <c r="O2358" s="27" t="str">
        <f>HYPERLINK("https://www.ncbi.nlm.nih.gov/nuccore/NZ_AORZ01000153.1?report=graph&amp;from=10147&amp;to=10151", "TTA_codon")</f>
        <v>TTA_codon</v>
      </c>
    </row>
    <row r="2359" spans="1:15" x14ac:dyDescent="0.15">
      <c r="A2359" t="s">
        <v>21</v>
      </c>
      <c r="B2359">
        <v>1000756</v>
      </c>
      <c r="C2359">
        <v>351509</v>
      </c>
      <c r="F2359" s="7">
        <v>1</v>
      </c>
      <c r="G2359" s="7">
        <v>409</v>
      </c>
      <c r="H2359" s="8">
        <v>409</v>
      </c>
      <c r="J2359" t="s">
        <v>23</v>
      </c>
      <c r="K2359" s="7">
        <v>1281</v>
      </c>
      <c r="L2359" s="9">
        <v>1</v>
      </c>
      <c r="M2359" t="s">
        <v>1968</v>
      </c>
      <c r="N2359" t="s">
        <v>138</v>
      </c>
      <c r="O2359" s="27" t="str">
        <f>HYPERLINK("https://www.ncbi.nlm.nih.gov/nuccore/NZ_KB889629.1?report=graph&amp;from=76053&amp;to=76057", "TTA_codon")</f>
        <v>TTA_codon</v>
      </c>
    </row>
    <row r="2360" spans="1:15" x14ac:dyDescent="0.15">
      <c r="A2360" t="s">
        <v>21</v>
      </c>
      <c r="B2360" t="s">
        <v>1969</v>
      </c>
    </row>
    <row r="2361" spans="1:15" x14ac:dyDescent="0.15">
      <c r="A2361" t="s">
        <v>21</v>
      </c>
      <c r="B2361">
        <v>1001018</v>
      </c>
      <c r="C2361">
        <v>354410</v>
      </c>
      <c r="F2361" s="7">
        <v>1</v>
      </c>
      <c r="G2361" s="7">
        <v>1699</v>
      </c>
      <c r="H2361" s="8">
        <v>1630</v>
      </c>
      <c r="J2361" t="s">
        <v>23</v>
      </c>
      <c r="K2361" s="7">
        <v>1926</v>
      </c>
      <c r="L2361" s="9">
        <v>-1</v>
      </c>
      <c r="M2361" t="s">
        <v>489</v>
      </c>
      <c r="N2361" t="s">
        <v>142</v>
      </c>
      <c r="O2361" s="27" t="str">
        <f>HYPERLINK("https://www.ncbi.nlm.nih.gov/nuccore/NZ_JOEI01000003.1?report=graph&amp;from=69362&amp;to=69366", "TTA_codon")</f>
        <v>TTA_codon</v>
      </c>
    </row>
    <row r="2362" spans="1:15" x14ac:dyDescent="0.15">
      <c r="A2362" t="s">
        <v>21</v>
      </c>
      <c r="B2362">
        <v>1001018</v>
      </c>
      <c r="C2362">
        <v>358482</v>
      </c>
      <c r="F2362" s="7">
        <v>1</v>
      </c>
      <c r="G2362" s="7">
        <v>1630</v>
      </c>
      <c r="H2362" s="8">
        <v>1558</v>
      </c>
      <c r="J2362" t="s">
        <v>23</v>
      </c>
      <c r="K2362" s="7">
        <v>1944</v>
      </c>
      <c r="L2362" s="9">
        <v>-1</v>
      </c>
      <c r="M2362" t="s">
        <v>1970</v>
      </c>
      <c r="N2362" t="s">
        <v>85</v>
      </c>
      <c r="O2362" s="27" t="str">
        <f>HYPERLINK("https://www.ncbi.nlm.nih.gov/nuccore/NZ_LIQX01000245.1?report=graph&amp;from=432&amp;to=436", "TTA_codon")</f>
        <v>TTA_codon</v>
      </c>
    </row>
    <row r="2363" spans="1:15" x14ac:dyDescent="0.15">
      <c r="A2363" t="s">
        <v>21</v>
      </c>
      <c r="B2363" t="s">
        <v>1971</v>
      </c>
    </row>
    <row r="2364" spans="1:15" x14ac:dyDescent="0.15">
      <c r="A2364" t="s">
        <v>21</v>
      </c>
      <c r="B2364">
        <v>1001459</v>
      </c>
      <c r="C2364">
        <v>363710</v>
      </c>
      <c r="F2364" s="7">
        <v>1</v>
      </c>
      <c r="G2364" s="7">
        <v>295</v>
      </c>
      <c r="H2364" s="8">
        <v>295</v>
      </c>
      <c r="J2364" t="s">
        <v>23</v>
      </c>
      <c r="K2364" s="7">
        <v>381</v>
      </c>
      <c r="L2364" s="9">
        <v>-1</v>
      </c>
      <c r="M2364" t="s">
        <v>101</v>
      </c>
      <c r="N2364" t="s">
        <v>102</v>
      </c>
      <c r="O2364" s="27" t="str">
        <f>HYPERLINK("https://www.ncbi.nlm.nih.gov/nuccore/NZ_CP019458.1?report=graph&amp;from=5848111&amp;to=5848115", "TTA_codon")</f>
        <v>TTA_codon</v>
      </c>
    </row>
    <row r="2365" spans="1:15" x14ac:dyDescent="0.15">
      <c r="A2365" t="s">
        <v>21</v>
      </c>
      <c r="B2365">
        <v>1001459</v>
      </c>
      <c r="C2365">
        <v>365832</v>
      </c>
      <c r="F2365" s="7">
        <v>1</v>
      </c>
      <c r="G2365" s="7">
        <v>295</v>
      </c>
      <c r="H2365" s="8">
        <v>295</v>
      </c>
      <c r="J2365" t="s">
        <v>23</v>
      </c>
      <c r="K2365" s="7">
        <v>381</v>
      </c>
      <c r="L2365" s="9">
        <v>-1</v>
      </c>
      <c r="M2365" t="s">
        <v>213</v>
      </c>
      <c r="N2365" t="s">
        <v>214</v>
      </c>
      <c r="O2365" s="27" t="str">
        <f>HYPERLINK("https://www.ncbi.nlm.nih.gov/nuccore/NZ_FNST01000002.1?report=graph&amp;from=3436931&amp;to=3436935", "TTA_codon")</f>
        <v>TTA_codon</v>
      </c>
    </row>
    <row r="2366" spans="1:15" x14ac:dyDescent="0.15">
      <c r="A2366" t="s">
        <v>21</v>
      </c>
      <c r="B2366" t="s">
        <v>1972</v>
      </c>
    </row>
    <row r="2367" spans="1:15" x14ac:dyDescent="0.15">
      <c r="A2367" t="s">
        <v>21</v>
      </c>
      <c r="B2367">
        <v>1000702</v>
      </c>
      <c r="C2367">
        <v>351031</v>
      </c>
      <c r="F2367" s="7">
        <v>1</v>
      </c>
      <c r="G2367" s="7">
        <v>355</v>
      </c>
      <c r="H2367" s="8">
        <v>337</v>
      </c>
      <c r="J2367" t="s">
        <v>23</v>
      </c>
      <c r="K2367" s="7">
        <v>717</v>
      </c>
      <c r="L2367" s="9">
        <v>-1</v>
      </c>
      <c r="M2367" t="s">
        <v>1973</v>
      </c>
      <c r="N2367" t="s">
        <v>136</v>
      </c>
      <c r="O2367" s="27" t="str">
        <f>HYPERLINK("https://www.ncbi.nlm.nih.gov/nuccore/NZ_AORZ01000062.1?report=graph&amp;from=430&amp;to=434", "TTA_codon")</f>
        <v>TTA_codon</v>
      </c>
    </row>
    <row r="2368" spans="1:15" x14ac:dyDescent="0.15">
      <c r="A2368" t="s">
        <v>21</v>
      </c>
      <c r="B2368">
        <v>1000702</v>
      </c>
      <c r="C2368">
        <v>353202</v>
      </c>
      <c r="F2368" s="7">
        <v>1</v>
      </c>
      <c r="G2368" s="7">
        <v>418</v>
      </c>
      <c r="H2368" s="8">
        <v>388</v>
      </c>
      <c r="J2368" t="s">
        <v>23</v>
      </c>
      <c r="K2368" s="7">
        <v>699</v>
      </c>
      <c r="L2368" s="9">
        <v>-1</v>
      </c>
      <c r="M2368" t="s">
        <v>1974</v>
      </c>
      <c r="N2368" t="s">
        <v>169</v>
      </c>
      <c r="O2368" s="27" t="str">
        <f>HYPERLINK("https://www.ncbi.nlm.nih.gov/nuccore/NZ_JNWJ01000115.1?report=graph&amp;from=4335&amp;to=4339", "TTA_codon")</f>
        <v>TTA_codon</v>
      </c>
    </row>
    <row r="2369" spans="1:15" x14ac:dyDescent="0.15">
      <c r="A2369" t="s">
        <v>21</v>
      </c>
      <c r="B2369" t="s">
        <v>1975</v>
      </c>
    </row>
    <row r="2370" spans="1:15" x14ac:dyDescent="0.15">
      <c r="A2370" t="s">
        <v>21</v>
      </c>
      <c r="B2370">
        <v>1000223</v>
      </c>
      <c r="C2370">
        <v>347490</v>
      </c>
      <c r="F2370" s="7">
        <v>2</v>
      </c>
      <c r="G2370" s="7" t="s">
        <v>1976</v>
      </c>
      <c r="H2370" s="8" t="s">
        <v>1976</v>
      </c>
      <c r="J2370" t="s">
        <v>23</v>
      </c>
      <c r="K2370" s="7">
        <v>534</v>
      </c>
      <c r="L2370" s="9">
        <v>-1</v>
      </c>
      <c r="M2370" t="s">
        <v>53</v>
      </c>
      <c r="N2370" t="s">
        <v>54</v>
      </c>
      <c r="O2370" s="27" t="str">
        <f>HYPERLINK("https://www.ncbi.nlm.nih.gov/nuccore/NC_003155.5?report=graph&amp;from=4627846&amp;to=4628057", "TTA_codon")</f>
        <v>TTA_codon</v>
      </c>
    </row>
    <row r="2371" spans="1:15" x14ac:dyDescent="0.15">
      <c r="A2371" t="s">
        <v>21</v>
      </c>
      <c r="B2371">
        <v>1000223</v>
      </c>
      <c r="C2371">
        <v>353502</v>
      </c>
      <c r="F2371" s="7">
        <v>2</v>
      </c>
      <c r="G2371" s="7" t="s">
        <v>1977</v>
      </c>
      <c r="H2371" s="8" t="s">
        <v>1977</v>
      </c>
      <c r="J2371" t="s">
        <v>23</v>
      </c>
      <c r="K2371" s="7">
        <v>534</v>
      </c>
      <c r="L2371" s="9">
        <v>-1</v>
      </c>
      <c r="M2371" t="s">
        <v>1550</v>
      </c>
      <c r="N2371" t="s">
        <v>169</v>
      </c>
      <c r="O2371" s="27" t="str">
        <f>HYPERLINK("https://www.ncbi.nlm.nih.gov/nuccore/NZ_JNWJ01000090.1?report=graph&amp;from=12679&amp;to=12896", "TTA_codon")</f>
        <v>TTA_codon</v>
      </c>
    </row>
    <row r="2372" spans="1:15" x14ac:dyDescent="0.15">
      <c r="A2372" t="s">
        <v>21</v>
      </c>
      <c r="B2372" t="s">
        <v>1978</v>
      </c>
    </row>
    <row r="2373" spans="1:15" x14ac:dyDescent="0.15">
      <c r="A2373" t="s">
        <v>21</v>
      </c>
      <c r="B2373">
        <v>1001267</v>
      </c>
      <c r="C2373">
        <v>355528</v>
      </c>
      <c r="F2373" s="7">
        <v>1</v>
      </c>
      <c r="G2373" s="7">
        <v>592</v>
      </c>
      <c r="H2373" s="8">
        <v>553</v>
      </c>
      <c r="J2373" t="s">
        <v>23</v>
      </c>
      <c r="K2373" s="7">
        <v>1206</v>
      </c>
      <c r="L2373" s="9">
        <v>1</v>
      </c>
      <c r="M2373" t="s">
        <v>1979</v>
      </c>
      <c r="N2373" t="s">
        <v>198</v>
      </c>
      <c r="O2373" s="27" t="str">
        <f>HYPERLINK("https://www.ncbi.nlm.nih.gov/nuccore/NZ_JOFL01000022.1?report=graph&amp;from=32964&amp;to=32968", "TTA_codon")</f>
        <v>TTA_codon</v>
      </c>
    </row>
    <row r="2374" spans="1:15" x14ac:dyDescent="0.15">
      <c r="A2374" t="s">
        <v>21</v>
      </c>
      <c r="B2374">
        <v>1001267</v>
      </c>
      <c r="C2374">
        <v>358179</v>
      </c>
      <c r="F2374" s="7">
        <v>1</v>
      </c>
      <c r="G2374" s="7">
        <v>1036</v>
      </c>
      <c r="H2374" s="8">
        <v>895</v>
      </c>
      <c r="J2374" t="s">
        <v>23</v>
      </c>
      <c r="K2374" s="7">
        <v>1224</v>
      </c>
      <c r="L2374" s="9">
        <v>1</v>
      </c>
      <c r="M2374" t="s">
        <v>1980</v>
      </c>
      <c r="N2374" t="s">
        <v>119</v>
      </c>
      <c r="O2374" s="27" t="str">
        <f>HYPERLINK("https://www.ncbi.nlm.nih.gov/nuccore/NZ_LIPP01000214.1?report=graph&amp;from=17981&amp;to=17985", "TTA_codon")</f>
        <v>TTA_codon</v>
      </c>
    </row>
    <row r="2375" spans="1:15" x14ac:dyDescent="0.15">
      <c r="A2375" t="s">
        <v>21</v>
      </c>
      <c r="B2375">
        <v>1001267</v>
      </c>
      <c r="C2375">
        <v>359132</v>
      </c>
      <c r="F2375" s="7">
        <v>3</v>
      </c>
      <c r="G2375" s="7" t="s">
        <v>1981</v>
      </c>
      <c r="H2375" s="8" t="s">
        <v>1982</v>
      </c>
      <c r="J2375" t="s">
        <v>23</v>
      </c>
      <c r="K2375" s="7">
        <v>1206</v>
      </c>
      <c r="L2375" s="9">
        <v>1</v>
      </c>
      <c r="M2375" t="s">
        <v>1983</v>
      </c>
      <c r="N2375" t="s">
        <v>451</v>
      </c>
      <c r="O2375" s="27" t="str">
        <f>HYPERLINK("https://www.ncbi.nlm.nih.gov/nuccore/NZ_LIQZ01000518.1?report=graph&amp;from=7472&amp;to=7755", "TTA_codon")</f>
        <v>TTA_codon</v>
      </c>
    </row>
    <row r="2376" spans="1:15" x14ac:dyDescent="0.15">
      <c r="A2376" t="s">
        <v>21</v>
      </c>
      <c r="B2376">
        <v>1001267</v>
      </c>
      <c r="C2376">
        <v>360172</v>
      </c>
      <c r="F2376" s="7">
        <v>1</v>
      </c>
      <c r="G2376" s="7">
        <v>1048</v>
      </c>
      <c r="H2376" s="8">
        <v>895</v>
      </c>
      <c r="J2376" t="s">
        <v>23</v>
      </c>
      <c r="K2376" s="7">
        <v>1197</v>
      </c>
      <c r="L2376" s="9">
        <v>1</v>
      </c>
      <c r="M2376" t="s">
        <v>1494</v>
      </c>
      <c r="N2376" t="s">
        <v>125</v>
      </c>
      <c r="O2376" s="27" t="str">
        <f>HYPERLINK("https://www.ncbi.nlm.nih.gov/nuccore/NZ_KQ948464.1?report=graph&amp;from=112110&amp;to=112114", "TTA_codon")</f>
        <v>TTA_codon</v>
      </c>
    </row>
    <row r="2377" spans="1:15" x14ac:dyDescent="0.15">
      <c r="A2377" t="s">
        <v>21</v>
      </c>
      <c r="B2377">
        <v>1001267</v>
      </c>
      <c r="C2377">
        <v>365145</v>
      </c>
      <c r="F2377" s="7">
        <v>1</v>
      </c>
      <c r="G2377" s="7">
        <v>682</v>
      </c>
      <c r="H2377" s="8">
        <v>631</v>
      </c>
      <c r="J2377" t="s">
        <v>23</v>
      </c>
      <c r="K2377" s="7">
        <v>1200</v>
      </c>
      <c r="L2377" s="9">
        <v>1</v>
      </c>
      <c r="M2377" t="s">
        <v>111</v>
      </c>
      <c r="N2377" t="s">
        <v>112</v>
      </c>
      <c r="O2377" s="27" t="str">
        <f>HYPERLINK("https://www.ncbi.nlm.nih.gov/nuccore/NZ_CP021744.1?report=graph&amp;from=3679273&amp;to=3679277", "TTA_codon")</f>
        <v>TTA_codon</v>
      </c>
    </row>
    <row r="2378" spans="1:15" x14ac:dyDescent="0.15">
      <c r="A2378" t="s">
        <v>21</v>
      </c>
      <c r="B2378" t="s">
        <v>1984</v>
      </c>
    </row>
    <row r="2379" spans="1:15" x14ac:dyDescent="0.15">
      <c r="A2379" t="s">
        <v>21</v>
      </c>
      <c r="B2379">
        <v>1001451</v>
      </c>
      <c r="C2379">
        <v>347652</v>
      </c>
      <c r="F2379" s="7">
        <v>1</v>
      </c>
      <c r="G2379" s="7">
        <v>1795</v>
      </c>
      <c r="H2379" s="8">
        <v>1753</v>
      </c>
      <c r="J2379" t="s">
        <v>23</v>
      </c>
      <c r="K2379" s="7">
        <v>4425</v>
      </c>
      <c r="L2379" s="9">
        <v>1</v>
      </c>
      <c r="M2379" t="s">
        <v>55</v>
      </c>
      <c r="N2379" t="s">
        <v>56</v>
      </c>
      <c r="O2379" s="27" t="str">
        <f>HYPERLINK("https://www.ncbi.nlm.nih.gov/nuccore/NC_010572.1?report=graph&amp;from=8112726&amp;to=8112730", "TTA_codon")</f>
        <v>TTA_codon</v>
      </c>
    </row>
    <row r="2380" spans="1:15" x14ac:dyDescent="0.15">
      <c r="A2380" t="s">
        <v>21</v>
      </c>
      <c r="B2380">
        <v>1001451</v>
      </c>
      <c r="C2380">
        <v>348829</v>
      </c>
      <c r="F2380" s="7">
        <v>1</v>
      </c>
      <c r="G2380" s="7">
        <v>1792</v>
      </c>
      <c r="H2380" s="8">
        <v>376</v>
      </c>
      <c r="J2380" t="s">
        <v>23</v>
      </c>
      <c r="K2380" s="7">
        <v>4689</v>
      </c>
      <c r="L2380" s="9">
        <v>1</v>
      </c>
      <c r="M2380" t="s">
        <v>211</v>
      </c>
      <c r="N2380" t="s">
        <v>212</v>
      </c>
      <c r="O2380" s="27" t="str">
        <f>HYPERLINK("https://www.ncbi.nlm.nih.gov/nuccore/NZ_GG657754.1?report=graph&amp;from=9291865&amp;to=9291869", "TTA_codon")</f>
        <v>TTA_codon</v>
      </c>
    </row>
    <row r="2381" spans="1:15" x14ac:dyDescent="0.15">
      <c r="A2381" t="s">
        <v>21</v>
      </c>
      <c r="B2381">
        <v>1001451</v>
      </c>
      <c r="C2381">
        <v>353755</v>
      </c>
      <c r="F2381" s="7">
        <v>1</v>
      </c>
      <c r="G2381" s="7">
        <v>1792</v>
      </c>
      <c r="H2381" s="8">
        <v>256</v>
      </c>
      <c r="J2381" t="s">
        <v>23</v>
      </c>
      <c r="K2381" s="7">
        <v>5592</v>
      </c>
      <c r="L2381" s="9">
        <v>1</v>
      </c>
      <c r="M2381" t="s">
        <v>1985</v>
      </c>
      <c r="N2381" t="s">
        <v>246</v>
      </c>
      <c r="O2381" s="27" t="str">
        <f>HYPERLINK("https://www.ncbi.nlm.nih.gov/nuccore/NZ_JNYR01000005.1?report=graph&amp;from=90700&amp;to=90704", "TTA_codon")</f>
        <v>TTA_codon</v>
      </c>
    </row>
    <row r="2382" spans="1:15" x14ac:dyDescent="0.15">
      <c r="A2382" t="s">
        <v>21</v>
      </c>
      <c r="B2382">
        <v>1001451</v>
      </c>
      <c r="C2382">
        <v>353778</v>
      </c>
      <c r="F2382" s="7">
        <v>2</v>
      </c>
      <c r="G2382" s="7" t="s">
        <v>1986</v>
      </c>
      <c r="H2382" s="8" t="s">
        <v>1987</v>
      </c>
      <c r="J2382" t="s">
        <v>23</v>
      </c>
      <c r="K2382" s="7">
        <v>9525</v>
      </c>
      <c r="L2382" s="9">
        <v>1</v>
      </c>
      <c r="M2382" t="s">
        <v>1988</v>
      </c>
      <c r="N2382" t="s">
        <v>246</v>
      </c>
      <c r="O2382" s="27" t="str">
        <f>HYPERLINK("https://www.ncbi.nlm.nih.gov/nuccore/NZ_JNYR01000039.1?report=graph&amp;from=59653&amp;to=62666", "TTA_codon")</f>
        <v>TTA_codon</v>
      </c>
    </row>
    <row r="2383" spans="1:15" x14ac:dyDescent="0.15">
      <c r="A2383" t="s">
        <v>21</v>
      </c>
      <c r="B2383">
        <v>1001451</v>
      </c>
      <c r="C2383">
        <v>361649</v>
      </c>
      <c r="F2383" s="7">
        <v>2</v>
      </c>
      <c r="G2383" s="7" t="s">
        <v>1989</v>
      </c>
      <c r="H2383" s="8" t="s">
        <v>1990</v>
      </c>
      <c r="J2383" t="s">
        <v>23</v>
      </c>
      <c r="K2383" s="7">
        <v>9537</v>
      </c>
      <c r="L2383" s="9">
        <v>1</v>
      </c>
      <c r="M2383" t="s">
        <v>37</v>
      </c>
      <c r="N2383" t="s">
        <v>38</v>
      </c>
      <c r="O2383" s="27" t="str">
        <f>HYPERLINK("https://www.ncbi.nlm.nih.gov/nuccore/NZ_CP011533.1?report=graph&amp;from=370096&amp;to=371486", "TTA_codon")</f>
        <v>TTA_codon</v>
      </c>
    </row>
    <row r="2384" spans="1:15" x14ac:dyDescent="0.15">
      <c r="A2384" t="s">
        <v>21</v>
      </c>
      <c r="B2384">
        <v>1001451</v>
      </c>
      <c r="C2384">
        <v>363659</v>
      </c>
      <c r="F2384" s="7">
        <v>1</v>
      </c>
      <c r="G2384" s="7">
        <v>3073</v>
      </c>
      <c r="H2384" s="8">
        <v>1555</v>
      </c>
      <c r="J2384" t="s">
        <v>23</v>
      </c>
      <c r="K2384" s="7">
        <v>12234</v>
      </c>
      <c r="L2384" s="9">
        <v>1</v>
      </c>
      <c r="M2384" t="s">
        <v>101</v>
      </c>
      <c r="N2384" t="s">
        <v>102</v>
      </c>
      <c r="O2384" s="27" t="str">
        <f>HYPERLINK("https://www.ncbi.nlm.nih.gov/nuccore/NZ_CP019458.1?report=graph&amp;from=9693457&amp;to=9693461", "TTA_codon")</f>
        <v>TTA_codon</v>
      </c>
    </row>
    <row r="2385" spans="1:15" x14ac:dyDescent="0.15">
      <c r="A2385" t="s">
        <v>21</v>
      </c>
      <c r="B2385">
        <v>1001451</v>
      </c>
      <c r="C2385">
        <v>363660</v>
      </c>
      <c r="F2385" s="7">
        <v>1</v>
      </c>
      <c r="G2385" s="7">
        <v>1669</v>
      </c>
      <c r="H2385" s="8">
        <v>202</v>
      </c>
      <c r="J2385" t="s">
        <v>23</v>
      </c>
      <c r="K2385" s="7">
        <v>3459</v>
      </c>
      <c r="L2385" s="9">
        <v>1</v>
      </c>
      <c r="M2385" t="s">
        <v>101</v>
      </c>
      <c r="N2385" t="s">
        <v>102</v>
      </c>
      <c r="O2385" s="27" t="str">
        <f>HYPERLINK("https://www.ncbi.nlm.nih.gov/nuccore/NZ_CP019458.1?report=graph&amp;from=9008126&amp;to=9008130", "TTA_codon")</f>
        <v>TTA_codon</v>
      </c>
    </row>
    <row r="2386" spans="1:15" x14ac:dyDescent="0.15">
      <c r="A2386" t="s">
        <v>21</v>
      </c>
      <c r="B2386">
        <v>1001451</v>
      </c>
      <c r="C2386">
        <v>365631</v>
      </c>
      <c r="F2386" s="7">
        <v>1</v>
      </c>
      <c r="G2386" s="7">
        <v>1669</v>
      </c>
      <c r="H2386" s="8">
        <v>202</v>
      </c>
      <c r="J2386" t="s">
        <v>23</v>
      </c>
      <c r="K2386" s="7">
        <v>3471</v>
      </c>
      <c r="L2386" s="9">
        <v>1</v>
      </c>
      <c r="M2386" t="s">
        <v>213</v>
      </c>
      <c r="N2386" t="s">
        <v>214</v>
      </c>
      <c r="O2386" s="27" t="str">
        <f>HYPERLINK("https://www.ncbi.nlm.nih.gov/nuccore/NZ_FNST01000002.1?report=graph&amp;from=6537505&amp;to=6537509", "TTA_codon")</f>
        <v>TTA_codon</v>
      </c>
    </row>
    <row r="2387" spans="1:15" x14ac:dyDescent="0.15">
      <c r="A2387" t="s">
        <v>21</v>
      </c>
      <c r="B2387" t="s">
        <v>1991</v>
      </c>
    </row>
    <row r="2388" spans="1:15" x14ac:dyDescent="0.15">
      <c r="A2388" t="s">
        <v>21</v>
      </c>
      <c r="B2388">
        <v>1001151</v>
      </c>
      <c r="C2388">
        <v>349397</v>
      </c>
      <c r="F2388" s="7">
        <v>2</v>
      </c>
      <c r="G2388" s="7" t="s">
        <v>1992</v>
      </c>
      <c r="H2388" s="8" t="s">
        <v>1993</v>
      </c>
      <c r="J2388" t="s">
        <v>23</v>
      </c>
      <c r="K2388" s="7">
        <v>2181</v>
      </c>
      <c r="L2388" s="9">
        <v>1</v>
      </c>
      <c r="M2388" t="s">
        <v>458</v>
      </c>
      <c r="N2388" t="s">
        <v>315</v>
      </c>
      <c r="O2388" s="27" t="str">
        <f>HYPERLINK("https://www.ncbi.nlm.nih.gov/nuccore/NC_003888.3?report=graph&amp;from=7345155&amp;to=7345612", "TTA_codon")</f>
        <v>TTA_codon</v>
      </c>
    </row>
    <row r="2389" spans="1:15" x14ac:dyDescent="0.15">
      <c r="A2389" t="s">
        <v>21</v>
      </c>
      <c r="B2389">
        <v>1001151</v>
      </c>
      <c r="C2389">
        <v>356230</v>
      </c>
      <c r="F2389" s="7">
        <v>2</v>
      </c>
      <c r="G2389" s="7" t="s">
        <v>1994</v>
      </c>
      <c r="H2389" s="8" t="s">
        <v>1995</v>
      </c>
      <c r="J2389" t="s">
        <v>23</v>
      </c>
      <c r="K2389" s="7">
        <v>2043</v>
      </c>
      <c r="L2389" s="9">
        <v>1</v>
      </c>
      <c r="M2389" t="s">
        <v>340</v>
      </c>
      <c r="N2389" t="s">
        <v>77</v>
      </c>
      <c r="O2389" s="27" t="str">
        <f>HYPERLINK("https://www.ncbi.nlm.nih.gov/nuccore/NZ_JNXD01000002.1?report=graph&amp;from=180564&amp;to=180748", "TTA_codon")</f>
        <v>TTA_codon</v>
      </c>
    </row>
    <row r="2390" spans="1:15" x14ac:dyDescent="0.15">
      <c r="A2390" t="s">
        <v>21</v>
      </c>
      <c r="B2390">
        <v>1001151</v>
      </c>
      <c r="C2390">
        <v>359709</v>
      </c>
      <c r="F2390" s="7">
        <v>1</v>
      </c>
      <c r="G2390" s="7">
        <v>655</v>
      </c>
      <c r="H2390" s="8">
        <v>517</v>
      </c>
      <c r="J2390" t="s">
        <v>23</v>
      </c>
      <c r="K2390" s="7">
        <v>1851</v>
      </c>
      <c r="L2390" s="9">
        <v>1</v>
      </c>
      <c r="M2390" t="s">
        <v>838</v>
      </c>
      <c r="N2390" t="s">
        <v>651</v>
      </c>
      <c r="O2390" s="27" t="str">
        <f>HYPERLINK("https://www.ncbi.nlm.nih.gov/nuccore/NZ_LN929895.1?report=graph&amp;from=494664&amp;to=494668", "TTA_codon")</f>
        <v>TTA_codon</v>
      </c>
    </row>
    <row r="2391" spans="1:15" x14ac:dyDescent="0.15">
      <c r="A2391" t="s">
        <v>21</v>
      </c>
      <c r="B2391">
        <v>1001151</v>
      </c>
      <c r="C2391">
        <v>363349</v>
      </c>
      <c r="F2391" s="7">
        <v>2</v>
      </c>
      <c r="G2391" s="7" t="s">
        <v>1996</v>
      </c>
      <c r="H2391" s="8" t="s">
        <v>1997</v>
      </c>
      <c r="J2391" t="s">
        <v>23</v>
      </c>
      <c r="K2391" s="7">
        <v>2043</v>
      </c>
      <c r="L2391" s="9">
        <v>1</v>
      </c>
      <c r="M2391" t="s">
        <v>892</v>
      </c>
      <c r="N2391" t="s">
        <v>28</v>
      </c>
      <c r="O2391" s="27" t="str">
        <f>HYPERLINK("https://www.ncbi.nlm.nih.gov/nuccore/NZ_JUJA01000167.1?report=graph&amp;from=445445&amp;to=445470", "TTA_codon")</f>
        <v>TTA_codon</v>
      </c>
    </row>
    <row r="2392" spans="1:15" x14ac:dyDescent="0.15">
      <c r="A2392" t="s">
        <v>21</v>
      </c>
      <c r="B2392" t="s">
        <v>1998</v>
      </c>
    </row>
    <row r="2393" spans="1:15" x14ac:dyDescent="0.15">
      <c r="A2393" t="s">
        <v>21</v>
      </c>
      <c r="B2393">
        <v>1001061</v>
      </c>
      <c r="C2393">
        <v>347456</v>
      </c>
      <c r="F2393" s="7">
        <v>1</v>
      </c>
      <c r="G2393" s="7">
        <v>499</v>
      </c>
      <c r="H2393" s="8">
        <v>499</v>
      </c>
      <c r="J2393" t="s">
        <v>23</v>
      </c>
      <c r="K2393" s="7">
        <v>522</v>
      </c>
      <c r="L2393" s="9">
        <v>-1</v>
      </c>
      <c r="M2393" t="s">
        <v>217</v>
      </c>
      <c r="N2393" t="s">
        <v>218</v>
      </c>
      <c r="O2393" s="27" t="str">
        <f>HYPERLINK("https://www.ncbi.nlm.nih.gov/nuccore/NC_021985.1?report=graph&amp;from=1945918&amp;to=1945922", "TTA_codon")</f>
        <v>TTA_codon</v>
      </c>
    </row>
    <row r="2394" spans="1:15" x14ac:dyDescent="0.15">
      <c r="A2394" t="s">
        <v>21</v>
      </c>
      <c r="B2394">
        <v>1001061</v>
      </c>
      <c r="C2394">
        <v>349422</v>
      </c>
      <c r="F2394" s="7">
        <v>1</v>
      </c>
      <c r="G2394" s="7">
        <v>499</v>
      </c>
      <c r="H2394" s="8">
        <v>499</v>
      </c>
      <c r="J2394" t="s">
        <v>23</v>
      </c>
      <c r="K2394" s="7">
        <v>528</v>
      </c>
      <c r="L2394" s="9">
        <v>-1</v>
      </c>
      <c r="M2394" t="s">
        <v>458</v>
      </c>
      <c r="N2394" t="s">
        <v>315</v>
      </c>
      <c r="O2394" s="27" t="str">
        <f>HYPERLINK("https://www.ncbi.nlm.nih.gov/nuccore/NC_003888.3?report=graph&amp;from=1701887&amp;to=1701891", "TTA_codon")</f>
        <v>TTA_codon</v>
      </c>
    </row>
    <row r="2395" spans="1:15" x14ac:dyDescent="0.15">
      <c r="A2395" t="s">
        <v>21</v>
      </c>
      <c r="B2395">
        <v>1001061</v>
      </c>
      <c r="C2395">
        <v>349523</v>
      </c>
      <c r="F2395" s="7">
        <v>1</v>
      </c>
      <c r="G2395" s="7">
        <v>499</v>
      </c>
      <c r="H2395" s="8">
        <v>499</v>
      </c>
      <c r="J2395" t="s">
        <v>23</v>
      </c>
      <c r="K2395" s="7">
        <v>531</v>
      </c>
      <c r="L2395" s="9">
        <v>-1</v>
      </c>
      <c r="M2395" t="s">
        <v>1382</v>
      </c>
      <c r="N2395" t="s">
        <v>64</v>
      </c>
      <c r="O2395" s="27" t="str">
        <f>HYPERLINK("https://www.ncbi.nlm.nih.gov/nuccore/NZ_AEYX01000039.1?report=graph&amp;from=204237&amp;to=204241", "TTA_codon")</f>
        <v>TTA_codon</v>
      </c>
    </row>
    <row r="2396" spans="1:15" x14ac:dyDescent="0.15">
      <c r="A2396" t="s">
        <v>21</v>
      </c>
      <c r="B2396">
        <v>1001061</v>
      </c>
      <c r="C2396">
        <v>354971</v>
      </c>
      <c r="F2396" s="7">
        <v>1</v>
      </c>
      <c r="G2396" s="7">
        <v>499</v>
      </c>
      <c r="H2396" s="8">
        <v>469</v>
      </c>
      <c r="J2396" t="s">
        <v>23</v>
      </c>
      <c r="K2396" s="7">
        <v>492</v>
      </c>
      <c r="L2396" s="9">
        <v>-1</v>
      </c>
      <c r="M2396" t="s">
        <v>1999</v>
      </c>
      <c r="N2396" t="s">
        <v>25</v>
      </c>
      <c r="O2396" s="27" t="str">
        <f>HYPERLINK("https://www.ncbi.nlm.nih.gov/nuccore/NZ_JOFU01000002.1?report=graph&amp;from=243990&amp;to=243994", "TTA_codon")</f>
        <v>TTA_codon</v>
      </c>
    </row>
    <row r="2397" spans="1:15" x14ac:dyDescent="0.15">
      <c r="A2397" t="s">
        <v>21</v>
      </c>
      <c r="B2397">
        <v>1001061</v>
      </c>
      <c r="C2397">
        <v>356584</v>
      </c>
      <c r="F2397" s="7">
        <v>1</v>
      </c>
      <c r="G2397" s="7">
        <v>505</v>
      </c>
      <c r="H2397" s="8">
        <v>505</v>
      </c>
      <c r="J2397" t="s">
        <v>23</v>
      </c>
      <c r="K2397" s="7">
        <v>546</v>
      </c>
      <c r="L2397" s="9">
        <v>-1</v>
      </c>
      <c r="M2397" t="s">
        <v>508</v>
      </c>
      <c r="N2397" t="s">
        <v>509</v>
      </c>
      <c r="O2397" s="27" t="str">
        <f>HYPERLINK("https://www.ncbi.nlm.nih.gov/nuccore/NZ_CP009438.1?report=graph&amp;from=1489620&amp;to=1489624", "TTA_codon")</f>
        <v>TTA_codon</v>
      </c>
    </row>
    <row r="2398" spans="1:15" x14ac:dyDescent="0.15">
      <c r="A2398" t="s">
        <v>21</v>
      </c>
      <c r="B2398">
        <v>1001061</v>
      </c>
      <c r="C2398">
        <v>357786</v>
      </c>
      <c r="F2398" s="7">
        <v>1</v>
      </c>
      <c r="G2398" s="7">
        <v>499</v>
      </c>
      <c r="H2398" s="8">
        <v>499</v>
      </c>
      <c r="J2398" t="s">
        <v>23</v>
      </c>
      <c r="K2398" s="7">
        <v>531</v>
      </c>
      <c r="L2398" s="9">
        <v>-1</v>
      </c>
      <c r="M2398" t="s">
        <v>2000</v>
      </c>
      <c r="N2398" t="s">
        <v>83</v>
      </c>
      <c r="O2398" s="27" t="str">
        <f>HYPERLINK("https://www.ncbi.nlm.nih.gov/nuccore/NZ_DF968401.1?report=graph&amp;from=41148&amp;to=41152", "TTA_codon")</f>
        <v>TTA_codon</v>
      </c>
    </row>
    <row r="2399" spans="1:15" x14ac:dyDescent="0.15">
      <c r="A2399" t="s">
        <v>21</v>
      </c>
      <c r="B2399">
        <v>1001061</v>
      </c>
      <c r="C2399">
        <v>359395</v>
      </c>
      <c r="F2399" s="7">
        <v>1</v>
      </c>
      <c r="G2399" s="7">
        <v>499</v>
      </c>
      <c r="H2399" s="8">
        <v>499</v>
      </c>
      <c r="J2399" t="s">
        <v>23</v>
      </c>
      <c r="K2399" s="7">
        <v>531</v>
      </c>
      <c r="L2399" s="9">
        <v>-1</v>
      </c>
      <c r="M2399" t="s">
        <v>2001</v>
      </c>
      <c r="N2399" t="s">
        <v>89</v>
      </c>
      <c r="O2399" s="27" t="str">
        <f>HYPERLINK("https://www.ncbi.nlm.nih.gov/nuccore/NZ_LIRG01000357.1?report=graph&amp;from=7340&amp;to=7344", "TTA_codon")</f>
        <v>TTA_codon</v>
      </c>
    </row>
    <row r="2400" spans="1:15" x14ac:dyDescent="0.15">
      <c r="A2400" t="s">
        <v>21</v>
      </c>
      <c r="B2400">
        <v>1001061</v>
      </c>
      <c r="C2400">
        <v>359911</v>
      </c>
      <c r="F2400" s="7">
        <v>1</v>
      </c>
      <c r="G2400" s="7">
        <v>499</v>
      </c>
      <c r="H2400" s="8">
        <v>499</v>
      </c>
      <c r="J2400" t="s">
        <v>23</v>
      </c>
      <c r="K2400" s="7">
        <v>525</v>
      </c>
      <c r="L2400" s="9">
        <v>-1</v>
      </c>
      <c r="M2400" t="s">
        <v>120</v>
      </c>
      <c r="N2400" t="s">
        <v>91</v>
      </c>
      <c r="O2400" s="27" t="str">
        <f>HYPERLINK("https://www.ncbi.nlm.nih.gov/nuccore/NZ_KQ948310.1?report=graph&amp;from=237250&amp;to=237254", "TTA_codon")</f>
        <v>TTA_codon</v>
      </c>
    </row>
    <row r="2401" spans="1:15" x14ac:dyDescent="0.15">
      <c r="A2401" t="s">
        <v>21</v>
      </c>
      <c r="B2401">
        <v>1001061</v>
      </c>
      <c r="C2401">
        <v>360611</v>
      </c>
      <c r="F2401" s="7">
        <v>1</v>
      </c>
      <c r="G2401" s="7">
        <v>499</v>
      </c>
      <c r="H2401" s="8">
        <v>499</v>
      </c>
      <c r="J2401" t="s">
        <v>23</v>
      </c>
      <c r="K2401" s="7">
        <v>522</v>
      </c>
      <c r="L2401" s="9">
        <v>-1</v>
      </c>
      <c r="M2401" t="s">
        <v>121</v>
      </c>
      <c r="N2401" t="s">
        <v>122</v>
      </c>
      <c r="O2401" s="27" t="str">
        <f>HYPERLINK("https://www.ncbi.nlm.nih.gov/nuccore/NZ_CP016279.1?report=graph&amp;from=7990274&amp;to=7990278", "TTA_codon")</f>
        <v>TTA_codon</v>
      </c>
    </row>
    <row r="2402" spans="1:15" x14ac:dyDescent="0.15">
      <c r="A2402" t="s">
        <v>21</v>
      </c>
      <c r="B2402">
        <v>1001061</v>
      </c>
      <c r="C2402">
        <v>361216</v>
      </c>
      <c r="F2402" s="7">
        <v>1</v>
      </c>
      <c r="G2402" s="7">
        <v>499</v>
      </c>
      <c r="H2402" s="8">
        <v>499</v>
      </c>
      <c r="J2402" t="s">
        <v>23</v>
      </c>
      <c r="K2402" s="7">
        <v>525</v>
      </c>
      <c r="L2402" s="9">
        <v>-1</v>
      </c>
      <c r="M2402" t="s">
        <v>98</v>
      </c>
      <c r="N2402" t="s">
        <v>99</v>
      </c>
      <c r="O2402" s="27" t="str">
        <f>HYPERLINK("https://www.ncbi.nlm.nih.gov/nuccore/NZ_CP016438.1?report=graph&amp;from=2147747&amp;to=2147751", "TTA_codon")</f>
        <v>TTA_codon</v>
      </c>
    </row>
    <row r="2403" spans="1:15" x14ac:dyDescent="0.15">
      <c r="A2403" t="s">
        <v>21</v>
      </c>
      <c r="B2403" t="s">
        <v>2002</v>
      </c>
    </row>
    <row r="2404" spans="1:15" x14ac:dyDescent="0.15">
      <c r="A2404" t="s">
        <v>21</v>
      </c>
      <c r="B2404">
        <v>1000165</v>
      </c>
      <c r="C2404">
        <v>347233</v>
      </c>
      <c r="F2404" s="7">
        <v>1</v>
      </c>
      <c r="G2404" s="7">
        <v>115</v>
      </c>
      <c r="H2404" s="8">
        <v>115</v>
      </c>
      <c r="J2404" t="s">
        <v>23</v>
      </c>
      <c r="K2404" s="7">
        <v>1254</v>
      </c>
      <c r="L2404" s="9">
        <v>1</v>
      </c>
      <c r="M2404" t="s">
        <v>53</v>
      </c>
      <c r="N2404" t="s">
        <v>54</v>
      </c>
      <c r="O2404" s="27" t="str">
        <f>HYPERLINK("https://www.ncbi.nlm.nih.gov/nuccore/NC_003155.5?report=graph&amp;from=7564005&amp;to=7564009", "TTA_codon")</f>
        <v>TTA_codon</v>
      </c>
    </row>
    <row r="2405" spans="1:15" x14ac:dyDescent="0.15">
      <c r="A2405" t="s">
        <v>21</v>
      </c>
      <c r="B2405">
        <v>1000165</v>
      </c>
      <c r="C2405">
        <v>360888</v>
      </c>
      <c r="F2405" s="7">
        <v>1</v>
      </c>
      <c r="G2405" s="7">
        <v>115</v>
      </c>
      <c r="H2405" s="8">
        <v>115</v>
      </c>
      <c r="J2405" t="s">
        <v>23</v>
      </c>
      <c r="K2405" s="7">
        <v>1233</v>
      </c>
      <c r="L2405" s="9">
        <v>1</v>
      </c>
      <c r="M2405" t="s">
        <v>2003</v>
      </c>
      <c r="N2405" t="s">
        <v>97</v>
      </c>
      <c r="O2405" s="27" t="str">
        <f>HYPERLINK("https://www.ncbi.nlm.nih.gov/nuccore/NZ_LOHS01000027.1?report=graph&amp;from=80658&amp;to=80662", "TTA_codon")</f>
        <v>TTA_codon</v>
      </c>
    </row>
    <row r="2406" spans="1:15" x14ac:dyDescent="0.15">
      <c r="A2406" t="s">
        <v>21</v>
      </c>
      <c r="B2406">
        <v>1000165</v>
      </c>
      <c r="C2406">
        <v>362412</v>
      </c>
      <c r="F2406" s="7">
        <v>1</v>
      </c>
      <c r="G2406" s="7">
        <v>100</v>
      </c>
      <c r="H2406" s="8">
        <v>64</v>
      </c>
      <c r="J2406" t="s">
        <v>23</v>
      </c>
      <c r="K2406" s="7">
        <v>1218</v>
      </c>
      <c r="L2406" s="9">
        <v>1</v>
      </c>
      <c r="M2406" t="s">
        <v>32</v>
      </c>
      <c r="N2406" t="s">
        <v>33</v>
      </c>
      <c r="O2406" s="27" t="str">
        <f>HYPERLINK("https://www.ncbi.nlm.nih.gov/nuccore/NZ_CP017248.1?report=graph&amp;from=7338887&amp;to=7338891", "TTA_codon")</f>
        <v>TTA_codon</v>
      </c>
    </row>
    <row r="2407" spans="1:15" x14ac:dyDescent="0.15">
      <c r="A2407" t="s">
        <v>21</v>
      </c>
      <c r="B2407" t="s">
        <v>2004</v>
      </c>
    </row>
    <row r="2408" spans="1:15" x14ac:dyDescent="0.15">
      <c r="A2408" t="s">
        <v>21</v>
      </c>
      <c r="B2408">
        <v>1001415</v>
      </c>
      <c r="C2408">
        <v>362325</v>
      </c>
      <c r="F2408" s="7">
        <v>1</v>
      </c>
      <c r="G2408" s="7">
        <v>664</v>
      </c>
      <c r="H2408" s="8">
        <v>349</v>
      </c>
      <c r="J2408" t="s">
        <v>23</v>
      </c>
      <c r="K2408" s="7">
        <v>2097</v>
      </c>
      <c r="L2408" s="9">
        <v>1</v>
      </c>
      <c r="M2408" t="s">
        <v>39</v>
      </c>
      <c r="N2408" t="s">
        <v>40</v>
      </c>
      <c r="O2408" s="27" t="str">
        <f>HYPERLINK("https://www.ncbi.nlm.nih.gov/nuccore/NZ_CP017157.1?report=graph&amp;from=7888027&amp;to=7888031", "TTA_codon")</f>
        <v>TTA_codon</v>
      </c>
    </row>
    <row r="2409" spans="1:15" x14ac:dyDescent="0.15">
      <c r="A2409" t="s">
        <v>21</v>
      </c>
      <c r="B2409">
        <v>1001415</v>
      </c>
      <c r="C2409">
        <v>362383</v>
      </c>
      <c r="F2409" s="7">
        <v>1</v>
      </c>
      <c r="G2409" s="7">
        <v>664</v>
      </c>
      <c r="H2409" s="8">
        <v>349</v>
      </c>
      <c r="J2409" t="s">
        <v>23</v>
      </c>
      <c r="K2409" s="7">
        <v>2097</v>
      </c>
      <c r="L2409" s="9">
        <v>1</v>
      </c>
      <c r="M2409" t="s">
        <v>39</v>
      </c>
      <c r="N2409" t="s">
        <v>40</v>
      </c>
      <c r="O2409" s="27" t="str">
        <f>HYPERLINK("https://www.ncbi.nlm.nih.gov/nuccore/NZ_CP017157.1?report=graph&amp;from=7909500&amp;to=7909504", "TTA_codon")</f>
        <v>TTA_codon</v>
      </c>
    </row>
    <row r="2410" spans="1:15" x14ac:dyDescent="0.15">
      <c r="A2410" t="s">
        <v>21</v>
      </c>
      <c r="B2410">
        <v>1001415</v>
      </c>
      <c r="C2410">
        <v>363880</v>
      </c>
      <c r="F2410" s="7">
        <v>6</v>
      </c>
      <c r="G2410" s="7" t="s">
        <v>2005</v>
      </c>
      <c r="H2410" s="8" t="s">
        <v>2006</v>
      </c>
      <c r="J2410" t="s">
        <v>23</v>
      </c>
      <c r="K2410" s="7">
        <v>2418</v>
      </c>
      <c r="L2410" s="9">
        <v>1</v>
      </c>
      <c r="M2410" t="s">
        <v>101</v>
      </c>
      <c r="N2410" t="s">
        <v>102</v>
      </c>
      <c r="O2410" s="27" t="str">
        <f>HYPERLINK("https://www.ncbi.nlm.nih.gov/nuccore/NZ_CP019458.1?report=graph&amp;from=7312593&amp;to=7314757", "TTA_codon")</f>
        <v>TTA_codon</v>
      </c>
    </row>
    <row r="2411" spans="1:15" x14ac:dyDescent="0.15">
      <c r="A2411" t="s">
        <v>21</v>
      </c>
      <c r="B2411" t="s">
        <v>2007</v>
      </c>
    </row>
    <row r="2412" spans="1:15" x14ac:dyDescent="0.15">
      <c r="A2412" t="s">
        <v>21</v>
      </c>
      <c r="B2412">
        <v>1001527</v>
      </c>
      <c r="C2412">
        <v>348040</v>
      </c>
      <c r="F2412" s="7">
        <v>1</v>
      </c>
      <c r="G2412" s="7">
        <v>775</v>
      </c>
      <c r="H2412" s="8">
        <v>502</v>
      </c>
      <c r="J2412" t="s">
        <v>23</v>
      </c>
      <c r="K2412" s="7">
        <v>1023</v>
      </c>
      <c r="L2412" s="9">
        <v>1</v>
      </c>
      <c r="M2412" t="s">
        <v>59</v>
      </c>
      <c r="N2412" t="s">
        <v>60</v>
      </c>
      <c r="O2412" s="27" t="str">
        <f>HYPERLINK("https://www.ncbi.nlm.nih.gov/nuccore/NC_016582.1?report=graph&amp;from=11218903&amp;to=11218907", "TTA_codon")</f>
        <v>TTA_codon</v>
      </c>
    </row>
    <row r="2413" spans="1:15" x14ac:dyDescent="0.15">
      <c r="A2413" t="s">
        <v>21</v>
      </c>
      <c r="B2413">
        <v>1001527</v>
      </c>
      <c r="C2413">
        <v>356015</v>
      </c>
      <c r="F2413" s="7">
        <v>1</v>
      </c>
      <c r="G2413" s="7">
        <v>775</v>
      </c>
      <c r="H2413" s="8">
        <v>748</v>
      </c>
      <c r="J2413" t="s">
        <v>23</v>
      </c>
      <c r="K2413" s="7">
        <v>1563</v>
      </c>
      <c r="L2413" s="9">
        <v>1</v>
      </c>
      <c r="M2413" t="s">
        <v>780</v>
      </c>
      <c r="N2413" t="s">
        <v>146</v>
      </c>
      <c r="O2413" s="27" t="str">
        <f>HYPERLINK("https://www.ncbi.nlm.nih.gov/nuccore/NZ_JOFH01000027.1?report=graph&amp;from=367876&amp;to=367880", "TTA_codon")</f>
        <v>TTA_codon</v>
      </c>
    </row>
    <row r="2414" spans="1:15" x14ac:dyDescent="0.15">
      <c r="A2414" t="s">
        <v>21</v>
      </c>
      <c r="B2414">
        <v>1001527</v>
      </c>
      <c r="C2414">
        <v>360043</v>
      </c>
      <c r="F2414" s="7">
        <v>2</v>
      </c>
      <c r="G2414" s="7" t="s">
        <v>2008</v>
      </c>
      <c r="H2414" s="8" t="s">
        <v>2009</v>
      </c>
      <c r="J2414" t="s">
        <v>23</v>
      </c>
      <c r="K2414" s="7">
        <v>1518</v>
      </c>
      <c r="L2414" s="9">
        <v>1</v>
      </c>
      <c r="M2414" t="s">
        <v>1014</v>
      </c>
      <c r="N2414" t="s">
        <v>125</v>
      </c>
      <c r="O2414" s="27" t="str">
        <f>HYPERLINK("https://www.ncbi.nlm.nih.gov/nuccore/NZ_KQ948484.1?report=graph&amp;from=4742&amp;to=5346", "TTA_codon")</f>
        <v>TTA_codon</v>
      </c>
    </row>
    <row r="2415" spans="1:15" x14ac:dyDescent="0.15">
      <c r="A2415" t="s">
        <v>21</v>
      </c>
      <c r="B2415">
        <v>1001527</v>
      </c>
      <c r="C2415">
        <v>362440</v>
      </c>
      <c r="F2415" s="7">
        <v>1</v>
      </c>
      <c r="G2415" s="7">
        <v>775</v>
      </c>
      <c r="H2415" s="8">
        <v>628</v>
      </c>
      <c r="J2415" t="s">
        <v>23</v>
      </c>
      <c r="K2415" s="7">
        <v>1362</v>
      </c>
      <c r="L2415" s="9">
        <v>1</v>
      </c>
      <c r="M2415" t="s">
        <v>32</v>
      </c>
      <c r="N2415" t="s">
        <v>33</v>
      </c>
      <c r="O2415" s="27" t="str">
        <f>HYPERLINK("https://www.ncbi.nlm.nih.gov/nuccore/NZ_CP017248.1?report=graph&amp;from=231483&amp;to=231487", "TTA_codon")</f>
        <v>TTA_codon</v>
      </c>
    </row>
    <row r="2416" spans="1:15" x14ac:dyDescent="0.15">
      <c r="A2416" t="s">
        <v>21</v>
      </c>
      <c r="B2416">
        <v>1001527</v>
      </c>
      <c r="C2416">
        <v>366764</v>
      </c>
      <c r="F2416" s="7">
        <v>1</v>
      </c>
      <c r="G2416" s="7">
        <v>1306</v>
      </c>
      <c r="H2416" s="8">
        <v>1165</v>
      </c>
      <c r="J2416" t="s">
        <v>23</v>
      </c>
      <c r="K2416" s="7">
        <v>1491</v>
      </c>
      <c r="L2416" s="9">
        <v>1</v>
      </c>
      <c r="M2416" t="s">
        <v>2010</v>
      </c>
      <c r="N2416" t="s">
        <v>209</v>
      </c>
      <c r="O2416" s="27" t="str">
        <f>HYPERLINK("https://www.ncbi.nlm.nih.gov/nuccore/NZ_FZOF01000041.1?report=graph&amp;from=8870&amp;to=8874", "TTA_codon")</f>
        <v>TTA_codon</v>
      </c>
    </row>
    <row r="2417" spans="1:15" x14ac:dyDescent="0.15">
      <c r="A2417" t="s">
        <v>21</v>
      </c>
      <c r="B2417" t="s">
        <v>2011</v>
      </c>
    </row>
    <row r="2418" spans="1:15" x14ac:dyDescent="0.15">
      <c r="A2418" t="s">
        <v>21</v>
      </c>
      <c r="B2418">
        <v>1001299</v>
      </c>
      <c r="C2418">
        <v>359072</v>
      </c>
      <c r="F2418" s="7">
        <v>2</v>
      </c>
      <c r="G2418" s="7" t="s">
        <v>2012</v>
      </c>
      <c r="H2418" s="8" t="s">
        <v>2012</v>
      </c>
      <c r="J2418" t="s">
        <v>23</v>
      </c>
      <c r="K2418" s="7">
        <v>1311</v>
      </c>
      <c r="L2418" s="9">
        <v>-1</v>
      </c>
      <c r="M2418" t="s">
        <v>1469</v>
      </c>
      <c r="N2418" t="s">
        <v>451</v>
      </c>
      <c r="O2418" s="27" t="str">
        <f>HYPERLINK("https://www.ncbi.nlm.nih.gov/nuccore/NZ_LIQZ01000269.1?report=graph&amp;from=37156&amp;to=37178", "TTA_codon")</f>
        <v>TTA_codon</v>
      </c>
    </row>
    <row r="2419" spans="1:15" x14ac:dyDescent="0.15">
      <c r="A2419" t="s">
        <v>21</v>
      </c>
      <c r="B2419">
        <v>1001299</v>
      </c>
      <c r="C2419">
        <v>359844</v>
      </c>
      <c r="F2419" s="7">
        <v>1</v>
      </c>
      <c r="G2419" s="7">
        <v>49</v>
      </c>
      <c r="H2419" s="8">
        <v>49</v>
      </c>
      <c r="J2419" t="s">
        <v>23</v>
      </c>
      <c r="K2419" s="7">
        <v>1323</v>
      </c>
      <c r="L2419" s="9">
        <v>-1</v>
      </c>
      <c r="M2419" t="s">
        <v>1424</v>
      </c>
      <c r="N2419" t="s">
        <v>91</v>
      </c>
      <c r="O2419" s="27" t="str">
        <f>HYPERLINK("https://www.ncbi.nlm.nih.gov/nuccore/NZ_KQ948327.1?report=graph&amp;from=103189&amp;to=103193", "TTA_codon")</f>
        <v>TTA_codon</v>
      </c>
    </row>
    <row r="2420" spans="1:15" x14ac:dyDescent="0.15">
      <c r="A2420" t="s">
        <v>195</v>
      </c>
      <c r="B2420" t="s">
        <v>2013</v>
      </c>
    </row>
    <row r="2421" spans="1:15" x14ac:dyDescent="0.15">
      <c r="A2421" t="s">
        <v>195</v>
      </c>
      <c r="B2421">
        <v>1000336</v>
      </c>
      <c r="C2421">
        <v>346319</v>
      </c>
      <c r="F2421" s="7">
        <v>1</v>
      </c>
      <c r="G2421" s="7">
        <v>547</v>
      </c>
      <c r="H2421" s="8">
        <v>379</v>
      </c>
      <c r="J2421" t="s">
        <v>23</v>
      </c>
      <c r="K2421" s="7">
        <v>2850</v>
      </c>
      <c r="L2421" s="9">
        <v>1</v>
      </c>
      <c r="M2421" t="s">
        <v>2014</v>
      </c>
      <c r="N2421" t="s">
        <v>306</v>
      </c>
      <c r="O2421" s="27" t="str">
        <f>HYPERLINK("https://www.ncbi.nlm.nih.gov/nuccore/NZ_KL571104.1?report=graph&amp;from=70164&amp;to=70168", "TTA_codon")</f>
        <v>TTA_codon</v>
      </c>
    </row>
    <row r="2422" spans="1:15" x14ac:dyDescent="0.15">
      <c r="A2422" t="s">
        <v>21</v>
      </c>
      <c r="B2422">
        <v>1000336</v>
      </c>
      <c r="C2422">
        <v>347630</v>
      </c>
      <c r="F2422" s="7">
        <v>1</v>
      </c>
      <c r="G2422" s="7">
        <v>160</v>
      </c>
      <c r="H2422" s="8">
        <v>160</v>
      </c>
      <c r="J2422" t="s">
        <v>23</v>
      </c>
      <c r="K2422" s="7">
        <v>2847</v>
      </c>
      <c r="L2422" s="9">
        <v>1</v>
      </c>
      <c r="M2422" t="s">
        <v>55</v>
      </c>
      <c r="N2422" t="s">
        <v>56</v>
      </c>
      <c r="O2422" s="27" t="str">
        <f>HYPERLINK("https://www.ncbi.nlm.nih.gov/nuccore/NC_010572.1?report=graph&amp;from=7098072&amp;to=7098076", "TTA_codon")</f>
        <v>TTA_codon</v>
      </c>
    </row>
    <row r="2423" spans="1:15" x14ac:dyDescent="0.15">
      <c r="A2423" t="s">
        <v>21</v>
      </c>
      <c r="B2423">
        <v>1000336</v>
      </c>
      <c r="C2423">
        <v>348075</v>
      </c>
      <c r="F2423" s="7">
        <v>1</v>
      </c>
      <c r="G2423" s="7">
        <v>85</v>
      </c>
      <c r="H2423" s="8">
        <v>46</v>
      </c>
      <c r="J2423" t="s">
        <v>23</v>
      </c>
      <c r="K2423" s="7">
        <v>2820</v>
      </c>
      <c r="L2423" s="9">
        <v>1</v>
      </c>
      <c r="M2423" t="s">
        <v>59</v>
      </c>
      <c r="N2423" t="s">
        <v>60</v>
      </c>
      <c r="O2423" s="27" t="str">
        <f>HYPERLINK("https://www.ncbi.nlm.nih.gov/nuccore/NC_016582.1?report=graph&amp;from=10700924&amp;to=10700928", "TTA_codon")</f>
        <v>TTA_codon</v>
      </c>
    </row>
    <row r="2424" spans="1:15" x14ac:dyDescent="0.15">
      <c r="A2424" t="s">
        <v>21</v>
      </c>
      <c r="B2424">
        <v>1000336</v>
      </c>
      <c r="C2424">
        <v>353747</v>
      </c>
      <c r="F2424" s="7">
        <v>1</v>
      </c>
      <c r="G2424" s="7">
        <v>253</v>
      </c>
      <c r="H2424" s="8">
        <v>244</v>
      </c>
      <c r="J2424" t="s">
        <v>23</v>
      </c>
      <c r="K2424" s="7">
        <v>2889</v>
      </c>
      <c r="L2424" s="9">
        <v>1</v>
      </c>
      <c r="M2424" t="s">
        <v>552</v>
      </c>
      <c r="N2424" t="s">
        <v>246</v>
      </c>
      <c r="O2424" s="27" t="str">
        <f>HYPERLINK("https://www.ncbi.nlm.nih.gov/nuccore/NZ_JNYR01000017.1?report=graph&amp;from=108953&amp;to=108957", "TTA_codon")</f>
        <v>TTA_codon</v>
      </c>
    </row>
    <row r="2425" spans="1:15" x14ac:dyDescent="0.15">
      <c r="A2425" t="s">
        <v>21</v>
      </c>
      <c r="B2425">
        <v>1000336</v>
      </c>
      <c r="C2425">
        <v>361598</v>
      </c>
      <c r="F2425" s="7">
        <v>2</v>
      </c>
      <c r="G2425" s="7" t="s">
        <v>2015</v>
      </c>
      <c r="H2425" s="8" t="s">
        <v>2016</v>
      </c>
      <c r="J2425" t="s">
        <v>23</v>
      </c>
      <c r="K2425" s="7">
        <v>2778</v>
      </c>
      <c r="L2425" s="9">
        <v>1</v>
      </c>
      <c r="M2425" t="s">
        <v>37</v>
      </c>
      <c r="N2425" t="s">
        <v>38</v>
      </c>
      <c r="O2425" s="27" t="str">
        <f>HYPERLINK("https://www.ncbi.nlm.nih.gov/nuccore/NZ_CP011533.1?report=graph&amp;from=9263026&amp;to=9263039", "TTA_codon")</f>
        <v>TTA_codon</v>
      </c>
    </row>
    <row r="2426" spans="1:15" x14ac:dyDescent="0.15">
      <c r="A2426" t="s">
        <v>21</v>
      </c>
      <c r="B2426">
        <v>1000336</v>
      </c>
      <c r="C2426">
        <v>364552</v>
      </c>
      <c r="F2426" s="7">
        <v>1</v>
      </c>
      <c r="G2426" s="7">
        <v>415</v>
      </c>
      <c r="H2426" s="8">
        <v>373</v>
      </c>
      <c r="J2426" t="s">
        <v>23</v>
      </c>
      <c r="K2426" s="7">
        <v>2868</v>
      </c>
      <c r="L2426" s="9">
        <v>1</v>
      </c>
      <c r="M2426" t="s">
        <v>2017</v>
      </c>
      <c r="N2426" t="s">
        <v>108</v>
      </c>
      <c r="O2426" s="27" t="str">
        <f>HYPERLINK("https://www.ncbi.nlm.nih.gov/nuccore/NZ_MUMD01000042.1?report=graph&amp;from=7914&amp;to=7918", "TTA_codon")</f>
        <v>TTA_codon</v>
      </c>
    </row>
    <row r="2427" spans="1:15" x14ac:dyDescent="0.15">
      <c r="A2427" t="s">
        <v>195</v>
      </c>
      <c r="B2427" t="s">
        <v>2018</v>
      </c>
    </row>
    <row r="2428" spans="1:15" x14ac:dyDescent="0.15">
      <c r="A2428" t="s">
        <v>195</v>
      </c>
      <c r="B2428">
        <v>1000115</v>
      </c>
      <c r="C2428">
        <v>346765</v>
      </c>
      <c r="F2428" s="7">
        <v>1</v>
      </c>
      <c r="G2428" s="7">
        <v>706</v>
      </c>
      <c r="H2428" s="8">
        <v>706</v>
      </c>
      <c r="J2428" t="s">
        <v>23</v>
      </c>
      <c r="K2428" s="7">
        <v>1626</v>
      </c>
      <c r="L2428" s="9">
        <v>-1</v>
      </c>
      <c r="M2428" t="s">
        <v>1013</v>
      </c>
      <c r="N2428" t="s">
        <v>125</v>
      </c>
      <c r="O2428" s="27" t="str">
        <f>HYPERLINK("https://www.ncbi.nlm.nih.gov/nuccore/NZ_KQ948483.1?report=graph&amp;from=41582&amp;to=41586", "TTA_codon")</f>
        <v>TTA_codon</v>
      </c>
    </row>
    <row r="2429" spans="1:15" x14ac:dyDescent="0.15">
      <c r="A2429" t="s">
        <v>21</v>
      </c>
      <c r="B2429">
        <v>1000115</v>
      </c>
      <c r="C2429">
        <v>358346</v>
      </c>
      <c r="F2429" s="7">
        <v>1</v>
      </c>
      <c r="G2429" s="7">
        <v>739</v>
      </c>
      <c r="H2429" s="8">
        <v>646</v>
      </c>
      <c r="J2429" t="s">
        <v>23</v>
      </c>
      <c r="K2429" s="7">
        <v>1527</v>
      </c>
      <c r="L2429" s="9">
        <v>-1</v>
      </c>
      <c r="M2429" t="s">
        <v>2019</v>
      </c>
      <c r="N2429" t="s">
        <v>85</v>
      </c>
      <c r="O2429" s="27" t="str">
        <f>HYPERLINK("https://www.ncbi.nlm.nih.gov/nuccore/NZ_LIQX01000554.1?report=graph&amp;from=1565&amp;to=1569", "TTA_codon")</f>
        <v>TTA_codon</v>
      </c>
    </row>
    <row r="2430" spans="1:15" x14ac:dyDescent="0.15">
      <c r="A2430" t="s">
        <v>21</v>
      </c>
      <c r="B2430" t="s">
        <v>2020</v>
      </c>
    </row>
    <row r="2431" spans="1:15" x14ac:dyDescent="0.15">
      <c r="A2431" t="s">
        <v>21</v>
      </c>
      <c r="B2431">
        <v>1001295</v>
      </c>
      <c r="C2431">
        <v>358822</v>
      </c>
      <c r="F2431" s="7">
        <v>1</v>
      </c>
      <c r="G2431" s="7">
        <v>145</v>
      </c>
      <c r="H2431" s="8">
        <v>145</v>
      </c>
      <c r="J2431" t="s">
        <v>23</v>
      </c>
      <c r="K2431" s="7">
        <v>1308</v>
      </c>
      <c r="L2431" s="9">
        <v>-1</v>
      </c>
      <c r="M2431" t="s">
        <v>2021</v>
      </c>
      <c r="N2431" t="s">
        <v>87</v>
      </c>
      <c r="O2431" s="27" t="str">
        <f>HYPERLINK("https://www.ncbi.nlm.nih.gov/nuccore/NZ_LIQS01000006.1?report=graph&amp;from=5106&amp;to=5110", "TTA_codon")</f>
        <v>TTA_codon</v>
      </c>
    </row>
    <row r="2432" spans="1:15" x14ac:dyDescent="0.15">
      <c r="A2432" t="s">
        <v>21</v>
      </c>
      <c r="B2432">
        <v>1001295</v>
      </c>
      <c r="C2432">
        <v>365608</v>
      </c>
      <c r="F2432" s="7">
        <v>2</v>
      </c>
      <c r="G2432" s="7" t="s">
        <v>2022</v>
      </c>
      <c r="H2432" s="8" t="s">
        <v>2023</v>
      </c>
      <c r="J2432" t="s">
        <v>23</v>
      </c>
      <c r="K2432" s="7">
        <v>1284</v>
      </c>
      <c r="L2432" s="9">
        <v>-1</v>
      </c>
      <c r="M2432" t="s">
        <v>2024</v>
      </c>
      <c r="N2432" t="s">
        <v>214</v>
      </c>
      <c r="O2432" s="27" t="str">
        <f>HYPERLINK("https://www.ncbi.nlm.nih.gov/nuccore/NZ_FNST01000001.1?report=graph&amp;from=396481&amp;to=396944", "TTA_codon")</f>
        <v>TTA_codon</v>
      </c>
    </row>
    <row r="2433" spans="1:15" x14ac:dyDescent="0.15">
      <c r="A2433" t="s">
        <v>21</v>
      </c>
      <c r="B2433" t="s">
        <v>2025</v>
      </c>
    </row>
    <row r="2434" spans="1:15" x14ac:dyDescent="0.15">
      <c r="A2434" t="s">
        <v>21</v>
      </c>
      <c r="B2434">
        <v>1000205</v>
      </c>
      <c r="C2434">
        <v>347369</v>
      </c>
      <c r="F2434" s="7">
        <v>1</v>
      </c>
      <c r="G2434" s="7">
        <v>1123</v>
      </c>
      <c r="H2434" s="8">
        <v>1018</v>
      </c>
      <c r="J2434" t="s">
        <v>23</v>
      </c>
      <c r="K2434" s="7">
        <v>1416</v>
      </c>
      <c r="L2434" s="9">
        <v>1</v>
      </c>
      <c r="M2434" t="s">
        <v>217</v>
      </c>
      <c r="N2434" t="s">
        <v>218</v>
      </c>
      <c r="O2434" s="27" t="str">
        <f>HYPERLINK("https://www.ncbi.nlm.nih.gov/nuccore/NC_021985.1?report=graph&amp;from=1153917&amp;to=1153921", "TTA_codon")</f>
        <v>TTA_codon</v>
      </c>
    </row>
    <row r="2435" spans="1:15" x14ac:dyDescent="0.15">
      <c r="A2435" t="s">
        <v>21</v>
      </c>
      <c r="B2435">
        <v>1000205</v>
      </c>
      <c r="C2435">
        <v>349968</v>
      </c>
      <c r="F2435" s="7">
        <v>1</v>
      </c>
      <c r="G2435" s="7">
        <v>1111</v>
      </c>
      <c r="H2435" s="8">
        <v>970</v>
      </c>
      <c r="J2435" t="s">
        <v>23</v>
      </c>
      <c r="K2435" s="7">
        <v>1338</v>
      </c>
      <c r="L2435" s="9">
        <v>1</v>
      </c>
      <c r="M2435" t="s">
        <v>2026</v>
      </c>
      <c r="N2435" t="s">
        <v>249</v>
      </c>
      <c r="O2435" s="27" t="str">
        <f>HYPERLINK("https://www.ncbi.nlm.nih.gov/nuccore/NZ_AHBF01000087.1?report=graph&amp;from=5140&amp;to=5144", "TTA_codon")</f>
        <v>TTA_codon</v>
      </c>
    </row>
    <row r="2436" spans="1:15" x14ac:dyDescent="0.15">
      <c r="A2436" t="s">
        <v>21</v>
      </c>
      <c r="B2436">
        <v>1000205</v>
      </c>
      <c r="C2436">
        <v>350287</v>
      </c>
      <c r="F2436" s="7">
        <v>1</v>
      </c>
      <c r="G2436" s="7">
        <v>994</v>
      </c>
      <c r="H2436" s="8">
        <v>910</v>
      </c>
      <c r="J2436" t="s">
        <v>23</v>
      </c>
      <c r="K2436" s="7">
        <v>1452</v>
      </c>
      <c r="L2436" s="9">
        <v>1</v>
      </c>
      <c r="M2436" t="s">
        <v>1224</v>
      </c>
      <c r="N2436" t="s">
        <v>36</v>
      </c>
      <c r="O2436" s="27" t="str">
        <f>HYPERLINK("https://www.ncbi.nlm.nih.gov/nuccore/NZ_JH725389.1?report=graph&amp;from=50856&amp;to=50860", "TTA_codon")</f>
        <v>TTA_codon</v>
      </c>
    </row>
    <row r="2437" spans="1:15" x14ac:dyDescent="0.15">
      <c r="A2437" t="s">
        <v>21</v>
      </c>
      <c r="B2437">
        <v>1000205</v>
      </c>
      <c r="C2437">
        <v>350775</v>
      </c>
      <c r="F2437" s="7">
        <v>1</v>
      </c>
      <c r="G2437" s="7">
        <v>1123</v>
      </c>
      <c r="H2437" s="8">
        <v>1027</v>
      </c>
      <c r="J2437" t="s">
        <v>23</v>
      </c>
      <c r="K2437" s="7">
        <v>1428</v>
      </c>
      <c r="L2437" s="9">
        <v>1</v>
      </c>
      <c r="M2437" t="s">
        <v>2027</v>
      </c>
      <c r="N2437" t="s">
        <v>51</v>
      </c>
      <c r="O2437" s="27" t="str">
        <f>HYPERLINK("https://www.ncbi.nlm.nih.gov/nuccore/NZ_AEJB01000409.1?report=graph&amp;from=2247&amp;to=2251", "TTA_codon")</f>
        <v>TTA_codon</v>
      </c>
    </row>
    <row r="2438" spans="1:15" x14ac:dyDescent="0.15">
      <c r="A2438" t="s">
        <v>21</v>
      </c>
      <c r="B2438">
        <v>1000205</v>
      </c>
      <c r="C2438">
        <v>351030</v>
      </c>
      <c r="F2438" s="7">
        <v>1</v>
      </c>
      <c r="G2438" s="7">
        <v>391</v>
      </c>
      <c r="H2438" s="8">
        <v>325</v>
      </c>
      <c r="J2438" t="s">
        <v>23</v>
      </c>
      <c r="K2438" s="7">
        <v>1455</v>
      </c>
      <c r="L2438" s="9">
        <v>1</v>
      </c>
      <c r="M2438" t="s">
        <v>2028</v>
      </c>
      <c r="N2438" t="s">
        <v>136</v>
      </c>
      <c r="O2438" s="27" t="str">
        <f>HYPERLINK("https://www.ncbi.nlm.nih.gov/nuccore/NZ_AORZ01000022.1?report=graph&amp;from=45215&amp;to=45219", "TTA_codon")</f>
        <v>TTA_codon</v>
      </c>
    </row>
    <row r="2439" spans="1:15" x14ac:dyDescent="0.15">
      <c r="A2439" t="s">
        <v>21</v>
      </c>
      <c r="B2439">
        <v>1000205</v>
      </c>
      <c r="C2439">
        <v>352308</v>
      </c>
      <c r="F2439" s="7">
        <v>1</v>
      </c>
      <c r="G2439" s="7">
        <v>1123</v>
      </c>
      <c r="H2439" s="8">
        <v>1078</v>
      </c>
      <c r="J2439" t="s">
        <v>23</v>
      </c>
      <c r="K2439" s="7">
        <v>1494</v>
      </c>
      <c r="L2439" s="9">
        <v>1</v>
      </c>
      <c r="M2439" t="s">
        <v>71</v>
      </c>
      <c r="N2439" t="s">
        <v>72</v>
      </c>
      <c r="O2439" s="27" t="str">
        <f>HYPERLINK("https://www.ncbi.nlm.nih.gov/nuccore/NZ_KB905816.1?report=graph&amp;from=24440&amp;to=24444", "TTA_codon")</f>
        <v>TTA_codon</v>
      </c>
    </row>
    <row r="2440" spans="1:15" x14ac:dyDescent="0.15">
      <c r="A2440" t="s">
        <v>21</v>
      </c>
      <c r="B2440">
        <v>1000205</v>
      </c>
      <c r="C2440">
        <v>352601</v>
      </c>
      <c r="F2440" s="7">
        <v>1</v>
      </c>
      <c r="G2440" s="7">
        <v>394</v>
      </c>
      <c r="H2440" s="8">
        <v>295</v>
      </c>
      <c r="J2440" t="s">
        <v>23</v>
      </c>
      <c r="K2440" s="7">
        <v>1407</v>
      </c>
      <c r="L2440" s="9">
        <v>1</v>
      </c>
      <c r="M2440" t="s">
        <v>1593</v>
      </c>
      <c r="N2440" t="s">
        <v>436</v>
      </c>
      <c r="O2440" s="27" t="str">
        <f>HYPERLINK("https://www.ncbi.nlm.nih.gov/nuccore/NZ_AUBE01000012.1?report=graph&amp;from=187570&amp;to=187574", "TTA_codon")</f>
        <v>TTA_codon</v>
      </c>
    </row>
    <row r="2441" spans="1:15" x14ac:dyDescent="0.15">
      <c r="A2441" t="s">
        <v>21</v>
      </c>
      <c r="B2441">
        <v>1000205</v>
      </c>
      <c r="C2441">
        <v>354857</v>
      </c>
      <c r="F2441" s="7">
        <v>2</v>
      </c>
      <c r="G2441" s="7" t="s">
        <v>2029</v>
      </c>
      <c r="H2441" s="8" t="s">
        <v>2030</v>
      </c>
      <c r="J2441" t="s">
        <v>23</v>
      </c>
      <c r="K2441" s="7">
        <v>1443</v>
      </c>
      <c r="L2441" s="9">
        <v>1</v>
      </c>
      <c r="M2441" t="s">
        <v>2031</v>
      </c>
      <c r="N2441" t="s">
        <v>25</v>
      </c>
      <c r="O2441" s="27" t="str">
        <f>HYPERLINK("https://www.ncbi.nlm.nih.gov/nuccore/NZ_JOFU01000015.1?report=graph&amp;from=76388&amp;to=77238", "TTA_codon")</f>
        <v>TTA_codon</v>
      </c>
    </row>
    <row r="2442" spans="1:15" x14ac:dyDescent="0.15">
      <c r="A2442" t="s">
        <v>21</v>
      </c>
      <c r="B2442">
        <v>1000205</v>
      </c>
      <c r="C2442">
        <v>359079</v>
      </c>
      <c r="F2442" s="7">
        <v>1</v>
      </c>
      <c r="G2442" s="7">
        <v>1123</v>
      </c>
      <c r="H2442" s="8">
        <v>1021</v>
      </c>
      <c r="J2442" t="s">
        <v>23</v>
      </c>
      <c r="K2442" s="7">
        <v>1497</v>
      </c>
      <c r="L2442" s="9">
        <v>1</v>
      </c>
      <c r="M2442" t="s">
        <v>2032</v>
      </c>
      <c r="N2442" t="s">
        <v>451</v>
      </c>
      <c r="O2442" s="27" t="str">
        <f>HYPERLINK("https://www.ncbi.nlm.nih.gov/nuccore/NZ_LIQZ01000011.1?report=graph&amp;from=48279&amp;to=48283", "TTA_codon")</f>
        <v>TTA_codon</v>
      </c>
    </row>
    <row r="2443" spans="1:15" x14ac:dyDescent="0.15">
      <c r="A2443" t="s">
        <v>21</v>
      </c>
      <c r="B2443">
        <v>1000205</v>
      </c>
      <c r="C2443">
        <v>359305</v>
      </c>
      <c r="F2443" s="7">
        <v>1</v>
      </c>
      <c r="G2443" s="7">
        <v>1123</v>
      </c>
      <c r="H2443" s="8">
        <v>1003</v>
      </c>
      <c r="J2443" t="s">
        <v>23</v>
      </c>
      <c r="K2443" s="7">
        <v>1398</v>
      </c>
      <c r="L2443" s="9">
        <v>1</v>
      </c>
      <c r="M2443" t="s">
        <v>2033</v>
      </c>
      <c r="N2443" t="s">
        <v>89</v>
      </c>
      <c r="O2443" s="27" t="str">
        <f>HYPERLINK("https://www.ncbi.nlm.nih.gov/nuccore/NZ_LIRG01000116.1?report=graph&amp;from=3445&amp;to=3449", "TTA_codon")</f>
        <v>TTA_codon</v>
      </c>
    </row>
    <row r="2444" spans="1:15" x14ac:dyDescent="0.15">
      <c r="A2444" t="s">
        <v>21</v>
      </c>
      <c r="B2444">
        <v>1000205</v>
      </c>
      <c r="C2444">
        <v>360413</v>
      </c>
      <c r="F2444" s="7">
        <v>1</v>
      </c>
      <c r="G2444" s="7">
        <v>1123</v>
      </c>
      <c r="H2444" s="8">
        <v>1018</v>
      </c>
      <c r="J2444" t="s">
        <v>23</v>
      </c>
      <c r="K2444" s="7">
        <v>1452</v>
      </c>
      <c r="L2444" s="9">
        <v>1</v>
      </c>
      <c r="M2444" t="s">
        <v>121</v>
      </c>
      <c r="N2444" t="s">
        <v>122</v>
      </c>
      <c r="O2444" s="27" t="str">
        <f>HYPERLINK("https://www.ncbi.nlm.nih.gov/nuccore/NZ_CP016279.1?report=graph&amp;from=6457854&amp;to=6457858", "TTA_codon")</f>
        <v>TTA_codon</v>
      </c>
    </row>
    <row r="2445" spans="1:15" x14ac:dyDescent="0.15">
      <c r="A2445" t="s">
        <v>21</v>
      </c>
      <c r="B2445">
        <v>1000205</v>
      </c>
      <c r="C2445">
        <v>364838</v>
      </c>
      <c r="F2445" s="7">
        <v>1</v>
      </c>
      <c r="G2445" s="7">
        <v>1123</v>
      </c>
      <c r="H2445" s="8">
        <v>1000</v>
      </c>
      <c r="J2445" t="s">
        <v>23</v>
      </c>
      <c r="K2445" s="7">
        <v>1398</v>
      </c>
      <c r="L2445" s="9">
        <v>1</v>
      </c>
      <c r="M2445" t="s">
        <v>126</v>
      </c>
      <c r="N2445" t="s">
        <v>127</v>
      </c>
      <c r="O2445" s="27" t="str">
        <f>HYPERLINK("https://www.ncbi.nlm.nih.gov/nuccore/NZ_CP021748.1?report=graph&amp;from=749189&amp;to=749193", "TTA_codon")</f>
        <v>TTA_codon</v>
      </c>
    </row>
    <row r="2446" spans="1:15" x14ac:dyDescent="0.15">
      <c r="A2446" t="s">
        <v>21</v>
      </c>
      <c r="B2446">
        <v>1000205</v>
      </c>
      <c r="C2446">
        <v>365951</v>
      </c>
      <c r="F2446" s="7">
        <v>1</v>
      </c>
      <c r="G2446" s="7">
        <v>991</v>
      </c>
      <c r="H2446" s="8">
        <v>895</v>
      </c>
      <c r="J2446" t="s">
        <v>23</v>
      </c>
      <c r="K2446" s="7">
        <v>1437</v>
      </c>
      <c r="L2446" s="9">
        <v>1</v>
      </c>
      <c r="M2446" t="s">
        <v>2034</v>
      </c>
      <c r="N2446" t="s">
        <v>115</v>
      </c>
      <c r="O2446" s="27" t="str">
        <f>HYPERLINK("https://www.ncbi.nlm.nih.gov/nuccore/NZ_FODD01000029.1?report=graph&amp;from=36735&amp;to=36739", "TTA_codon")</f>
        <v>TTA_codon</v>
      </c>
    </row>
    <row r="2447" spans="1:15" x14ac:dyDescent="0.15">
      <c r="A2447" t="s">
        <v>21</v>
      </c>
      <c r="B2447">
        <v>1000205</v>
      </c>
      <c r="C2447">
        <v>366405</v>
      </c>
      <c r="F2447" s="7">
        <v>1</v>
      </c>
      <c r="G2447" s="7">
        <v>991</v>
      </c>
      <c r="H2447" s="8">
        <v>904</v>
      </c>
      <c r="J2447" t="s">
        <v>23</v>
      </c>
      <c r="K2447" s="7">
        <v>1446</v>
      </c>
      <c r="L2447" s="9">
        <v>1</v>
      </c>
      <c r="M2447" t="s">
        <v>2035</v>
      </c>
      <c r="N2447" t="s">
        <v>375</v>
      </c>
      <c r="O2447" s="27" t="str">
        <f>HYPERLINK("https://www.ncbi.nlm.nih.gov/nuccore/NZ_FONG01000019.1?report=graph&amp;from=41952&amp;to=41956", "TTA_codon")</f>
        <v>TTA_codon</v>
      </c>
    </row>
    <row r="2448" spans="1:15" x14ac:dyDescent="0.15">
      <c r="A2448" t="s">
        <v>21</v>
      </c>
      <c r="B2448" t="s">
        <v>2036</v>
      </c>
    </row>
    <row r="2449" spans="1:15" x14ac:dyDescent="0.15">
      <c r="A2449" t="s">
        <v>21</v>
      </c>
      <c r="B2449">
        <v>1000404</v>
      </c>
      <c r="C2449">
        <v>348513</v>
      </c>
      <c r="F2449" s="7">
        <v>1</v>
      </c>
      <c r="G2449" s="7">
        <v>763</v>
      </c>
      <c r="H2449" s="8">
        <v>592</v>
      </c>
      <c r="J2449" t="s">
        <v>23</v>
      </c>
      <c r="K2449" s="7">
        <v>1218</v>
      </c>
      <c r="L2449" s="9">
        <v>-1</v>
      </c>
      <c r="M2449" t="s">
        <v>61</v>
      </c>
      <c r="N2449" t="s">
        <v>62</v>
      </c>
      <c r="O2449" s="27" t="str">
        <f>HYPERLINK("https://www.ncbi.nlm.nih.gov/nuccore/NZ_DS999641.1?report=graph&amp;from=2609212&amp;to=2609216", "TTA_codon")</f>
        <v>TTA_codon</v>
      </c>
    </row>
    <row r="2450" spans="1:15" x14ac:dyDescent="0.15">
      <c r="A2450" t="s">
        <v>21</v>
      </c>
      <c r="B2450">
        <v>1000404</v>
      </c>
      <c r="C2450">
        <v>349320</v>
      </c>
      <c r="F2450" s="7">
        <v>1</v>
      </c>
      <c r="G2450" s="7">
        <v>922</v>
      </c>
      <c r="H2450" s="8">
        <v>886</v>
      </c>
      <c r="J2450" t="s">
        <v>23</v>
      </c>
      <c r="K2450" s="7">
        <v>1353</v>
      </c>
      <c r="L2450" s="9">
        <v>-1</v>
      </c>
      <c r="M2450" t="s">
        <v>458</v>
      </c>
      <c r="N2450" t="s">
        <v>315</v>
      </c>
      <c r="O2450" s="27" t="str">
        <f>HYPERLINK("https://www.ncbi.nlm.nih.gov/nuccore/NC_003888.3?report=graph&amp;from=5039237&amp;to=5039241", "TTA_codon")</f>
        <v>TTA_codon</v>
      </c>
    </row>
    <row r="2451" spans="1:15" x14ac:dyDescent="0.15">
      <c r="A2451" t="s">
        <v>21</v>
      </c>
      <c r="B2451">
        <v>1000404</v>
      </c>
      <c r="C2451">
        <v>349470</v>
      </c>
      <c r="F2451" s="7">
        <v>1</v>
      </c>
      <c r="G2451" s="7">
        <v>763</v>
      </c>
      <c r="H2451" s="8">
        <v>736</v>
      </c>
      <c r="J2451" t="s">
        <v>23</v>
      </c>
      <c r="K2451" s="7">
        <v>1371</v>
      </c>
      <c r="L2451" s="9">
        <v>-1</v>
      </c>
      <c r="M2451" t="s">
        <v>1062</v>
      </c>
      <c r="N2451" t="s">
        <v>64</v>
      </c>
      <c r="O2451" s="27" t="str">
        <f>HYPERLINK("https://www.ncbi.nlm.nih.gov/nuccore/NZ_AEYX01000004.1?report=graph&amp;from=81178&amp;to=81182", "TTA_codon")</f>
        <v>TTA_codon</v>
      </c>
    </row>
    <row r="2452" spans="1:15" x14ac:dyDescent="0.15">
      <c r="A2452" t="s">
        <v>21</v>
      </c>
      <c r="B2452">
        <v>1000404</v>
      </c>
      <c r="C2452">
        <v>358803</v>
      </c>
      <c r="F2452" s="7">
        <v>1</v>
      </c>
      <c r="G2452" s="7">
        <v>898</v>
      </c>
      <c r="H2452" s="8">
        <v>853</v>
      </c>
      <c r="J2452" t="s">
        <v>23</v>
      </c>
      <c r="K2452" s="7">
        <v>1344</v>
      </c>
      <c r="L2452" s="9">
        <v>-1</v>
      </c>
      <c r="M2452" t="s">
        <v>2037</v>
      </c>
      <c r="N2452" t="s">
        <v>87</v>
      </c>
      <c r="O2452" s="27" t="str">
        <f>HYPERLINK("https://www.ncbi.nlm.nih.gov/nuccore/NZ_LIQS01000628.1?report=graph&amp;from=11148&amp;to=11152", "TTA_codon")</f>
        <v>TTA_codon</v>
      </c>
    </row>
    <row r="2453" spans="1:15" x14ac:dyDescent="0.15">
      <c r="A2453" t="s">
        <v>21</v>
      </c>
      <c r="B2453">
        <v>1000404</v>
      </c>
      <c r="C2453">
        <v>364677</v>
      </c>
      <c r="F2453" s="7">
        <v>1</v>
      </c>
      <c r="G2453" s="7">
        <v>766</v>
      </c>
      <c r="H2453" s="8">
        <v>739</v>
      </c>
      <c r="J2453" t="s">
        <v>23</v>
      </c>
      <c r="K2453" s="7">
        <v>1350</v>
      </c>
      <c r="L2453" s="9">
        <v>-1</v>
      </c>
      <c r="M2453" t="s">
        <v>2038</v>
      </c>
      <c r="N2453" t="s">
        <v>110</v>
      </c>
      <c r="O2453" s="27" t="str">
        <f>HYPERLINK("https://www.ncbi.nlm.nih.gov/nuccore/NZ_MUME01000157.1?report=graph&amp;from=4800&amp;to=4804", "TTA_codon")</f>
        <v>TTA_codon</v>
      </c>
    </row>
    <row r="2454" spans="1:15" x14ac:dyDescent="0.15">
      <c r="A2454" t="s">
        <v>21</v>
      </c>
      <c r="B2454" t="s">
        <v>2039</v>
      </c>
    </row>
    <row r="2455" spans="1:15" x14ac:dyDescent="0.15">
      <c r="A2455" t="s">
        <v>21</v>
      </c>
      <c r="B2455">
        <v>1000771</v>
      </c>
      <c r="C2455">
        <v>351739</v>
      </c>
      <c r="F2455" s="7">
        <v>1</v>
      </c>
      <c r="G2455" s="7">
        <v>274</v>
      </c>
      <c r="H2455" s="8">
        <v>256</v>
      </c>
      <c r="J2455" t="s">
        <v>23</v>
      </c>
      <c r="K2455" s="7">
        <v>1230</v>
      </c>
      <c r="L2455" s="9">
        <v>1</v>
      </c>
      <c r="M2455" t="s">
        <v>937</v>
      </c>
      <c r="N2455" t="s">
        <v>68</v>
      </c>
      <c r="O2455" s="27" t="str">
        <f>HYPERLINK("https://www.ncbi.nlm.nih.gov/nuccore/NZ_BARG01000052.1?report=graph&amp;from=96927&amp;to=96931", "TTA_codon")</f>
        <v>TTA_codon</v>
      </c>
    </row>
    <row r="2456" spans="1:15" x14ac:dyDescent="0.15">
      <c r="A2456" t="s">
        <v>21</v>
      </c>
      <c r="B2456">
        <v>1000771</v>
      </c>
      <c r="C2456">
        <v>352282</v>
      </c>
      <c r="F2456" s="7">
        <v>1</v>
      </c>
      <c r="G2456" s="7">
        <v>352</v>
      </c>
      <c r="H2456" s="8">
        <v>352</v>
      </c>
      <c r="J2456" t="s">
        <v>23</v>
      </c>
      <c r="K2456" s="7">
        <v>1296</v>
      </c>
      <c r="L2456" s="9">
        <v>1</v>
      </c>
      <c r="M2456" t="s">
        <v>527</v>
      </c>
      <c r="N2456" t="s">
        <v>72</v>
      </c>
      <c r="O2456" s="27" t="str">
        <f>HYPERLINK("https://www.ncbi.nlm.nih.gov/nuccore/NZ_KB905813.1?report=graph&amp;from=59436&amp;to=59440", "TTA_codon")</f>
        <v>TTA_codon</v>
      </c>
    </row>
    <row r="2457" spans="1:15" x14ac:dyDescent="0.15">
      <c r="A2457" t="s">
        <v>195</v>
      </c>
      <c r="B2457" t="s">
        <v>2040</v>
      </c>
    </row>
    <row r="2458" spans="1:15" x14ac:dyDescent="0.15">
      <c r="A2458" t="s">
        <v>195</v>
      </c>
      <c r="B2458">
        <v>1001522</v>
      </c>
      <c r="C2458">
        <v>346272</v>
      </c>
      <c r="F2458" s="7">
        <v>1</v>
      </c>
      <c r="G2458" s="7">
        <v>1318</v>
      </c>
      <c r="H2458" s="8">
        <v>565</v>
      </c>
      <c r="J2458" t="s">
        <v>23</v>
      </c>
      <c r="K2458" s="7">
        <v>2268</v>
      </c>
      <c r="L2458" s="9">
        <v>-1</v>
      </c>
      <c r="M2458" t="s">
        <v>30</v>
      </c>
      <c r="N2458" t="s">
        <v>31</v>
      </c>
      <c r="O2458" s="27" t="str">
        <f>HYPERLINK("https://www.ncbi.nlm.nih.gov/nuccore/NZ_KB913030.1?report=graph&amp;from=3508118&amp;to=3508122", "TTA_codon")</f>
        <v>TTA_codon</v>
      </c>
    </row>
    <row r="2459" spans="1:15" x14ac:dyDescent="0.15">
      <c r="A2459" t="s">
        <v>195</v>
      </c>
      <c r="B2459">
        <v>1001522</v>
      </c>
      <c r="C2459">
        <v>346370</v>
      </c>
      <c r="F2459" s="7">
        <v>1</v>
      </c>
      <c r="G2459" s="7">
        <v>2257</v>
      </c>
      <c r="H2459" s="8">
        <v>274</v>
      </c>
      <c r="J2459" t="s">
        <v>23</v>
      </c>
      <c r="K2459" s="7">
        <v>2391</v>
      </c>
      <c r="L2459" s="9">
        <v>-1</v>
      </c>
      <c r="M2459" t="s">
        <v>2041</v>
      </c>
      <c r="N2459" t="s">
        <v>246</v>
      </c>
      <c r="O2459" s="27" t="str">
        <f>HYPERLINK("https://www.ncbi.nlm.nih.gov/nuccore/NZ_JNYR01000028.1?report=graph&amp;from=12683&amp;to=12687", "TTA_codon")</f>
        <v>TTA_codon</v>
      </c>
    </row>
    <row r="2460" spans="1:15" x14ac:dyDescent="0.15">
      <c r="A2460" t="s">
        <v>195</v>
      </c>
      <c r="B2460">
        <v>1001522</v>
      </c>
      <c r="C2460">
        <v>346579</v>
      </c>
      <c r="F2460" s="7">
        <v>1</v>
      </c>
      <c r="G2460" s="7">
        <v>2215</v>
      </c>
      <c r="H2460" s="8">
        <v>889</v>
      </c>
      <c r="J2460" t="s">
        <v>23</v>
      </c>
      <c r="K2460" s="7">
        <v>2397</v>
      </c>
      <c r="L2460" s="9">
        <v>-1</v>
      </c>
      <c r="M2460" t="s">
        <v>250</v>
      </c>
      <c r="N2460" t="s">
        <v>251</v>
      </c>
      <c r="O2460" s="27" t="str">
        <f>HYPERLINK("https://www.ncbi.nlm.nih.gov/nuccore/NZ_CP009922.2?report=graph&amp;from=1338586&amp;to=1338590", "TTA_codon")</f>
        <v>TTA_codon</v>
      </c>
    </row>
    <row r="2461" spans="1:15" x14ac:dyDescent="0.15">
      <c r="A2461" t="s">
        <v>195</v>
      </c>
      <c r="B2461">
        <v>1001522</v>
      </c>
      <c r="C2461">
        <v>346581</v>
      </c>
      <c r="F2461" s="7">
        <v>2</v>
      </c>
      <c r="G2461" s="7" t="s">
        <v>2042</v>
      </c>
      <c r="H2461" s="8" t="s">
        <v>2043</v>
      </c>
      <c r="J2461" t="s">
        <v>23</v>
      </c>
      <c r="K2461" s="7">
        <v>1917</v>
      </c>
      <c r="L2461" s="9">
        <v>-1</v>
      </c>
      <c r="M2461" t="s">
        <v>250</v>
      </c>
      <c r="N2461" t="s">
        <v>251</v>
      </c>
      <c r="O2461" s="27" t="str">
        <f>HYPERLINK("https://www.ncbi.nlm.nih.gov/nuccore/NZ_CP009922.2?report=graph&amp;from=3290695&amp;to=3291404", "TTA_codon")</f>
        <v>TTA_codon</v>
      </c>
    </row>
    <row r="2462" spans="1:15" x14ac:dyDescent="0.15">
      <c r="A2462" t="s">
        <v>195</v>
      </c>
      <c r="B2462">
        <v>1001522</v>
      </c>
      <c r="C2462">
        <v>346868</v>
      </c>
      <c r="F2462" s="7">
        <v>2</v>
      </c>
      <c r="G2462" s="7" t="s">
        <v>2044</v>
      </c>
      <c r="H2462" s="8" t="s">
        <v>2045</v>
      </c>
      <c r="J2462" t="s">
        <v>23</v>
      </c>
      <c r="K2462" s="7">
        <v>3549</v>
      </c>
      <c r="L2462" s="9">
        <v>-1</v>
      </c>
      <c r="M2462" t="s">
        <v>2046</v>
      </c>
      <c r="N2462" t="s">
        <v>187</v>
      </c>
      <c r="O2462" s="27" t="str">
        <f>HYPERLINK("https://www.ncbi.nlm.nih.gov/nuccore/NZ_MAXF01000009.1?report=graph&amp;from=24002&amp;to=24408", "TTA_codon")</f>
        <v>TTA_codon</v>
      </c>
    </row>
    <row r="2463" spans="1:15" x14ac:dyDescent="0.15">
      <c r="A2463" t="s">
        <v>195</v>
      </c>
      <c r="B2463">
        <v>1001522</v>
      </c>
      <c r="C2463">
        <v>346873</v>
      </c>
      <c r="F2463" s="7">
        <v>2</v>
      </c>
      <c r="G2463" s="7" t="s">
        <v>2047</v>
      </c>
      <c r="H2463" s="8" t="s">
        <v>2048</v>
      </c>
      <c r="J2463" t="s">
        <v>23</v>
      </c>
      <c r="K2463" s="7">
        <v>3516</v>
      </c>
      <c r="L2463" s="9">
        <v>-1</v>
      </c>
      <c r="M2463" t="s">
        <v>1263</v>
      </c>
      <c r="N2463" t="s">
        <v>187</v>
      </c>
      <c r="O2463" s="27" t="str">
        <f>HYPERLINK("https://www.ncbi.nlm.nih.gov/nuccore/NZ_MAXF01000095.1?report=graph&amp;from=163239&amp;to=166036", "TTA_codon")</f>
        <v>TTA_codon</v>
      </c>
    </row>
    <row r="2464" spans="1:15" x14ac:dyDescent="0.15">
      <c r="A2464" t="s">
        <v>195</v>
      </c>
      <c r="B2464">
        <v>1001522</v>
      </c>
      <c r="C2464">
        <v>347164</v>
      </c>
      <c r="F2464" s="7">
        <v>1</v>
      </c>
      <c r="G2464" s="7">
        <v>2677</v>
      </c>
      <c r="H2464" s="8">
        <v>700</v>
      </c>
      <c r="J2464" t="s">
        <v>23</v>
      </c>
      <c r="K2464" s="7">
        <v>2415</v>
      </c>
      <c r="L2464" s="9">
        <v>-1</v>
      </c>
      <c r="M2464" t="s">
        <v>2049</v>
      </c>
      <c r="N2464" t="s">
        <v>115</v>
      </c>
      <c r="O2464" s="27" t="str">
        <f>HYPERLINK("https://www.ncbi.nlm.nih.gov/nuccore/NZ_FODD01000022.1?report=graph&amp;from=98621&amp;to=98625", "TTA_codon")</f>
        <v>TTA_codon</v>
      </c>
    </row>
    <row r="2465" spans="1:15" x14ac:dyDescent="0.15">
      <c r="A2465" t="s">
        <v>21</v>
      </c>
      <c r="B2465">
        <v>1001522</v>
      </c>
      <c r="C2465">
        <v>347640</v>
      </c>
      <c r="F2465" s="7">
        <v>1</v>
      </c>
      <c r="G2465" s="7">
        <v>2983</v>
      </c>
      <c r="H2465" s="8">
        <v>1417</v>
      </c>
      <c r="J2465" t="s">
        <v>23</v>
      </c>
      <c r="K2465" s="7">
        <v>1908</v>
      </c>
      <c r="L2465" s="9">
        <v>-1</v>
      </c>
      <c r="M2465" t="s">
        <v>55</v>
      </c>
      <c r="N2465" t="s">
        <v>56</v>
      </c>
      <c r="O2465" s="27" t="str">
        <f>HYPERLINK("https://www.ncbi.nlm.nih.gov/nuccore/NC_010572.1?report=graph&amp;from=5650172&amp;to=5650176", "TTA_codon")</f>
        <v>TTA_codon</v>
      </c>
    </row>
    <row r="2466" spans="1:15" x14ac:dyDescent="0.15">
      <c r="A2466" t="s">
        <v>21</v>
      </c>
      <c r="B2466">
        <v>1001522</v>
      </c>
      <c r="C2466">
        <v>348096</v>
      </c>
      <c r="F2466" s="7">
        <v>2</v>
      </c>
      <c r="G2466" s="7" t="s">
        <v>2050</v>
      </c>
      <c r="H2466" s="8" t="s">
        <v>2051</v>
      </c>
      <c r="J2466" t="s">
        <v>23</v>
      </c>
      <c r="K2466" s="7">
        <v>2082</v>
      </c>
      <c r="L2466" s="9">
        <v>-1</v>
      </c>
      <c r="M2466" t="s">
        <v>59</v>
      </c>
      <c r="N2466" t="s">
        <v>60</v>
      </c>
      <c r="O2466" s="27" t="str">
        <f>HYPERLINK("https://www.ncbi.nlm.nih.gov/nuccore/NC_016582.1?report=graph&amp;from=1460409&amp;to=1460893", "TTA_codon")</f>
        <v>TTA_codon</v>
      </c>
    </row>
    <row r="2467" spans="1:15" x14ac:dyDescent="0.15">
      <c r="A2467" t="s">
        <v>21</v>
      </c>
      <c r="B2467">
        <v>1001522</v>
      </c>
      <c r="C2467">
        <v>348100</v>
      </c>
      <c r="F2467" s="7">
        <v>1</v>
      </c>
      <c r="G2467" s="7">
        <v>1243</v>
      </c>
      <c r="H2467" s="8">
        <v>562</v>
      </c>
      <c r="J2467" t="s">
        <v>23</v>
      </c>
      <c r="K2467" s="7">
        <v>1746</v>
      </c>
      <c r="L2467" s="9">
        <v>-1</v>
      </c>
      <c r="M2467" t="s">
        <v>59</v>
      </c>
      <c r="N2467" t="s">
        <v>60</v>
      </c>
      <c r="O2467" s="27" t="str">
        <f>HYPERLINK("https://www.ncbi.nlm.nih.gov/nuccore/NC_016582.1?report=graph&amp;from=1863816&amp;to=1863820", "TTA_codon")</f>
        <v>TTA_codon</v>
      </c>
    </row>
    <row r="2468" spans="1:15" x14ac:dyDescent="0.15">
      <c r="A2468" t="s">
        <v>21</v>
      </c>
      <c r="B2468">
        <v>1001522</v>
      </c>
      <c r="C2468">
        <v>348101</v>
      </c>
      <c r="F2468" s="7">
        <v>2</v>
      </c>
      <c r="G2468" s="7" t="s">
        <v>2052</v>
      </c>
      <c r="H2468" s="8" t="s">
        <v>2053</v>
      </c>
      <c r="J2468" t="s">
        <v>23</v>
      </c>
      <c r="K2468" s="7">
        <v>3066</v>
      </c>
      <c r="L2468" s="9">
        <v>-1</v>
      </c>
      <c r="M2468" t="s">
        <v>59</v>
      </c>
      <c r="N2468" t="s">
        <v>60</v>
      </c>
      <c r="O2468" s="27" t="str">
        <f>HYPERLINK("https://www.ncbi.nlm.nih.gov/nuccore/NC_016582.1?report=graph&amp;from=1862005&amp;to=1862564", "TTA_codon")</f>
        <v>TTA_codon</v>
      </c>
    </row>
    <row r="2469" spans="1:15" x14ac:dyDescent="0.15">
      <c r="A2469" t="s">
        <v>21</v>
      </c>
      <c r="B2469">
        <v>1001522</v>
      </c>
      <c r="C2469">
        <v>348185</v>
      </c>
      <c r="F2469" s="7">
        <v>1</v>
      </c>
      <c r="G2469" s="7">
        <v>5371</v>
      </c>
      <c r="H2469" s="8">
        <v>1606</v>
      </c>
      <c r="J2469" t="s">
        <v>23</v>
      </c>
      <c r="K2469" s="7">
        <v>2298</v>
      </c>
      <c r="L2469" s="9">
        <v>-1</v>
      </c>
      <c r="M2469" t="s">
        <v>59</v>
      </c>
      <c r="N2469" t="s">
        <v>60</v>
      </c>
      <c r="O2469" s="27" t="str">
        <f>HYPERLINK("https://www.ncbi.nlm.nih.gov/nuccore/NC_016582.1?report=graph&amp;from=4948355&amp;to=4948359", "TTA_codon")</f>
        <v>TTA_codon</v>
      </c>
    </row>
    <row r="2470" spans="1:15" x14ac:dyDescent="0.15">
      <c r="A2470" t="s">
        <v>21</v>
      </c>
      <c r="B2470">
        <v>1001522</v>
      </c>
      <c r="C2470">
        <v>348190</v>
      </c>
      <c r="F2470" s="7">
        <v>3</v>
      </c>
      <c r="G2470" s="7" t="s">
        <v>2054</v>
      </c>
      <c r="H2470" s="8" t="s">
        <v>2055</v>
      </c>
      <c r="J2470" t="s">
        <v>23</v>
      </c>
      <c r="K2470" s="7">
        <v>2337</v>
      </c>
      <c r="L2470" s="9">
        <v>-1</v>
      </c>
      <c r="M2470" t="s">
        <v>59</v>
      </c>
      <c r="N2470" t="s">
        <v>60</v>
      </c>
      <c r="O2470" s="27" t="str">
        <f>HYPERLINK("https://www.ncbi.nlm.nih.gov/nuccore/NC_016582.1?report=graph&amp;from=4912111&amp;to=4913384", "TTA_codon")</f>
        <v>TTA_codon</v>
      </c>
    </row>
    <row r="2471" spans="1:15" x14ac:dyDescent="0.15">
      <c r="A2471" t="s">
        <v>21</v>
      </c>
      <c r="B2471">
        <v>1001522</v>
      </c>
      <c r="C2471">
        <v>348528</v>
      </c>
      <c r="F2471" s="7">
        <v>1</v>
      </c>
      <c r="G2471" s="7">
        <v>970</v>
      </c>
      <c r="H2471" s="8">
        <v>355</v>
      </c>
      <c r="J2471" t="s">
        <v>23</v>
      </c>
      <c r="K2471" s="7">
        <v>858</v>
      </c>
      <c r="L2471" s="9">
        <v>-1</v>
      </c>
      <c r="M2471" t="s">
        <v>1036</v>
      </c>
      <c r="N2471" t="s">
        <v>62</v>
      </c>
      <c r="O2471" s="27" t="str">
        <f>HYPERLINK("https://www.ncbi.nlm.nih.gov/nuccore/NZ_DS999642.1?report=graph&amp;from=218477&amp;to=218481", "TTA_codon")</f>
        <v>TTA_codon</v>
      </c>
    </row>
    <row r="2472" spans="1:15" x14ac:dyDescent="0.15">
      <c r="A2472" t="s">
        <v>21</v>
      </c>
      <c r="B2472">
        <v>1001522</v>
      </c>
      <c r="C2472">
        <v>348529</v>
      </c>
      <c r="F2472" s="7">
        <v>4</v>
      </c>
      <c r="G2472" s="7" t="s">
        <v>2056</v>
      </c>
      <c r="H2472" s="8" t="s">
        <v>2057</v>
      </c>
      <c r="J2472" t="s">
        <v>23</v>
      </c>
      <c r="K2472" s="7">
        <v>2286</v>
      </c>
      <c r="L2472" s="9">
        <v>-1</v>
      </c>
      <c r="M2472" t="s">
        <v>61</v>
      </c>
      <c r="N2472" t="s">
        <v>62</v>
      </c>
      <c r="O2472" s="27" t="str">
        <f>HYPERLINK("https://www.ncbi.nlm.nih.gov/nuccore/NZ_DS999641.1?report=graph&amp;from=7876404&amp;to=7878676", "TTA_codon")</f>
        <v>TTA_codon</v>
      </c>
    </row>
    <row r="2473" spans="1:15" x14ac:dyDescent="0.15">
      <c r="A2473" t="s">
        <v>21</v>
      </c>
      <c r="B2473">
        <v>1001522</v>
      </c>
      <c r="C2473">
        <v>348540</v>
      </c>
      <c r="F2473" s="7">
        <v>2</v>
      </c>
      <c r="G2473" s="7" t="s">
        <v>2058</v>
      </c>
      <c r="H2473" s="8" t="s">
        <v>2059</v>
      </c>
      <c r="J2473" t="s">
        <v>23</v>
      </c>
      <c r="K2473" s="7">
        <v>2184</v>
      </c>
      <c r="L2473" s="9">
        <v>-1</v>
      </c>
      <c r="M2473" t="s">
        <v>61</v>
      </c>
      <c r="N2473" t="s">
        <v>62</v>
      </c>
      <c r="O2473" s="27" t="str">
        <f>HYPERLINK("https://www.ncbi.nlm.nih.gov/nuccore/NZ_DS999641.1?report=graph&amp;from=8045459&amp;to=8045862", "TTA_codon")</f>
        <v>TTA_codon</v>
      </c>
    </row>
    <row r="2474" spans="1:15" x14ac:dyDescent="0.15">
      <c r="A2474" t="s">
        <v>21</v>
      </c>
      <c r="B2474">
        <v>1001522</v>
      </c>
      <c r="C2474">
        <v>348679</v>
      </c>
      <c r="F2474" s="7">
        <v>2</v>
      </c>
      <c r="G2474" s="7" t="s">
        <v>2060</v>
      </c>
      <c r="H2474" s="8" t="s">
        <v>2061</v>
      </c>
      <c r="J2474" t="s">
        <v>23</v>
      </c>
      <c r="K2474" s="7">
        <v>2034</v>
      </c>
      <c r="L2474" s="9">
        <v>-1</v>
      </c>
      <c r="M2474" t="s">
        <v>211</v>
      </c>
      <c r="N2474" t="s">
        <v>212</v>
      </c>
      <c r="O2474" s="27" t="str">
        <f>HYPERLINK("https://www.ncbi.nlm.nih.gov/nuccore/NZ_GG657754.1?report=graph&amp;from=1045444&amp;to=1046024", "TTA_codon")</f>
        <v>TTA_codon</v>
      </c>
    </row>
    <row r="2475" spans="1:15" x14ac:dyDescent="0.15">
      <c r="A2475" t="s">
        <v>21</v>
      </c>
      <c r="B2475">
        <v>1001522</v>
      </c>
      <c r="C2475">
        <v>348823</v>
      </c>
      <c r="F2475" s="7">
        <v>1</v>
      </c>
      <c r="G2475" s="7">
        <v>559</v>
      </c>
      <c r="H2475" s="8">
        <v>52</v>
      </c>
      <c r="J2475" t="s">
        <v>23</v>
      </c>
      <c r="K2475" s="7">
        <v>756</v>
      </c>
      <c r="L2475" s="9">
        <v>-1</v>
      </c>
      <c r="M2475" t="s">
        <v>211</v>
      </c>
      <c r="N2475" t="s">
        <v>212</v>
      </c>
      <c r="O2475" s="27" t="str">
        <f>HYPERLINK("https://www.ncbi.nlm.nih.gov/nuccore/NZ_GG657754.1?report=graph&amp;from=10046703&amp;to=10046707", "TTA_codon")</f>
        <v>TTA_codon</v>
      </c>
    </row>
    <row r="2476" spans="1:15" x14ac:dyDescent="0.15">
      <c r="A2476" t="s">
        <v>21</v>
      </c>
      <c r="B2476">
        <v>1001522</v>
      </c>
      <c r="C2476">
        <v>348825</v>
      </c>
      <c r="F2476" s="7">
        <v>1</v>
      </c>
      <c r="G2476" s="7">
        <v>919</v>
      </c>
      <c r="H2476" s="8">
        <v>292</v>
      </c>
      <c r="J2476" t="s">
        <v>23</v>
      </c>
      <c r="K2476" s="7">
        <v>801</v>
      </c>
      <c r="L2476" s="9">
        <v>-1</v>
      </c>
      <c r="M2476" t="s">
        <v>211</v>
      </c>
      <c r="N2476" t="s">
        <v>212</v>
      </c>
      <c r="O2476" s="27" t="str">
        <f>HYPERLINK("https://www.ncbi.nlm.nih.gov/nuccore/NZ_GG657754.1?report=graph&amp;from=3771999&amp;to=3772003", "TTA_codon")</f>
        <v>TTA_codon</v>
      </c>
    </row>
    <row r="2477" spans="1:15" x14ac:dyDescent="0.15">
      <c r="A2477" t="s">
        <v>21</v>
      </c>
      <c r="B2477">
        <v>1001522</v>
      </c>
      <c r="C2477">
        <v>348901</v>
      </c>
      <c r="F2477" s="7">
        <v>7</v>
      </c>
      <c r="G2477" s="7" t="s">
        <v>2062</v>
      </c>
      <c r="H2477" s="8" t="s">
        <v>2063</v>
      </c>
      <c r="J2477" t="s">
        <v>23</v>
      </c>
      <c r="K2477" s="7">
        <v>2220</v>
      </c>
      <c r="L2477" s="9">
        <v>-1</v>
      </c>
      <c r="M2477" t="s">
        <v>211</v>
      </c>
      <c r="N2477" t="s">
        <v>212</v>
      </c>
      <c r="O2477" s="27" t="str">
        <f>HYPERLINK("https://www.ncbi.nlm.nih.gov/nuccore/NZ_GG657754.1?report=graph&amp;from=6469129&amp;to=6470795", "TTA_codon")</f>
        <v>TTA_codon</v>
      </c>
    </row>
    <row r="2478" spans="1:15" x14ac:dyDescent="0.15">
      <c r="A2478" t="s">
        <v>21</v>
      </c>
      <c r="B2478">
        <v>1001522</v>
      </c>
      <c r="C2478">
        <v>349629</v>
      </c>
      <c r="F2478" s="7">
        <v>1</v>
      </c>
      <c r="G2478" s="7">
        <v>3895</v>
      </c>
      <c r="H2478" s="8">
        <v>1051</v>
      </c>
      <c r="J2478" t="s">
        <v>23</v>
      </c>
      <c r="K2478" s="7">
        <v>2202</v>
      </c>
      <c r="L2478" s="9">
        <v>-1</v>
      </c>
      <c r="M2478" t="s">
        <v>2064</v>
      </c>
      <c r="N2478" t="s">
        <v>335</v>
      </c>
      <c r="O2478" s="27" t="str">
        <f>HYPERLINK("https://www.ncbi.nlm.nih.gov/nuccore/NZ_AGBF01000035.1?report=graph&amp;from=18484&amp;to=18488", "TTA_codon")</f>
        <v>TTA_codon</v>
      </c>
    </row>
    <row r="2479" spans="1:15" x14ac:dyDescent="0.15">
      <c r="A2479" t="s">
        <v>21</v>
      </c>
      <c r="B2479">
        <v>1001522</v>
      </c>
      <c r="C2479">
        <v>349759</v>
      </c>
      <c r="F2479" s="7">
        <v>2</v>
      </c>
      <c r="G2479" s="7" t="s">
        <v>2065</v>
      </c>
      <c r="H2479" s="8" t="s">
        <v>2066</v>
      </c>
      <c r="J2479" t="s">
        <v>23</v>
      </c>
      <c r="K2479" s="7">
        <v>2979</v>
      </c>
      <c r="L2479" s="9">
        <v>-1</v>
      </c>
      <c r="M2479" t="s">
        <v>265</v>
      </c>
      <c r="N2479" t="s">
        <v>266</v>
      </c>
      <c r="O2479" s="27" t="str">
        <f>HYPERLINK("https://www.ncbi.nlm.nih.gov/nuccore/NC_017586.1?report=graph&amp;from=2841732&amp;to=2843482", "TTA_codon")</f>
        <v>TTA_codon</v>
      </c>
    </row>
    <row r="2480" spans="1:15" x14ac:dyDescent="0.15">
      <c r="A2480" t="s">
        <v>21</v>
      </c>
      <c r="B2480">
        <v>1001522</v>
      </c>
      <c r="C2480">
        <v>349761</v>
      </c>
      <c r="F2480" s="7">
        <v>2</v>
      </c>
      <c r="G2480" s="7" t="s">
        <v>2067</v>
      </c>
      <c r="H2480" s="8" t="s">
        <v>2068</v>
      </c>
      <c r="J2480" t="s">
        <v>23</v>
      </c>
      <c r="K2480" s="7">
        <v>2079</v>
      </c>
      <c r="L2480" s="9">
        <v>-1</v>
      </c>
      <c r="M2480" t="s">
        <v>265</v>
      </c>
      <c r="N2480" t="s">
        <v>266</v>
      </c>
      <c r="O2480" s="27" t="str">
        <f>HYPERLINK("https://www.ncbi.nlm.nih.gov/nuccore/NC_017586.1?report=graph&amp;from=2298989&amp;to=2299653", "TTA_codon")</f>
        <v>TTA_codon</v>
      </c>
    </row>
    <row r="2481" spans="1:15" x14ac:dyDescent="0.15">
      <c r="A2481" t="s">
        <v>21</v>
      </c>
      <c r="B2481">
        <v>1001522</v>
      </c>
      <c r="C2481">
        <v>349975</v>
      </c>
      <c r="F2481" s="7">
        <v>1</v>
      </c>
      <c r="G2481" s="7">
        <v>3358</v>
      </c>
      <c r="H2481" s="8">
        <v>1189</v>
      </c>
      <c r="J2481" t="s">
        <v>23</v>
      </c>
      <c r="K2481" s="7">
        <v>2166</v>
      </c>
      <c r="L2481" s="9">
        <v>-1</v>
      </c>
      <c r="M2481" t="s">
        <v>1491</v>
      </c>
      <c r="N2481" t="s">
        <v>249</v>
      </c>
      <c r="O2481" s="27" t="str">
        <f>HYPERLINK("https://www.ncbi.nlm.nih.gov/nuccore/NZ_AHBF01000017.1?report=graph&amp;from=118154&amp;to=118158", "TTA_codon")</f>
        <v>TTA_codon</v>
      </c>
    </row>
    <row r="2482" spans="1:15" x14ac:dyDescent="0.15">
      <c r="A2482" t="s">
        <v>21</v>
      </c>
      <c r="B2482">
        <v>1001522</v>
      </c>
      <c r="C2482">
        <v>349981</v>
      </c>
      <c r="F2482" s="7">
        <v>6</v>
      </c>
      <c r="G2482" s="7" t="s">
        <v>2069</v>
      </c>
      <c r="H2482" s="8" t="s">
        <v>2070</v>
      </c>
      <c r="J2482" t="s">
        <v>23</v>
      </c>
      <c r="K2482" s="7">
        <v>3180</v>
      </c>
      <c r="L2482" s="9">
        <v>-1</v>
      </c>
      <c r="M2482" t="s">
        <v>1491</v>
      </c>
      <c r="N2482" t="s">
        <v>249</v>
      </c>
      <c r="O2482" s="27" t="str">
        <f>HYPERLINK("https://www.ncbi.nlm.nih.gov/nuccore/NZ_AHBF01000017.1?report=graph&amp;from=69125&amp;to=70581", "TTA_codon")</f>
        <v>TTA_codon</v>
      </c>
    </row>
    <row r="2483" spans="1:15" x14ac:dyDescent="0.15">
      <c r="A2483" t="s">
        <v>21</v>
      </c>
      <c r="B2483">
        <v>1001522</v>
      </c>
      <c r="C2483">
        <v>349986</v>
      </c>
      <c r="F2483" s="7">
        <v>2</v>
      </c>
      <c r="G2483" s="7" t="s">
        <v>2071</v>
      </c>
      <c r="H2483" s="8" t="s">
        <v>2072</v>
      </c>
      <c r="J2483" t="s">
        <v>23</v>
      </c>
      <c r="K2483" s="7">
        <v>3033</v>
      </c>
      <c r="L2483" s="9">
        <v>-1</v>
      </c>
      <c r="M2483" t="s">
        <v>917</v>
      </c>
      <c r="N2483" t="s">
        <v>249</v>
      </c>
      <c r="O2483" s="27" t="str">
        <f>HYPERLINK("https://www.ncbi.nlm.nih.gov/nuccore/NZ_AHBF01000033.1?report=graph&amp;from=232999&amp;to=234485", "TTA_codon")</f>
        <v>TTA_codon</v>
      </c>
    </row>
    <row r="2484" spans="1:15" x14ac:dyDescent="0.15">
      <c r="A2484" t="s">
        <v>21</v>
      </c>
      <c r="B2484">
        <v>1001522</v>
      </c>
      <c r="C2484">
        <v>350031</v>
      </c>
      <c r="F2484" s="7">
        <v>2</v>
      </c>
      <c r="G2484" s="7" t="s">
        <v>2073</v>
      </c>
      <c r="H2484" s="8" t="s">
        <v>2074</v>
      </c>
      <c r="J2484" t="s">
        <v>23</v>
      </c>
      <c r="K2484" s="7">
        <v>2877</v>
      </c>
      <c r="L2484" s="9">
        <v>-1</v>
      </c>
      <c r="M2484" t="s">
        <v>2075</v>
      </c>
      <c r="N2484" t="s">
        <v>249</v>
      </c>
      <c r="O2484" s="27" t="str">
        <f>HYPERLINK("https://www.ncbi.nlm.nih.gov/nuccore/NZ_AHBF01000118.1?report=graph&amp;from=36758&amp;to=36915", "TTA_codon")</f>
        <v>TTA_codon</v>
      </c>
    </row>
    <row r="2485" spans="1:15" x14ac:dyDescent="0.15">
      <c r="A2485" t="s">
        <v>21</v>
      </c>
      <c r="B2485">
        <v>1001522</v>
      </c>
      <c r="C2485">
        <v>350032</v>
      </c>
      <c r="F2485" s="7">
        <v>1</v>
      </c>
      <c r="G2485" s="7">
        <v>2095</v>
      </c>
      <c r="H2485" s="8">
        <v>748</v>
      </c>
      <c r="J2485" t="s">
        <v>23</v>
      </c>
      <c r="K2485" s="7">
        <v>2715</v>
      </c>
      <c r="L2485" s="9">
        <v>-1</v>
      </c>
      <c r="M2485" t="s">
        <v>2076</v>
      </c>
      <c r="N2485" t="s">
        <v>249</v>
      </c>
      <c r="O2485" s="27" t="str">
        <f>HYPERLINK("https://www.ncbi.nlm.nih.gov/nuccore/NZ_AHBF01000095.1?report=graph&amp;from=4979&amp;to=4983", "TTA_codon")</f>
        <v>TTA_codon</v>
      </c>
    </row>
    <row r="2486" spans="1:15" x14ac:dyDescent="0.15">
      <c r="A2486" t="s">
        <v>21</v>
      </c>
      <c r="B2486">
        <v>1001522</v>
      </c>
      <c r="C2486">
        <v>350278</v>
      </c>
      <c r="F2486" s="7">
        <v>2</v>
      </c>
      <c r="G2486" s="7" t="s">
        <v>2077</v>
      </c>
      <c r="H2486" s="8" t="s">
        <v>1280</v>
      </c>
      <c r="J2486" t="s">
        <v>23</v>
      </c>
      <c r="K2486" s="7">
        <v>1896</v>
      </c>
      <c r="L2486" s="9">
        <v>-1</v>
      </c>
      <c r="M2486" t="s">
        <v>35</v>
      </c>
      <c r="N2486" t="s">
        <v>36</v>
      </c>
      <c r="O2486" s="27" t="str">
        <f>HYPERLINK("https://www.ncbi.nlm.nih.gov/nuccore/NZ_JH725387.1?report=graph&amp;from=905286&amp;to=905302", "TTA_codon")</f>
        <v>TTA_codon</v>
      </c>
    </row>
    <row r="2487" spans="1:15" x14ac:dyDescent="0.15">
      <c r="A2487" t="s">
        <v>21</v>
      </c>
      <c r="B2487">
        <v>1001522</v>
      </c>
      <c r="C2487">
        <v>350312</v>
      </c>
      <c r="F2487" s="7">
        <v>1</v>
      </c>
      <c r="G2487" s="7">
        <v>3010</v>
      </c>
      <c r="H2487" s="8">
        <v>1480</v>
      </c>
      <c r="J2487" t="s">
        <v>23</v>
      </c>
      <c r="K2487" s="7">
        <v>3255</v>
      </c>
      <c r="L2487" s="9">
        <v>-1</v>
      </c>
      <c r="M2487" t="s">
        <v>35</v>
      </c>
      <c r="N2487" t="s">
        <v>36</v>
      </c>
      <c r="O2487" s="27" t="str">
        <f>HYPERLINK("https://www.ncbi.nlm.nih.gov/nuccore/NZ_JH725387.1?report=graph&amp;from=3319137&amp;to=3319141", "TTA_codon")</f>
        <v>TTA_codon</v>
      </c>
    </row>
    <row r="2488" spans="1:15" x14ac:dyDescent="0.15">
      <c r="A2488" t="s">
        <v>21</v>
      </c>
      <c r="B2488">
        <v>1001522</v>
      </c>
      <c r="C2488">
        <v>350521</v>
      </c>
      <c r="F2488" s="7">
        <v>3</v>
      </c>
      <c r="G2488" s="7" t="s">
        <v>2078</v>
      </c>
      <c r="H2488" s="8" t="s">
        <v>2079</v>
      </c>
      <c r="J2488" t="s">
        <v>23</v>
      </c>
      <c r="K2488" s="7">
        <v>1956</v>
      </c>
      <c r="L2488" s="9">
        <v>-1</v>
      </c>
      <c r="M2488" t="s">
        <v>2080</v>
      </c>
      <c r="N2488" t="s">
        <v>134</v>
      </c>
      <c r="O2488" s="27" t="str">
        <f>HYPERLINK("https://www.ncbi.nlm.nih.gov/nuccore/NZ_AJSZ01000352.1?report=graph&amp;from=2340&amp;to=2788", "TTA_codon")</f>
        <v>TTA_codon</v>
      </c>
    </row>
    <row r="2489" spans="1:15" x14ac:dyDescent="0.15">
      <c r="A2489" t="s">
        <v>21</v>
      </c>
      <c r="B2489">
        <v>1001522</v>
      </c>
      <c r="C2489">
        <v>350548</v>
      </c>
      <c r="F2489" s="7">
        <v>1</v>
      </c>
      <c r="G2489" s="7">
        <v>610</v>
      </c>
      <c r="H2489" s="8">
        <v>163</v>
      </c>
      <c r="J2489" t="s">
        <v>23</v>
      </c>
      <c r="K2489" s="7">
        <v>2775</v>
      </c>
      <c r="L2489" s="9">
        <v>-1</v>
      </c>
      <c r="M2489" t="s">
        <v>1931</v>
      </c>
      <c r="N2489" t="s">
        <v>134</v>
      </c>
      <c r="O2489" s="27" t="str">
        <f>HYPERLINK("https://www.ncbi.nlm.nih.gov/nuccore/NZ_AJSZ01000301.1?report=graph&amp;from=17369&amp;to=17373", "TTA_codon")</f>
        <v>TTA_codon</v>
      </c>
    </row>
    <row r="2490" spans="1:15" x14ac:dyDescent="0.15">
      <c r="A2490" t="s">
        <v>21</v>
      </c>
      <c r="B2490">
        <v>1001522</v>
      </c>
      <c r="C2490">
        <v>350760</v>
      </c>
      <c r="F2490" s="7">
        <v>1</v>
      </c>
      <c r="G2490" s="7">
        <v>739</v>
      </c>
      <c r="H2490" s="8">
        <v>205</v>
      </c>
      <c r="J2490" t="s">
        <v>23</v>
      </c>
      <c r="K2490" s="7">
        <v>1845</v>
      </c>
      <c r="L2490" s="9">
        <v>-1</v>
      </c>
      <c r="M2490" t="s">
        <v>2081</v>
      </c>
      <c r="N2490" t="s">
        <v>51</v>
      </c>
      <c r="O2490" s="27" t="str">
        <f>HYPERLINK("https://www.ncbi.nlm.nih.gov/nuccore/NZ_AEJB01000328.1?report=graph&amp;from=4493&amp;to=4497", "TTA_codon")</f>
        <v>TTA_codon</v>
      </c>
    </row>
    <row r="2491" spans="1:15" x14ac:dyDescent="0.15">
      <c r="A2491" t="s">
        <v>21</v>
      </c>
      <c r="B2491">
        <v>1001522</v>
      </c>
      <c r="C2491">
        <v>351038</v>
      </c>
      <c r="F2491" s="7">
        <v>1</v>
      </c>
      <c r="G2491" s="7">
        <v>4930</v>
      </c>
      <c r="H2491" s="8">
        <v>2041</v>
      </c>
      <c r="J2491" t="s">
        <v>23</v>
      </c>
      <c r="K2491" s="7">
        <v>2916</v>
      </c>
      <c r="L2491" s="9">
        <v>-1</v>
      </c>
      <c r="M2491" t="s">
        <v>2082</v>
      </c>
      <c r="N2491" t="s">
        <v>136</v>
      </c>
      <c r="O2491" s="27" t="str">
        <f>HYPERLINK("https://www.ncbi.nlm.nih.gov/nuccore/NZ_AORZ01000215.1?report=graph&amp;from=4159&amp;to=4163", "TTA_codon")</f>
        <v>TTA_codon</v>
      </c>
    </row>
    <row r="2492" spans="1:15" x14ac:dyDescent="0.15">
      <c r="A2492" t="s">
        <v>21</v>
      </c>
      <c r="B2492">
        <v>1001522</v>
      </c>
      <c r="C2492">
        <v>351238</v>
      </c>
      <c r="F2492" s="7">
        <v>2</v>
      </c>
      <c r="G2492" s="7" t="s">
        <v>2083</v>
      </c>
      <c r="H2492" s="8" t="s">
        <v>2084</v>
      </c>
      <c r="J2492" t="s">
        <v>23</v>
      </c>
      <c r="K2492" s="7">
        <v>807</v>
      </c>
      <c r="L2492" s="9">
        <v>-1</v>
      </c>
      <c r="M2492" t="s">
        <v>65</v>
      </c>
      <c r="N2492" t="s">
        <v>66</v>
      </c>
      <c r="O2492" s="27" t="str">
        <f>HYPERLINK("https://www.ncbi.nlm.nih.gov/nuccore/NC_020504.1?report=graph&amp;from=8914692&amp;to=8915188", "TTA_codon")</f>
        <v>TTA_codon</v>
      </c>
    </row>
    <row r="2493" spans="1:15" x14ac:dyDescent="0.15">
      <c r="A2493" t="s">
        <v>21</v>
      </c>
      <c r="B2493">
        <v>1001522</v>
      </c>
      <c r="C2493">
        <v>351275</v>
      </c>
      <c r="F2493" s="7">
        <v>1</v>
      </c>
      <c r="G2493" s="7">
        <v>1009</v>
      </c>
      <c r="H2493" s="8">
        <v>370</v>
      </c>
      <c r="J2493" t="s">
        <v>23</v>
      </c>
      <c r="K2493" s="7">
        <v>2901</v>
      </c>
      <c r="L2493" s="9">
        <v>-1</v>
      </c>
      <c r="M2493" t="s">
        <v>65</v>
      </c>
      <c r="N2493" t="s">
        <v>66</v>
      </c>
      <c r="O2493" s="27" t="str">
        <f>HYPERLINK("https://www.ncbi.nlm.nih.gov/nuccore/NC_020504.1?report=graph&amp;from=1353892&amp;to=1353896", "TTA_codon")</f>
        <v>TTA_codon</v>
      </c>
    </row>
    <row r="2494" spans="1:15" x14ac:dyDescent="0.15">
      <c r="A2494" t="s">
        <v>21</v>
      </c>
      <c r="B2494">
        <v>1001522</v>
      </c>
      <c r="C2494">
        <v>351570</v>
      </c>
      <c r="F2494" s="7">
        <v>2</v>
      </c>
      <c r="G2494" s="7" t="s">
        <v>2085</v>
      </c>
      <c r="H2494" s="8" t="s">
        <v>2086</v>
      </c>
      <c r="J2494" t="s">
        <v>23</v>
      </c>
      <c r="K2494" s="7">
        <v>2325</v>
      </c>
      <c r="L2494" s="9">
        <v>-1</v>
      </c>
      <c r="M2494" t="s">
        <v>2087</v>
      </c>
      <c r="N2494" t="s">
        <v>138</v>
      </c>
      <c r="O2494" s="27" t="str">
        <f>HYPERLINK("https://www.ncbi.nlm.nih.gov/nuccore/NZ_KB889720.1?report=graph&amp;from=26365&amp;to=27230", "TTA_codon")</f>
        <v>TTA_codon</v>
      </c>
    </row>
    <row r="2495" spans="1:15" x14ac:dyDescent="0.15">
      <c r="A2495" t="s">
        <v>21</v>
      </c>
      <c r="B2495">
        <v>1001522</v>
      </c>
      <c r="C2495">
        <v>351802</v>
      </c>
      <c r="F2495" s="7">
        <v>5</v>
      </c>
      <c r="G2495" s="7" t="s">
        <v>2088</v>
      </c>
      <c r="H2495" s="8" t="s">
        <v>2089</v>
      </c>
      <c r="J2495" t="s">
        <v>23</v>
      </c>
      <c r="K2495" s="7">
        <v>2583</v>
      </c>
      <c r="L2495" s="9">
        <v>-1</v>
      </c>
      <c r="M2495" t="s">
        <v>1345</v>
      </c>
      <c r="N2495" t="s">
        <v>68</v>
      </c>
      <c r="O2495" s="27" t="str">
        <f>HYPERLINK("https://www.ncbi.nlm.nih.gov/nuccore/NZ_BARG01000055.1?report=graph&amp;from=61831&amp;to=62630", "TTA_codon")</f>
        <v>TTA_codon</v>
      </c>
    </row>
    <row r="2496" spans="1:15" x14ac:dyDescent="0.15">
      <c r="A2496" t="s">
        <v>21</v>
      </c>
      <c r="B2496">
        <v>1001522</v>
      </c>
      <c r="C2496">
        <v>351850</v>
      </c>
      <c r="F2496" s="7">
        <v>1</v>
      </c>
      <c r="G2496" s="7">
        <v>5605</v>
      </c>
      <c r="H2496" s="8">
        <v>2494</v>
      </c>
      <c r="J2496" t="s">
        <v>23</v>
      </c>
      <c r="K2496" s="7">
        <v>3075</v>
      </c>
      <c r="L2496" s="9">
        <v>-1</v>
      </c>
      <c r="M2496" t="s">
        <v>537</v>
      </c>
      <c r="N2496" t="s">
        <v>68</v>
      </c>
      <c r="O2496" s="27" t="str">
        <f>HYPERLINK("https://www.ncbi.nlm.nih.gov/nuccore/NZ_BARG01000110.1?report=graph&amp;from=19005&amp;to=19009", "TTA_codon")</f>
        <v>TTA_codon</v>
      </c>
    </row>
    <row r="2497" spans="1:15" x14ac:dyDescent="0.15">
      <c r="A2497" t="s">
        <v>21</v>
      </c>
      <c r="B2497">
        <v>1001522</v>
      </c>
      <c r="C2497">
        <v>351854</v>
      </c>
      <c r="F2497" s="7">
        <v>1</v>
      </c>
      <c r="G2497" s="7">
        <v>4144</v>
      </c>
      <c r="H2497" s="8">
        <v>1774</v>
      </c>
      <c r="J2497" t="s">
        <v>23</v>
      </c>
      <c r="K2497" s="7">
        <v>2841</v>
      </c>
      <c r="L2497" s="9">
        <v>-1</v>
      </c>
      <c r="M2497" t="s">
        <v>2090</v>
      </c>
      <c r="N2497" t="s">
        <v>68</v>
      </c>
      <c r="O2497" s="27" t="str">
        <f>HYPERLINK("https://www.ncbi.nlm.nih.gov/nuccore/NZ_BARG01000062.1?report=graph&amp;from=160577&amp;to=160581", "TTA_codon")</f>
        <v>TTA_codon</v>
      </c>
    </row>
    <row r="2498" spans="1:15" x14ac:dyDescent="0.15">
      <c r="A2498" t="s">
        <v>21</v>
      </c>
      <c r="B2498">
        <v>1001522</v>
      </c>
      <c r="C2498">
        <v>352302</v>
      </c>
      <c r="F2498" s="7">
        <v>1</v>
      </c>
      <c r="G2498" s="7">
        <v>2479</v>
      </c>
      <c r="H2498" s="8">
        <v>1024</v>
      </c>
      <c r="J2498" t="s">
        <v>23</v>
      </c>
      <c r="K2498" s="7">
        <v>3003</v>
      </c>
      <c r="L2498" s="9">
        <v>-1</v>
      </c>
      <c r="M2498" t="s">
        <v>527</v>
      </c>
      <c r="N2498" t="s">
        <v>72</v>
      </c>
      <c r="O2498" s="27" t="str">
        <f>HYPERLINK("https://www.ncbi.nlm.nih.gov/nuccore/NZ_KB905813.1?report=graph&amp;from=578192&amp;to=578196", "TTA_codon")</f>
        <v>TTA_codon</v>
      </c>
    </row>
    <row r="2499" spans="1:15" x14ac:dyDescent="0.15">
      <c r="A2499" t="s">
        <v>21</v>
      </c>
      <c r="B2499">
        <v>1001522</v>
      </c>
      <c r="C2499">
        <v>352431</v>
      </c>
      <c r="F2499" s="7">
        <v>1</v>
      </c>
      <c r="G2499" s="7">
        <v>1030</v>
      </c>
      <c r="H2499" s="8">
        <v>406</v>
      </c>
      <c r="J2499" t="s">
        <v>23</v>
      </c>
      <c r="K2499" s="7">
        <v>858</v>
      </c>
      <c r="L2499" s="9">
        <v>-1</v>
      </c>
      <c r="M2499" t="s">
        <v>30</v>
      </c>
      <c r="N2499" t="s">
        <v>31</v>
      </c>
      <c r="O2499" s="27" t="str">
        <f>HYPERLINK("https://www.ncbi.nlm.nih.gov/nuccore/NZ_KB913030.1?report=graph&amp;from=2472303&amp;to=2472307", "TTA_codon")</f>
        <v>TTA_codon</v>
      </c>
    </row>
    <row r="2500" spans="1:15" x14ac:dyDescent="0.15">
      <c r="A2500" t="s">
        <v>21</v>
      </c>
      <c r="B2500">
        <v>1001522</v>
      </c>
      <c r="C2500">
        <v>352432</v>
      </c>
      <c r="F2500" s="7">
        <v>3</v>
      </c>
      <c r="G2500" s="7" t="s">
        <v>2091</v>
      </c>
      <c r="H2500" s="8" t="s">
        <v>2092</v>
      </c>
      <c r="J2500" t="s">
        <v>23</v>
      </c>
      <c r="K2500" s="7">
        <v>1815</v>
      </c>
      <c r="L2500" s="9">
        <v>-1</v>
      </c>
      <c r="M2500" t="s">
        <v>30</v>
      </c>
      <c r="N2500" t="s">
        <v>31</v>
      </c>
      <c r="O2500" s="27" t="str">
        <f>HYPERLINK("https://www.ncbi.nlm.nih.gov/nuccore/NZ_KB913030.1?report=graph&amp;from=6659902&amp;to=6660242", "TTA_codon")</f>
        <v>TTA_codon</v>
      </c>
    </row>
    <row r="2501" spans="1:15" x14ac:dyDescent="0.15">
      <c r="A2501" t="s">
        <v>21</v>
      </c>
      <c r="B2501">
        <v>1001522</v>
      </c>
      <c r="C2501">
        <v>352612</v>
      </c>
      <c r="F2501" s="7">
        <v>2</v>
      </c>
      <c r="G2501" s="7" t="s">
        <v>2093</v>
      </c>
      <c r="H2501" s="8" t="s">
        <v>2094</v>
      </c>
      <c r="J2501" t="s">
        <v>23</v>
      </c>
      <c r="K2501" s="7">
        <v>2844</v>
      </c>
      <c r="L2501" s="9">
        <v>-1</v>
      </c>
      <c r="M2501" t="s">
        <v>2095</v>
      </c>
      <c r="N2501" t="s">
        <v>436</v>
      </c>
      <c r="O2501" s="27" t="str">
        <f>HYPERLINK("https://www.ncbi.nlm.nih.gov/nuccore/NZ_AUBE01000038.1?report=graph&amp;from=18687&amp;to=18835", "TTA_codon")</f>
        <v>TTA_codon</v>
      </c>
    </row>
    <row r="2502" spans="1:15" x14ac:dyDescent="0.15">
      <c r="A2502" t="s">
        <v>21</v>
      </c>
      <c r="B2502">
        <v>1001522</v>
      </c>
      <c r="C2502">
        <v>352896</v>
      </c>
      <c r="F2502" s="7">
        <v>1</v>
      </c>
      <c r="G2502" s="7">
        <v>2665</v>
      </c>
      <c r="H2502" s="8">
        <v>649</v>
      </c>
      <c r="J2502" t="s">
        <v>23</v>
      </c>
      <c r="K2502" s="7">
        <v>2373</v>
      </c>
      <c r="L2502" s="9">
        <v>-1</v>
      </c>
      <c r="M2502" t="s">
        <v>2096</v>
      </c>
      <c r="N2502" t="s">
        <v>306</v>
      </c>
      <c r="O2502" s="27" t="str">
        <f>HYPERLINK("https://www.ncbi.nlm.nih.gov/nuccore/NZ_KL571065.1?report=graph&amp;from=70511&amp;to=70515", "TTA_codon")</f>
        <v>TTA_codon</v>
      </c>
    </row>
    <row r="2503" spans="1:15" x14ac:dyDescent="0.15">
      <c r="A2503" t="s">
        <v>21</v>
      </c>
      <c r="B2503">
        <v>1001522</v>
      </c>
      <c r="C2503">
        <v>352941</v>
      </c>
      <c r="F2503" s="7">
        <v>1</v>
      </c>
      <c r="G2503" s="7">
        <v>4960</v>
      </c>
      <c r="H2503" s="8">
        <v>1372</v>
      </c>
      <c r="J2503" t="s">
        <v>23</v>
      </c>
      <c r="K2503" s="7">
        <v>2187</v>
      </c>
      <c r="L2503" s="9">
        <v>-1</v>
      </c>
      <c r="M2503" t="s">
        <v>940</v>
      </c>
      <c r="N2503" t="s">
        <v>306</v>
      </c>
      <c r="O2503" s="27" t="str">
        <f>HYPERLINK("https://www.ncbi.nlm.nih.gov/nuccore/NZ_KL571081.1?report=graph&amp;from=37493&amp;to=37497", "TTA_codon")</f>
        <v>TTA_codon</v>
      </c>
    </row>
    <row r="2504" spans="1:15" x14ac:dyDescent="0.15">
      <c r="A2504" t="s">
        <v>21</v>
      </c>
      <c r="B2504">
        <v>1001522</v>
      </c>
      <c r="C2504">
        <v>352942</v>
      </c>
      <c r="F2504" s="7">
        <v>1</v>
      </c>
      <c r="G2504" s="7">
        <v>2257</v>
      </c>
      <c r="H2504" s="8">
        <v>289</v>
      </c>
      <c r="J2504" t="s">
        <v>23</v>
      </c>
      <c r="K2504" s="7">
        <v>2454</v>
      </c>
      <c r="L2504" s="9">
        <v>-1</v>
      </c>
      <c r="M2504" t="s">
        <v>2097</v>
      </c>
      <c r="N2504" t="s">
        <v>306</v>
      </c>
      <c r="O2504" s="27" t="str">
        <f>HYPERLINK("https://www.ncbi.nlm.nih.gov/nuccore/NZ_KL571121.1?report=graph&amp;from=40121&amp;to=40125", "TTA_codon")</f>
        <v>TTA_codon</v>
      </c>
    </row>
    <row r="2505" spans="1:15" x14ac:dyDescent="0.15">
      <c r="A2505" t="s">
        <v>21</v>
      </c>
      <c r="B2505">
        <v>1001522</v>
      </c>
      <c r="C2505">
        <v>353582</v>
      </c>
      <c r="F2505" s="7">
        <v>2</v>
      </c>
      <c r="G2505" s="7" t="s">
        <v>2098</v>
      </c>
      <c r="H2505" s="8" t="s">
        <v>2099</v>
      </c>
      <c r="J2505" t="s">
        <v>23</v>
      </c>
      <c r="K2505" s="7">
        <v>3042</v>
      </c>
      <c r="L2505" s="9">
        <v>-1</v>
      </c>
      <c r="M2505" t="s">
        <v>2100</v>
      </c>
      <c r="N2505" t="s">
        <v>140</v>
      </c>
      <c r="O2505" s="27" t="str">
        <f>HYPERLINK("https://www.ncbi.nlm.nih.gov/nuccore/NZ_JNXG01000021.1?report=graph&amp;from=35698&amp;to=35867", "TTA_codon")</f>
        <v>TTA_codon</v>
      </c>
    </row>
    <row r="2506" spans="1:15" x14ac:dyDescent="0.15">
      <c r="A2506" t="s">
        <v>21</v>
      </c>
      <c r="B2506">
        <v>1001522</v>
      </c>
      <c r="C2506">
        <v>353758</v>
      </c>
      <c r="F2506" s="7">
        <v>1</v>
      </c>
      <c r="G2506" s="7">
        <v>5752</v>
      </c>
      <c r="H2506" s="8">
        <v>2575</v>
      </c>
      <c r="J2506" t="s">
        <v>23</v>
      </c>
      <c r="K2506" s="7">
        <v>2919</v>
      </c>
      <c r="L2506" s="9">
        <v>-1</v>
      </c>
      <c r="M2506" t="s">
        <v>538</v>
      </c>
      <c r="N2506" t="s">
        <v>246</v>
      </c>
      <c r="O2506" s="27" t="str">
        <f>HYPERLINK("https://www.ncbi.nlm.nih.gov/nuccore/NZ_JNYR01000003.1?report=graph&amp;from=69154&amp;to=69158", "TTA_codon")</f>
        <v>TTA_codon</v>
      </c>
    </row>
    <row r="2507" spans="1:15" x14ac:dyDescent="0.15">
      <c r="A2507" t="s">
        <v>21</v>
      </c>
      <c r="B2507">
        <v>1001522</v>
      </c>
      <c r="C2507">
        <v>353796</v>
      </c>
      <c r="F2507" s="7">
        <v>3</v>
      </c>
      <c r="G2507" s="7" t="s">
        <v>2101</v>
      </c>
      <c r="H2507" s="8" t="s">
        <v>2102</v>
      </c>
      <c r="J2507" t="s">
        <v>23</v>
      </c>
      <c r="K2507" s="7">
        <v>2199</v>
      </c>
      <c r="L2507" s="9">
        <v>-1</v>
      </c>
      <c r="M2507" t="s">
        <v>1641</v>
      </c>
      <c r="N2507" t="s">
        <v>246</v>
      </c>
      <c r="O2507" s="27" t="str">
        <f>HYPERLINK("https://www.ncbi.nlm.nih.gov/nuccore/NZ_JNYR01000038.1?report=graph&amp;from=60323&amp;to=61647", "TTA_codon")</f>
        <v>TTA_codon</v>
      </c>
    </row>
    <row r="2508" spans="1:15" x14ac:dyDescent="0.15">
      <c r="A2508" t="s">
        <v>21</v>
      </c>
      <c r="B2508">
        <v>1001522</v>
      </c>
      <c r="C2508">
        <v>354146</v>
      </c>
      <c r="F2508" s="7">
        <v>1</v>
      </c>
      <c r="G2508" s="7">
        <v>1330</v>
      </c>
      <c r="H2508" s="8">
        <v>568</v>
      </c>
      <c r="J2508" t="s">
        <v>23</v>
      </c>
      <c r="K2508" s="7">
        <v>3213</v>
      </c>
      <c r="L2508" s="9">
        <v>-1</v>
      </c>
      <c r="M2508" t="s">
        <v>2103</v>
      </c>
      <c r="N2508" t="s">
        <v>361</v>
      </c>
      <c r="O2508" s="27" t="str">
        <f>HYPERLINK("https://www.ncbi.nlm.nih.gov/nuccore/NZ_JODY01000028.1?report=graph&amp;from=63464&amp;to=63468", "TTA_codon")</f>
        <v>TTA_codon</v>
      </c>
    </row>
    <row r="2509" spans="1:15" x14ac:dyDescent="0.15">
      <c r="A2509" t="s">
        <v>21</v>
      </c>
      <c r="B2509">
        <v>1001522</v>
      </c>
      <c r="C2509">
        <v>354181</v>
      </c>
      <c r="F2509" s="7">
        <v>1</v>
      </c>
      <c r="G2509" s="7">
        <v>3043</v>
      </c>
      <c r="H2509" s="8">
        <v>1468</v>
      </c>
      <c r="J2509" t="s">
        <v>23</v>
      </c>
      <c r="K2509" s="7">
        <v>3216</v>
      </c>
      <c r="L2509" s="9">
        <v>-1</v>
      </c>
      <c r="M2509" t="s">
        <v>2104</v>
      </c>
      <c r="N2509" t="s">
        <v>361</v>
      </c>
      <c r="O2509" s="27" t="str">
        <f>HYPERLINK("https://www.ncbi.nlm.nih.gov/nuccore/NZ_JODY01000007.1?report=graph&amp;from=233226&amp;to=233230", "TTA_codon")</f>
        <v>TTA_codon</v>
      </c>
    </row>
    <row r="2510" spans="1:15" x14ac:dyDescent="0.15">
      <c r="A2510" t="s">
        <v>21</v>
      </c>
      <c r="B2510">
        <v>1001522</v>
      </c>
      <c r="C2510">
        <v>354184</v>
      </c>
      <c r="F2510" s="7">
        <v>2</v>
      </c>
      <c r="G2510" s="7" t="s">
        <v>2105</v>
      </c>
      <c r="H2510" s="8" t="s">
        <v>2106</v>
      </c>
      <c r="J2510" t="s">
        <v>23</v>
      </c>
      <c r="K2510" s="7">
        <v>864</v>
      </c>
      <c r="L2510" s="9">
        <v>-1</v>
      </c>
      <c r="M2510" t="s">
        <v>943</v>
      </c>
      <c r="N2510" t="s">
        <v>361</v>
      </c>
      <c r="O2510" s="27" t="str">
        <f>HYPERLINK("https://www.ncbi.nlm.nih.gov/nuccore/NZ_JODY01000014.1?report=graph&amp;from=68657&amp;to=68775", "TTA_codon")</f>
        <v>TTA_codon</v>
      </c>
    </row>
    <row r="2511" spans="1:15" x14ac:dyDescent="0.15">
      <c r="A2511" t="s">
        <v>21</v>
      </c>
      <c r="B2511">
        <v>1001522</v>
      </c>
      <c r="C2511">
        <v>354200</v>
      </c>
      <c r="F2511" s="7">
        <v>1</v>
      </c>
      <c r="G2511" s="7">
        <v>2176</v>
      </c>
      <c r="H2511" s="8">
        <v>136</v>
      </c>
      <c r="J2511" t="s">
        <v>23</v>
      </c>
      <c r="K2511" s="7">
        <v>2127</v>
      </c>
      <c r="L2511" s="9">
        <v>-1</v>
      </c>
      <c r="M2511" t="s">
        <v>2104</v>
      </c>
      <c r="N2511" t="s">
        <v>361</v>
      </c>
      <c r="O2511" s="27" t="str">
        <f>HYPERLINK("https://www.ncbi.nlm.nih.gov/nuccore/NZ_JODY01000007.1?report=graph&amp;from=238743&amp;to=238747", "TTA_codon")</f>
        <v>TTA_codon</v>
      </c>
    </row>
    <row r="2512" spans="1:15" x14ac:dyDescent="0.15">
      <c r="A2512" t="s">
        <v>21</v>
      </c>
      <c r="B2512">
        <v>1001522</v>
      </c>
      <c r="C2512">
        <v>354329</v>
      </c>
      <c r="F2512" s="7">
        <v>2</v>
      </c>
      <c r="G2512" s="7" t="s">
        <v>2107</v>
      </c>
      <c r="H2512" s="8" t="s">
        <v>2108</v>
      </c>
      <c r="J2512" t="s">
        <v>23</v>
      </c>
      <c r="K2512" s="7">
        <v>2031</v>
      </c>
      <c r="L2512" s="9">
        <v>-1</v>
      </c>
      <c r="M2512" t="s">
        <v>141</v>
      </c>
      <c r="N2512" t="s">
        <v>142</v>
      </c>
      <c r="O2512" s="27" t="str">
        <f>HYPERLINK("https://www.ncbi.nlm.nih.gov/nuccore/NZ_JOEI01000002.1?report=graph&amp;from=357865&amp;to=359396", "TTA_codon")</f>
        <v>TTA_codon</v>
      </c>
    </row>
    <row r="2513" spans="1:15" x14ac:dyDescent="0.15">
      <c r="A2513" t="s">
        <v>21</v>
      </c>
      <c r="B2513">
        <v>1001522</v>
      </c>
      <c r="C2513">
        <v>354330</v>
      </c>
      <c r="F2513" s="7">
        <v>1</v>
      </c>
      <c r="G2513" s="7">
        <v>2422</v>
      </c>
      <c r="H2513" s="8">
        <v>988</v>
      </c>
      <c r="J2513" t="s">
        <v>23</v>
      </c>
      <c r="K2513" s="7">
        <v>1899</v>
      </c>
      <c r="L2513" s="9">
        <v>-1</v>
      </c>
      <c r="M2513" t="s">
        <v>764</v>
      </c>
      <c r="N2513" t="s">
        <v>142</v>
      </c>
      <c r="O2513" s="27" t="str">
        <f>HYPERLINK("https://www.ncbi.nlm.nih.gov/nuccore/NZ_JOEI01000001.1?report=graph&amp;from=45090&amp;to=45094", "TTA_codon")</f>
        <v>TTA_codon</v>
      </c>
    </row>
    <row r="2514" spans="1:15" x14ac:dyDescent="0.15">
      <c r="A2514" t="s">
        <v>21</v>
      </c>
      <c r="B2514">
        <v>1001522</v>
      </c>
      <c r="C2514">
        <v>354358</v>
      </c>
      <c r="F2514" s="7">
        <v>2</v>
      </c>
      <c r="G2514" s="7" t="s">
        <v>2109</v>
      </c>
      <c r="H2514" s="8" t="s">
        <v>2110</v>
      </c>
      <c r="J2514" t="s">
        <v>23</v>
      </c>
      <c r="K2514" s="7">
        <v>3216</v>
      </c>
      <c r="L2514" s="9">
        <v>-1</v>
      </c>
      <c r="M2514" t="s">
        <v>945</v>
      </c>
      <c r="N2514" t="s">
        <v>142</v>
      </c>
      <c r="O2514" s="27" t="str">
        <f>HYPERLINK("https://www.ncbi.nlm.nih.gov/nuccore/NZ_JOEI01000016.1?report=graph&amp;from=180617&amp;to=180936", "TTA_codon")</f>
        <v>TTA_codon</v>
      </c>
    </row>
    <row r="2515" spans="1:15" x14ac:dyDescent="0.15">
      <c r="A2515" t="s">
        <v>21</v>
      </c>
      <c r="B2515">
        <v>1001522</v>
      </c>
      <c r="C2515">
        <v>354359</v>
      </c>
      <c r="F2515" s="7">
        <v>1</v>
      </c>
      <c r="G2515" s="7">
        <v>3136</v>
      </c>
      <c r="H2515" s="8">
        <v>1129</v>
      </c>
      <c r="J2515" t="s">
        <v>23</v>
      </c>
      <c r="K2515" s="7">
        <v>2433</v>
      </c>
      <c r="L2515" s="9">
        <v>-1</v>
      </c>
      <c r="M2515" t="s">
        <v>2111</v>
      </c>
      <c r="N2515" t="s">
        <v>142</v>
      </c>
      <c r="O2515" s="27" t="str">
        <f>HYPERLINK("https://www.ncbi.nlm.nih.gov/nuccore/NZ_JOEI01000027.1?report=graph&amp;from=85462&amp;to=85466", "TTA_codon")</f>
        <v>TTA_codon</v>
      </c>
    </row>
    <row r="2516" spans="1:15" x14ac:dyDescent="0.15">
      <c r="A2516" t="s">
        <v>21</v>
      </c>
      <c r="B2516">
        <v>1001522</v>
      </c>
      <c r="C2516">
        <v>354578</v>
      </c>
      <c r="F2516" s="7">
        <v>2</v>
      </c>
      <c r="G2516" s="7" t="s">
        <v>2052</v>
      </c>
      <c r="H2516" s="8" t="s">
        <v>2112</v>
      </c>
      <c r="J2516" t="s">
        <v>23</v>
      </c>
      <c r="K2516" s="7">
        <v>3033</v>
      </c>
      <c r="L2516" s="9">
        <v>-1</v>
      </c>
      <c r="M2516" t="s">
        <v>1935</v>
      </c>
      <c r="N2516" t="s">
        <v>272</v>
      </c>
      <c r="O2516" s="27" t="str">
        <f>HYPERLINK("https://www.ncbi.nlm.nih.gov/nuccore/NZ_JOEY01000081.1?report=graph&amp;from=24200&amp;to=24771", "TTA_codon")</f>
        <v>TTA_codon</v>
      </c>
    </row>
    <row r="2517" spans="1:15" x14ac:dyDescent="0.15">
      <c r="A2517" t="s">
        <v>21</v>
      </c>
      <c r="B2517">
        <v>1001522</v>
      </c>
      <c r="C2517">
        <v>354583</v>
      </c>
      <c r="F2517" s="7">
        <v>1</v>
      </c>
      <c r="G2517" s="7">
        <v>2905</v>
      </c>
      <c r="H2517" s="8">
        <v>1366</v>
      </c>
      <c r="J2517" t="s">
        <v>23</v>
      </c>
      <c r="K2517" s="7">
        <v>3027</v>
      </c>
      <c r="L2517" s="9">
        <v>-1</v>
      </c>
      <c r="M2517" t="s">
        <v>2113</v>
      </c>
      <c r="N2517" t="s">
        <v>272</v>
      </c>
      <c r="O2517" s="27" t="str">
        <f>HYPERLINK("https://www.ncbi.nlm.nih.gov/nuccore/NZ_JOEY01000009.1?report=graph&amp;from=103551&amp;to=103555", "TTA_codon")</f>
        <v>TTA_codon</v>
      </c>
    </row>
    <row r="2518" spans="1:15" x14ac:dyDescent="0.15">
      <c r="A2518" t="s">
        <v>21</v>
      </c>
      <c r="B2518">
        <v>1001522</v>
      </c>
      <c r="C2518">
        <v>354584</v>
      </c>
      <c r="F2518" s="7">
        <v>1</v>
      </c>
      <c r="G2518" s="7">
        <v>589</v>
      </c>
      <c r="H2518" s="8">
        <v>85</v>
      </c>
      <c r="J2518" t="s">
        <v>23</v>
      </c>
      <c r="K2518" s="7">
        <v>792</v>
      </c>
      <c r="L2518" s="9">
        <v>-1</v>
      </c>
      <c r="M2518" t="s">
        <v>2114</v>
      </c>
      <c r="N2518" t="s">
        <v>272</v>
      </c>
      <c r="O2518" s="27" t="str">
        <f>HYPERLINK("https://www.ncbi.nlm.nih.gov/nuccore/NZ_JOEY01000075.1?report=graph&amp;from=23342&amp;to=23346", "TTA_codon")</f>
        <v>TTA_codon</v>
      </c>
    </row>
    <row r="2519" spans="1:15" x14ac:dyDescent="0.15">
      <c r="A2519" t="s">
        <v>21</v>
      </c>
      <c r="B2519">
        <v>1001522</v>
      </c>
      <c r="C2519">
        <v>354848</v>
      </c>
      <c r="F2519" s="7">
        <v>1</v>
      </c>
      <c r="G2519" s="7">
        <v>2560</v>
      </c>
      <c r="H2519" s="8">
        <v>1093</v>
      </c>
      <c r="J2519" t="s">
        <v>23</v>
      </c>
      <c r="K2519" s="7">
        <v>3006</v>
      </c>
      <c r="L2519" s="9">
        <v>-1</v>
      </c>
      <c r="M2519" t="s">
        <v>281</v>
      </c>
      <c r="N2519" t="s">
        <v>25</v>
      </c>
      <c r="O2519" s="27" t="str">
        <f>HYPERLINK("https://www.ncbi.nlm.nih.gov/nuccore/NZ_JOFU01000030.1?report=graph&amp;from=50371&amp;to=50375", "TTA_codon")</f>
        <v>TTA_codon</v>
      </c>
    </row>
    <row r="2520" spans="1:15" x14ac:dyDescent="0.15">
      <c r="A2520" t="s">
        <v>21</v>
      </c>
      <c r="B2520">
        <v>1001522</v>
      </c>
      <c r="C2520">
        <v>354875</v>
      </c>
      <c r="F2520" s="7">
        <v>1</v>
      </c>
      <c r="G2520" s="7">
        <v>1273</v>
      </c>
      <c r="H2520" s="8">
        <v>70</v>
      </c>
      <c r="J2520" t="s">
        <v>23</v>
      </c>
      <c r="K2520" s="7">
        <v>2694</v>
      </c>
      <c r="L2520" s="9">
        <v>-1</v>
      </c>
      <c r="M2520" t="s">
        <v>2115</v>
      </c>
      <c r="N2520" t="s">
        <v>25</v>
      </c>
      <c r="O2520" s="27" t="str">
        <f>HYPERLINK("https://www.ncbi.nlm.nih.gov/nuccore/NZ_JOFU01000004.1?report=graph&amp;from=147580&amp;to=147584", "TTA_codon")</f>
        <v>TTA_codon</v>
      </c>
    </row>
    <row r="2521" spans="1:15" x14ac:dyDescent="0.15">
      <c r="A2521" t="s">
        <v>21</v>
      </c>
      <c r="B2521">
        <v>1001522</v>
      </c>
      <c r="C2521">
        <v>355111</v>
      </c>
      <c r="F2521" s="7">
        <v>1</v>
      </c>
      <c r="G2521" s="7">
        <v>3136</v>
      </c>
      <c r="H2521" s="8">
        <v>880</v>
      </c>
      <c r="J2521" t="s">
        <v>23</v>
      </c>
      <c r="K2521" s="7">
        <v>2250</v>
      </c>
      <c r="L2521" s="9">
        <v>-1</v>
      </c>
      <c r="M2521" t="s">
        <v>2116</v>
      </c>
      <c r="N2521" t="s">
        <v>433</v>
      </c>
      <c r="O2521" s="27" t="str">
        <f>HYPERLINK("https://www.ncbi.nlm.nih.gov/nuccore/NZ_JOBF01000039.1?report=graph&amp;from=5272&amp;to=5276", "TTA_codon")</f>
        <v>TTA_codon</v>
      </c>
    </row>
    <row r="2522" spans="1:15" x14ac:dyDescent="0.15">
      <c r="A2522" t="s">
        <v>21</v>
      </c>
      <c r="B2522">
        <v>1001522</v>
      </c>
      <c r="C2522">
        <v>355635</v>
      </c>
      <c r="F2522" s="7">
        <v>1</v>
      </c>
      <c r="G2522" s="7">
        <v>1471</v>
      </c>
      <c r="H2522" s="8">
        <v>874</v>
      </c>
      <c r="J2522" t="s">
        <v>23</v>
      </c>
      <c r="K2522" s="7">
        <v>3117</v>
      </c>
      <c r="L2522" s="9">
        <v>-1</v>
      </c>
      <c r="M2522" t="s">
        <v>2117</v>
      </c>
      <c r="N2522" t="s">
        <v>278</v>
      </c>
      <c r="O2522" s="27" t="str">
        <f>HYPERLINK("https://www.ncbi.nlm.nih.gov/nuccore/NZ_JOID01000020.1?report=graph&amp;from=18497&amp;to=18501", "TTA_codon")</f>
        <v>TTA_codon</v>
      </c>
    </row>
    <row r="2523" spans="1:15" x14ac:dyDescent="0.15">
      <c r="A2523" t="s">
        <v>21</v>
      </c>
      <c r="B2523">
        <v>1001522</v>
      </c>
      <c r="C2523">
        <v>355893</v>
      </c>
      <c r="F2523" s="7">
        <v>1</v>
      </c>
      <c r="G2523" s="7">
        <v>1441</v>
      </c>
      <c r="H2523" s="8">
        <v>670</v>
      </c>
      <c r="J2523" t="s">
        <v>23</v>
      </c>
      <c r="K2523" s="7">
        <v>3036</v>
      </c>
      <c r="L2523" s="9">
        <v>-1</v>
      </c>
      <c r="M2523" t="s">
        <v>2118</v>
      </c>
      <c r="N2523" t="s">
        <v>384</v>
      </c>
      <c r="O2523" s="27" t="str">
        <f>HYPERLINK("https://www.ncbi.nlm.nih.gov/nuccore/NZ_JOAK01000003.1?report=graph&amp;from=78590&amp;to=78594", "TTA_codon")</f>
        <v>TTA_codon</v>
      </c>
    </row>
    <row r="2524" spans="1:15" x14ac:dyDescent="0.15">
      <c r="A2524" t="s">
        <v>21</v>
      </c>
      <c r="B2524">
        <v>1001522</v>
      </c>
      <c r="C2524">
        <v>356373</v>
      </c>
      <c r="F2524" s="7">
        <v>1</v>
      </c>
      <c r="G2524" s="7">
        <v>691</v>
      </c>
      <c r="H2524" s="8">
        <v>160</v>
      </c>
      <c r="J2524" t="s">
        <v>23</v>
      </c>
      <c r="K2524" s="7">
        <v>807</v>
      </c>
      <c r="L2524" s="9">
        <v>-1</v>
      </c>
      <c r="M2524" t="s">
        <v>2119</v>
      </c>
      <c r="N2524" t="s">
        <v>354</v>
      </c>
      <c r="O2524" s="27" t="str">
        <f>HYPERLINK("https://www.ncbi.nlm.nih.gov/nuccore/NZ_JQJU01000063.1?report=graph&amp;from=17813&amp;to=17817", "TTA_codon")</f>
        <v>TTA_codon</v>
      </c>
    </row>
    <row r="2525" spans="1:15" x14ac:dyDescent="0.15">
      <c r="A2525" t="s">
        <v>21</v>
      </c>
      <c r="B2525">
        <v>1001522</v>
      </c>
      <c r="C2525">
        <v>356864</v>
      </c>
      <c r="F2525" s="7">
        <v>1</v>
      </c>
      <c r="G2525" s="7">
        <v>3355</v>
      </c>
      <c r="H2525" s="8">
        <v>1573</v>
      </c>
      <c r="J2525" t="s">
        <v>23</v>
      </c>
      <c r="K2525" s="7">
        <v>3039</v>
      </c>
      <c r="L2525" s="9">
        <v>-1</v>
      </c>
      <c r="M2525" t="s">
        <v>78</v>
      </c>
      <c r="N2525" t="s">
        <v>79</v>
      </c>
      <c r="O2525" s="27" t="str">
        <f>HYPERLINK("https://www.ncbi.nlm.nih.gov/nuccore/NZ_CP009313.1?report=graph&amp;from=6890786&amp;to=6890790", "TTA_codon")</f>
        <v>TTA_codon</v>
      </c>
    </row>
    <row r="2526" spans="1:15" x14ac:dyDescent="0.15">
      <c r="A2526" t="s">
        <v>21</v>
      </c>
      <c r="B2526">
        <v>1001522</v>
      </c>
      <c r="C2526">
        <v>357016</v>
      </c>
      <c r="F2526" s="7">
        <v>1</v>
      </c>
      <c r="G2526" s="7">
        <v>2467</v>
      </c>
      <c r="H2526" s="8">
        <v>1096</v>
      </c>
      <c r="J2526" t="s">
        <v>23</v>
      </c>
      <c r="K2526" s="7">
        <v>1971</v>
      </c>
      <c r="L2526" s="9">
        <v>-1</v>
      </c>
      <c r="M2526" t="s">
        <v>162</v>
      </c>
      <c r="N2526" t="s">
        <v>163</v>
      </c>
      <c r="O2526" s="27" t="str">
        <f>HYPERLINK("https://www.ncbi.nlm.nih.gov/nuccore/NZ_CP010519.1?report=graph&amp;from=1521757&amp;to=1521761", "TTA_codon")</f>
        <v>TTA_codon</v>
      </c>
    </row>
    <row r="2527" spans="1:15" x14ac:dyDescent="0.15">
      <c r="A2527" t="s">
        <v>21</v>
      </c>
      <c r="B2527">
        <v>1001522</v>
      </c>
      <c r="C2527">
        <v>357144</v>
      </c>
      <c r="F2527" s="7">
        <v>1</v>
      </c>
      <c r="G2527" s="7">
        <v>976</v>
      </c>
      <c r="H2527" s="8">
        <v>331</v>
      </c>
      <c r="J2527" t="s">
        <v>23</v>
      </c>
      <c r="K2527" s="7">
        <v>3015</v>
      </c>
      <c r="L2527" s="9">
        <v>-1</v>
      </c>
      <c r="M2527" t="s">
        <v>205</v>
      </c>
      <c r="N2527" t="s">
        <v>206</v>
      </c>
      <c r="O2527" s="27" t="str">
        <f>HYPERLINK("https://www.ncbi.nlm.nih.gov/nuccore/NZ_CP010407.1?report=graph&amp;from=451606&amp;to=451610", "TTA_codon")</f>
        <v>TTA_codon</v>
      </c>
    </row>
    <row r="2528" spans="1:15" x14ac:dyDescent="0.15">
      <c r="A2528" t="s">
        <v>21</v>
      </c>
      <c r="B2528">
        <v>1001522</v>
      </c>
      <c r="C2528">
        <v>357274</v>
      </c>
      <c r="F2528" s="7">
        <v>1</v>
      </c>
      <c r="G2528" s="7">
        <v>1030</v>
      </c>
      <c r="H2528" s="8">
        <v>346</v>
      </c>
      <c r="J2528" t="s">
        <v>23</v>
      </c>
      <c r="K2528" s="7">
        <v>2505</v>
      </c>
      <c r="L2528" s="9">
        <v>-1</v>
      </c>
      <c r="M2528" t="s">
        <v>250</v>
      </c>
      <c r="N2528" t="s">
        <v>251</v>
      </c>
      <c r="O2528" s="27" t="str">
        <f>HYPERLINK("https://www.ncbi.nlm.nih.gov/nuccore/NZ_CP009922.2?report=graph&amp;from=5589419&amp;to=5589423", "TTA_codon")</f>
        <v>TTA_codon</v>
      </c>
    </row>
    <row r="2529" spans="1:15" x14ac:dyDescent="0.15">
      <c r="A2529" t="s">
        <v>21</v>
      </c>
      <c r="B2529">
        <v>1001522</v>
      </c>
      <c r="C2529">
        <v>357275</v>
      </c>
      <c r="F2529" s="7">
        <v>1</v>
      </c>
      <c r="G2529" s="7">
        <v>529</v>
      </c>
      <c r="H2529" s="8">
        <v>40</v>
      </c>
      <c r="J2529" t="s">
        <v>23</v>
      </c>
      <c r="K2529" s="7">
        <v>3093</v>
      </c>
      <c r="L2529" s="9">
        <v>-1</v>
      </c>
      <c r="M2529" t="s">
        <v>250</v>
      </c>
      <c r="N2529" t="s">
        <v>251</v>
      </c>
      <c r="O2529" s="27" t="str">
        <f>HYPERLINK("https://www.ncbi.nlm.nih.gov/nuccore/NZ_CP009922.2?report=graph&amp;from=1930220&amp;to=1930224", "TTA_codon")</f>
        <v>TTA_codon</v>
      </c>
    </row>
    <row r="2530" spans="1:15" x14ac:dyDescent="0.15">
      <c r="A2530" t="s">
        <v>21</v>
      </c>
      <c r="B2530">
        <v>1001522</v>
      </c>
      <c r="C2530">
        <v>357557</v>
      </c>
      <c r="F2530" s="7">
        <v>1</v>
      </c>
      <c r="G2530" s="7">
        <v>4516</v>
      </c>
      <c r="H2530" s="8">
        <v>1903</v>
      </c>
      <c r="J2530" t="s">
        <v>23</v>
      </c>
      <c r="K2530" s="7">
        <v>2916</v>
      </c>
      <c r="L2530" s="9">
        <v>-1</v>
      </c>
      <c r="M2530" t="s">
        <v>957</v>
      </c>
      <c r="N2530" t="s">
        <v>378</v>
      </c>
      <c r="O2530" s="27" t="str">
        <f>HYPERLINK("https://www.ncbi.nlm.nih.gov/nuccore/NZ_LFXA01000017.1?report=graph&amp;from=802636&amp;to=802640", "TTA_codon")</f>
        <v>TTA_codon</v>
      </c>
    </row>
    <row r="2531" spans="1:15" x14ac:dyDescent="0.15">
      <c r="A2531" t="s">
        <v>21</v>
      </c>
      <c r="B2531">
        <v>1001522</v>
      </c>
      <c r="C2531">
        <v>357558</v>
      </c>
      <c r="F2531" s="7">
        <v>5</v>
      </c>
      <c r="G2531" s="7" t="s">
        <v>2120</v>
      </c>
      <c r="H2531" s="8" t="s">
        <v>2121</v>
      </c>
      <c r="J2531" t="s">
        <v>23</v>
      </c>
      <c r="K2531" s="7">
        <v>1866</v>
      </c>
      <c r="L2531" s="9">
        <v>-1</v>
      </c>
      <c r="M2531" t="s">
        <v>814</v>
      </c>
      <c r="N2531" t="s">
        <v>378</v>
      </c>
      <c r="O2531" s="27" t="str">
        <f>HYPERLINK("https://www.ncbi.nlm.nih.gov/nuccore/NZ_LFXA01000002.1?report=graph&amp;from=718&amp;to=2336", "TTA_codon")</f>
        <v>TTA_codon</v>
      </c>
    </row>
    <row r="2532" spans="1:15" x14ac:dyDescent="0.15">
      <c r="A2532" t="s">
        <v>21</v>
      </c>
      <c r="B2532">
        <v>1001522</v>
      </c>
      <c r="C2532">
        <v>357560</v>
      </c>
      <c r="F2532" s="7">
        <v>1</v>
      </c>
      <c r="G2532" s="7">
        <v>658</v>
      </c>
      <c r="H2532" s="8">
        <v>145</v>
      </c>
      <c r="J2532" t="s">
        <v>23</v>
      </c>
      <c r="K2532" s="7">
        <v>1926</v>
      </c>
      <c r="L2532" s="9">
        <v>-1</v>
      </c>
      <c r="M2532" t="s">
        <v>957</v>
      </c>
      <c r="N2532" t="s">
        <v>378</v>
      </c>
      <c r="O2532" s="27" t="str">
        <f>HYPERLINK("https://www.ncbi.nlm.nih.gov/nuccore/NZ_LFXA01000017.1?report=graph&amp;from=452405&amp;to=452409", "TTA_codon")</f>
        <v>TTA_codon</v>
      </c>
    </row>
    <row r="2533" spans="1:15" x14ac:dyDescent="0.15">
      <c r="A2533" t="s">
        <v>21</v>
      </c>
      <c r="B2533">
        <v>1001522</v>
      </c>
      <c r="C2533">
        <v>357573</v>
      </c>
      <c r="F2533" s="7">
        <v>1</v>
      </c>
      <c r="G2533" s="7">
        <v>2773</v>
      </c>
      <c r="H2533" s="8">
        <v>499</v>
      </c>
      <c r="J2533" t="s">
        <v>23</v>
      </c>
      <c r="K2533" s="7">
        <v>2085</v>
      </c>
      <c r="L2533" s="9">
        <v>-1</v>
      </c>
      <c r="M2533" t="s">
        <v>2122</v>
      </c>
      <c r="N2533" t="s">
        <v>378</v>
      </c>
      <c r="O2533" s="27" t="str">
        <f>HYPERLINK("https://www.ncbi.nlm.nih.gov/nuccore/NZ_LFXA01000001.1?report=graph&amp;from=190684&amp;to=190688", "TTA_codon")</f>
        <v>TTA_codon</v>
      </c>
    </row>
    <row r="2534" spans="1:15" x14ac:dyDescent="0.15">
      <c r="A2534" t="s">
        <v>21</v>
      </c>
      <c r="B2534">
        <v>1001522</v>
      </c>
      <c r="C2534">
        <v>357952</v>
      </c>
      <c r="F2534" s="7">
        <v>2</v>
      </c>
      <c r="G2534" s="7" t="s">
        <v>2123</v>
      </c>
      <c r="H2534" s="8" t="s">
        <v>2124</v>
      </c>
      <c r="J2534" t="s">
        <v>23</v>
      </c>
      <c r="K2534" s="7">
        <v>2874</v>
      </c>
      <c r="L2534" s="9">
        <v>-1</v>
      </c>
      <c r="M2534" t="s">
        <v>261</v>
      </c>
      <c r="N2534" t="s">
        <v>262</v>
      </c>
      <c r="O2534" s="27" t="str">
        <f>HYPERLINK("https://www.ncbi.nlm.nih.gov/nuccore/NZ_CP011340.1?report=graph&amp;from=997471&amp;to=998021", "TTA_codon")</f>
        <v>TTA_codon</v>
      </c>
    </row>
    <row r="2535" spans="1:15" x14ac:dyDescent="0.15">
      <c r="A2535" t="s">
        <v>21</v>
      </c>
      <c r="B2535">
        <v>1001522</v>
      </c>
      <c r="C2535">
        <v>358137</v>
      </c>
      <c r="F2535" s="7">
        <v>1</v>
      </c>
      <c r="G2535" s="7">
        <v>2260</v>
      </c>
      <c r="H2535" s="8">
        <v>226</v>
      </c>
      <c r="J2535" t="s">
        <v>23</v>
      </c>
      <c r="K2535" s="7">
        <v>2163</v>
      </c>
      <c r="L2535" s="9">
        <v>-1</v>
      </c>
      <c r="M2535" t="s">
        <v>2125</v>
      </c>
      <c r="N2535" t="s">
        <v>119</v>
      </c>
      <c r="O2535" s="27" t="str">
        <f>HYPERLINK("https://www.ncbi.nlm.nih.gov/nuccore/NZ_LIPP01000269.1?report=graph&amp;from=5463&amp;to=5467", "TTA_codon")</f>
        <v>TTA_codon</v>
      </c>
    </row>
    <row r="2536" spans="1:15" x14ac:dyDescent="0.15">
      <c r="A2536" t="s">
        <v>21</v>
      </c>
      <c r="B2536">
        <v>1001522</v>
      </c>
      <c r="C2536">
        <v>358381</v>
      </c>
      <c r="F2536" s="7">
        <v>1</v>
      </c>
      <c r="G2536" s="7">
        <v>3892</v>
      </c>
      <c r="H2536" s="8">
        <v>1057</v>
      </c>
      <c r="J2536" t="s">
        <v>23</v>
      </c>
      <c r="K2536" s="7">
        <v>1851</v>
      </c>
      <c r="L2536" s="9">
        <v>-1</v>
      </c>
      <c r="M2536" t="s">
        <v>2126</v>
      </c>
      <c r="N2536" t="s">
        <v>85</v>
      </c>
      <c r="O2536" s="27" t="str">
        <f>HYPERLINK("https://www.ncbi.nlm.nih.gov/nuccore/NZ_LIQX01000878.1?report=graph&amp;from=806&amp;to=810", "TTA_codon")</f>
        <v>TTA_codon</v>
      </c>
    </row>
    <row r="2537" spans="1:15" x14ac:dyDescent="0.15">
      <c r="A2537" t="s">
        <v>21</v>
      </c>
      <c r="B2537">
        <v>1001522</v>
      </c>
      <c r="C2537">
        <v>358860</v>
      </c>
      <c r="F2537" s="7">
        <v>1</v>
      </c>
      <c r="G2537" s="7">
        <v>1243</v>
      </c>
      <c r="H2537" s="8">
        <v>502</v>
      </c>
      <c r="J2537" t="s">
        <v>23</v>
      </c>
      <c r="K2537" s="7">
        <v>2778</v>
      </c>
      <c r="L2537" s="9">
        <v>-1</v>
      </c>
      <c r="M2537" t="s">
        <v>2127</v>
      </c>
      <c r="N2537" t="s">
        <v>87</v>
      </c>
      <c r="O2537" s="27" t="str">
        <f>HYPERLINK("https://www.ncbi.nlm.nih.gov/nuccore/NZ_LIQS01000298.1?report=graph&amp;from=42028&amp;to=42032", "TTA_codon")</f>
        <v>TTA_codon</v>
      </c>
    </row>
    <row r="2538" spans="1:15" x14ac:dyDescent="0.15">
      <c r="A2538" t="s">
        <v>21</v>
      </c>
      <c r="B2538">
        <v>1001522</v>
      </c>
      <c r="C2538">
        <v>359062</v>
      </c>
      <c r="F2538" s="7">
        <v>1</v>
      </c>
      <c r="G2538" s="7">
        <v>1906</v>
      </c>
      <c r="H2538" s="8">
        <v>817</v>
      </c>
      <c r="J2538" t="s">
        <v>23</v>
      </c>
      <c r="K2538" s="7">
        <v>3237</v>
      </c>
      <c r="L2538" s="9">
        <v>-1</v>
      </c>
      <c r="M2538" t="s">
        <v>2128</v>
      </c>
      <c r="N2538" t="s">
        <v>451</v>
      </c>
      <c r="O2538" s="27" t="str">
        <f>HYPERLINK("https://www.ncbi.nlm.nih.gov/nuccore/NZ_LIQZ01000104.1?report=graph&amp;from=10792&amp;to=10796", "TTA_codon")</f>
        <v>TTA_codon</v>
      </c>
    </row>
    <row r="2539" spans="1:15" x14ac:dyDescent="0.15">
      <c r="A2539" t="s">
        <v>21</v>
      </c>
      <c r="B2539">
        <v>1001522</v>
      </c>
      <c r="C2539">
        <v>359063</v>
      </c>
      <c r="F2539" s="7">
        <v>2</v>
      </c>
      <c r="G2539" s="7" t="s">
        <v>2129</v>
      </c>
      <c r="H2539" s="8" t="s">
        <v>2130</v>
      </c>
      <c r="J2539" t="s">
        <v>23</v>
      </c>
      <c r="K2539" s="7">
        <v>2235</v>
      </c>
      <c r="L2539" s="9">
        <v>-1</v>
      </c>
      <c r="M2539" t="s">
        <v>2131</v>
      </c>
      <c r="N2539" t="s">
        <v>451</v>
      </c>
      <c r="O2539" s="27" t="str">
        <f>HYPERLINK("https://www.ncbi.nlm.nih.gov/nuccore/NZ_LIQZ01000079.1?report=graph&amp;from=16684&amp;to=17180", "TTA_codon")</f>
        <v>TTA_codon</v>
      </c>
    </row>
    <row r="2540" spans="1:15" x14ac:dyDescent="0.15">
      <c r="A2540" t="s">
        <v>21</v>
      </c>
      <c r="B2540">
        <v>1001522</v>
      </c>
      <c r="C2540">
        <v>359067</v>
      </c>
      <c r="F2540" s="7">
        <v>1</v>
      </c>
      <c r="G2540" s="7">
        <v>2077</v>
      </c>
      <c r="H2540" s="8">
        <v>877</v>
      </c>
      <c r="J2540" t="s">
        <v>23</v>
      </c>
      <c r="K2540" s="7">
        <v>3417</v>
      </c>
      <c r="L2540" s="9">
        <v>-1</v>
      </c>
      <c r="M2540" t="s">
        <v>2132</v>
      </c>
      <c r="N2540" t="s">
        <v>451</v>
      </c>
      <c r="O2540" s="27" t="str">
        <f>HYPERLINK("https://www.ncbi.nlm.nih.gov/nuccore/NZ_LIQZ01000087.1?report=graph&amp;from=98740&amp;to=98744", "TTA_codon")</f>
        <v>TTA_codon</v>
      </c>
    </row>
    <row r="2541" spans="1:15" x14ac:dyDescent="0.15">
      <c r="A2541" t="s">
        <v>21</v>
      </c>
      <c r="B2541">
        <v>1001522</v>
      </c>
      <c r="C2541">
        <v>359316</v>
      </c>
      <c r="F2541" s="7">
        <v>2</v>
      </c>
      <c r="G2541" s="7" t="s">
        <v>2133</v>
      </c>
      <c r="H2541" s="8" t="s">
        <v>580</v>
      </c>
      <c r="J2541" t="s">
        <v>23</v>
      </c>
      <c r="K2541" s="7">
        <v>2199</v>
      </c>
      <c r="L2541" s="9">
        <v>-1</v>
      </c>
      <c r="M2541" t="s">
        <v>2134</v>
      </c>
      <c r="N2541" t="s">
        <v>89</v>
      </c>
      <c r="O2541" s="27" t="str">
        <f>HYPERLINK("https://www.ncbi.nlm.nih.gov/nuccore/NZ_LIRG01000125.1?report=graph&amp;from=11367&amp;to=12829", "TTA_codon")</f>
        <v>TTA_codon</v>
      </c>
    </row>
    <row r="2542" spans="1:15" x14ac:dyDescent="0.15">
      <c r="A2542" t="s">
        <v>21</v>
      </c>
      <c r="B2542">
        <v>1001522</v>
      </c>
      <c r="C2542">
        <v>359469</v>
      </c>
      <c r="F2542" s="7">
        <v>1</v>
      </c>
      <c r="G2542" s="7">
        <v>775</v>
      </c>
      <c r="H2542" s="8">
        <v>226</v>
      </c>
      <c r="J2542" t="s">
        <v>23</v>
      </c>
      <c r="K2542" s="7">
        <v>849</v>
      </c>
      <c r="L2542" s="9">
        <v>-1</v>
      </c>
      <c r="M2542" t="s">
        <v>151</v>
      </c>
      <c r="N2542" t="s">
        <v>152</v>
      </c>
      <c r="O2542" s="27" t="str">
        <f>HYPERLINK("https://www.ncbi.nlm.nih.gov/nuccore/NZ_CP013129.1?report=graph&amp;from=8647953&amp;to=8647957", "TTA_codon")</f>
        <v>TTA_codon</v>
      </c>
    </row>
    <row r="2543" spans="1:15" x14ac:dyDescent="0.15">
      <c r="A2543" t="s">
        <v>21</v>
      </c>
      <c r="B2543">
        <v>1001522</v>
      </c>
      <c r="C2543">
        <v>359491</v>
      </c>
      <c r="F2543" s="7">
        <v>1</v>
      </c>
      <c r="G2543" s="7">
        <v>760</v>
      </c>
      <c r="H2543" s="8">
        <v>508</v>
      </c>
      <c r="J2543" t="s">
        <v>23</v>
      </c>
      <c r="K2543" s="7">
        <v>2775</v>
      </c>
      <c r="L2543" s="9">
        <v>-1</v>
      </c>
      <c r="M2543" t="s">
        <v>151</v>
      </c>
      <c r="N2543" t="s">
        <v>152</v>
      </c>
      <c r="O2543" s="27" t="str">
        <f>HYPERLINK("https://www.ncbi.nlm.nih.gov/nuccore/NZ_CP013129.1?report=graph&amp;from=4127213&amp;to=4127217", "TTA_codon")</f>
        <v>TTA_codon</v>
      </c>
    </row>
    <row r="2544" spans="1:15" x14ac:dyDescent="0.15">
      <c r="A2544" t="s">
        <v>21</v>
      </c>
      <c r="B2544">
        <v>1001522</v>
      </c>
      <c r="C2544">
        <v>359648</v>
      </c>
      <c r="F2544" s="7">
        <v>1</v>
      </c>
      <c r="G2544" s="7">
        <v>535</v>
      </c>
      <c r="H2544" s="8">
        <v>82</v>
      </c>
      <c r="J2544" t="s">
        <v>23</v>
      </c>
      <c r="K2544" s="7">
        <v>3156</v>
      </c>
      <c r="L2544" s="9">
        <v>-1</v>
      </c>
      <c r="M2544" t="s">
        <v>962</v>
      </c>
      <c r="N2544" t="s">
        <v>651</v>
      </c>
      <c r="O2544" s="27" t="str">
        <f>HYPERLINK("https://www.ncbi.nlm.nih.gov/nuccore/NZ_LN929893.1?report=graph&amp;from=339186&amp;to=339190", "TTA_codon")</f>
        <v>TTA_codon</v>
      </c>
    </row>
    <row r="2545" spans="1:15" x14ac:dyDescent="0.15">
      <c r="A2545" t="s">
        <v>21</v>
      </c>
      <c r="B2545">
        <v>1001522</v>
      </c>
      <c r="C2545">
        <v>359677</v>
      </c>
      <c r="F2545" s="7">
        <v>3</v>
      </c>
      <c r="G2545" s="7" t="s">
        <v>2135</v>
      </c>
      <c r="H2545" s="8" t="s">
        <v>2136</v>
      </c>
      <c r="J2545" t="s">
        <v>23</v>
      </c>
      <c r="K2545" s="7">
        <v>2268</v>
      </c>
      <c r="L2545" s="9">
        <v>-1</v>
      </c>
      <c r="M2545" t="s">
        <v>650</v>
      </c>
      <c r="N2545" t="s">
        <v>651</v>
      </c>
      <c r="O2545" s="27" t="str">
        <f>HYPERLINK("https://www.ncbi.nlm.nih.gov/nuccore/NZ_LN929838.1?report=graph&amp;from=74848&amp;to=75143", "TTA_codon")</f>
        <v>TTA_codon</v>
      </c>
    </row>
    <row r="2546" spans="1:15" x14ac:dyDescent="0.15">
      <c r="A2546" t="s">
        <v>21</v>
      </c>
      <c r="B2546">
        <v>1001522</v>
      </c>
      <c r="C2546">
        <v>360079</v>
      </c>
      <c r="F2546" s="7">
        <v>1</v>
      </c>
      <c r="G2546" s="7">
        <v>1354</v>
      </c>
      <c r="H2546" s="8">
        <v>646</v>
      </c>
      <c r="J2546" t="s">
        <v>23</v>
      </c>
      <c r="K2546" s="7">
        <v>2901</v>
      </c>
      <c r="L2546" s="9">
        <v>-1</v>
      </c>
      <c r="M2546" t="s">
        <v>630</v>
      </c>
      <c r="N2546" t="s">
        <v>125</v>
      </c>
      <c r="O2546" s="27" t="str">
        <f>HYPERLINK("https://www.ncbi.nlm.nih.gov/nuccore/NZ_KQ948468.1?report=graph&amp;from=15204&amp;to=15208", "TTA_codon")</f>
        <v>TTA_codon</v>
      </c>
    </row>
    <row r="2547" spans="1:15" x14ac:dyDescent="0.15">
      <c r="A2547" t="s">
        <v>21</v>
      </c>
      <c r="B2547">
        <v>1001522</v>
      </c>
      <c r="C2547">
        <v>360942</v>
      </c>
      <c r="F2547" s="7">
        <v>2</v>
      </c>
      <c r="G2547" s="7" t="s">
        <v>2137</v>
      </c>
      <c r="H2547" s="8" t="s">
        <v>2138</v>
      </c>
      <c r="J2547" t="s">
        <v>23</v>
      </c>
      <c r="K2547" s="7">
        <v>2265</v>
      </c>
      <c r="L2547" s="9">
        <v>-1</v>
      </c>
      <c r="M2547" t="s">
        <v>2139</v>
      </c>
      <c r="N2547" t="s">
        <v>97</v>
      </c>
      <c r="O2547" s="27" t="str">
        <f>HYPERLINK("https://www.ncbi.nlm.nih.gov/nuccore/NZ_LOHS01000156.1?report=graph&amp;from=145169&amp;to=145749", "TTA_codon")</f>
        <v>TTA_codon</v>
      </c>
    </row>
    <row r="2548" spans="1:15" x14ac:dyDescent="0.15">
      <c r="A2548" t="s">
        <v>21</v>
      </c>
      <c r="B2548">
        <v>1001522</v>
      </c>
      <c r="C2548">
        <v>361139</v>
      </c>
      <c r="F2548" s="7">
        <v>1</v>
      </c>
      <c r="G2548" s="7">
        <v>1339</v>
      </c>
      <c r="H2548" s="8">
        <v>655</v>
      </c>
      <c r="J2548" t="s">
        <v>23</v>
      </c>
      <c r="K2548" s="7">
        <v>1974</v>
      </c>
      <c r="L2548" s="9">
        <v>-1</v>
      </c>
      <c r="M2548" t="s">
        <v>98</v>
      </c>
      <c r="N2548" t="s">
        <v>99</v>
      </c>
      <c r="O2548" s="27" t="str">
        <f>HYPERLINK("https://www.ncbi.nlm.nih.gov/nuccore/NZ_CP016438.1?report=graph&amp;from=9513826&amp;to=9513830", "TTA_codon")</f>
        <v>TTA_codon</v>
      </c>
    </row>
    <row r="2549" spans="1:15" x14ac:dyDescent="0.15">
      <c r="A2549" t="s">
        <v>21</v>
      </c>
      <c r="B2549">
        <v>1001522</v>
      </c>
      <c r="C2549">
        <v>361182</v>
      </c>
      <c r="F2549" s="7">
        <v>2</v>
      </c>
      <c r="G2549" s="7" t="s">
        <v>2140</v>
      </c>
      <c r="H2549" s="8" t="s">
        <v>2141</v>
      </c>
      <c r="J2549" t="s">
        <v>23</v>
      </c>
      <c r="K2549" s="7">
        <v>2433</v>
      </c>
      <c r="L2549" s="9">
        <v>-1</v>
      </c>
      <c r="M2549" t="s">
        <v>98</v>
      </c>
      <c r="N2549" t="s">
        <v>99</v>
      </c>
      <c r="O2549" s="27" t="str">
        <f>HYPERLINK("https://www.ncbi.nlm.nih.gov/nuccore/NZ_CP016438.1?report=graph&amp;from=5334194&amp;to=5334654", "TTA_codon")</f>
        <v>TTA_codon</v>
      </c>
    </row>
    <row r="2550" spans="1:15" x14ac:dyDescent="0.15">
      <c r="A2550" t="s">
        <v>21</v>
      </c>
      <c r="B2550">
        <v>1001522</v>
      </c>
      <c r="C2550">
        <v>361374</v>
      </c>
      <c r="F2550" s="7">
        <v>1</v>
      </c>
      <c r="G2550" s="7">
        <v>919</v>
      </c>
      <c r="H2550" s="8">
        <v>283</v>
      </c>
      <c r="J2550" t="s">
        <v>23</v>
      </c>
      <c r="K2550" s="7">
        <v>2688</v>
      </c>
      <c r="L2550" s="9">
        <v>-1</v>
      </c>
      <c r="M2550" t="s">
        <v>286</v>
      </c>
      <c r="N2550" t="s">
        <v>201</v>
      </c>
      <c r="O2550" s="27" t="str">
        <f>HYPERLINK("https://www.ncbi.nlm.nih.gov/nuccore/NZ_CP016560.1?report=graph&amp;from=570218&amp;to=570222", "TTA_codon")</f>
        <v>TTA_codon</v>
      </c>
    </row>
    <row r="2551" spans="1:15" x14ac:dyDescent="0.15">
      <c r="A2551" t="s">
        <v>21</v>
      </c>
      <c r="B2551">
        <v>1001522</v>
      </c>
      <c r="C2551">
        <v>361405</v>
      </c>
      <c r="F2551" s="7">
        <v>1</v>
      </c>
      <c r="G2551" s="7">
        <v>739</v>
      </c>
      <c r="H2551" s="8">
        <v>118</v>
      </c>
      <c r="J2551" t="s">
        <v>23</v>
      </c>
      <c r="K2551" s="7">
        <v>2619</v>
      </c>
      <c r="L2551" s="9">
        <v>-1</v>
      </c>
      <c r="M2551" t="s">
        <v>200</v>
      </c>
      <c r="N2551" t="s">
        <v>201</v>
      </c>
      <c r="O2551" s="27" t="str">
        <f>HYPERLINK("https://www.ncbi.nlm.nih.gov/nuccore/NZ_CP016559.1?report=graph&amp;from=325516&amp;to=325520", "TTA_codon")</f>
        <v>TTA_codon</v>
      </c>
    </row>
    <row r="2552" spans="1:15" x14ac:dyDescent="0.15">
      <c r="A2552" t="s">
        <v>21</v>
      </c>
      <c r="B2552">
        <v>1001522</v>
      </c>
      <c r="C2552">
        <v>361611</v>
      </c>
      <c r="F2552" s="7">
        <v>4</v>
      </c>
      <c r="G2552" s="7" t="s">
        <v>2142</v>
      </c>
      <c r="H2552" s="8" t="s">
        <v>2143</v>
      </c>
      <c r="J2552" t="s">
        <v>23</v>
      </c>
      <c r="K2552" s="7">
        <v>3339</v>
      </c>
      <c r="L2552" s="9">
        <v>-1</v>
      </c>
      <c r="M2552" t="s">
        <v>37</v>
      </c>
      <c r="N2552" t="s">
        <v>38</v>
      </c>
      <c r="O2552" s="27" t="str">
        <f>HYPERLINK("https://www.ncbi.nlm.nih.gov/nuccore/NZ_CP011533.1?report=graph&amp;from=7347022&amp;to=7349015", "TTA_codon")</f>
        <v>TTA_codon</v>
      </c>
    </row>
    <row r="2553" spans="1:15" x14ac:dyDescent="0.15">
      <c r="A2553" t="s">
        <v>21</v>
      </c>
      <c r="B2553">
        <v>1001522</v>
      </c>
      <c r="C2553">
        <v>361952</v>
      </c>
      <c r="F2553" s="7">
        <v>1</v>
      </c>
      <c r="G2553" s="7">
        <v>565</v>
      </c>
      <c r="H2553" s="8">
        <v>58</v>
      </c>
      <c r="J2553" t="s">
        <v>23</v>
      </c>
      <c r="K2553" s="7">
        <v>1932</v>
      </c>
      <c r="L2553" s="9">
        <v>-1</v>
      </c>
      <c r="M2553" t="s">
        <v>2144</v>
      </c>
      <c r="N2553" t="s">
        <v>187</v>
      </c>
      <c r="O2553" s="27" t="str">
        <f>HYPERLINK("https://www.ncbi.nlm.nih.gov/nuccore/NZ_MAXF01000186.1?report=graph&amp;from=22177&amp;to=22181", "TTA_codon")</f>
        <v>TTA_codon</v>
      </c>
    </row>
    <row r="2554" spans="1:15" x14ac:dyDescent="0.15">
      <c r="A2554" t="s">
        <v>21</v>
      </c>
      <c r="B2554">
        <v>1001522</v>
      </c>
      <c r="C2554">
        <v>361954</v>
      </c>
      <c r="F2554" s="7">
        <v>1</v>
      </c>
      <c r="G2554" s="7">
        <v>2572</v>
      </c>
      <c r="H2554" s="8">
        <v>1300</v>
      </c>
      <c r="J2554" t="s">
        <v>23</v>
      </c>
      <c r="K2554" s="7">
        <v>2025</v>
      </c>
      <c r="L2554" s="9">
        <v>-1</v>
      </c>
      <c r="M2554" t="s">
        <v>2145</v>
      </c>
      <c r="N2554" t="s">
        <v>187</v>
      </c>
      <c r="O2554" s="27" t="str">
        <f>HYPERLINK("https://www.ncbi.nlm.nih.gov/nuccore/NZ_MAXF01000063.1?report=graph&amp;from=24399&amp;to=24403", "TTA_codon")</f>
        <v>TTA_codon</v>
      </c>
    </row>
    <row r="2555" spans="1:15" x14ac:dyDescent="0.15">
      <c r="A2555" t="s">
        <v>21</v>
      </c>
      <c r="B2555">
        <v>1001522</v>
      </c>
      <c r="C2555">
        <v>362228</v>
      </c>
      <c r="F2555" s="7">
        <v>1</v>
      </c>
      <c r="G2555" s="7">
        <v>2716</v>
      </c>
      <c r="H2555" s="8">
        <v>1249</v>
      </c>
      <c r="J2555" t="s">
        <v>23</v>
      </c>
      <c r="K2555" s="7">
        <v>2901</v>
      </c>
      <c r="L2555" s="9">
        <v>-1</v>
      </c>
      <c r="M2555" t="s">
        <v>39</v>
      </c>
      <c r="N2555" t="s">
        <v>40</v>
      </c>
      <c r="O2555" s="27" t="str">
        <f>HYPERLINK("https://www.ncbi.nlm.nih.gov/nuccore/NZ_CP017157.1?report=graph&amp;from=5192176&amp;to=5192180", "TTA_codon")</f>
        <v>TTA_codon</v>
      </c>
    </row>
    <row r="2556" spans="1:15" x14ac:dyDescent="0.15">
      <c r="A2556" t="s">
        <v>21</v>
      </c>
      <c r="B2556">
        <v>1001522</v>
      </c>
      <c r="C2556">
        <v>362231</v>
      </c>
      <c r="F2556" s="7">
        <v>1</v>
      </c>
      <c r="G2556" s="7">
        <v>1441</v>
      </c>
      <c r="H2556" s="8">
        <v>574</v>
      </c>
      <c r="J2556" t="s">
        <v>23</v>
      </c>
      <c r="K2556" s="7">
        <v>3006</v>
      </c>
      <c r="L2556" s="9">
        <v>-1</v>
      </c>
      <c r="M2556" t="s">
        <v>39</v>
      </c>
      <c r="N2556" t="s">
        <v>40</v>
      </c>
      <c r="O2556" s="27" t="str">
        <f>HYPERLINK("https://www.ncbi.nlm.nih.gov/nuccore/NZ_CP017157.1?report=graph&amp;from=685454&amp;to=685458", "TTA_codon")</f>
        <v>TTA_codon</v>
      </c>
    </row>
    <row r="2557" spans="1:15" x14ac:dyDescent="0.15">
      <c r="A2557" t="s">
        <v>21</v>
      </c>
      <c r="B2557">
        <v>1001522</v>
      </c>
      <c r="C2557">
        <v>362712</v>
      </c>
      <c r="F2557" s="7">
        <v>1</v>
      </c>
      <c r="G2557" s="7">
        <v>2707</v>
      </c>
      <c r="H2557" s="8">
        <v>766</v>
      </c>
      <c r="J2557" t="s">
        <v>23</v>
      </c>
      <c r="K2557" s="7">
        <v>2487</v>
      </c>
      <c r="L2557" s="9">
        <v>-1</v>
      </c>
      <c r="M2557" t="s">
        <v>1854</v>
      </c>
      <c r="N2557" t="s">
        <v>985</v>
      </c>
      <c r="O2557" s="27" t="str">
        <f>HYPERLINK("https://www.ncbi.nlm.nih.gov/nuccore/NZ_LJGU01000113.1?report=graph&amp;from=115776&amp;to=115780", "TTA_codon")</f>
        <v>TTA_codon</v>
      </c>
    </row>
    <row r="2558" spans="1:15" x14ac:dyDescent="0.15">
      <c r="A2558" t="s">
        <v>21</v>
      </c>
      <c r="B2558">
        <v>1001522</v>
      </c>
      <c r="C2558">
        <v>362855</v>
      </c>
      <c r="F2558" s="7">
        <v>3</v>
      </c>
      <c r="G2558" s="7" t="s">
        <v>2146</v>
      </c>
      <c r="H2558" s="8" t="s">
        <v>2147</v>
      </c>
      <c r="J2558" t="s">
        <v>23</v>
      </c>
      <c r="K2558" s="7">
        <v>2376</v>
      </c>
      <c r="L2558" s="9">
        <v>-1</v>
      </c>
      <c r="M2558" t="s">
        <v>2148</v>
      </c>
      <c r="N2558" t="s">
        <v>156</v>
      </c>
      <c r="O2558" s="27" t="str">
        <f>HYPERLINK("https://www.ncbi.nlm.nih.gov/nuccore/NZ_LJGW01000207.1?report=graph&amp;from=10376&amp;to=11175", "TTA_codon")</f>
        <v>TTA_codon</v>
      </c>
    </row>
    <row r="2559" spans="1:15" x14ac:dyDescent="0.15">
      <c r="A2559" t="s">
        <v>21</v>
      </c>
      <c r="B2559">
        <v>1001522</v>
      </c>
      <c r="C2559">
        <v>362856</v>
      </c>
      <c r="F2559" s="7">
        <v>1</v>
      </c>
      <c r="G2559" s="7">
        <v>5278</v>
      </c>
      <c r="H2559" s="8">
        <v>1507</v>
      </c>
      <c r="J2559" t="s">
        <v>23</v>
      </c>
      <c r="K2559" s="7">
        <v>2292</v>
      </c>
      <c r="L2559" s="9">
        <v>-1</v>
      </c>
      <c r="M2559" t="s">
        <v>2149</v>
      </c>
      <c r="N2559" t="s">
        <v>156</v>
      </c>
      <c r="O2559" s="27" t="str">
        <f>HYPERLINK("https://www.ncbi.nlm.nih.gov/nuccore/NZ_LJGW01000404.1?report=graph&amp;from=2252&amp;to=2256", "TTA_codon")</f>
        <v>TTA_codon</v>
      </c>
    </row>
    <row r="2560" spans="1:15" x14ac:dyDescent="0.15">
      <c r="A2560" t="s">
        <v>21</v>
      </c>
      <c r="B2560">
        <v>1001522</v>
      </c>
      <c r="C2560">
        <v>363686</v>
      </c>
      <c r="F2560" s="7">
        <v>1</v>
      </c>
      <c r="G2560" s="7">
        <v>3010</v>
      </c>
      <c r="H2560" s="8">
        <v>1351</v>
      </c>
      <c r="J2560" t="s">
        <v>23</v>
      </c>
      <c r="K2560" s="7">
        <v>2712</v>
      </c>
      <c r="L2560" s="9">
        <v>-1</v>
      </c>
      <c r="M2560" t="s">
        <v>101</v>
      </c>
      <c r="N2560" t="s">
        <v>102</v>
      </c>
      <c r="O2560" s="27" t="str">
        <f>HYPERLINK("https://www.ncbi.nlm.nih.gov/nuccore/NZ_CP019458.1?report=graph&amp;from=8510199&amp;to=8510203", "TTA_codon")</f>
        <v>TTA_codon</v>
      </c>
    </row>
    <row r="2561" spans="1:15" x14ac:dyDescent="0.15">
      <c r="A2561" t="s">
        <v>21</v>
      </c>
      <c r="B2561">
        <v>1001522</v>
      </c>
      <c r="C2561">
        <v>363687</v>
      </c>
      <c r="F2561" s="7">
        <v>1</v>
      </c>
      <c r="G2561" s="7">
        <v>2365</v>
      </c>
      <c r="H2561" s="8">
        <v>385</v>
      </c>
      <c r="J2561" t="s">
        <v>23</v>
      </c>
      <c r="K2561" s="7">
        <v>2109</v>
      </c>
      <c r="L2561" s="9">
        <v>-1</v>
      </c>
      <c r="M2561" t="s">
        <v>101</v>
      </c>
      <c r="N2561" t="s">
        <v>102</v>
      </c>
      <c r="O2561" s="27" t="str">
        <f>HYPERLINK("https://www.ncbi.nlm.nih.gov/nuccore/NZ_CP019458.1?report=graph&amp;from=1020014&amp;to=1020018", "TTA_codon")</f>
        <v>TTA_codon</v>
      </c>
    </row>
    <row r="2562" spans="1:15" x14ac:dyDescent="0.15">
      <c r="A2562" t="s">
        <v>21</v>
      </c>
      <c r="B2562">
        <v>1001522</v>
      </c>
      <c r="C2562">
        <v>363688</v>
      </c>
      <c r="F2562" s="7">
        <v>1</v>
      </c>
      <c r="G2562" s="7">
        <v>2551</v>
      </c>
      <c r="H2562" s="8">
        <v>187</v>
      </c>
      <c r="J2562" t="s">
        <v>23</v>
      </c>
      <c r="K2562" s="7">
        <v>2157</v>
      </c>
      <c r="L2562" s="9">
        <v>-1</v>
      </c>
      <c r="M2562" t="s">
        <v>101</v>
      </c>
      <c r="N2562" t="s">
        <v>102</v>
      </c>
      <c r="O2562" s="27" t="str">
        <f>HYPERLINK("https://www.ncbi.nlm.nih.gov/nuccore/NZ_CP019458.1?report=graph&amp;from=7423507&amp;to=7423511", "TTA_codon")</f>
        <v>TTA_codon</v>
      </c>
    </row>
    <row r="2563" spans="1:15" x14ac:dyDescent="0.15">
      <c r="A2563" t="s">
        <v>21</v>
      </c>
      <c r="B2563">
        <v>1001522</v>
      </c>
      <c r="C2563">
        <v>363689</v>
      </c>
      <c r="F2563" s="7">
        <v>1</v>
      </c>
      <c r="G2563" s="7">
        <v>1390</v>
      </c>
      <c r="H2563" s="8">
        <v>619</v>
      </c>
      <c r="J2563" t="s">
        <v>23</v>
      </c>
      <c r="K2563" s="7">
        <v>3165</v>
      </c>
      <c r="L2563" s="9">
        <v>-1</v>
      </c>
      <c r="M2563" t="s">
        <v>101</v>
      </c>
      <c r="N2563" t="s">
        <v>102</v>
      </c>
      <c r="O2563" s="27" t="str">
        <f>HYPERLINK("https://www.ncbi.nlm.nih.gov/nuccore/NZ_CP019458.1?report=graph&amp;from=5916100&amp;to=5916104", "TTA_codon")</f>
        <v>TTA_codon</v>
      </c>
    </row>
    <row r="2564" spans="1:15" x14ac:dyDescent="0.15">
      <c r="A2564" t="s">
        <v>21</v>
      </c>
      <c r="B2564">
        <v>1001522</v>
      </c>
      <c r="C2564">
        <v>363959</v>
      </c>
      <c r="F2564" s="7">
        <v>1</v>
      </c>
      <c r="G2564" s="7">
        <v>5452</v>
      </c>
      <c r="H2564" s="8">
        <v>2377</v>
      </c>
      <c r="J2564" t="s">
        <v>23</v>
      </c>
      <c r="K2564" s="7">
        <v>3054</v>
      </c>
      <c r="L2564" s="9">
        <v>-1</v>
      </c>
      <c r="M2564" t="s">
        <v>541</v>
      </c>
      <c r="N2564" t="s">
        <v>104</v>
      </c>
      <c r="O2564" s="27" t="str">
        <f>HYPERLINK("https://www.ncbi.nlm.nih.gov/nuccore/NZ_MVFC01000025.1?report=graph&amp;from=108657&amp;to=108661", "TTA_codon")</f>
        <v>TTA_codon</v>
      </c>
    </row>
    <row r="2565" spans="1:15" x14ac:dyDescent="0.15">
      <c r="A2565" t="s">
        <v>21</v>
      </c>
      <c r="B2565">
        <v>1001522</v>
      </c>
      <c r="C2565">
        <v>364132</v>
      </c>
      <c r="F2565" s="7">
        <v>1</v>
      </c>
      <c r="G2565" s="7">
        <v>2176</v>
      </c>
      <c r="H2565" s="8">
        <v>745</v>
      </c>
      <c r="J2565" t="s">
        <v>23</v>
      </c>
      <c r="K2565" s="7">
        <v>1839</v>
      </c>
      <c r="L2565" s="9">
        <v>-1</v>
      </c>
      <c r="M2565" t="s">
        <v>254</v>
      </c>
      <c r="N2565" t="s">
        <v>255</v>
      </c>
      <c r="O2565" s="27" t="str">
        <f>HYPERLINK("https://www.ncbi.nlm.nih.gov/nuccore/NZ_CP018047.1?report=graph&amp;from=7000567&amp;to=7000571", "TTA_codon")</f>
        <v>TTA_codon</v>
      </c>
    </row>
    <row r="2566" spans="1:15" x14ac:dyDescent="0.15">
      <c r="A2566" t="s">
        <v>21</v>
      </c>
      <c r="B2566">
        <v>1001522</v>
      </c>
      <c r="C2566">
        <v>364165</v>
      </c>
      <c r="F2566" s="7">
        <v>2</v>
      </c>
      <c r="G2566" s="7" t="s">
        <v>2150</v>
      </c>
      <c r="H2566" s="8" t="s">
        <v>2151</v>
      </c>
      <c r="J2566" t="s">
        <v>23</v>
      </c>
      <c r="K2566" s="7">
        <v>2760</v>
      </c>
      <c r="L2566" s="9">
        <v>-1</v>
      </c>
      <c r="M2566" t="s">
        <v>254</v>
      </c>
      <c r="N2566" t="s">
        <v>255</v>
      </c>
      <c r="O2566" s="27" t="str">
        <f>HYPERLINK("https://www.ncbi.nlm.nih.gov/nuccore/NZ_CP018047.1?report=graph&amp;from=4611608&amp;to=4612941", "TTA_codon")</f>
        <v>TTA_codon</v>
      </c>
    </row>
    <row r="2567" spans="1:15" x14ac:dyDescent="0.15">
      <c r="A2567" t="s">
        <v>21</v>
      </c>
      <c r="B2567">
        <v>1001522</v>
      </c>
      <c r="C2567">
        <v>364308</v>
      </c>
      <c r="F2567" s="7">
        <v>1</v>
      </c>
      <c r="G2567" s="7">
        <v>3904</v>
      </c>
      <c r="H2567" s="8">
        <v>1717</v>
      </c>
      <c r="J2567" t="s">
        <v>23</v>
      </c>
      <c r="K2567" s="7">
        <v>2922</v>
      </c>
      <c r="L2567" s="9">
        <v>-1</v>
      </c>
      <c r="M2567" t="s">
        <v>105</v>
      </c>
      <c r="N2567" t="s">
        <v>106</v>
      </c>
      <c r="O2567" s="27" t="str">
        <f>HYPERLINK("https://www.ncbi.nlm.nih.gov/nuccore/NZ_CP020042.1?report=graph&amp;from=4487557&amp;to=4487561", "TTA_codon")</f>
        <v>TTA_codon</v>
      </c>
    </row>
    <row r="2568" spans="1:15" x14ac:dyDescent="0.15">
      <c r="A2568" t="s">
        <v>21</v>
      </c>
      <c r="B2568">
        <v>1001522</v>
      </c>
      <c r="C2568">
        <v>364449</v>
      </c>
      <c r="F2568" s="7">
        <v>1</v>
      </c>
      <c r="G2568" s="7">
        <v>1051</v>
      </c>
      <c r="H2568" s="8">
        <v>409</v>
      </c>
      <c r="J2568" t="s">
        <v>23</v>
      </c>
      <c r="K2568" s="7">
        <v>816</v>
      </c>
      <c r="L2568" s="9">
        <v>-1</v>
      </c>
      <c r="M2568" t="s">
        <v>2152</v>
      </c>
      <c r="N2568" t="s">
        <v>326</v>
      </c>
      <c r="O2568" s="27" t="str">
        <f>HYPERLINK("https://www.ncbi.nlm.nih.gov/nuccore/NZ_MUBL01000343.1?report=graph&amp;from=1178&amp;to=1182", "TTA_codon")</f>
        <v>TTA_codon</v>
      </c>
    </row>
    <row r="2569" spans="1:15" x14ac:dyDescent="0.15">
      <c r="A2569" t="s">
        <v>21</v>
      </c>
      <c r="B2569">
        <v>1001522</v>
      </c>
      <c r="C2569">
        <v>364832</v>
      </c>
      <c r="F2569" s="7">
        <v>2</v>
      </c>
      <c r="G2569" s="7" t="s">
        <v>2153</v>
      </c>
      <c r="H2569" s="8" t="s">
        <v>2154</v>
      </c>
      <c r="J2569" t="s">
        <v>23</v>
      </c>
      <c r="K2569" s="7">
        <v>2955</v>
      </c>
      <c r="L2569" s="9">
        <v>-1</v>
      </c>
      <c r="M2569" t="s">
        <v>126</v>
      </c>
      <c r="N2569" t="s">
        <v>127</v>
      </c>
      <c r="O2569" s="27" t="str">
        <f>HYPERLINK("https://www.ncbi.nlm.nih.gov/nuccore/NZ_CP021748.1?report=graph&amp;from=5159151&amp;to=5159854", "TTA_codon")</f>
        <v>TTA_codon</v>
      </c>
    </row>
    <row r="2570" spans="1:15" x14ac:dyDescent="0.15">
      <c r="A2570" t="s">
        <v>21</v>
      </c>
      <c r="B2570">
        <v>1001522</v>
      </c>
      <c r="C2570">
        <v>364857</v>
      </c>
      <c r="F2570" s="7">
        <v>1</v>
      </c>
      <c r="G2570" s="7">
        <v>5266</v>
      </c>
      <c r="H2570" s="8">
        <v>1342</v>
      </c>
      <c r="J2570" t="s">
        <v>23</v>
      </c>
      <c r="K2570" s="7">
        <v>1890</v>
      </c>
      <c r="L2570" s="9">
        <v>-1</v>
      </c>
      <c r="M2570" t="s">
        <v>126</v>
      </c>
      <c r="N2570" t="s">
        <v>127</v>
      </c>
      <c r="O2570" s="27" t="str">
        <f>HYPERLINK("https://www.ncbi.nlm.nih.gov/nuccore/NZ_CP021748.1?report=graph&amp;from=4459117&amp;to=4459121", "TTA_codon")</f>
        <v>TTA_codon</v>
      </c>
    </row>
    <row r="2571" spans="1:15" x14ac:dyDescent="0.15">
      <c r="A2571" t="s">
        <v>21</v>
      </c>
      <c r="B2571">
        <v>1001522</v>
      </c>
      <c r="C2571">
        <v>365016</v>
      </c>
      <c r="F2571" s="7">
        <v>1</v>
      </c>
      <c r="G2571" s="7">
        <v>1045</v>
      </c>
      <c r="H2571" s="8">
        <v>442</v>
      </c>
      <c r="J2571" t="s">
        <v>23</v>
      </c>
      <c r="K2571" s="7">
        <v>2931</v>
      </c>
      <c r="L2571" s="9">
        <v>-1</v>
      </c>
      <c r="M2571" t="s">
        <v>111</v>
      </c>
      <c r="N2571" t="s">
        <v>112</v>
      </c>
      <c r="O2571" s="27" t="str">
        <f>HYPERLINK("https://www.ncbi.nlm.nih.gov/nuccore/NZ_CP021744.1?report=graph&amp;from=1560643&amp;to=1560647", "TTA_codon")</f>
        <v>TTA_codon</v>
      </c>
    </row>
    <row r="2572" spans="1:15" x14ac:dyDescent="0.15">
      <c r="A2572" t="s">
        <v>21</v>
      </c>
      <c r="B2572">
        <v>1001522</v>
      </c>
      <c r="C2572">
        <v>365018</v>
      </c>
      <c r="F2572" s="7">
        <v>1</v>
      </c>
      <c r="G2572" s="7">
        <v>691</v>
      </c>
      <c r="H2572" s="8">
        <v>163</v>
      </c>
      <c r="J2572" t="s">
        <v>23</v>
      </c>
      <c r="K2572" s="7">
        <v>825</v>
      </c>
      <c r="L2572" s="9">
        <v>-1</v>
      </c>
      <c r="M2572" t="s">
        <v>111</v>
      </c>
      <c r="N2572" t="s">
        <v>112</v>
      </c>
      <c r="O2572" s="27" t="str">
        <f>HYPERLINK("https://www.ncbi.nlm.nih.gov/nuccore/NZ_CP021744.1?report=graph&amp;from=777126&amp;to=777130", "TTA_codon")</f>
        <v>TTA_codon</v>
      </c>
    </row>
    <row r="2573" spans="1:15" x14ac:dyDescent="0.15">
      <c r="A2573" t="s">
        <v>21</v>
      </c>
      <c r="B2573">
        <v>1001522</v>
      </c>
      <c r="C2573">
        <v>365334</v>
      </c>
      <c r="F2573" s="7">
        <v>1</v>
      </c>
      <c r="G2573" s="7">
        <v>553</v>
      </c>
      <c r="H2573" s="8">
        <v>55</v>
      </c>
      <c r="J2573" t="s">
        <v>23</v>
      </c>
      <c r="K2573" s="7">
        <v>3027</v>
      </c>
      <c r="L2573" s="9">
        <v>-1</v>
      </c>
      <c r="M2573" t="s">
        <v>744</v>
      </c>
      <c r="N2573" t="s">
        <v>129</v>
      </c>
      <c r="O2573" s="27" t="str">
        <f>HYPERLINK("https://www.ncbi.nlm.nih.gov/nuccore/NZ_FNHI01000008.1?report=graph&amp;from=274950&amp;to=274954", "TTA_codon")</f>
        <v>TTA_codon</v>
      </c>
    </row>
    <row r="2574" spans="1:15" x14ac:dyDescent="0.15">
      <c r="A2574" t="s">
        <v>21</v>
      </c>
      <c r="B2574">
        <v>1001522</v>
      </c>
      <c r="C2574">
        <v>365443</v>
      </c>
      <c r="F2574" s="7">
        <v>1</v>
      </c>
      <c r="G2574" s="7">
        <v>2563</v>
      </c>
      <c r="H2574" s="8">
        <v>403</v>
      </c>
      <c r="J2574" t="s">
        <v>23</v>
      </c>
      <c r="K2574" s="7">
        <v>2196</v>
      </c>
      <c r="L2574" s="9">
        <v>-1</v>
      </c>
      <c r="M2574" t="s">
        <v>2155</v>
      </c>
      <c r="N2574" t="s">
        <v>45</v>
      </c>
      <c r="O2574" s="27" t="str">
        <f>HYPERLINK("https://www.ncbi.nlm.nih.gov/nuccore/NZ_FNIE01000004.1?report=graph&amp;from=27633&amp;to=27637", "TTA_codon")</f>
        <v>TTA_codon</v>
      </c>
    </row>
    <row r="2575" spans="1:15" x14ac:dyDescent="0.15">
      <c r="A2575" t="s">
        <v>21</v>
      </c>
      <c r="B2575">
        <v>1001522</v>
      </c>
      <c r="C2575">
        <v>365606</v>
      </c>
      <c r="F2575" s="7">
        <v>1</v>
      </c>
      <c r="G2575" s="7">
        <v>5674</v>
      </c>
      <c r="H2575" s="8">
        <v>1975</v>
      </c>
      <c r="J2575" t="s">
        <v>23</v>
      </c>
      <c r="K2575" s="7">
        <v>2448</v>
      </c>
      <c r="L2575" s="9">
        <v>-1</v>
      </c>
      <c r="M2575" t="s">
        <v>213</v>
      </c>
      <c r="N2575" t="s">
        <v>214</v>
      </c>
      <c r="O2575" s="27" t="str">
        <f>HYPERLINK("https://www.ncbi.nlm.nih.gov/nuccore/NZ_FNST01000002.1?report=graph&amp;from=4132404&amp;to=4132408", "TTA_codon")</f>
        <v>TTA_codon</v>
      </c>
    </row>
    <row r="2576" spans="1:15" x14ac:dyDescent="0.15">
      <c r="A2576" t="s">
        <v>21</v>
      </c>
      <c r="B2576">
        <v>1001522</v>
      </c>
      <c r="C2576">
        <v>365611</v>
      </c>
      <c r="F2576" s="7">
        <v>1</v>
      </c>
      <c r="G2576" s="7">
        <v>559</v>
      </c>
      <c r="H2576" s="8">
        <v>52</v>
      </c>
      <c r="J2576" t="s">
        <v>23</v>
      </c>
      <c r="K2576" s="7">
        <v>756</v>
      </c>
      <c r="L2576" s="9">
        <v>-1</v>
      </c>
      <c r="M2576" t="s">
        <v>213</v>
      </c>
      <c r="N2576" t="s">
        <v>214</v>
      </c>
      <c r="O2576" s="27" t="str">
        <f>HYPERLINK("https://www.ncbi.nlm.nih.gov/nuccore/NZ_FNST01000002.1?report=graph&amp;from=7351330&amp;to=7351334", "TTA_codon")</f>
        <v>TTA_codon</v>
      </c>
    </row>
    <row r="2577" spans="1:15" x14ac:dyDescent="0.15">
      <c r="A2577" t="s">
        <v>21</v>
      </c>
      <c r="B2577">
        <v>1001522</v>
      </c>
      <c r="C2577">
        <v>365945</v>
      </c>
      <c r="F2577" s="7">
        <v>1</v>
      </c>
      <c r="G2577" s="7">
        <v>610</v>
      </c>
      <c r="H2577" s="8">
        <v>97</v>
      </c>
      <c r="J2577" t="s">
        <v>23</v>
      </c>
      <c r="K2577" s="7">
        <v>903</v>
      </c>
      <c r="L2577" s="9">
        <v>-1</v>
      </c>
      <c r="M2577" t="s">
        <v>456</v>
      </c>
      <c r="N2577" t="s">
        <v>115</v>
      </c>
      <c r="O2577" s="27" t="str">
        <f>HYPERLINK("https://www.ncbi.nlm.nih.gov/nuccore/NZ_FODD01000002.1?report=graph&amp;from=218291&amp;to=218295", "TTA_codon")</f>
        <v>TTA_codon</v>
      </c>
    </row>
    <row r="2578" spans="1:15" x14ac:dyDescent="0.15">
      <c r="A2578" t="s">
        <v>21</v>
      </c>
      <c r="B2578">
        <v>1001522</v>
      </c>
      <c r="C2578">
        <v>365946</v>
      </c>
      <c r="F2578" s="7">
        <v>1</v>
      </c>
      <c r="G2578" s="7">
        <v>613</v>
      </c>
      <c r="H2578" s="8">
        <v>100</v>
      </c>
      <c r="J2578" t="s">
        <v>23</v>
      </c>
      <c r="K2578" s="7">
        <v>2151</v>
      </c>
      <c r="L2578" s="9">
        <v>-1</v>
      </c>
      <c r="M2578" t="s">
        <v>2156</v>
      </c>
      <c r="N2578" t="s">
        <v>115</v>
      </c>
      <c r="O2578" s="27" t="str">
        <f>HYPERLINK("https://www.ncbi.nlm.nih.gov/nuccore/NZ_FODD01000030.1?report=graph&amp;from=74040&amp;to=74044", "TTA_codon")</f>
        <v>TTA_codon</v>
      </c>
    </row>
    <row r="2579" spans="1:15" x14ac:dyDescent="0.15">
      <c r="A2579" t="s">
        <v>21</v>
      </c>
      <c r="B2579">
        <v>1001522</v>
      </c>
      <c r="C2579">
        <v>365965</v>
      </c>
      <c r="F2579" s="7">
        <v>3</v>
      </c>
      <c r="G2579" s="7" t="s">
        <v>2157</v>
      </c>
      <c r="H2579" s="8" t="s">
        <v>2158</v>
      </c>
      <c r="J2579" t="s">
        <v>23</v>
      </c>
      <c r="K2579" s="7">
        <v>2361</v>
      </c>
      <c r="L2579" s="9">
        <v>-1</v>
      </c>
      <c r="M2579" t="s">
        <v>2049</v>
      </c>
      <c r="N2579" t="s">
        <v>115</v>
      </c>
      <c r="O2579" s="27" t="str">
        <f>HYPERLINK("https://www.ncbi.nlm.nih.gov/nuccore/NZ_FODD01000022.1?report=graph&amp;from=95650&amp;to=96662", "TTA_codon")</f>
        <v>TTA_codon</v>
      </c>
    </row>
    <row r="2580" spans="1:15" x14ac:dyDescent="0.15">
      <c r="A2580" t="s">
        <v>21</v>
      </c>
      <c r="B2580">
        <v>1001522</v>
      </c>
      <c r="C2580">
        <v>366086</v>
      </c>
      <c r="F2580" s="7">
        <v>2</v>
      </c>
      <c r="G2580" s="7" t="s">
        <v>2159</v>
      </c>
      <c r="H2580" s="8" t="s">
        <v>2160</v>
      </c>
      <c r="J2580" t="s">
        <v>23</v>
      </c>
      <c r="K2580" s="7">
        <v>3138</v>
      </c>
      <c r="L2580" s="9">
        <v>-1</v>
      </c>
      <c r="M2580" t="s">
        <v>2161</v>
      </c>
      <c r="N2580" t="s">
        <v>257</v>
      </c>
      <c r="O2580" s="27" t="str">
        <f>HYPERLINK("https://www.ncbi.nlm.nih.gov/nuccore/NZ_FOET01000003.1?report=graph&amp;from=114038&amp;to=114069", "TTA_codon")</f>
        <v>TTA_codon</v>
      </c>
    </row>
    <row r="2581" spans="1:15" x14ac:dyDescent="0.15">
      <c r="A2581" t="s">
        <v>21</v>
      </c>
      <c r="B2581">
        <v>1001522</v>
      </c>
      <c r="C2581">
        <v>366289</v>
      </c>
      <c r="F2581" s="7">
        <v>1</v>
      </c>
      <c r="G2581" s="7">
        <v>1408</v>
      </c>
      <c r="H2581" s="8">
        <v>184</v>
      </c>
      <c r="J2581" t="s">
        <v>23</v>
      </c>
      <c r="K2581" s="7">
        <v>2190</v>
      </c>
      <c r="L2581" s="9">
        <v>-1</v>
      </c>
      <c r="M2581" t="s">
        <v>46</v>
      </c>
      <c r="N2581" t="s">
        <v>47</v>
      </c>
      <c r="O2581" s="27" t="str">
        <f>HYPERLINK("https://www.ncbi.nlm.nih.gov/nuccore/NZ_FOLM01000015.1?report=graph&amp;from=50344&amp;to=50348", "TTA_codon")</f>
        <v>TTA_codon</v>
      </c>
    </row>
    <row r="2582" spans="1:15" x14ac:dyDescent="0.15">
      <c r="A2582" t="s">
        <v>21</v>
      </c>
      <c r="B2582">
        <v>1001522</v>
      </c>
      <c r="C2582">
        <v>366428</v>
      </c>
      <c r="F2582" s="7">
        <v>1</v>
      </c>
      <c r="G2582" s="7">
        <v>3130</v>
      </c>
      <c r="H2582" s="8">
        <v>904</v>
      </c>
      <c r="J2582" t="s">
        <v>23</v>
      </c>
      <c r="K2582" s="7">
        <v>2256</v>
      </c>
      <c r="L2582" s="9">
        <v>-1</v>
      </c>
      <c r="M2582" t="s">
        <v>901</v>
      </c>
      <c r="N2582" t="s">
        <v>375</v>
      </c>
      <c r="O2582" s="27" t="str">
        <f>HYPERLINK("https://www.ncbi.nlm.nih.gov/nuccore/NZ_FONG01000006.1?report=graph&amp;from=254081&amp;to=254085", "TTA_codon")</f>
        <v>TTA_codon</v>
      </c>
    </row>
    <row r="2583" spans="1:15" x14ac:dyDescent="0.15">
      <c r="A2583" t="s">
        <v>21</v>
      </c>
      <c r="B2583">
        <v>1001522</v>
      </c>
      <c r="C2583">
        <v>366576</v>
      </c>
      <c r="F2583" s="7">
        <v>1</v>
      </c>
      <c r="G2583" s="7">
        <v>3043</v>
      </c>
      <c r="H2583" s="8">
        <v>1471</v>
      </c>
      <c r="J2583" t="s">
        <v>23</v>
      </c>
      <c r="K2583" s="7">
        <v>3003</v>
      </c>
      <c r="L2583" s="9">
        <v>-1</v>
      </c>
      <c r="M2583" t="s">
        <v>1375</v>
      </c>
      <c r="N2583" t="s">
        <v>180</v>
      </c>
      <c r="O2583" s="27" t="str">
        <f>HYPERLINK("https://www.ncbi.nlm.nih.gov/nuccore/NZ_FRBI01000010.1?report=graph&amp;from=182473&amp;to=182477", "TTA_codon")</f>
        <v>TTA_codon</v>
      </c>
    </row>
    <row r="2584" spans="1:15" x14ac:dyDescent="0.15">
      <c r="A2584" t="s">
        <v>21</v>
      </c>
      <c r="B2584">
        <v>1001522</v>
      </c>
      <c r="C2584">
        <v>366577</v>
      </c>
      <c r="F2584" s="7">
        <v>1</v>
      </c>
      <c r="G2584" s="7">
        <v>1318</v>
      </c>
      <c r="H2584" s="8">
        <v>571</v>
      </c>
      <c r="J2584" t="s">
        <v>23</v>
      </c>
      <c r="K2584" s="7">
        <v>3267</v>
      </c>
      <c r="L2584" s="9">
        <v>-1</v>
      </c>
      <c r="M2584" t="s">
        <v>1215</v>
      </c>
      <c r="N2584" t="s">
        <v>180</v>
      </c>
      <c r="O2584" s="27" t="str">
        <f>HYPERLINK("https://www.ncbi.nlm.nih.gov/nuccore/NZ_FRBI01000014.1?report=graph&amp;from=90041&amp;to=90045", "TTA_codon")</f>
        <v>TTA_codon</v>
      </c>
    </row>
    <row r="2585" spans="1:15" x14ac:dyDescent="0.15">
      <c r="A2585" t="s">
        <v>21</v>
      </c>
      <c r="B2585">
        <v>1001522</v>
      </c>
      <c r="C2585">
        <v>366613</v>
      </c>
      <c r="F2585" s="7">
        <v>1</v>
      </c>
      <c r="G2585" s="7">
        <v>739</v>
      </c>
      <c r="H2585" s="8">
        <v>142</v>
      </c>
      <c r="J2585" t="s">
        <v>23</v>
      </c>
      <c r="K2585" s="7">
        <v>2478</v>
      </c>
      <c r="L2585" s="9">
        <v>-1</v>
      </c>
      <c r="M2585" t="s">
        <v>2162</v>
      </c>
      <c r="N2585" t="s">
        <v>180</v>
      </c>
      <c r="O2585" s="27" t="str">
        <f>HYPERLINK("https://www.ncbi.nlm.nih.gov/nuccore/NZ_FRBI01000019.1?report=graph&amp;from=66519&amp;to=66523", "TTA_codon")</f>
        <v>TTA_codon</v>
      </c>
    </row>
    <row r="2586" spans="1:15" x14ac:dyDescent="0.15">
      <c r="A2586" t="s">
        <v>21</v>
      </c>
      <c r="B2586">
        <v>1001522</v>
      </c>
      <c r="C2586">
        <v>366614</v>
      </c>
      <c r="F2586" s="7">
        <v>1</v>
      </c>
      <c r="G2586" s="7">
        <v>2257</v>
      </c>
      <c r="H2586" s="8">
        <v>196</v>
      </c>
      <c r="J2586" t="s">
        <v>23</v>
      </c>
      <c r="K2586" s="7">
        <v>2400</v>
      </c>
      <c r="L2586" s="9">
        <v>-1</v>
      </c>
      <c r="M2586" t="s">
        <v>1007</v>
      </c>
      <c r="N2586" t="s">
        <v>180</v>
      </c>
      <c r="O2586" s="27" t="str">
        <f>HYPERLINK("https://www.ncbi.nlm.nih.gov/nuccore/NZ_FRBI01000003.1?report=graph&amp;from=96482&amp;to=96486", "TTA_codon")</f>
        <v>TTA_codon</v>
      </c>
    </row>
    <row r="2587" spans="1:15" x14ac:dyDescent="0.15">
      <c r="A2587" t="s">
        <v>21</v>
      </c>
      <c r="B2587" t="s">
        <v>2163</v>
      </c>
    </row>
    <row r="2588" spans="1:15" x14ac:dyDescent="0.15">
      <c r="A2588" t="s">
        <v>21</v>
      </c>
      <c r="B2588">
        <v>1001099</v>
      </c>
      <c r="C2588">
        <v>355363</v>
      </c>
      <c r="F2588" s="7">
        <v>1</v>
      </c>
      <c r="G2588" s="7">
        <v>34</v>
      </c>
      <c r="H2588" s="8">
        <v>34</v>
      </c>
      <c r="J2588" t="s">
        <v>23</v>
      </c>
      <c r="K2588" s="7">
        <v>348</v>
      </c>
      <c r="L2588" s="9">
        <v>-1</v>
      </c>
      <c r="M2588" t="s">
        <v>1181</v>
      </c>
      <c r="N2588" t="s">
        <v>198</v>
      </c>
      <c r="O2588" s="27" t="str">
        <f>HYPERLINK("https://www.ncbi.nlm.nih.gov/nuccore/NZ_JOFL01000007.1?report=graph&amp;from=207187&amp;to=207191", "TTA_codon")</f>
        <v>TTA_codon</v>
      </c>
    </row>
    <row r="2589" spans="1:15" x14ac:dyDescent="0.15">
      <c r="A2589" t="s">
        <v>21</v>
      </c>
      <c r="B2589">
        <v>1001099</v>
      </c>
      <c r="C2589">
        <v>355574</v>
      </c>
      <c r="F2589" s="7">
        <v>1</v>
      </c>
      <c r="G2589" s="7">
        <v>94</v>
      </c>
      <c r="H2589" s="8">
        <v>91</v>
      </c>
      <c r="J2589" t="s">
        <v>23</v>
      </c>
      <c r="K2589" s="7">
        <v>345</v>
      </c>
      <c r="L2589" s="9">
        <v>-1</v>
      </c>
      <c r="M2589" t="s">
        <v>2164</v>
      </c>
      <c r="N2589" t="s">
        <v>278</v>
      </c>
      <c r="O2589" s="27" t="str">
        <f>HYPERLINK("https://www.ncbi.nlm.nih.gov/nuccore/NZ_JOID01000014.1?report=graph&amp;from=48871&amp;to=48875", "TTA_codon")</f>
        <v>TTA_codon</v>
      </c>
    </row>
    <row r="2590" spans="1:15" x14ac:dyDescent="0.15">
      <c r="A2590" t="s">
        <v>21</v>
      </c>
      <c r="B2590">
        <v>1001099</v>
      </c>
      <c r="C2590">
        <v>364962</v>
      </c>
      <c r="F2590" s="7">
        <v>1</v>
      </c>
      <c r="G2590" s="7">
        <v>34</v>
      </c>
      <c r="H2590" s="8">
        <v>34</v>
      </c>
      <c r="J2590" t="s">
        <v>23</v>
      </c>
      <c r="K2590" s="7">
        <v>348</v>
      </c>
      <c r="L2590" s="9">
        <v>-1</v>
      </c>
      <c r="M2590" t="s">
        <v>111</v>
      </c>
      <c r="N2590" t="s">
        <v>112</v>
      </c>
      <c r="O2590" s="27" t="str">
        <f>HYPERLINK("https://www.ncbi.nlm.nih.gov/nuccore/NZ_CP021744.1?report=graph&amp;from=2021213&amp;to=2021217", "TTA_codon")</f>
        <v>TTA_codon</v>
      </c>
    </row>
    <row r="2591" spans="1:15" x14ac:dyDescent="0.15">
      <c r="A2591" t="s">
        <v>21</v>
      </c>
      <c r="B2591" t="s">
        <v>2165</v>
      </c>
    </row>
    <row r="2592" spans="1:15" x14ac:dyDescent="0.15">
      <c r="A2592" t="s">
        <v>21</v>
      </c>
      <c r="B2592">
        <v>1001311</v>
      </c>
      <c r="C2592">
        <v>348211</v>
      </c>
      <c r="F2592" s="7">
        <v>1</v>
      </c>
      <c r="G2592" s="7">
        <v>130</v>
      </c>
      <c r="H2592" s="8">
        <v>121</v>
      </c>
      <c r="J2592" t="s">
        <v>23</v>
      </c>
      <c r="K2592" s="7">
        <v>1569</v>
      </c>
      <c r="L2592" s="9">
        <v>-1</v>
      </c>
      <c r="M2592" t="s">
        <v>59</v>
      </c>
      <c r="N2592" t="s">
        <v>60</v>
      </c>
      <c r="O2592" s="27" t="str">
        <f>HYPERLINK("https://www.ncbi.nlm.nih.gov/nuccore/NC_016582.1?report=graph&amp;from=293243&amp;to=293247", "TTA_codon")</f>
        <v>TTA_codon</v>
      </c>
    </row>
    <row r="2593" spans="1:15" x14ac:dyDescent="0.15">
      <c r="A2593" t="s">
        <v>21</v>
      </c>
      <c r="B2593">
        <v>1001311</v>
      </c>
      <c r="C2593">
        <v>350297</v>
      </c>
      <c r="F2593" s="7">
        <v>1</v>
      </c>
      <c r="G2593" s="7">
        <v>130</v>
      </c>
      <c r="H2593" s="8">
        <v>73</v>
      </c>
      <c r="J2593" t="s">
        <v>23</v>
      </c>
      <c r="K2593" s="7">
        <v>1407</v>
      </c>
      <c r="L2593" s="9">
        <v>-1</v>
      </c>
      <c r="M2593" t="s">
        <v>35</v>
      </c>
      <c r="N2593" t="s">
        <v>36</v>
      </c>
      <c r="O2593" s="27" t="str">
        <f>HYPERLINK("https://www.ncbi.nlm.nih.gov/nuccore/NZ_JH725387.1?report=graph&amp;from=3868700&amp;to=3868704", "TTA_codon")</f>
        <v>TTA_codon</v>
      </c>
    </row>
    <row r="2594" spans="1:15" x14ac:dyDescent="0.15">
      <c r="A2594" t="s">
        <v>21</v>
      </c>
      <c r="B2594">
        <v>1001311</v>
      </c>
      <c r="C2594">
        <v>351268</v>
      </c>
      <c r="F2594" s="7">
        <v>1</v>
      </c>
      <c r="G2594" s="7">
        <v>106</v>
      </c>
      <c r="H2594" s="8">
        <v>55</v>
      </c>
      <c r="J2594" t="s">
        <v>23</v>
      </c>
      <c r="K2594" s="7">
        <v>1500</v>
      </c>
      <c r="L2594" s="9">
        <v>-1</v>
      </c>
      <c r="M2594" t="s">
        <v>65</v>
      </c>
      <c r="N2594" t="s">
        <v>66</v>
      </c>
      <c r="O2594" s="27" t="str">
        <f>HYPERLINK("https://www.ncbi.nlm.nih.gov/nuccore/NC_020504.1?report=graph&amp;from=2793244&amp;to=2793248", "TTA_codon")</f>
        <v>TTA_codon</v>
      </c>
    </row>
    <row r="2595" spans="1:15" x14ac:dyDescent="0.15">
      <c r="A2595" t="s">
        <v>21</v>
      </c>
      <c r="B2595">
        <v>1001311</v>
      </c>
      <c r="C2595">
        <v>351565</v>
      </c>
      <c r="F2595" s="7">
        <v>1</v>
      </c>
      <c r="G2595" s="7">
        <v>286</v>
      </c>
      <c r="H2595" s="8">
        <v>148</v>
      </c>
      <c r="J2595" t="s">
        <v>23</v>
      </c>
      <c r="K2595" s="7">
        <v>1392</v>
      </c>
      <c r="L2595" s="9">
        <v>-1</v>
      </c>
      <c r="M2595" t="s">
        <v>1531</v>
      </c>
      <c r="N2595" t="s">
        <v>138</v>
      </c>
      <c r="O2595" s="27" t="str">
        <f>HYPERLINK("https://www.ncbi.nlm.nih.gov/nuccore/NZ_KB889651.1?report=graph&amp;from=116712&amp;to=116716", "TTA_codon")</f>
        <v>TTA_codon</v>
      </c>
    </row>
    <row r="2596" spans="1:15" x14ac:dyDescent="0.15">
      <c r="A2596" t="s">
        <v>21</v>
      </c>
      <c r="B2596">
        <v>1001311</v>
      </c>
      <c r="C2596">
        <v>351571</v>
      </c>
      <c r="F2596" s="7">
        <v>1</v>
      </c>
      <c r="G2596" s="7">
        <v>94</v>
      </c>
      <c r="H2596" s="8">
        <v>64</v>
      </c>
      <c r="J2596" t="s">
        <v>23</v>
      </c>
      <c r="K2596" s="7">
        <v>1617</v>
      </c>
      <c r="L2596" s="9">
        <v>-1</v>
      </c>
      <c r="M2596" t="s">
        <v>2166</v>
      </c>
      <c r="N2596" t="s">
        <v>138</v>
      </c>
      <c r="O2596" s="27" t="str">
        <f>HYPERLINK("https://www.ncbi.nlm.nih.gov/nuccore/NZ_KB889596.1?report=graph&amp;from=222114&amp;to=222118", "TTA_codon")</f>
        <v>TTA_codon</v>
      </c>
    </row>
    <row r="2597" spans="1:15" x14ac:dyDescent="0.15">
      <c r="A2597" t="s">
        <v>21</v>
      </c>
      <c r="B2597">
        <v>1001311</v>
      </c>
      <c r="C2597">
        <v>351574</v>
      </c>
      <c r="F2597" s="7">
        <v>1</v>
      </c>
      <c r="G2597" s="7">
        <v>286</v>
      </c>
      <c r="H2597" s="8">
        <v>229</v>
      </c>
      <c r="J2597" t="s">
        <v>23</v>
      </c>
      <c r="K2597" s="7">
        <v>1497</v>
      </c>
      <c r="L2597" s="9">
        <v>-1</v>
      </c>
      <c r="M2597" t="s">
        <v>2167</v>
      </c>
      <c r="N2597" t="s">
        <v>138</v>
      </c>
      <c r="O2597" s="27" t="str">
        <f>HYPERLINK("https://www.ncbi.nlm.nih.gov/nuccore/NZ_KB889727.1?report=graph&amp;from=21808&amp;to=21812", "TTA_codon")</f>
        <v>TTA_codon</v>
      </c>
    </row>
    <row r="2598" spans="1:15" x14ac:dyDescent="0.15">
      <c r="A2598" t="s">
        <v>21</v>
      </c>
      <c r="B2598">
        <v>1001311</v>
      </c>
      <c r="C2598">
        <v>352943</v>
      </c>
      <c r="F2598" s="7">
        <v>1</v>
      </c>
      <c r="G2598" s="7">
        <v>196</v>
      </c>
      <c r="H2598" s="8">
        <v>97</v>
      </c>
      <c r="J2598" t="s">
        <v>23</v>
      </c>
      <c r="K2598" s="7">
        <v>1527</v>
      </c>
      <c r="L2598" s="9">
        <v>-1</v>
      </c>
      <c r="M2598" t="s">
        <v>2168</v>
      </c>
      <c r="N2598" t="s">
        <v>306</v>
      </c>
      <c r="O2598" s="27" t="str">
        <f>HYPERLINK("https://www.ncbi.nlm.nih.gov/nuccore/NZ_KL571070.1?report=graph&amp;from=39524&amp;to=39528", "TTA_codon")</f>
        <v>TTA_codon</v>
      </c>
    </row>
    <row r="2599" spans="1:15" x14ac:dyDescent="0.15">
      <c r="A2599" t="s">
        <v>21</v>
      </c>
      <c r="B2599">
        <v>1001311</v>
      </c>
      <c r="C2599">
        <v>357532</v>
      </c>
      <c r="F2599" s="7">
        <v>1</v>
      </c>
      <c r="G2599" s="7">
        <v>109</v>
      </c>
      <c r="H2599" s="8">
        <v>61</v>
      </c>
      <c r="J2599" t="s">
        <v>23</v>
      </c>
      <c r="K2599" s="7">
        <v>1578</v>
      </c>
      <c r="L2599" s="9">
        <v>-1</v>
      </c>
      <c r="M2599" t="s">
        <v>1262</v>
      </c>
      <c r="N2599" t="s">
        <v>378</v>
      </c>
      <c r="O2599" s="27" t="str">
        <f>HYPERLINK("https://www.ncbi.nlm.nih.gov/nuccore/NZ_LFXA01000004.1?report=graph&amp;from=573286&amp;to=573290", "TTA_codon")</f>
        <v>TTA_codon</v>
      </c>
    </row>
    <row r="2600" spans="1:15" x14ac:dyDescent="0.15">
      <c r="A2600" t="s">
        <v>21</v>
      </c>
      <c r="B2600">
        <v>1001311</v>
      </c>
      <c r="C2600">
        <v>359494</v>
      </c>
      <c r="F2600" s="7">
        <v>1</v>
      </c>
      <c r="G2600" s="7">
        <v>70</v>
      </c>
      <c r="H2600" s="8">
        <v>37</v>
      </c>
      <c r="J2600" t="s">
        <v>23</v>
      </c>
      <c r="K2600" s="7">
        <v>1596</v>
      </c>
      <c r="L2600" s="9">
        <v>-1</v>
      </c>
      <c r="M2600" t="s">
        <v>151</v>
      </c>
      <c r="N2600" t="s">
        <v>152</v>
      </c>
      <c r="O2600" s="27" t="str">
        <f>HYPERLINK("https://www.ncbi.nlm.nih.gov/nuccore/NZ_CP013129.1?report=graph&amp;from=1117411&amp;to=1117415", "TTA_codon")</f>
        <v>TTA_codon</v>
      </c>
    </row>
    <row r="2601" spans="1:15" x14ac:dyDescent="0.15">
      <c r="A2601" t="s">
        <v>21</v>
      </c>
      <c r="B2601">
        <v>1001311</v>
      </c>
      <c r="C2601">
        <v>361670</v>
      </c>
      <c r="F2601" s="7">
        <v>1</v>
      </c>
      <c r="G2601" s="7">
        <v>196</v>
      </c>
      <c r="H2601" s="8">
        <v>112</v>
      </c>
      <c r="J2601" t="s">
        <v>23</v>
      </c>
      <c r="K2601" s="7">
        <v>1410</v>
      </c>
      <c r="L2601" s="9">
        <v>-1</v>
      </c>
      <c r="M2601" t="s">
        <v>37</v>
      </c>
      <c r="N2601" t="s">
        <v>38</v>
      </c>
      <c r="O2601" s="27" t="str">
        <f>HYPERLINK("https://www.ncbi.nlm.nih.gov/nuccore/NZ_CP011533.1?report=graph&amp;from=354619&amp;to=354623", "TTA_codon")</f>
        <v>TTA_codon</v>
      </c>
    </row>
    <row r="2602" spans="1:15" x14ac:dyDescent="0.15">
      <c r="A2602" t="s">
        <v>21</v>
      </c>
      <c r="B2602">
        <v>1001311</v>
      </c>
      <c r="C2602">
        <v>364335</v>
      </c>
      <c r="F2602" s="7">
        <v>1</v>
      </c>
      <c r="G2602" s="7">
        <v>286</v>
      </c>
      <c r="H2602" s="8">
        <v>181</v>
      </c>
      <c r="J2602" t="s">
        <v>23</v>
      </c>
      <c r="K2602" s="7">
        <v>1443</v>
      </c>
      <c r="L2602" s="9">
        <v>-1</v>
      </c>
      <c r="M2602" t="s">
        <v>105</v>
      </c>
      <c r="N2602" t="s">
        <v>106</v>
      </c>
      <c r="O2602" s="27" t="str">
        <f>HYPERLINK("https://www.ncbi.nlm.nih.gov/nuccore/NZ_CP020042.1?report=graph&amp;from=1246579&amp;to=1246583", "TTA_codon")</f>
        <v>TTA_codon</v>
      </c>
    </row>
    <row r="2603" spans="1:15" x14ac:dyDescent="0.15">
      <c r="A2603" t="s">
        <v>21</v>
      </c>
      <c r="B2603">
        <v>1001311</v>
      </c>
      <c r="C2603">
        <v>365037</v>
      </c>
      <c r="F2603" s="7">
        <v>1</v>
      </c>
      <c r="G2603" s="7">
        <v>196</v>
      </c>
      <c r="H2603" s="8">
        <v>124</v>
      </c>
      <c r="J2603" t="s">
        <v>23</v>
      </c>
      <c r="K2603" s="7">
        <v>1458</v>
      </c>
      <c r="L2603" s="9">
        <v>-1</v>
      </c>
      <c r="M2603" t="s">
        <v>111</v>
      </c>
      <c r="N2603" t="s">
        <v>112</v>
      </c>
      <c r="O2603" s="27" t="str">
        <f>HYPERLINK("https://www.ncbi.nlm.nih.gov/nuccore/NZ_CP021744.1?report=graph&amp;from=1793178&amp;to=1793182", "TTA_codon")</f>
        <v>TTA_codon</v>
      </c>
    </row>
    <row r="2604" spans="1:15" x14ac:dyDescent="0.15">
      <c r="A2604" t="s">
        <v>21</v>
      </c>
      <c r="B2604" t="s">
        <v>2169</v>
      </c>
    </row>
    <row r="2605" spans="1:15" x14ac:dyDescent="0.15">
      <c r="A2605" t="s">
        <v>21</v>
      </c>
      <c r="B2605">
        <v>1001326</v>
      </c>
      <c r="C2605">
        <v>359912</v>
      </c>
      <c r="F2605" s="7">
        <v>1</v>
      </c>
      <c r="G2605" s="7">
        <v>49</v>
      </c>
      <c r="H2605" s="8">
        <v>49</v>
      </c>
      <c r="J2605" t="s">
        <v>23</v>
      </c>
      <c r="K2605" s="7">
        <v>1473</v>
      </c>
      <c r="L2605" s="9">
        <v>-1</v>
      </c>
      <c r="M2605" t="s">
        <v>675</v>
      </c>
      <c r="N2605" t="s">
        <v>91</v>
      </c>
      <c r="O2605" s="27" t="str">
        <f>HYPERLINK("https://www.ncbi.nlm.nih.gov/nuccore/NZ_KQ948306.1?report=graph&amp;from=495226&amp;to=495230", "TTA_codon")</f>
        <v>TTA_codon</v>
      </c>
    </row>
    <row r="2606" spans="1:15" x14ac:dyDescent="0.15">
      <c r="A2606" t="s">
        <v>21</v>
      </c>
      <c r="B2606">
        <v>1001326</v>
      </c>
      <c r="C2606">
        <v>364629</v>
      </c>
      <c r="F2606" s="7">
        <v>1</v>
      </c>
      <c r="G2606" s="7">
        <v>55</v>
      </c>
      <c r="H2606" s="8">
        <v>55</v>
      </c>
      <c r="J2606" t="s">
        <v>23</v>
      </c>
      <c r="K2606" s="7">
        <v>1464</v>
      </c>
      <c r="L2606" s="9">
        <v>-1</v>
      </c>
      <c r="M2606" t="s">
        <v>2170</v>
      </c>
      <c r="N2606" t="s">
        <v>108</v>
      </c>
      <c r="O2606" s="27" t="str">
        <f>HYPERLINK("https://www.ncbi.nlm.nih.gov/nuccore/NZ_MUMD01000102.1?report=graph&amp;from=13391&amp;to=13395", "TTA_codon")</f>
        <v>TTA_codon</v>
      </c>
    </row>
    <row r="2607" spans="1:15" x14ac:dyDescent="0.15">
      <c r="A2607" t="s">
        <v>195</v>
      </c>
      <c r="B2607" t="s">
        <v>2171</v>
      </c>
    </row>
    <row r="2608" spans="1:15" x14ac:dyDescent="0.15">
      <c r="A2608" t="s">
        <v>195</v>
      </c>
      <c r="B2608">
        <v>1000068</v>
      </c>
      <c r="C2608">
        <v>346361</v>
      </c>
      <c r="F2608" s="7">
        <v>1</v>
      </c>
      <c r="G2608" s="7">
        <v>502</v>
      </c>
      <c r="H2608" s="8">
        <v>445</v>
      </c>
      <c r="J2608" t="s">
        <v>23</v>
      </c>
      <c r="K2608" s="7">
        <v>1542</v>
      </c>
      <c r="L2608" s="9">
        <v>-1</v>
      </c>
      <c r="M2608" t="s">
        <v>2172</v>
      </c>
      <c r="N2608" t="s">
        <v>140</v>
      </c>
      <c r="O2608" s="27" t="str">
        <f>HYPERLINK("https://www.ncbi.nlm.nih.gov/nuccore/NZ_JNXG01000041.1?report=graph&amp;from=2594&amp;to=2598", "TTA_codon")</f>
        <v>TTA_codon</v>
      </c>
    </row>
    <row r="2609" spans="1:15" x14ac:dyDescent="0.15">
      <c r="A2609" t="s">
        <v>21</v>
      </c>
      <c r="B2609">
        <v>1000068</v>
      </c>
      <c r="C2609">
        <v>350804</v>
      </c>
      <c r="F2609" s="7">
        <v>1</v>
      </c>
      <c r="G2609" s="7">
        <v>358</v>
      </c>
      <c r="H2609" s="8">
        <v>343</v>
      </c>
      <c r="J2609" t="s">
        <v>23</v>
      </c>
      <c r="K2609" s="7">
        <v>4197</v>
      </c>
      <c r="L2609" s="9">
        <v>-1</v>
      </c>
      <c r="M2609" t="s">
        <v>2173</v>
      </c>
      <c r="N2609" t="s">
        <v>51</v>
      </c>
      <c r="O2609" s="27" t="str">
        <f>HYPERLINK("https://www.ncbi.nlm.nih.gov/nuccore/NZ_AEJB01000130.1?report=graph&amp;from=15405&amp;to=15409", "TTA_codon")</f>
        <v>TTA_codon</v>
      </c>
    </row>
    <row r="2610" spans="1:15" x14ac:dyDescent="0.15">
      <c r="A2610" t="s">
        <v>21</v>
      </c>
      <c r="B2610">
        <v>1000068</v>
      </c>
      <c r="C2610">
        <v>355811</v>
      </c>
      <c r="F2610" s="7">
        <v>1</v>
      </c>
      <c r="G2610" s="7">
        <v>607</v>
      </c>
      <c r="H2610" s="8">
        <v>553</v>
      </c>
      <c r="J2610" t="s">
        <v>23</v>
      </c>
      <c r="K2610" s="7">
        <v>3816</v>
      </c>
      <c r="L2610" s="9">
        <v>-1</v>
      </c>
      <c r="M2610" t="s">
        <v>2174</v>
      </c>
      <c r="N2610" t="s">
        <v>75</v>
      </c>
      <c r="O2610" s="27" t="str">
        <f>HYPERLINK("https://www.ncbi.nlm.nih.gov/nuccore/NZ_JOII01000002.1?report=graph&amp;from=165141&amp;to=165145", "TTA_codon")</f>
        <v>TTA_codon</v>
      </c>
    </row>
    <row r="2611" spans="1:15" x14ac:dyDescent="0.15">
      <c r="A2611" t="s">
        <v>21</v>
      </c>
      <c r="B2611">
        <v>1000068</v>
      </c>
      <c r="C2611">
        <v>359271</v>
      </c>
      <c r="F2611" s="7">
        <v>2</v>
      </c>
      <c r="G2611" s="7" t="s">
        <v>2175</v>
      </c>
      <c r="H2611" s="8" t="s">
        <v>2175</v>
      </c>
      <c r="J2611" t="s">
        <v>23</v>
      </c>
      <c r="K2611" s="7">
        <v>4119</v>
      </c>
      <c r="L2611" s="9">
        <v>-1</v>
      </c>
      <c r="M2611" t="s">
        <v>2176</v>
      </c>
      <c r="N2611" t="s">
        <v>89</v>
      </c>
      <c r="O2611" s="27" t="str">
        <f>HYPERLINK("https://www.ncbi.nlm.nih.gov/nuccore/NZ_LIRG01000005.1?report=graph&amp;from=8101&amp;to=8129", "TTA_codon")</f>
        <v>TTA_codon</v>
      </c>
    </row>
    <row r="2612" spans="1:15" x14ac:dyDescent="0.15">
      <c r="A2612" t="s">
        <v>21</v>
      </c>
      <c r="B2612" t="s">
        <v>2177</v>
      </c>
    </row>
    <row r="2613" spans="1:15" x14ac:dyDescent="0.15">
      <c r="A2613" t="s">
        <v>21</v>
      </c>
      <c r="B2613">
        <v>1000997</v>
      </c>
      <c r="C2613">
        <v>354186</v>
      </c>
      <c r="F2613" s="7">
        <v>1</v>
      </c>
      <c r="G2613" s="7">
        <v>409</v>
      </c>
      <c r="H2613" s="8">
        <v>406</v>
      </c>
      <c r="J2613" t="s">
        <v>23</v>
      </c>
      <c r="K2613" s="7">
        <v>573</v>
      </c>
      <c r="L2613" s="9">
        <v>-1</v>
      </c>
      <c r="M2613" t="s">
        <v>2178</v>
      </c>
      <c r="N2613" t="s">
        <v>361</v>
      </c>
      <c r="O2613" s="27" t="str">
        <f>HYPERLINK("https://www.ncbi.nlm.nih.gov/nuccore/NZ_JODY01000021.1?report=graph&amp;from=78041&amp;to=78045", "TTA_codon")</f>
        <v>TTA_codon</v>
      </c>
    </row>
    <row r="2614" spans="1:15" x14ac:dyDescent="0.15">
      <c r="A2614" t="s">
        <v>21</v>
      </c>
      <c r="B2614">
        <v>1000997</v>
      </c>
      <c r="C2614">
        <v>359298</v>
      </c>
      <c r="F2614" s="7">
        <v>1</v>
      </c>
      <c r="G2614" s="7">
        <v>409</v>
      </c>
      <c r="H2614" s="8">
        <v>409</v>
      </c>
      <c r="J2614" t="s">
        <v>23</v>
      </c>
      <c r="K2614" s="7">
        <v>576</v>
      </c>
      <c r="L2614" s="9">
        <v>-1</v>
      </c>
      <c r="M2614" t="s">
        <v>2179</v>
      </c>
      <c r="N2614" t="s">
        <v>89</v>
      </c>
      <c r="O2614" s="27" t="str">
        <f>HYPERLINK("https://www.ncbi.nlm.nih.gov/nuccore/NZ_LIRG01000239.1?report=graph&amp;from=9086&amp;to=9090", "TTA_codon")</f>
        <v>TTA_codon</v>
      </c>
    </row>
    <row r="2615" spans="1:15" x14ac:dyDescent="0.15">
      <c r="A2615" t="s">
        <v>195</v>
      </c>
      <c r="B2615" t="s">
        <v>2180</v>
      </c>
    </row>
    <row r="2616" spans="1:15" x14ac:dyDescent="0.15">
      <c r="A2616" t="s">
        <v>195</v>
      </c>
      <c r="B2616">
        <v>1000108</v>
      </c>
      <c r="C2616">
        <v>346709</v>
      </c>
      <c r="F2616" s="7">
        <v>1</v>
      </c>
      <c r="G2616" s="7">
        <v>889</v>
      </c>
      <c r="H2616" s="8">
        <v>883</v>
      </c>
      <c r="J2616" t="s">
        <v>23</v>
      </c>
      <c r="K2616" s="7">
        <v>1071</v>
      </c>
      <c r="L2616" s="9">
        <v>1</v>
      </c>
      <c r="M2616" t="s">
        <v>2181</v>
      </c>
      <c r="N2616" t="s">
        <v>89</v>
      </c>
      <c r="O2616" s="27" t="str">
        <f>HYPERLINK("https://www.ncbi.nlm.nih.gov/nuccore/NZ_LIRG01000217.1?report=graph&amp;from=2728&amp;to=2732", "TTA_codon")</f>
        <v>TTA_codon</v>
      </c>
    </row>
    <row r="2617" spans="1:15" x14ac:dyDescent="0.15">
      <c r="A2617" t="s">
        <v>21</v>
      </c>
      <c r="B2617">
        <v>1000108</v>
      </c>
      <c r="C2617">
        <v>349343</v>
      </c>
      <c r="F2617" s="7">
        <v>1</v>
      </c>
      <c r="G2617" s="7">
        <v>889</v>
      </c>
      <c r="H2617" s="8">
        <v>883</v>
      </c>
      <c r="J2617" t="s">
        <v>23</v>
      </c>
      <c r="K2617" s="7">
        <v>1071</v>
      </c>
      <c r="L2617" s="9">
        <v>1</v>
      </c>
      <c r="M2617" t="s">
        <v>458</v>
      </c>
      <c r="N2617" t="s">
        <v>315</v>
      </c>
      <c r="O2617" s="27" t="str">
        <f>HYPERLINK("https://www.ncbi.nlm.nih.gov/nuccore/NC_003888.3?report=graph&amp;from=5681896&amp;to=5681900", "TTA_codon")</f>
        <v>TTA_codon</v>
      </c>
    </row>
    <row r="2618" spans="1:15" x14ac:dyDescent="0.15">
      <c r="A2618" t="s">
        <v>21</v>
      </c>
      <c r="B2618">
        <v>1000108</v>
      </c>
      <c r="C2618">
        <v>349493</v>
      </c>
      <c r="F2618" s="7">
        <v>1</v>
      </c>
      <c r="G2618" s="7">
        <v>649</v>
      </c>
      <c r="H2618" s="8">
        <v>643</v>
      </c>
      <c r="J2618" t="s">
        <v>23</v>
      </c>
      <c r="K2618" s="7">
        <v>1071</v>
      </c>
      <c r="L2618" s="9">
        <v>1</v>
      </c>
      <c r="M2618" t="s">
        <v>2182</v>
      </c>
      <c r="N2618" t="s">
        <v>64</v>
      </c>
      <c r="O2618" s="27" t="str">
        <f>HYPERLINK("https://www.ncbi.nlm.nih.gov/nuccore/NZ_AEYX01000041.1?report=graph&amp;from=163291&amp;to=163295", "TTA_codon")</f>
        <v>TTA_codon</v>
      </c>
    </row>
    <row r="2619" spans="1:15" x14ac:dyDescent="0.15">
      <c r="A2619" t="s">
        <v>21</v>
      </c>
      <c r="B2619">
        <v>1000108</v>
      </c>
      <c r="C2619">
        <v>351840</v>
      </c>
      <c r="F2619" s="7">
        <v>1</v>
      </c>
      <c r="G2619" s="7">
        <v>889</v>
      </c>
      <c r="H2619" s="8">
        <v>883</v>
      </c>
      <c r="J2619" t="s">
        <v>23</v>
      </c>
      <c r="K2619" s="7">
        <v>1071</v>
      </c>
      <c r="L2619" s="9">
        <v>1</v>
      </c>
      <c r="M2619" t="s">
        <v>1345</v>
      </c>
      <c r="N2619" t="s">
        <v>68</v>
      </c>
      <c r="O2619" s="27" t="str">
        <f>HYPERLINK("https://www.ncbi.nlm.nih.gov/nuccore/NZ_BARG01000055.1?report=graph&amp;from=9241&amp;to=9245", "TTA_codon")</f>
        <v>TTA_codon</v>
      </c>
    </row>
    <row r="2620" spans="1:15" x14ac:dyDescent="0.15">
      <c r="A2620" t="s">
        <v>21</v>
      </c>
      <c r="B2620">
        <v>1000108</v>
      </c>
      <c r="C2620">
        <v>353286</v>
      </c>
      <c r="F2620" s="7">
        <v>1</v>
      </c>
      <c r="G2620" s="7">
        <v>937</v>
      </c>
      <c r="H2620" s="8">
        <v>931</v>
      </c>
      <c r="J2620" t="s">
        <v>23</v>
      </c>
      <c r="K2620" s="7">
        <v>1071</v>
      </c>
      <c r="L2620" s="9">
        <v>1</v>
      </c>
      <c r="M2620" t="s">
        <v>1522</v>
      </c>
      <c r="N2620" t="s">
        <v>169</v>
      </c>
      <c r="O2620" s="27" t="str">
        <f>HYPERLINK("https://www.ncbi.nlm.nih.gov/nuccore/NZ_JNWJ01000009.1?report=graph&amp;from=133399&amp;to=133403", "TTA_codon")</f>
        <v>TTA_codon</v>
      </c>
    </row>
    <row r="2621" spans="1:15" x14ac:dyDescent="0.15">
      <c r="A2621" t="s">
        <v>21</v>
      </c>
      <c r="B2621">
        <v>1000108</v>
      </c>
      <c r="C2621">
        <v>356886</v>
      </c>
      <c r="F2621" s="7">
        <v>1</v>
      </c>
      <c r="G2621" s="7">
        <v>805</v>
      </c>
      <c r="H2621" s="8">
        <v>799</v>
      </c>
      <c r="J2621" t="s">
        <v>23</v>
      </c>
      <c r="K2621" s="7">
        <v>1071</v>
      </c>
      <c r="L2621" s="9">
        <v>1</v>
      </c>
      <c r="M2621" t="s">
        <v>78</v>
      </c>
      <c r="N2621" t="s">
        <v>79</v>
      </c>
      <c r="O2621" s="27" t="str">
        <f>HYPERLINK("https://www.ncbi.nlm.nih.gov/nuccore/NZ_CP009313.1?report=graph&amp;from=4888619&amp;to=4888623", "TTA_codon")</f>
        <v>TTA_codon</v>
      </c>
    </row>
    <row r="2622" spans="1:15" x14ac:dyDescent="0.15">
      <c r="A2622" t="s">
        <v>21</v>
      </c>
      <c r="B2622">
        <v>1000108</v>
      </c>
      <c r="C2622">
        <v>357747</v>
      </c>
      <c r="F2622" s="7">
        <v>2</v>
      </c>
      <c r="G2622" s="7" t="s">
        <v>2183</v>
      </c>
      <c r="H2622" s="8" t="s">
        <v>2184</v>
      </c>
      <c r="J2622" t="s">
        <v>23</v>
      </c>
      <c r="K2622" s="7">
        <v>1071</v>
      </c>
      <c r="L2622" s="9">
        <v>1</v>
      </c>
      <c r="M2622" t="s">
        <v>2185</v>
      </c>
      <c r="N2622" t="s">
        <v>83</v>
      </c>
      <c r="O2622" s="27" t="str">
        <f>HYPERLINK("https://www.ncbi.nlm.nih.gov/nuccore/NZ_DF968231.1?report=graph&amp;from=12615&amp;to=12757", "TTA_codon")</f>
        <v>TTA_codon</v>
      </c>
    </row>
    <row r="2623" spans="1:15" x14ac:dyDescent="0.15">
      <c r="A2623" t="s">
        <v>21</v>
      </c>
      <c r="B2623">
        <v>1000108</v>
      </c>
      <c r="C2623">
        <v>364699</v>
      </c>
      <c r="F2623" s="7">
        <v>1</v>
      </c>
      <c r="G2623" s="7">
        <v>889</v>
      </c>
      <c r="H2623" s="8">
        <v>889</v>
      </c>
      <c r="J2623" t="s">
        <v>23</v>
      </c>
      <c r="K2623" s="7">
        <v>1077</v>
      </c>
      <c r="L2623" s="9">
        <v>1</v>
      </c>
      <c r="M2623" t="s">
        <v>2186</v>
      </c>
      <c r="N2623" t="s">
        <v>110</v>
      </c>
      <c r="O2623" s="27" t="str">
        <f>HYPERLINK("https://www.ncbi.nlm.nih.gov/nuccore/NZ_MUME01000202.1?report=graph&amp;from=29159&amp;to=29163", "TTA_codon")</f>
        <v>TTA_codon</v>
      </c>
    </row>
    <row r="2624" spans="1:15" x14ac:dyDescent="0.15">
      <c r="A2624" t="s">
        <v>21</v>
      </c>
      <c r="B2624" t="s">
        <v>2187</v>
      </c>
    </row>
    <row r="2625" spans="1:15" x14ac:dyDescent="0.15">
      <c r="A2625" t="s">
        <v>21</v>
      </c>
      <c r="B2625">
        <v>1000835</v>
      </c>
      <c r="C2625">
        <v>352407</v>
      </c>
      <c r="F2625" s="7">
        <v>1</v>
      </c>
      <c r="G2625" s="7">
        <v>238</v>
      </c>
      <c r="H2625" s="8">
        <v>178</v>
      </c>
      <c r="J2625" t="s">
        <v>23</v>
      </c>
      <c r="K2625" s="7">
        <v>1377</v>
      </c>
      <c r="L2625" s="9">
        <v>1</v>
      </c>
      <c r="M2625" t="s">
        <v>30</v>
      </c>
      <c r="N2625" t="s">
        <v>31</v>
      </c>
      <c r="O2625" s="27" t="str">
        <f>HYPERLINK("https://www.ncbi.nlm.nih.gov/nuccore/NZ_KB913030.1?report=graph&amp;from=2745551&amp;to=2745555", "TTA_codon")</f>
        <v>TTA_codon</v>
      </c>
    </row>
    <row r="2626" spans="1:15" x14ac:dyDescent="0.15">
      <c r="A2626" t="s">
        <v>21</v>
      </c>
      <c r="B2626">
        <v>1000835</v>
      </c>
      <c r="C2626">
        <v>353186</v>
      </c>
      <c r="F2626" s="7">
        <v>1</v>
      </c>
      <c r="G2626" s="7">
        <v>136</v>
      </c>
      <c r="H2626" s="8">
        <v>88</v>
      </c>
      <c r="J2626" t="s">
        <v>23</v>
      </c>
      <c r="K2626" s="7">
        <v>1371</v>
      </c>
      <c r="L2626" s="9">
        <v>1</v>
      </c>
      <c r="M2626" t="s">
        <v>2188</v>
      </c>
      <c r="N2626" t="s">
        <v>169</v>
      </c>
      <c r="O2626" s="27" t="str">
        <f>HYPERLINK("https://www.ncbi.nlm.nih.gov/nuccore/NZ_JNWJ01000048.1?report=graph&amp;from=8278&amp;to=8282", "TTA_codon")</f>
        <v>TTA_codon</v>
      </c>
    </row>
    <row r="2627" spans="1:15" x14ac:dyDescent="0.15">
      <c r="A2627" t="s">
        <v>21</v>
      </c>
      <c r="B2627">
        <v>1000835</v>
      </c>
      <c r="C2627">
        <v>355871</v>
      </c>
      <c r="F2627" s="7">
        <v>1</v>
      </c>
      <c r="G2627" s="7">
        <v>238</v>
      </c>
      <c r="H2627" s="8">
        <v>145</v>
      </c>
      <c r="J2627" t="s">
        <v>23</v>
      </c>
      <c r="K2627" s="7">
        <v>1344</v>
      </c>
      <c r="L2627" s="9">
        <v>1</v>
      </c>
      <c r="M2627" t="s">
        <v>2189</v>
      </c>
      <c r="N2627" t="s">
        <v>384</v>
      </c>
      <c r="O2627" s="27" t="str">
        <f>HYPERLINK("https://www.ncbi.nlm.nih.gov/nuccore/NZ_JOAK01000019.1?report=graph&amp;from=86350&amp;to=86354", "TTA_codon")</f>
        <v>TTA_codon</v>
      </c>
    </row>
    <row r="2628" spans="1:15" x14ac:dyDescent="0.15">
      <c r="A2628" t="s">
        <v>21</v>
      </c>
      <c r="B2628">
        <v>1000835</v>
      </c>
      <c r="C2628">
        <v>357132</v>
      </c>
      <c r="F2628" s="7">
        <v>1</v>
      </c>
      <c r="G2628" s="7">
        <v>100</v>
      </c>
      <c r="H2628" s="8">
        <v>58</v>
      </c>
      <c r="J2628" t="s">
        <v>23</v>
      </c>
      <c r="K2628" s="7">
        <v>1359</v>
      </c>
      <c r="L2628" s="9">
        <v>1</v>
      </c>
      <c r="M2628" t="s">
        <v>205</v>
      </c>
      <c r="N2628" t="s">
        <v>206</v>
      </c>
      <c r="O2628" s="27" t="str">
        <f>HYPERLINK("https://www.ncbi.nlm.nih.gov/nuccore/NZ_CP010407.1?report=graph&amp;from=3298349&amp;to=3298353", "TTA_codon")</f>
        <v>TTA_codon</v>
      </c>
    </row>
    <row r="2629" spans="1:15" x14ac:dyDescent="0.15">
      <c r="A2629" t="s">
        <v>21</v>
      </c>
      <c r="B2629">
        <v>1000835</v>
      </c>
      <c r="C2629">
        <v>364292</v>
      </c>
      <c r="F2629" s="7">
        <v>1</v>
      </c>
      <c r="G2629" s="7">
        <v>238</v>
      </c>
      <c r="H2629" s="8">
        <v>217</v>
      </c>
      <c r="J2629" t="s">
        <v>23</v>
      </c>
      <c r="K2629" s="7">
        <v>1416</v>
      </c>
      <c r="L2629" s="9">
        <v>1</v>
      </c>
      <c r="M2629" t="s">
        <v>105</v>
      </c>
      <c r="N2629" t="s">
        <v>106</v>
      </c>
      <c r="O2629" s="27" t="str">
        <f>HYPERLINK("https://www.ncbi.nlm.nih.gov/nuccore/NZ_CP020042.1?report=graph&amp;from=3093219&amp;to=3093223", "TTA_codon")</f>
        <v>TTA_codon</v>
      </c>
    </row>
    <row r="2630" spans="1:15" x14ac:dyDescent="0.15">
      <c r="A2630" t="s">
        <v>21</v>
      </c>
      <c r="B2630" t="s">
        <v>2190</v>
      </c>
    </row>
    <row r="2631" spans="1:15" x14ac:dyDescent="0.15">
      <c r="A2631" t="s">
        <v>21</v>
      </c>
      <c r="B2631">
        <v>1000257</v>
      </c>
      <c r="C2631">
        <v>347690</v>
      </c>
      <c r="F2631" s="7">
        <v>1</v>
      </c>
      <c r="G2631" s="7">
        <v>109</v>
      </c>
      <c r="H2631" s="8">
        <v>94</v>
      </c>
      <c r="J2631" t="s">
        <v>23</v>
      </c>
      <c r="K2631" s="7">
        <v>1587</v>
      </c>
      <c r="L2631" s="9">
        <v>-1</v>
      </c>
      <c r="M2631" t="s">
        <v>55</v>
      </c>
      <c r="N2631" t="s">
        <v>56</v>
      </c>
      <c r="O2631" s="27" t="str">
        <f>HYPERLINK("https://www.ncbi.nlm.nih.gov/nuccore/NC_010572.1?report=graph&amp;from=6408635&amp;to=6408639", "TTA_codon")</f>
        <v>TTA_codon</v>
      </c>
    </row>
    <row r="2632" spans="1:15" x14ac:dyDescent="0.15">
      <c r="A2632" t="s">
        <v>21</v>
      </c>
      <c r="B2632">
        <v>1000257</v>
      </c>
      <c r="C2632">
        <v>348446</v>
      </c>
      <c r="F2632" s="7">
        <v>1</v>
      </c>
      <c r="G2632" s="7">
        <v>526</v>
      </c>
      <c r="H2632" s="8">
        <v>508</v>
      </c>
      <c r="J2632" t="s">
        <v>23</v>
      </c>
      <c r="K2632" s="7">
        <v>1581</v>
      </c>
      <c r="L2632" s="9">
        <v>-1</v>
      </c>
      <c r="M2632" t="s">
        <v>59</v>
      </c>
      <c r="N2632" t="s">
        <v>60</v>
      </c>
      <c r="O2632" s="27" t="str">
        <f>HYPERLINK("https://www.ncbi.nlm.nih.gov/nuccore/NC_016582.1?report=graph&amp;from=9365705&amp;to=9365709", "TTA_codon")</f>
        <v>TTA_codon</v>
      </c>
    </row>
    <row r="2633" spans="1:15" x14ac:dyDescent="0.15">
      <c r="A2633" t="s">
        <v>21</v>
      </c>
      <c r="B2633">
        <v>1000257</v>
      </c>
      <c r="C2633">
        <v>349183</v>
      </c>
      <c r="F2633" s="7">
        <v>1</v>
      </c>
      <c r="G2633" s="7">
        <v>511</v>
      </c>
      <c r="H2633" s="8">
        <v>493</v>
      </c>
      <c r="J2633" t="s">
        <v>23</v>
      </c>
      <c r="K2633" s="7">
        <v>1581</v>
      </c>
      <c r="L2633" s="9">
        <v>-1</v>
      </c>
      <c r="M2633" t="s">
        <v>211</v>
      </c>
      <c r="N2633" t="s">
        <v>212</v>
      </c>
      <c r="O2633" s="27" t="str">
        <f>HYPERLINK("https://www.ncbi.nlm.nih.gov/nuccore/NZ_GG657754.1?report=graph&amp;from=7871228&amp;to=7871232", "TTA_codon")</f>
        <v>TTA_codon</v>
      </c>
    </row>
    <row r="2634" spans="1:15" x14ac:dyDescent="0.15">
      <c r="A2634" t="s">
        <v>21</v>
      </c>
      <c r="B2634">
        <v>1000257</v>
      </c>
      <c r="C2634">
        <v>350387</v>
      </c>
      <c r="F2634" s="7">
        <v>1</v>
      </c>
      <c r="G2634" s="7">
        <v>253</v>
      </c>
      <c r="H2634" s="8">
        <v>235</v>
      </c>
      <c r="J2634" t="s">
        <v>23</v>
      </c>
      <c r="K2634" s="7">
        <v>1587</v>
      </c>
      <c r="L2634" s="9">
        <v>-1</v>
      </c>
      <c r="M2634" t="s">
        <v>35</v>
      </c>
      <c r="N2634" t="s">
        <v>36</v>
      </c>
      <c r="O2634" s="27" t="str">
        <f>HYPERLINK("https://www.ncbi.nlm.nih.gov/nuccore/NZ_JH725387.1?report=graph&amp;from=5256875&amp;to=5256879", "TTA_codon")</f>
        <v>TTA_codon</v>
      </c>
    </row>
    <row r="2635" spans="1:15" x14ac:dyDescent="0.15">
      <c r="A2635" t="s">
        <v>21</v>
      </c>
      <c r="B2635">
        <v>1000257</v>
      </c>
      <c r="C2635">
        <v>354483</v>
      </c>
      <c r="F2635" s="7">
        <v>1</v>
      </c>
      <c r="G2635" s="7">
        <v>136</v>
      </c>
      <c r="H2635" s="8">
        <v>112</v>
      </c>
      <c r="J2635" t="s">
        <v>23</v>
      </c>
      <c r="K2635" s="7">
        <v>1587</v>
      </c>
      <c r="L2635" s="9">
        <v>-1</v>
      </c>
      <c r="M2635" t="s">
        <v>2191</v>
      </c>
      <c r="N2635" t="s">
        <v>142</v>
      </c>
      <c r="O2635" s="27" t="str">
        <f>HYPERLINK("https://www.ncbi.nlm.nih.gov/nuccore/NZ_JOEI01000018.1?report=graph&amp;from=56550&amp;to=56554", "TTA_codon")</f>
        <v>TTA_codon</v>
      </c>
    </row>
    <row r="2636" spans="1:15" x14ac:dyDescent="0.15">
      <c r="A2636" t="s">
        <v>21</v>
      </c>
      <c r="B2636">
        <v>1000257</v>
      </c>
      <c r="C2636">
        <v>356315</v>
      </c>
      <c r="F2636" s="7">
        <v>1</v>
      </c>
      <c r="G2636" s="7">
        <v>592</v>
      </c>
      <c r="H2636" s="8">
        <v>577</v>
      </c>
      <c r="J2636" t="s">
        <v>23</v>
      </c>
      <c r="K2636" s="7">
        <v>1563</v>
      </c>
      <c r="L2636" s="9">
        <v>-1</v>
      </c>
      <c r="M2636" t="s">
        <v>1561</v>
      </c>
      <c r="N2636" t="s">
        <v>77</v>
      </c>
      <c r="O2636" s="27" t="str">
        <f>HYPERLINK("https://www.ncbi.nlm.nih.gov/nuccore/NZ_JNXD01000001.1?report=graph&amp;from=1006808&amp;to=1006812", "TTA_codon")</f>
        <v>TTA_codon</v>
      </c>
    </row>
    <row r="2637" spans="1:15" x14ac:dyDescent="0.15">
      <c r="A2637" t="s">
        <v>21</v>
      </c>
      <c r="B2637">
        <v>1000257</v>
      </c>
      <c r="C2637">
        <v>356478</v>
      </c>
      <c r="F2637" s="7">
        <v>1</v>
      </c>
      <c r="G2637" s="7">
        <v>268</v>
      </c>
      <c r="H2637" s="8">
        <v>244</v>
      </c>
      <c r="J2637" t="s">
        <v>23</v>
      </c>
      <c r="K2637" s="7">
        <v>1587</v>
      </c>
      <c r="L2637" s="9">
        <v>-1</v>
      </c>
      <c r="M2637" t="s">
        <v>2192</v>
      </c>
      <c r="N2637" t="s">
        <v>354</v>
      </c>
      <c r="O2637" s="27" t="str">
        <f>HYPERLINK("https://www.ncbi.nlm.nih.gov/nuccore/NZ_JQJU01000049.1?report=graph&amp;from=23254&amp;to=23258", "TTA_codon")</f>
        <v>TTA_codon</v>
      </c>
    </row>
    <row r="2638" spans="1:15" x14ac:dyDescent="0.15">
      <c r="A2638" t="s">
        <v>21</v>
      </c>
      <c r="B2638">
        <v>1000257</v>
      </c>
      <c r="C2638">
        <v>357825</v>
      </c>
      <c r="F2638" s="7">
        <v>1</v>
      </c>
      <c r="G2638" s="7">
        <v>592</v>
      </c>
      <c r="H2638" s="8">
        <v>577</v>
      </c>
      <c r="J2638" t="s">
        <v>23</v>
      </c>
      <c r="K2638" s="7">
        <v>1563</v>
      </c>
      <c r="L2638" s="9">
        <v>-1</v>
      </c>
      <c r="M2638" t="s">
        <v>2193</v>
      </c>
      <c r="N2638" t="s">
        <v>83</v>
      </c>
      <c r="O2638" s="27" t="str">
        <f>HYPERLINK("https://www.ncbi.nlm.nih.gov/nuccore/NZ_DF968229.1?report=graph&amp;from=37656&amp;to=37660", "TTA_codon")</f>
        <v>TTA_codon</v>
      </c>
    </row>
    <row r="2639" spans="1:15" x14ac:dyDescent="0.15">
      <c r="A2639" t="s">
        <v>21</v>
      </c>
      <c r="B2639">
        <v>1000257</v>
      </c>
      <c r="C2639">
        <v>358043</v>
      </c>
      <c r="F2639" s="7">
        <v>1</v>
      </c>
      <c r="G2639" s="7">
        <v>592</v>
      </c>
      <c r="H2639" s="8">
        <v>568</v>
      </c>
      <c r="J2639" t="s">
        <v>23</v>
      </c>
      <c r="K2639" s="7">
        <v>1587</v>
      </c>
      <c r="L2639" s="9">
        <v>-1</v>
      </c>
      <c r="M2639" t="s">
        <v>261</v>
      </c>
      <c r="N2639" t="s">
        <v>262</v>
      </c>
      <c r="O2639" s="27" t="str">
        <f>HYPERLINK("https://www.ncbi.nlm.nih.gov/nuccore/NZ_CP011340.1?report=graph&amp;from=6349863&amp;to=6349867", "TTA_codon")</f>
        <v>TTA_codon</v>
      </c>
    </row>
    <row r="2640" spans="1:15" x14ac:dyDescent="0.15">
      <c r="A2640" t="s">
        <v>21</v>
      </c>
      <c r="B2640">
        <v>1000257</v>
      </c>
      <c r="C2640">
        <v>363752</v>
      </c>
      <c r="F2640" s="7">
        <v>1</v>
      </c>
      <c r="G2640" s="7">
        <v>403</v>
      </c>
      <c r="H2640" s="8">
        <v>358</v>
      </c>
      <c r="J2640" t="s">
        <v>23</v>
      </c>
      <c r="K2640" s="7">
        <v>1455</v>
      </c>
      <c r="L2640" s="9">
        <v>-1</v>
      </c>
      <c r="M2640" t="s">
        <v>101</v>
      </c>
      <c r="N2640" t="s">
        <v>102</v>
      </c>
      <c r="O2640" s="27" t="str">
        <f>HYPERLINK("https://www.ncbi.nlm.nih.gov/nuccore/NZ_CP019458.1?report=graph&amp;from=6794583&amp;to=6794587", "TTA_codon")</f>
        <v>TTA_codon</v>
      </c>
    </row>
    <row r="2641" spans="1:15" x14ac:dyDescent="0.15">
      <c r="A2641" t="s">
        <v>21</v>
      </c>
      <c r="B2641">
        <v>1000257</v>
      </c>
      <c r="C2641">
        <v>365509</v>
      </c>
      <c r="F2641" s="7">
        <v>1</v>
      </c>
      <c r="G2641" s="7">
        <v>211</v>
      </c>
      <c r="H2641" s="8">
        <v>196</v>
      </c>
      <c r="J2641" t="s">
        <v>23</v>
      </c>
      <c r="K2641" s="7">
        <v>1572</v>
      </c>
      <c r="L2641" s="9">
        <v>-1</v>
      </c>
      <c r="M2641" t="s">
        <v>113</v>
      </c>
      <c r="N2641" t="s">
        <v>45</v>
      </c>
      <c r="O2641" s="27" t="str">
        <f>HYPERLINK("https://www.ncbi.nlm.nih.gov/nuccore/NZ_FNIE01000005.1?report=graph&amp;from=373153&amp;to=373157", "TTA_codon")</f>
        <v>TTA_codon</v>
      </c>
    </row>
    <row r="2642" spans="1:15" x14ac:dyDescent="0.15">
      <c r="A2642" t="s">
        <v>21</v>
      </c>
      <c r="B2642" t="s">
        <v>2194</v>
      </c>
    </row>
    <row r="2643" spans="1:15" x14ac:dyDescent="0.15">
      <c r="A2643" t="s">
        <v>21</v>
      </c>
      <c r="B2643">
        <v>1001413</v>
      </c>
      <c r="C2643">
        <v>348577</v>
      </c>
      <c r="F2643" s="7">
        <v>1</v>
      </c>
      <c r="G2643" s="7">
        <v>34</v>
      </c>
      <c r="H2643" s="8">
        <v>34</v>
      </c>
      <c r="J2643" t="s">
        <v>23</v>
      </c>
      <c r="K2643" s="7">
        <v>591</v>
      </c>
      <c r="L2643" s="9">
        <v>-1</v>
      </c>
      <c r="M2643" t="s">
        <v>61</v>
      </c>
      <c r="N2643" t="s">
        <v>62</v>
      </c>
      <c r="O2643" s="27" t="str">
        <f>HYPERLINK("https://www.ncbi.nlm.nih.gov/nuccore/NZ_DS999641.1?report=graph&amp;from=1360954&amp;to=1360958", "TTA_codon")</f>
        <v>TTA_codon</v>
      </c>
    </row>
    <row r="2644" spans="1:15" x14ac:dyDescent="0.15">
      <c r="A2644" t="s">
        <v>21</v>
      </c>
      <c r="B2644">
        <v>1001413</v>
      </c>
      <c r="C2644">
        <v>349563</v>
      </c>
      <c r="F2644" s="7">
        <v>1</v>
      </c>
      <c r="G2644" s="7">
        <v>34</v>
      </c>
      <c r="H2644" s="8">
        <v>34</v>
      </c>
      <c r="J2644" t="s">
        <v>23</v>
      </c>
      <c r="K2644" s="7">
        <v>561</v>
      </c>
      <c r="L2644" s="9">
        <v>-1</v>
      </c>
      <c r="M2644" t="s">
        <v>529</v>
      </c>
      <c r="N2644" t="s">
        <v>64</v>
      </c>
      <c r="O2644" s="27" t="str">
        <f>HYPERLINK("https://www.ncbi.nlm.nih.gov/nuccore/NZ_AEYX01000043.1?report=graph&amp;from=61830&amp;to=61834", "TTA_codon")</f>
        <v>TTA_codon</v>
      </c>
    </row>
    <row r="2645" spans="1:15" x14ac:dyDescent="0.15">
      <c r="A2645" t="s">
        <v>21</v>
      </c>
      <c r="B2645">
        <v>1001413</v>
      </c>
      <c r="C2645">
        <v>349713</v>
      </c>
      <c r="F2645" s="7">
        <v>1</v>
      </c>
      <c r="G2645" s="7">
        <v>34</v>
      </c>
      <c r="H2645" s="8">
        <v>34</v>
      </c>
      <c r="J2645" t="s">
        <v>23</v>
      </c>
      <c r="K2645" s="7">
        <v>588</v>
      </c>
      <c r="L2645" s="9">
        <v>-1</v>
      </c>
      <c r="M2645" t="s">
        <v>2195</v>
      </c>
      <c r="N2645" t="s">
        <v>335</v>
      </c>
      <c r="O2645" s="27" t="str">
        <f>HYPERLINK("https://www.ncbi.nlm.nih.gov/nuccore/NZ_AGBF01000084.1?report=graph&amp;from=22133&amp;to=22137", "TTA_codon")</f>
        <v>TTA_codon</v>
      </c>
    </row>
    <row r="2646" spans="1:15" x14ac:dyDescent="0.15">
      <c r="A2646" t="s">
        <v>21</v>
      </c>
      <c r="B2646">
        <v>1001413</v>
      </c>
      <c r="C2646">
        <v>351363</v>
      </c>
      <c r="F2646" s="7">
        <v>1</v>
      </c>
      <c r="G2646" s="7">
        <v>34</v>
      </c>
      <c r="H2646" s="8">
        <v>34</v>
      </c>
      <c r="J2646" t="s">
        <v>23</v>
      </c>
      <c r="K2646" s="7">
        <v>561</v>
      </c>
      <c r="L2646" s="9">
        <v>-1</v>
      </c>
      <c r="M2646" t="s">
        <v>65</v>
      </c>
      <c r="N2646" t="s">
        <v>66</v>
      </c>
      <c r="O2646" s="27" t="str">
        <f>HYPERLINK("https://www.ncbi.nlm.nih.gov/nuccore/NC_020504.1?report=graph&amp;from=2153474&amp;to=2153478", "TTA_codon")</f>
        <v>TTA_codon</v>
      </c>
    </row>
    <row r="2647" spans="1:15" x14ac:dyDescent="0.15">
      <c r="A2647" t="s">
        <v>21</v>
      </c>
      <c r="B2647">
        <v>1001413</v>
      </c>
      <c r="C2647">
        <v>356068</v>
      </c>
      <c r="F2647" s="7">
        <v>1</v>
      </c>
      <c r="G2647" s="7">
        <v>34</v>
      </c>
      <c r="H2647" s="8">
        <v>34</v>
      </c>
      <c r="J2647" t="s">
        <v>23</v>
      </c>
      <c r="K2647" s="7">
        <v>579</v>
      </c>
      <c r="L2647" s="9">
        <v>-1</v>
      </c>
      <c r="M2647" t="s">
        <v>954</v>
      </c>
      <c r="N2647" t="s">
        <v>146</v>
      </c>
      <c r="O2647" s="27" t="str">
        <f>HYPERLINK("https://www.ncbi.nlm.nih.gov/nuccore/NZ_JOFH01000015.1?report=graph&amp;from=168739&amp;to=168743", "TTA_codon")</f>
        <v>TTA_codon</v>
      </c>
    </row>
    <row r="2648" spans="1:15" x14ac:dyDescent="0.15">
      <c r="A2648" t="s">
        <v>21</v>
      </c>
      <c r="B2648">
        <v>1001413</v>
      </c>
      <c r="C2648">
        <v>356268</v>
      </c>
      <c r="F2648" s="7">
        <v>1</v>
      </c>
      <c r="G2648" s="7">
        <v>34</v>
      </c>
      <c r="H2648" s="8">
        <v>34</v>
      </c>
      <c r="J2648" t="s">
        <v>23</v>
      </c>
      <c r="K2648" s="7">
        <v>561</v>
      </c>
      <c r="L2648" s="9">
        <v>-1</v>
      </c>
      <c r="M2648" t="s">
        <v>2196</v>
      </c>
      <c r="N2648" t="s">
        <v>77</v>
      </c>
      <c r="O2648" s="27" t="str">
        <f>HYPERLINK("https://www.ncbi.nlm.nih.gov/nuccore/NZ_JNXD01000008.1?report=graph&amp;from=162989&amp;to=162993", "TTA_codon")</f>
        <v>TTA_codon</v>
      </c>
    </row>
    <row r="2649" spans="1:15" x14ac:dyDescent="0.15">
      <c r="A2649" t="s">
        <v>21</v>
      </c>
      <c r="B2649">
        <v>1001413</v>
      </c>
      <c r="C2649">
        <v>358261</v>
      </c>
      <c r="F2649" s="7">
        <v>1</v>
      </c>
      <c r="G2649" s="7">
        <v>34</v>
      </c>
      <c r="H2649" s="8">
        <v>34</v>
      </c>
      <c r="J2649" t="s">
        <v>23</v>
      </c>
      <c r="K2649" s="7">
        <v>585</v>
      </c>
      <c r="L2649" s="9">
        <v>-1</v>
      </c>
      <c r="M2649" t="s">
        <v>2197</v>
      </c>
      <c r="N2649" t="s">
        <v>119</v>
      </c>
      <c r="O2649" s="27" t="str">
        <f>HYPERLINK("https://www.ncbi.nlm.nih.gov/nuccore/NZ_LIPP01000024.1?report=graph&amp;from=6459&amp;to=6463", "TTA_codon")</f>
        <v>TTA_codon</v>
      </c>
    </row>
    <row r="2650" spans="1:15" x14ac:dyDescent="0.15">
      <c r="A2650" t="s">
        <v>21</v>
      </c>
      <c r="B2650">
        <v>1001413</v>
      </c>
      <c r="C2650">
        <v>358904</v>
      </c>
      <c r="F2650" s="7">
        <v>1</v>
      </c>
      <c r="G2650" s="7">
        <v>34</v>
      </c>
      <c r="H2650" s="8">
        <v>34</v>
      </c>
      <c r="J2650" t="s">
        <v>23</v>
      </c>
      <c r="K2650" s="7">
        <v>561</v>
      </c>
      <c r="L2650" s="9">
        <v>-1</v>
      </c>
      <c r="M2650" t="s">
        <v>2198</v>
      </c>
      <c r="N2650" t="s">
        <v>87</v>
      </c>
      <c r="O2650" s="27" t="str">
        <f>HYPERLINK("https://www.ncbi.nlm.nih.gov/nuccore/NZ_LIQS01000484.1?report=graph&amp;from=5667&amp;to=5671", "TTA_codon")</f>
        <v>TTA_codon</v>
      </c>
    </row>
    <row r="2651" spans="1:15" x14ac:dyDescent="0.15">
      <c r="A2651" t="s">
        <v>21</v>
      </c>
      <c r="B2651">
        <v>1001413</v>
      </c>
      <c r="C2651">
        <v>359410</v>
      </c>
      <c r="F2651" s="7">
        <v>1</v>
      </c>
      <c r="G2651" s="7">
        <v>34</v>
      </c>
      <c r="H2651" s="8">
        <v>34</v>
      </c>
      <c r="J2651" t="s">
        <v>23</v>
      </c>
      <c r="K2651" s="7">
        <v>594</v>
      </c>
      <c r="L2651" s="9">
        <v>-1</v>
      </c>
      <c r="M2651" t="s">
        <v>2199</v>
      </c>
      <c r="N2651" t="s">
        <v>89</v>
      </c>
      <c r="O2651" s="27" t="str">
        <f>HYPERLINK("https://www.ncbi.nlm.nih.gov/nuccore/NZ_LIRG01000122.1?report=graph&amp;from=10072&amp;to=10076", "TTA_codon")</f>
        <v>TTA_codon</v>
      </c>
    </row>
    <row r="2652" spans="1:15" x14ac:dyDescent="0.15">
      <c r="A2652" t="s">
        <v>21</v>
      </c>
      <c r="B2652">
        <v>1001413</v>
      </c>
      <c r="C2652">
        <v>362271</v>
      </c>
      <c r="F2652" s="7">
        <v>1</v>
      </c>
      <c r="G2652" s="7">
        <v>91</v>
      </c>
      <c r="H2652" s="8">
        <v>82</v>
      </c>
      <c r="J2652" t="s">
        <v>23</v>
      </c>
      <c r="K2652" s="7">
        <v>636</v>
      </c>
      <c r="L2652" s="9">
        <v>-1</v>
      </c>
      <c r="M2652" t="s">
        <v>39</v>
      </c>
      <c r="N2652" t="s">
        <v>40</v>
      </c>
      <c r="O2652" s="27" t="str">
        <f>HYPERLINK("https://www.ncbi.nlm.nih.gov/nuccore/NZ_CP017157.1?report=graph&amp;from=5592273&amp;to=5592277", "TTA_codon")</f>
        <v>TTA_codon</v>
      </c>
    </row>
    <row r="2653" spans="1:15" x14ac:dyDescent="0.15">
      <c r="A2653" t="s">
        <v>21</v>
      </c>
      <c r="B2653">
        <v>1001413</v>
      </c>
      <c r="C2653">
        <v>362508</v>
      </c>
      <c r="F2653" s="7">
        <v>1</v>
      </c>
      <c r="G2653" s="7">
        <v>34</v>
      </c>
      <c r="H2653" s="8">
        <v>34</v>
      </c>
      <c r="J2653" t="s">
        <v>23</v>
      </c>
      <c r="K2653" s="7">
        <v>606</v>
      </c>
      <c r="L2653" s="9">
        <v>-1</v>
      </c>
      <c r="M2653" t="s">
        <v>32</v>
      </c>
      <c r="N2653" t="s">
        <v>33</v>
      </c>
      <c r="O2653" s="27" t="str">
        <f>HYPERLINK("https://www.ncbi.nlm.nih.gov/nuccore/NZ_CP017248.1?report=graph&amp;from=2246039&amp;to=2246043", "TTA_codon")</f>
        <v>TTA_codon</v>
      </c>
    </row>
    <row r="2654" spans="1:15" x14ac:dyDescent="0.15">
      <c r="A2654" t="s">
        <v>21</v>
      </c>
      <c r="B2654">
        <v>1001413</v>
      </c>
      <c r="C2654">
        <v>363358</v>
      </c>
      <c r="F2654" s="7">
        <v>1</v>
      </c>
      <c r="G2654" s="7">
        <v>34</v>
      </c>
      <c r="H2654" s="8">
        <v>34</v>
      </c>
      <c r="J2654" t="s">
        <v>23</v>
      </c>
      <c r="K2654" s="7">
        <v>561</v>
      </c>
      <c r="L2654" s="9">
        <v>-1</v>
      </c>
      <c r="M2654" t="s">
        <v>2200</v>
      </c>
      <c r="N2654" t="s">
        <v>28</v>
      </c>
      <c r="O2654" s="27" t="str">
        <f>HYPERLINK("https://www.ncbi.nlm.nih.gov/nuccore/NZ_JUJA01000097.1?report=graph&amp;from=22076&amp;to=22080", "TTA_codon")</f>
        <v>TTA_codon</v>
      </c>
    </row>
    <row r="2655" spans="1:15" x14ac:dyDescent="0.15">
      <c r="A2655" t="s">
        <v>21</v>
      </c>
      <c r="B2655">
        <v>1001413</v>
      </c>
      <c r="C2655">
        <v>363528</v>
      </c>
      <c r="F2655" s="7">
        <v>1</v>
      </c>
      <c r="G2655" s="7">
        <v>34</v>
      </c>
      <c r="H2655" s="8">
        <v>34</v>
      </c>
      <c r="J2655" t="s">
        <v>23</v>
      </c>
      <c r="K2655" s="7">
        <v>567</v>
      </c>
      <c r="L2655" s="9">
        <v>-1</v>
      </c>
      <c r="M2655" t="s">
        <v>157</v>
      </c>
      <c r="N2655" t="s">
        <v>158</v>
      </c>
      <c r="O2655" s="27" t="str">
        <f>HYPERLINK("https://www.ncbi.nlm.nih.gov/nuccore/NZ_CP015588.1?report=graph&amp;from=1686506&amp;to=1686510", "TTA_codon")</f>
        <v>TTA_codon</v>
      </c>
    </row>
    <row r="2656" spans="1:15" x14ac:dyDescent="0.15">
      <c r="A2656" t="s">
        <v>21</v>
      </c>
      <c r="B2656">
        <v>1001413</v>
      </c>
      <c r="C2656">
        <v>364587</v>
      </c>
      <c r="F2656" s="7">
        <v>1</v>
      </c>
      <c r="G2656" s="7">
        <v>34</v>
      </c>
      <c r="H2656" s="8">
        <v>34</v>
      </c>
      <c r="J2656" t="s">
        <v>23</v>
      </c>
      <c r="K2656" s="7">
        <v>579</v>
      </c>
      <c r="L2656" s="9">
        <v>-1</v>
      </c>
      <c r="M2656" t="s">
        <v>2201</v>
      </c>
      <c r="N2656" t="s">
        <v>108</v>
      </c>
      <c r="O2656" s="27" t="str">
        <f>HYPERLINK("https://www.ncbi.nlm.nih.gov/nuccore/NZ_MUMD01000044.1?report=graph&amp;from=22811&amp;to=22815", "TTA_codon")</f>
        <v>TTA_codon</v>
      </c>
    </row>
    <row r="2657" spans="1:15" x14ac:dyDescent="0.15">
      <c r="A2657" t="s">
        <v>21</v>
      </c>
      <c r="B2657">
        <v>1001413</v>
      </c>
      <c r="C2657">
        <v>365305</v>
      </c>
      <c r="F2657" s="7">
        <v>1</v>
      </c>
      <c r="G2657" s="7">
        <v>34</v>
      </c>
      <c r="H2657" s="8">
        <v>34</v>
      </c>
      <c r="J2657" t="s">
        <v>23</v>
      </c>
      <c r="K2657" s="7">
        <v>567</v>
      </c>
      <c r="L2657" s="9">
        <v>-1</v>
      </c>
      <c r="M2657" t="s">
        <v>1277</v>
      </c>
      <c r="N2657" t="s">
        <v>347</v>
      </c>
      <c r="O2657" s="27" t="str">
        <f>HYPERLINK("https://www.ncbi.nlm.nih.gov/nuccore/NZ_FNFF01000001.1?report=graph&amp;from=1023267&amp;to=1023271", "TTA_codon")</f>
        <v>TTA_codon</v>
      </c>
    </row>
    <row r="2658" spans="1:15" x14ac:dyDescent="0.15">
      <c r="A2658" t="s">
        <v>21</v>
      </c>
      <c r="B2658" t="s">
        <v>2202</v>
      </c>
    </row>
    <row r="2659" spans="1:15" x14ac:dyDescent="0.15">
      <c r="A2659" t="s">
        <v>21</v>
      </c>
      <c r="B2659">
        <v>1000593</v>
      </c>
      <c r="C2659">
        <v>350245</v>
      </c>
      <c r="F2659" s="7">
        <v>1</v>
      </c>
      <c r="G2659" s="7">
        <v>67</v>
      </c>
      <c r="H2659" s="8">
        <v>67</v>
      </c>
      <c r="J2659" t="s">
        <v>23</v>
      </c>
      <c r="K2659" s="7">
        <v>1008</v>
      </c>
      <c r="L2659" s="9">
        <v>-1</v>
      </c>
      <c r="M2659" t="s">
        <v>35</v>
      </c>
      <c r="N2659" t="s">
        <v>36</v>
      </c>
      <c r="O2659" s="27" t="str">
        <f>HYPERLINK("https://www.ncbi.nlm.nih.gov/nuccore/NZ_JH725387.1?report=graph&amp;from=712356&amp;to=712360", "TTA_codon")</f>
        <v>TTA_codon</v>
      </c>
    </row>
    <row r="2660" spans="1:15" x14ac:dyDescent="0.15">
      <c r="A2660" t="s">
        <v>21</v>
      </c>
      <c r="B2660">
        <v>1000593</v>
      </c>
      <c r="C2660">
        <v>362190</v>
      </c>
      <c r="F2660" s="7">
        <v>1</v>
      </c>
      <c r="G2660" s="7">
        <v>67</v>
      </c>
      <c r="H2660" s="8">
        <v>58</v>
      </c>
      <c r="J2660" t="s">
        <v>23</v>
      </c>
      <c r="K2660" s="7">
        <v>978</v>
      </c>
      <c r="L2660" s="9">
        <v>-1</v>
      </c>
      <c r="M2660" t="s">
        <v>39</v>
      </c>
      <c r="N2660" t="s">
        <v>40</v>
      </c>
      <c r="O2660" s="27" t="str">
        <f>HYPERLINK("https://www.ncbi.nlm.nih.gov/nuccore/NZ_CP017157.1?report=graph&amp;from=5752793&amp;to=5752797", "TTA_codon")</f>
        <v>TTA_codon</v>
      </c>
    </row>
    <row r="2661" spans="1:15" x14ac:dyDescent="0.15">
      <c r="A2661" t="s">
        <v>21</v>
      </c>
      <c r="B2661" t="s">
        <v>2203</v>
      </c>
    </row>
    <row r="2662" spans="1:15" x14ac:dyDescent="0.15">
      <c r="A2662" t="s">
        <v>21</v>
      </c>
      <c r="B2662">
        <v>1000999</v>
      </c>
      <c r="C2662">
        <v>354209</v>
      </c>
      <c r="F2662" s="7">
        <v>1</v>
      </c>
      <c r="G2662" s="7">
        <v>1171</v>
      </c>
      <c r="H2662" s="8">
        <v>892</v>
      </c>
      <c r="J2662" t="s">
        <v>23</v>
      </c>
      <c r="K2662" s="7">
        <v>2655</v>
      </c>
      <c r="L2662" s="9">
        <v>-1</v>
      </c>
      <c r="M2662" t="s">
        <v>2204</v>
      </c>
      <c r="N2662" t="s">
        <v>361</v>
      </c>
      <c r="O2662" s="27" t="str">
        <f>HYPERLINK("https://www.ncbi.nlm.nih.gov/nuccore/NZ_JODY01000009.1?report=graph&amp;from=140185&amp;to=140189", "TTA_codon")</f>
        <v>TTA_codon</v>
      </c>
    </row>
    <row r="2663" spans="1:15" x14ac:dyDescent="0.15">
      <c r="A2663" t="s">
        <v>21</v>
      </c>
      <c r="B2663">
        <v>1000999</v>
      </c>
      <c r="C2663">
        <v>355721</v>
      </c>
      <c r="F2663" s="7">
        <v>1</v>
      </c>
      <c r="G2663" s="7">
        <v>1051</v>
      </c>
      <c r="H2663" s="8">
        <v>775</v>
      </c>
      <c r="J2663" t="s">
        <v>23</v>
      </c>
      <c r="K2663" s="7">
        <v>2610</v>
      </c>
      <c r="L2663" s="9">
        <v>-1</v>
      </c>
      <c r="M2663" t="s">
        <v>688</v>
      </c>
      <c r="N2663" t="s">
        <v>278</v>
      </c>
      <c r="O2663" s="27" t="str">
        <f>HYPERLINK("https://www.ncbi.nlm.nih.gov/nuccore/NZ_JOID01000009.1?report=graph&amp;from=101183&amp;to=101187", "TTA_codon")</f>
        <v>TTA_codon</v>
      </c>
    </row>
    <row r="2664" spans="1:15" x14ac:dyDescent="0.15">
      <c r="A2664" t="s">
        <v>21</v>
      </c>
      <c r="B2664">
        <v>1000999</v>
      </c>
      <c r="C2664">
        <v>361286</v>
      </c>
      <c r="F2664" s="7">
        <v>1</v>
      </c>
      <c r="G2664" s="7">
        <v>1243</v>
      </c>
      <c r="H2664" s="8">
        <v>1099</v>
      </c>
      <c r="J2664" t="s">
        <v>23</v>
      </c>
      <c r="K2664" s="7">
        <v>3300</v>
      </c>
      <c r="L2664" s="9">
        <v>-1</v>
      </c>
      <c r="M2664" t="s">
        <v>98</v>
      </c>
      <c r="N2664" t="s">
        <v>99</v>
      </c>
      <c r="O2664" s="27" t="str">
        <f>HYPERLINK("https://www.ncbi.nlm.nih.gov/nuccore/NZ_CP016438.1?report=graph&amp;from=5722478&amp;to=5722482", "TTA_codon")</f>
        <v>TTA_codon</v>
      </c>
    </row>
    <row r="2665" spans="1:15" x14ac:dyDescent="0.15">
      <c r="A2665" t="s">
        <v>21</v>
      </c>
      <c r="B2665">
        <v>1000999</v>
      </c>
      <c r="C2665">
        <v>362967</v>
      </c>
      <c r="F2665" s="7">
        <v>1</v>
      </c>
      <c r="G2665" s="7">
        <v>1207</v>
      </c>
      <c r="H2665" s="8">
        <v>1027</v>
      </c>
      <c r="J2665" t="s">
        <v>23</v>
      </c>
      <c r="K2665" s="7">
        <v>3288</v>
      </c>
      <c r="L2665" s="9">
        <v>-1</v>
      </c>
      <c r="M2665" t="s">
        <v>2205</v>
      </c>
      <c r="N2665" t="s">
        <v>156</v>
      </c>
      <c r="O2665" s="27" t="str">
        <f>HYPERLINK("https://www.ncbi.nlm.nih.gov/nuccore/NZ_LJGW01000253.1?report=graph&amp;from=16729&amp;to=16733", "TTA_codon")</f>
        <v>TTA_codon</v>
      </c>
    </row>
    <row r="2666" spans="1:15" x14ac:dyDescent="0.15">
      <c r="A2666" t="s">
        <v>195</v>
      </c>
      <c r="B2666" t="s">
        <v>2206</v>
      </c>
    </row>
    <row r="2667" spans="1:15" x14ac:dyDescent="0.15">
      <c r="A2667" t="s">
        <v>195</v>
      </c>
      <c r="B2667">
        <v>1000066</v>
      </c>
      <c r="C2667">
        <v>346338</v>
      </c>
      <c r="F2667" s="7">
        <v>1</v>
      </c>
      <c r="G2667" s="7">
        <v>295</v>
      </c>
      <c r="H2667" s="8">
        <v>280</v>
      </c>
      <c r="J2667" t="s">
        <v>23</v>
      </c>
      <c r="K2667" s="7">
        <v>654</v>
      </c>
      <c r="L2667" s="9">
        <v>1</v>
      </c>
      <c r="M2667" t="s">
        <v>2207</v>
      </c>
      <c r="N2667" t="s">
        <v>169</v>
      </c>
      <c r="O2667" s="27" t="str">
        <f>HYPERLINK("https://www.ncbi.nlm.nih.gov/nuccore/NZ_JNWJ01000078.1?report=graph&amp;from=29527&amp;to=29531", "TTA_codon")</f>
        <v>TTA_codon</v>
      </c>
    </row>
    <row r="2668" spans="1:15" x14ac:dyDescent="0.15">
      <c r="A2668" t="s">
        <v>21</v>
      </c>
      <c r="B2668">
        <v>1000066</v>
      </c>
      <c r="C2668">
        <v>350777</v>
      </c>
      <c r="F2668" s="7">
        <v>1</v>
      </c>
      <c r="G2668" s="7">
        <v>145</v>
      </c>
      <c r="H2668" s="8">
        <v>139</v>
      </c>
      <c r="J2668" t="s">
        <v>23</v>
      </c>
      <c r="K2668" s="7">
        <v>651</v>
      </c>
      <c r="L2668" s="9">
        <v>1</v>
      </c>
      <c r="M2668" t="s">
        <v>2208</v>
      </c>
      <c r="N2668" t="s">
        <v>51</v>
      </c>
      <c r="O2668" s="27" t="str">
        <f>HYPERLINK("https://www.ncbi.nlm.nih.gov/nuccore/NZ_AEJB01000155.1?report=graph&amp;from=3615&amp;to=3619", "TTA_codon")</f>
        <v>TTA_codon</v>
      </c>
    </row>
    <row r="2669" spans="1:15" x14ac:dyDescent="0.15">
      <c r="A2669" t="s">
        <v>21</v>
      </c>
      <c r="B2669">
        <v>1000066</v>
      </c>
      <c r="C2669">
        <v>353244</v>
      </c>
      <c r="F2669" s="7">
        <v>1</v>
      </c>
      <c r="G2669" s="7">
        <v>172</v>
      </c>
      <c r="H2669" s="8">
        <v>172</v>
      </c>
      <c r="J2669" t="s">
        <v>23</v>
      </c>
      <c r="K2669" s="7">
        <v>660</v>
      </c>
      <c r="L2669" s="9">
        <v>1</v>
      </c>
      <c r="M2669" t="s">
        <v>2209</v>
      </c>
      <c r="N2669" t="s">
        <v>169</v>
      </c>
      <c r="O2669" s="27" t="str">
        <f>HYPERLINK("https://www.ncbi.nlm.nih.gov/nuccore/NZ_JNWJ01000010.1?report=graph&amp;from=92417&amp;to=92421", "TTA_codon")</f>
        <v>TTA_codon</v>
      </c>
    </row>
    <row r="2670" spans="1:15" x14ac:dyDescent="0.15">
      <c r="A2670" t="s">
        <v>21</v>
      </c>
      <c r="B2670">
        <v>1000066</v>
      </c>
      <c r="C2670">
        <v>354002</v>
      </c>
      <c r="F2670" s="7">
        <v>2</v>
      </c>
      <c r="G2670" s="7" t="s">
        <v>2210</v>
      </c>
      <c r="H2670" s="8" t="s">
        <v>2211</v>
      </c>
      <c r="J2670" t="s">
        <v>23</v>
      </c>
      <c r="K2670" s="7">
        <v>651</v>
      </c>
      <c r="L2670" s="9">
        <v>1</v>
      </c>
      <c r="M2670" t="s">
        <v>879</v>
      </c>
      <c r="N2670" t="s">
        <v>270</v>
      </c>
      <c r="O2670" s="27" t="str">
        <f>HYPERLINK("https://www.ncbi.nlm.nih.gov/nuccore/NZ_JOBH01000006.1?report=graph&amp;from=154228&amp;to=154733", "TTA_codon")</f>
        <v>TTA_codon</v>
      </c>
    </row>
    <row r="2671" spans="1:15" x14ac:dyDescent="0.15">
      <c r="A2671" t="s">
        <v>21</v>
      </c>
      <c r="B2671" t="s">
        <v>2212</v>
      </c>
    </row>
    <row r="2672" spans="1:15" x14ac:dyDescent="0.15">
      <c r="A2672" t="s">
        <v>21</v>
      </c>
      <c r="B2672">
        <v>1000944</v>
      </c>
      <c r="C2672">
        <v>353451</v>
      </c>
      <c r="F2672" s="7">
        <v>1</v>
      </c>
      <c r="G2672" s="7">
        <v>403</v>
      </c>
      <c r="H2672" s="8">
        <v>391</v>
      </c>
      <c r="J2672" t="s">
        <v>23</v>
      </c>
      <c r="K2672" s="7">
        <v>567</v>
      </c>
      <c r="L2672" s="9">
        <v>1</v>
      </c>
      <c r="M2672" t="s">
        <v>168</v>
      </c>
      <c r="N2672" t="s">
        <v>169</v>
      </c>
      <c r="O2672" s="27" t="str">
        <f>HYPERLINK("https://www.ncbi.nlm.nih.gov/nuccore/NZ_JNWJ01000008.1?report=graph&amp;from=69638&amp;to=69642", "TTA_codon")</f>
        <v>TTA_codon</v>
      </c>
    </row>
    <row r="2673" spans="1:15" x14ac:dyDescent="0.15">
      <c r="A2673" t="s">
        <v>21</v>
      </c>
      <c r="B2673">
        <v>1000944</v>
      </c>
      <c r="C2673">
        <v>359120</v>
      </c>
      <c r="F2673" s="7">
        <v>1</v>
      </c>
      <c r="G2673" s="7">
        <v>361</v>
      </c>
      <c r="H2673" s="8">
        <v>361</v>
      </c>
      <c r="J2673" t="s">
        <v>23</v>
      </c>
      <c r="K2673" s="7">
        <v>582</v>
      </c>
      <c r="L2673" s="9">
        <v>1</v>
      </c>
      <c r="M2673" t="s">
        <v>2213</v>
      </c>
      <c r="N2673" t="s">
        <v>451</v>
      </c>
      <c r="O2673" s="27" t="str">
        <f>HYPERLINK("https://www.ncbi.nlm.nih.gov/nuccore/NZ_LIQZ01000018.1?report=graph&amp;from=71812&amp;to=71816", "TTA_codon")</f>
        <v>TTA_codon</v>
      </c>
    </row>
    <row r="2674" spans="1:15" x14ac:dyDescent="0.15">
      <c r="A2674" t="s">
        <v>21</v>
      </c>
      <c r="B2674">
        <v>1000944</v>
      </c>
      <c r="C2674">
        <v>360245</v>
      </c>
      <c r="F2674" s="7">
        <v>1</v>
      </c>
      <c r="G2674" s="7">
        <v>403</v>
      </c>
      <c r="H2674" s="8">
        <v>400</v>
      </c>
      <c r="J2674" t="s">
        <v>23</v>
      </c>
      <c r="K2674" s="7">
        <v>573</v>
      </c>
      <c r="L2674" s="9">
        <v>1</v>
      </c>
      <c r="M2674" t="s">
        <v>496</v>
      </c>
      <c r="N2674" t="s">
        <v>125</v>
      </c>
      <c r="O2674" s="27" t="str">
        <f>HYPERLINK("https://www.ncbi.nlm.nih.gov/nuccore/NZ_KQ948454.1?report=graph&amp;from=129714&amp;to=129718", "TTA_codon")</f>
        <v>TTA_codon</v>
      </c>
    </row>
    <row r="2675" spans="1:15" x14ac:dyDescent="0.15">
      <c r="A2675" t="s">
        <v>195</v>
      </c>
      <c r="B2675" t="s">
        <v>2214</v>
      </c>
    </row>
    <row r="2676" spans="1:15" x14ac:dyDescent="0.15">
      <c r="A2676" t="s">
        <v>195</v>
      </c>
      <c r="B2676">
        <v>1001509</v>
      </c>
      <c r="C2676">
        <v>346027</v>
      </c>
      <c r="F2676" s="7">
        <v>1</v>
      </c>
      <c r="G2676" s="7">
        <v>223</v>
      </c>
      <c r="H2676" s="8">
        <v>184</v>
      </c>
      <c r="J2676" t="s">
        <v>23</v>
      </c>
      <c r="K2676" s="7">
        <v>900</v>
      </c>
      <c r="L2676" s="9">
        <v>-1</v>
      </c>
      <c r="M2676" t="s">
        <v>55</v>
      </c>
      <c r="N2676" t="s">
        <v>56</v>
      </c>
      <c r="O2676" s="27" t="str">
        <f>HYPERLINK("https://www.ncbi.nlm.nih.gov/nuccore/NC_010572.1?report=graph&amp;from=5138671&amp;to=5138675", "TTA_codon")</f>
        <v>TTA_codon</v>
      </c>
    </row>
    <row r="2677" spans="1:15" x14ac:dyDescent="0.15">
      <c r="A2677" t="s">
        <v>21</v>
      </c>
      <c r="B2677">
        <v>1001509</v>
      </c>
      <c r="C2677">
        <v>347976</v>
      </c>
      <c r="F2677" s="7">
        <v>1</v>
      </c>
      <c r="G2677" s="7">
        <v>358</v>
      </c>
      <c r="H2677" s="8">
        <v>310</v>
      </c>
      <c r="J2677" t="s">
        <v>23</v>
      </c>
      <c r="K2677" s="7">
        <v>900</v>
      </c>
      <c r="L2677" s="9">
        <v>-1</v>
      </c>
      <c r="M2677" t="s">
        <v>59</v>
      </c>
      <c r="N2677" t="s">
        <v>60</v>
      </c>
      <c r="O2677" s="27" t="str">
        <f>HYPERLINK("https://www.ncbi.nlm.nih.gov/nuccore/NC_016582.1?report=graph&amp;from=7721486&amp;to=7721490", "TTA_codon")</f>
        <v>TTA_codon</v>
      </c>
    </row>
    <row r="2678" spans="1:15" x14ac:dyDescent="0.15">
      <c r="A2678" t="s">
        <v>21</v>
      </c>
      <c r="B2678">
        <v>1001509</v>
      </c>
      <c r="C2678">
        <v>349302</v>
      </c>
      <c r="F2678" s="7">
        <v>1</v>
      </c>
      <c r="G2678" s="7">
        <v>358</v>
      </c>
      <c r="H2678" s="8">
        <v>343</v>
      </c>
      <c r="J2678" t="s">
        <v>23</v>
      </c>
      <c r="K2678" s="7">
        <v>825</v>
      </c>
      <c r="L2678" s="9">
        <v>-1</v>
      </c>
      <c r="M2678" t="s">
        <v>458</v>
      </c>
      <c r="N2678" t="s">
        <v>315</v>
      </c>
      <c r="O2678" s="27" t="str">
        <f>HYPERLINK("https://www.ncbi.nlm.nih.gov/nuccore/NC_003888.3?report=graph&amp;from=4716750&amp;to=4716754", "TTA_codon")</f>
        <v>TTA_codon</v>
      </c>
    </row>
    <row r="2679" spans="1:15" x14ac:dyDescent="0.15">
      <c r="A2679" t="s">
        <v>21</v>
      </c>
      <c r="B2679">
        <v>1001509</v>
      </c>
      <c r="C2679">
        <v>350246</v>
      </c>
      <c r="F2679" s="7">
        <v>1</v>
      </c>
      <c r="G2679" s="7">
        <v>91</v>
      </c>
      <c r="H2679" s="8">
        <v>76</v>
      </c>
      <c r="J2679" t="s">
        <v>23</v>
      </c>
      <c r="K2679" s="7">
        <v>807</v>
      </c>
      <c r="L2679" s="9">
        <v>-1</v>
      </c>
      <c r="M2679" t="s">
        <v>35</v>
      </c>
      <c r="N2679" t="s">
        <v>36</v>
      </c>
      <c r="O2679" s="27" t="str">
        <f>HYPERLINK("https://www.ncbi.nlm.nih.gov/nuccore/NZ_JH725387.1?report=graph&amp;from=4734028&amp;to=4734032", "TTA_codon")</f>
        <v>TTA_codon</v>
      </c>
    </row>
    <row r="2680" spans="1:15" x14ac:dyDescent="0.15">
      <c r="A2680" t="s">
        <v>21</v>
      </c>
      <c r="B2680">
        <v>1001509</v>
      </c>
      <c r="C2680">
        <v>351164</v>
      </c>
      <c r="F2680" s="7">
        <v>1</v>
      </c>
      <c r="G2680" s="7">
        <v>160</v>
      </c>
      <c r="H2680" s="8">
        <v>157</v>
      </c>
      <c r="J2680" t="s">
        <v>23</v>
      </c>
      <c r="K2680" s="7">
        <v>828</v>
      </c>
      <c r="L2680" s="9">
        <v>-1</v>
      </c>
      <c r="M2680" t="s">
        <v>65</v>
      </c>
      <c r="N2680" t="s">
        <v>66</v>
      </c>
      <c r="O2680" s="27" t="str">
        <f>HYPERLINK("https://www.ncbi.nlm.nih.gov/nuccore/NC_020504.1?report=graph&amp;from=5499561&amp;to=5499565", "TTA_codon")</f>
        <v>TTA_codon</v>
      </c>
    </row>
    <row r="2681" spans="1:15" x14ac:dyDescent="0.15">
      <c r="A2681" t="s">
        <v>21</v>
      </c>
      <c r="B2681">
        <v>1001509</v>
      </c>
      <c r="C2681">
        <v>351165</v>
      </c>
      <c r="F2681" s="7">
        <v>1</v>
      </c>
      <c r="G2681" s="7">
        <v>250</v>
      </c>
      <c r="H2681" s="8">
        <v>244</v>
      </c>
      <c r="J2681" t="s">
        <v>23</v>
      </c>
      <c r="K2681" s="7">
        <v>819</v>
      </c>
      <c r="L2681" s="9">
        <v>-1</v>
      </c>
      <c r="M2681" t="s">
        <v>65</v>
      </c>
      <c r="N2681" t="s">
        <v>66</v>
      </c>
      <c r="O2681" s="27" t="str">
        <f>HYPERLINK("https://www.ncbi.nlm.nih.gov/nuccore/NC_020504.1?report=graph&amp;from=4849731&amp;to=4849735", "TTA_codon")</f>
        <v>TTA_codon</v>
      </c>
    </row>
    <row r="2682" spans="1:15" x14ac:dyDescent="0.15">
      <c r="A2682" t="s">
        <v>21</v>
      </c>
      <c r="B2682">
        <v>1001509</v>
      </c>
      <c r="C2682">
        <v>351166</v>
      </c>
      <c r="F2682" s="7">
        <v>1</v>
      </c>
      <c r="G2682" s="7">
        <v>223</v>
      </c>
      <c r="H2682" s="8">
        <v>217</v>
      </c>
      <c r="J2682" t="s">
        <v>23</v>
      </c>
      <c r="K2682" s="7">
        <v>813</v>
      </c>
      <c r="L2682" s="9">
        <v>-1</v>
      </c>
      <c r="M2682" t="s">
        <v>65</v>
      </c>
      <c r="N2682" t="s">
        <v>66</v>
      </c>
      <c r="O2682" s="27" t="str">
        <f>HYPERLINK("https://www.ncbi.nlm.nih.gov/nuccore/NC_020504.1?report=graph&amp;from=6757654&amp;to=6757658", "TTA_codon")</f>
        <v>TTA_codon</v>
      </c>
    </row>
    <row r="2683" spans="1:15" x14ac:dyDescent="0.15">
      <c r="A2683" t="s">
        <v>21</v>
      </c>
      <c r="B2683">
        <v>1001509</v>
      </c>
      <c r="C2683">
        <v>362665</v>
      </c>
      <c r="F2683" s="7">
        <v>1</v>
      </c>
      <c r="G2683" s="7">
        <v>448</v>
      </c>
      <c r="H2683" s="8">
        <v>442</v>
      </c>
      <c r="J2683" t="s">
        <v>23</v>
      </c>
      <c r="K2683" s="7">
        <v>834</v>
      </c>
      <c r="L2683" s="9">
        <v>-1</v>
      </c>
      <c r="M2683" t="s">
        <v>2215</v>
      </c>
      <c r="N2683" t="s">
        <v>985</v>
      </c>
      <c r="O2683" s="27" t="str">
        <f>HYPERLINK("https://www.ncbi.nlm.nih.gov/nuccore/NZ_LJGU01000141.1?report=graph&amp;from=72608&amp;to=72612", "TTA_codon")</f>
        <v>TTA_codon</v>
      </c>
    </row>
    <row r="2684" spans="1:15" x14ac:dyDescent="0.15">
      <c r="A2684" t="s">
        <v>21</v>
      </c>
      <c r="B2684">
        <v>1001509</v>
      </c>
      <c r="C2684">
        <v>365911</v>
      </c>
      <c r="F2684" s="7">
        <v>1</v>
      </c>
      <c r="G2684" s="7">
        <v>175</v>
      </c>
      <c r="H2684" s="8">
        <v>175</v>
      </c>
      <c r="J2684" t="s">
        <v>23</v>
      </c>
      <c r="K2684" s="7">
        <v>894</v>
      </c>
      <c r="L2684" s="9">
        <v>-1</v>
      </c>
      <c r="M2684" t="s">
        <v>2216</v>
      </c>
      <c r="N2684" t="s">
        <v>115</v>
      </c>
      <c r="O2684" s="27" t="str">
        <f>HYPERLINK("https://www.ncbi.nlm.nih.gov/nuccore/NZ_FODD01000007.1?report=graph&amp;from=54818&amp;to=54822", "TTA_codon")</f>
        <v>TTA_codon</v>
      </c>
    </row>
    <row r="2685" spans="1:15" x14ac:dyDescent="0.15">
      <c r="A2685" t="s">
        <v>21</v>
      </c>
      <c r="B2685" t="s">
        <v>2217</v>
      </c>
    </row>
    <row r="2686" spans="1:15" x14ac:dyDescent="0.15">
      <c r="A2686" t="s">
        <v>21</v>
      </c>
      <c r="B2686">
        <v>1001478</v>
      </c>
      <c r="C2686">
        <v>361193</v>
      </c>
      <c r="F2686" s="7">
        <v>4</v>
      </c>
      <c r="G2686" s="7" t="s">
        <v>2218</v>
      </c>
      <c r="H2686" s="8" t="s">
        <v>2219</v>
      </c>
      <c r="J2686" t="s">
        <v>23</v>
      </c>
      <c r="K2686" s="7">
        <v>1923</v>
      </c>
      <c r="L2686" s="9">
        <v>-1</v>
      </c>
      <c r="M2686" t="s">
        <v>98</v>
      </c>
      <c r="N2686" t="s">
        <v>99</v>
      </c>
      <c r="O2686" s="27" t="str">
        <f>HYPERLINK("https://www.ncbi.nlm.nih.gov/nuccore/NZ_CP016438.1?report=graph&amp;from=7216679&amp;to=7217766", "TTA_codon")</f>
        <v>TTA_codon</v>
      </c>
    </row>
    <row r="2687" spans="1:15" x14ac:dyDescent="0.15">
      <c r="A2687" t="s">
        <v>21</v>
      </c>
      <c r="B2687">
        <v>1001478</v>
      </c>
      <c r="C2687">
        <v>364254</v>
      </c>
      <c r="F2687" s="7">
        <v>2</v>
      </c>
      <c r="G2687" s="7" t="s">
        <v>2220</v>
      </c>
      <c r="H2687" s="8" t="s">
        <v>2221</v>
      </c>
      <c r="J2687" t="s">
        <v>23</v>
      </c>
      <c r="K2687" s="7">
        <v>1980</v>
      </c>
      <c r="L2687" s="9">
        <v>-1</v>
      </c>
      <c r="M2687" t="s">
        <v>254</v>
      </c>
      <c r="N2687" t="s">
        <v>255</v>
      </c>
      <c r="O2687" s="27" t="str">
        <f>HYPERLINK("https://www.ncbi.nlm.nih.gov/nuccore/NZ_CP018047.1?report=graph&amp;from=937122&amp;to=938032", "TTA_codon")</f>
        <v>TTA_codon</v>
      </c>
    </row>
    <row r="2688" spans="1:15" x14ac:dyDescent="0.15">
      <c r="A2688" t="s">
        <v>195</v>
      </c>
      <c r="B2688" t="s">
        <v>2222</v>
      </c>
    </row>
    <row r="2689" spans="1:18" x14ac:dyDescent="0.15">
      <c r="A2689" t="s">
        <v>195</v>
      </c>
      <c r="B2689">
        <v>1000081</v>
      </c>
      <c r="C2689">
        <v>346476</v>
      </c>
      <c r="F2689" s="7">
        <v>1</v>
      </c>
      <c r="G2689" s="7">
        <v>199</v>
      </c>
      <c r="H2689" s="8">
        <v>169</v>
      </c>
      <c r="J2689" t="s">
        <v>23</v>
      </c>
      <c r="K2689" s="7">
        <v>978</v>
      </c>
      <c r="L2689" s="9">
        <v>-1</v>
      </c>
      <c r="M2689" t="s">
        <v>2223</v>
      </c>
      <c r="N2689" t="s">
        <v>146</v>
      </c>
      <c r="O2689" s="27" t="str">
        <f>HYPERLINK("https://www.ncbi.nlm.nih.gov/nuccore/NZ_JOFH01000005.1?report=graph&amp;from=60431&amp;to=60435", "TTA_codon")</f>
        <v>TTA_codon</v>
      </c>
    </row>
    <row r="2690" spans="1:18" x14ac:dyDescent="0.15">
      <c r="A2690" t="s">
        <v>21</v>
      </c>
      <c r="B2690">
        <v>1000081</v>
      </c>
      <c r="C2690">
        <v>348650</v>
      </c>
      <c r="F2690" s="7">
        <v>1</v>
      </c>
      <c r="G2690" s="7">
        <v>199</v>
      </c>
      <c r="H2690" s="8">
        <v>193</v>
      </c>
      <c r="J2690" t="s">
        <v>23</v>
      </c>
      <c r="K2690" s="7">
        <v>960</v>
      </c>
      <c r="L2690" s="9">
        <v>-1</v>
      </c>
      <c r="M2690" t="s">
        <v>61</v>
      </c>
      <c r="N2690" t="s">
        <v>62</v>
      </c>
      <c r="O2690" s="27" t="str">
        <f>HYPERLINK("https://www.ncbi.nlm.nih.gov/nuccore/NZ_DS999641.1?report=graph&amp;from=3657643&amp;to=3657647", "TTA_codon")</f>
        <v>TTA_codon</v>
      </c>
    </row>
    <row r="2691" spans="1:18" x14ac:dyDescent="0.15">
      <c r="A2691" t="s">
        <v>21</v>
      </c>
      <c r="B2691">
        <v>1000081</v>
      </c>
      <c r="C2691">
        <v>356929</v>
      </c>
      <c r="F2691" s="7">
        <v>1</v>
      </c>
      <c r="G2691" s="7">
        <v>199</v>
      </c>
      <c r="H2691" s="8">
        <v>175</v>
      </c>
      <c r="J2691" t="s">
        <v>23</v>
      </c>
      <c r="K2691" s="7">
        <v>927</v>
      </c>
      <c r="L2691" s="9">
        <v>-1</v>
      </c>
      <c r="M2691" t="s">
        <v>78</v>
      </c>
      <c r="N2691" t="s">
        <v>79</v>
      </c>
      <c r="O2691" s="27" t="str">
        <f>HYPERLINK("https://www.ncbi.nlm.nih.gov/nuccore/NZ_CP009313.1?report=graph&amp;from=5459997&amp;to=5460001", "TTA_codon")</f>
        <v>TTA_codon</v>
      </c>
    </row>
    <row r="2692" spans="1:18" x14ac:dyDescent="0.15">
      <c r="A2692" t="s">
        <v>21</v>
      </c>
      <c r="B2692">
        <v>1000081</v>
      </c>
      <c r="C2692">
        <v>363347</v>
      </c>
      <c r="F2692" s="7">
        <v>1</v>
      </c>
      <c r="G2692" s="7">
        <v>199</v>
      </c>
      <c r="H2692" s="8">
        <v>190</v>
      </c>
      <c r="J2692" t="s">
        <v>23</v>
      </c>
      <c r="K2692" s="7">
        <v>963</v>
      </c>
      <c r="L2692" s="9">
        <v>-1</v>
      </c>
      <c r="M2692" t="s">
        <v>2224</v>
      </c>
      <c r="N2692" t="s">
        <v>28</v>
      </c>
      <c r="O2692" s="27" t="str">
        <f>HYPERLINK("https://www.ncbi.nlm.nih.gov/nuccore/NZ_JUJA01000099.1?report=graph&amp;from=58062&amp;to=58066", "TTA_codon")</f>
        <v>TTA_codon</v>
      </c>
    </row>
    <row r="2693" spans="1:18" x14ac:dyDescent="0.15">
      <c r="A2693" t="s">
        <v>21</v>
      </c>
      <c r="B2693">
        <v>1000081</v>
      </c>
      <c r="C2693">
        <v>363790</v>
      </c>
      <c r="F2693" s="7">
        <v>1</v>
      </c>
      <c r="G2693" s="7">
        <v>250</v>
      </c>
      <c r="H2693" s="8">
        <v>220</v>
      </c>
      <c r="J2693" t="s">
        <v>23</v>
      </c>
      <c r="K2693" s="7">
        <v>912</v>
      </c>
      <c r="L2693" s="9">
        <v>-1</v>
      </c>
      <c r="M2693" t="s">
        <v>101</v>
      </c>
      <c r="N2693" t="s">
        <v>102</v>
      </c>
      <c r="O2693" s="27" t="str">
        <f>HYPERLINK("https://www.ncbi.nlm.nih.gov/nuccore/NZ_CP019458.1?report=graph&amp;from=688535&amp;to=688539", "TTA_codon")</f>
        <v>TTA_codon</v>
      </c>
    </row>
    <row r="2694" spans="1:18" s="39" customFormat="1" x14ac:dyDescent="0.15">
      <c r="A2694" s="34" t="s">
        <v>195</v>
      </c>
      <c r="B2694" s="34" t="s">
        <v>2225</v>
      </c>
      <c r="C2694" s="34"/>
      <c r="D2694" s="34"/>
      <c r="E2694" s="34"/>
      <c r="F2694" s="35"/>
      <c r="G2694" s="35"/>
      <c r="H2694" s="36"/>
      <c r="I2694" s="34"/>
      <c r="J2694" s="34"/>
      <c r="K2694" s="35"/>
      <c r="L2694" s="37"/>
      <c r="M2694" s="34"/>
      <c r="N2694" s="34"/>
      <c r="O2694" s="38"/>
      <c r="P2694" s="35"/>
    </row>
    <row r="2695" spans="1:18" x14ac:dyDescent="0.15">
      <c r="A2695" t="s">
        <v>195</v>
      </c>
      <c r="B2695">
        <v>1000074</v>
      </c>
      <c r="C2695">
        <v>346445</v>
      </c>
      <c r="F2695" s="7">
        <v>1</v>
      </c>
      <c r="G2695" s="7">
        <v>784</v>
      </c>
      <c r="H2695" s="8">
        <v>670</v>
      </c>
      <c r="J2695" t="s">
        <v>23</v>
      </c>
      <c r="K2695" s="7">
        <v>1323</v>
      </c>
      <c r="L2695" s="9">
        <v>1</v>
      </c>
      <c r="M2695" t="s">
        <v>702</v>
      </c>
      <c r="N2695" t="s">
        <v>433</v>
      </c>
      <c r="O2695" s="27" t="str">
        <f>HYPERLINK("https://www.ncbi.nlm.nih.gov/nuccore/NZ_JOBF01000003.1?report=graph&amp;from=783960&amp;to=783964", "TTA_codon")</f>
        <v>TTA_codon</v>
      </c>
      <c r="P2695" s="7">
        <v>55</v>
      </c>
      <c r="Q2695" t="s">
        <v>2226</v>
      </c>
      <c r="R2695" t="s">
        <v>2227</v>
      </c>
    </row>
    <row r="2696" spans="1:18" x14ac:dyDescent="0.15">
      <c r="A2696" t="s">
        <v>21</v>
      </c>
      <c r="B2696">
        <v>1000074</v>
      </c>
      <c r="C2696">
        <v>347277</v>
      </c>
      <c r="F2696" s="7">
        <v>1</v>
      </c>
      <c r="G2696" s="7">
        <v>856</v>
      </c>
      <c r="H2696" s="8">
        <v>676</v>
      </c>
      <c r="J2696" t="s">
        <v>23</v>
      </c>
      <c r="K2696" s="7">
        <v>981</v>
      </c>
      <c r="L2696" s="9">
        <v>1</v>
      </c>
      <c r="M2696" t="s">
        <v>53</v>
      </c>
      <c r="N2696" s="40" t="s">
        <v>54</v>
      </c>
      <c r="O2696" s="27" t="str">
        <f>HYPERLINK("https://www.ncbi.nlm.nih.gov/nuccore/NC_003155.5?report=graph&amp;from=1689300&amp;to=1689304", "TTA_codon")</f>
        <v>TTA_codon</v>
      </c>
      <c r="P2696" s="7">
        <v>107</v>
      </c>
      <c r="Q2696" t="s">
        <v>2228</v>
      </c>
      <c r="R2696" t="s">
        <v>2229</v>
      </c>
    </row>
    <row r="2697" spans="1:18" x14ac:dyDescent="0.15">
      <c r="A2697" t="s">
        <v>21</v>
      </c>
      <c r="B2697">
        <v>1000074</v>
      </c>
      <c r="C2697">
        <v>347341</v>
      </c>
      <c r="F2697" s="7">
        <v>1</v>
      </c>
      <c r="G2697" s="7">
        <v>784</v>
      </c>
      <c r="H2697" s="8">
        <v>673</v>
      </c>
      <c r="J2697" t="s">
        <v>23</v>
      </c>
      <c r="K2697" s="7">
        <v>1191</v>
      </c>
      <c r="L2697" s="9">
        <v>1</v>
      </c>
      <c r="M2697" t="s">
        <v>217</v>
      </c>
      <c r="N2697" s="41" t="s">
        <v>218</v>
      </c>
      <c r="O2697" s="27" t="str">
        <f>HYPERLINK("https://www.ncbi.nlm.nih.gov/nuccore/NC_021985.1?report=graph&amp;from=3408677&amp;to=3408681", "TTA_codon")</f>
        <v>TTA_codon</v>
      </c>
      <c r="P2697" s="7">
        <v>12</v>
      </c>
      <c r="Q2697" t="s">
        <v>2230</v>
      </c>
      <c r="R2697" t="s">
        <v>2227</v>
      </c>
    </row>
    <row r="2698" spans="1:18" x14ac:dyDescent="0.15">
      <c r="A2698" t="s">
        <v>21</v>
      </c>
      <c r="B2698">
        <v>1000074</v>
      </c>
      <c r="C2698">
        <v>349306</v>
      </c>
      <c r="F2698" s="7">
        <v>1</v>
      </c>
      <c r="G2698" s="7">
        <v>784</v>
      </c>
      <c r="H2698" s="8">
        <v>673</v>
      </c>
      <c r="J2698" t="s">
        <v>23</v>
      </c>
      <c r="K2698" s="7">
        <v>1182</v>
      </c>
      <c r="L2698" s="9">
        <v>1</v>
      </c>
      <c r="M2698" t="s">
        <v>458</v>
      </c>
      <c r="N2698" s="41" t="s">
        <v>315</v>
      </c>
      <c r="O2698" s="27" t="str">
        <f>HYPERLINK("https://www.ncbi.nlm.nih.gov/nuccore/NC_003888.3?report=graph&amp;from=3047805&amp;to=3047809", "TTA_codon")</f>
        <v>TTA_codon</v>
      </c>
      <c r="P2698" s="7">
        <v>11</v>
      </c>
      <c r="Q2698" t="s">
        <v>2231</v>
      </c>
      <c r="R2698" t="s">
        <v>2232</v>
      </c>
    </row>
    <row r="2699" spans="1:18" x14ac:dyDescent="0.15">
      <c r="A2699" t="s">
        <v>21</v>
      </c>
      <c r="B2699">
        <v>1000074</v>
      </c>
      <c r="C2699">
        <v>349460</v>
      </c>
      <c r="F2699" s="7">
        <v>1</v>
      </c>
      <c r="G2699" s="7">
        <v>784</v>
      </c>
      <c r="H2699" s="8">
        <v>673</v>
      </c>
      <c r="J2699" t="s">
        <v>23</v>
      </c>
      <c r="K2699" s="7">
        <v>1269</v>
      </c>
      <c r="L2699" s="9">
        <v>1</v>
      </c>
      <c r="M2699" t="s">
        <v>1566</v>
      </c>
      <c r="N2699" s="41" t="s">
        <v>64</v>
      </c>
      <c r="O2699" s="27" t="str">
        <f>HYPERLINK("https://www.ncbi.nlm.nih.gov/nuccore/NZ_AEYX01000035.1?report=graph&amp;from=118897&amp;to=118901", "TTA_codon")</f>
        <v>TTA_codon</v>
      </c>
      <c r="P2699" s="7">
        <v>52</v>
      </c>
      <c r="Q2699" t="s">
        <v>2233</v>
      </c>
      <c r="R2699" t="s">
        <v>2227</v>
      </c>
    </row>
    <row r="2700" spans="1:18" x14ac:dyDescent="0.15">
      <c r="A2700" t="s">
        <v>21</v>
      </c>
      <c r="B2700">
        <v>1000074</v>
      </c>
      <c r="C2700">
        <v>349739</v>
      </c>
      <c r="F2700" s="7">
        <v>2</v>
      </c>
      <c r="G2700" s="7" t="s">
        <v>2234</v>
      </c>
      <c r="H2700" s="8" t="s">
        <v>2235</v>
      </c>
      <c r="J2700" t="s">
        <v>23</v>
      </c>
      <c r="K2700" s="7">
        <v>1476</v>
      </c>
      <c r="L2700" s="9">
        <v>1</v>
      </c>
      <c r="M2700" t="s">
        <v>265</v>
      </c>
      <c r="N2700" s="41" t="s">
        <v>266</v>
      </c>
      <c r="O2700" s="27" t="str">
        <f>HYPERLINK("https://www.ncbi.nlm.nih.gov/nuccore/NC_017586.1?report=graph&amp;from=1972939&amp;to=1973693", "TTA_codon")</f>
        <v>TTA_codon</v>
      </c>
      <c r="P2700" s="7">
        <v>73</v>
      </c>
      <c r="Q2700" t="s">
        <v>2236</v>
      </c>
      <c r="R2700" t="s">
        <v>2227</v>
      </c>
    </row>
    <row r="2701" spans="1:18" x14ac:dyDescent="0.15">
      <c r="A2701" t="s">
        <v>21</v>
      </c>
      <c r="B2701">
        <v>1000074</v>
      </c>
      <c r="C2701">
        <v>349935</v>
      </c>
      <c r="F2701" s="7">
        <v>1</v>
      </c>
      <c r="G2701" s="7">
        <v>784</v>
      </c>
      <c r="H2701" s="8">
        <v>673</v>
      </c>
      <c r="J2701" t="s">
        <v>23</v>
      </c>
      <c r="K2701" s="7">
        <v>1233</v>
      </c>
      <c r="L2701" s="9">
        <v>1</v>
      </c>
      <c r="M2701" t="s">
        <v>2237</v>
      </c>
      <c r="N2701" t="s">
        <v>249</v>
      </c>
      <c r="O2701" s="27" t="str">
        <f>HYPERLINK("https://www.ncbi.nlm.nih.gov/nuccore/NZ_AHBF01000003.1?report=graph&amp;from=122567&amp;to=122571", "TTA_codon")</f>
        <v>TTA_codon</v>
      </c>
      <c r="P2701" s="7">
        <v>47</v>
      </c>
      <c r="Q2701" t="s">
        <v>2238</v>
      </c>
      <c r="R2701" t="s">
        <v>2227</v>
      </c>
    </row>
    <row r="2702" spans="1:18" x14ac:dyDescent="0.15">
      <c r="A2702" t="s">
        <v>21</v>
      </c>
      <c r="B2702">
        <v>1000074</v>
      </c>
      <c r="C2702">
        <v>350728</v>
      </c>
      <c r="F2702" s="7">
        <v>1</v>
      </c>
      <c r="G2702" s="7">
        <v>784</v>
      </c>
      <c r="H2702" s="8">
        <v>673</v>
      </c>
      <c r="J2702" t="s">
        <v>23</v>
      </c>
      <c r="K2702" s="7">
        <v>1275</v>
      </c>
      <c r="L2702" s="9">
        <v>1</v>
      </c>
      <c r="M2702" t="s">
        <v>2239</v>
      </c>
      <c r="N2702" t="s">
        <v>51</v>
      </c>
      <c r="O2702" s="27" t="str">
        <f>HYPERLINK("https://www.ncbi.nlm.nih.gov/nuccore/NZ_AEJB01000224.1?report=graph&amp;from=52484&amp;to=52488", "TTA_codon")</f>
        <v>TTA_codon</v>
      </c>
      <c r="P2702" s="7">
        <v>39</v>
      </c>
      <c r="Q2702" t="s">
        <v>2240</v>
      </c>
      <c r="R2702" t="s">
        <v>2227</v>
      </c>
    </row>
    <row r="2703" spans="1:18" x14ac:dyDescent="0.15">
      <c r="A2703" t="s">
        <v>21</v>
      </c>
      <c r="B2703">
        <v>1000074</v>
      </c>
      <c r="C2703">
        <v>351759</v>
      </c>
      <c r="F2703" s="7">
        <v>1</v>
      </c>
      <c r="G2703" s="7">
        <v>784</v>
      </c>
      <c r="H2703" s="8">
        <v>673</v>
      </c>
      <c r="J2703" t="s">
        <v>23</v>
      </c>
      <c r="K2703" s="7">
        <v>1254</v>
      </c>
      <c r="L2703" s="9">
        <v>1</v>
      </c>
      <c r="M2703" t="s">
        <v>2241</v>
      </c>
      <c r="N2703" t="s">
        <v>68</v>
      </c>
      <c r="O2703" s="27" t="str">
        <f>HYPERLINK("https://www.ncbi.nlm.nih.gov/nuccore/NZ_BARG01000005.1?report=graph&amp;from=2991&amp;to=2995", "TTA_codon")</f>
        <v>TTA_codon</v>
      </c>
      <c r="P2703" s="7">
        <v>53</v>
      </c>
      <c r="Q2703" t="s">
        <v>2242</v>
      </c>
      <c r="R2703" t="s">
        <v>2227</v>
      </c>
    </row>
    <row r="2704" spans="1:18" x14ac:dyDescent="0.15">
      <c r="A2704" t="s">
        <v>21</v>
      </c>
      <c r="B2704">
        <v>1000074</v>
      </c>
      <c r="C2704">
        <v>352289</v>
      </c>
      <c r="F2704" s="7">
        <v>1</v>
      </c>
      <c r="G2704" s="7">
        <v>784</v>
      </c>
      <c r="H2704" s="8">
        <v>682</v>
      </c>
      <c r="J2704" t="s">
        <v>23</v>
      </c>
      <c r="K2704" s="7">
        <v>1302</v>
      </c>
      <c r="L2704" s="9">
        <v>1</v>
      </c>
      <c r="M2704" t="s">
        <v>2243</v>
      </c>
      <c r="N2704" s="41" t="s">
        <v>72</v>
      </c>
      <c r="O2704" s="27" t="str">
        <f>HYPERLINK("https://www.ncbi.nlm.nih.gov/nuccore/NZ_KB905821.1?report=graph&amp;from=255004&amp;to=255008", "TTA_codon")</f>
        <v>TTA_codon</v>
      </c>
      <c r="P2704" s="7">
        <v>76</v>
      </c>
      <c r="Q2704" t="s">
        <v>2244</v>
      </c>
      <c r="R2704" t="s">
        <v>2227</v>
      </c>
    </row>
    <row r="2705" spans="1:18" x14ac:dyDescent="0.15">
      <c r="A2705" t="s">
        <v>21</v>
      </c>
      <c r="B2705">
        <v>1000074</v>
      </c>
      <c r="C2705">
        <v>352400</v>
      </c>
      <c r="F2705" s="7">
        <v>1</v>
      </c>
      <c r="G2705" s="7">
        <v>784</v>
      </c>
      <c r="H2705" s="8">
        <v>667</v>
      </c>
      <c r="J2705" t="s">
        <v>23</v>
      </c>
      <c r="K2705" s="7">
        <v>1170</v>
      </c>
      <c r="L2705" s="9">
        <v>1</v>
      </c>
      <c r="M2705" t="s">
        <v>30</v>
      </c>
      <c r="N2705" t="s">
        <v>31</v>
      </c>
      <c r="O2705" s="27" t="str">
        <f>HYPERLINK("https://www.ncbi.nlm.nih.gov/nuccore/NZ_KB913030.1?report=graph&amp;from=2565164&amp;to=2565168", "TTA_codon")</f>
        <v>TTA_codon</v>
      </c>
      <c r="P2705" s="7">
        <v>32</v>
      </c>
      <c r="Q2705" t="s">
        <v>2245</v>
      </c>
      <c r="R2705" t="s">
        <v>2227</v>
      </c>
    </row>
    <row r="2706" spans="1:18" x14ac:dyDescent="0.15">
      <c r="A2706" t="s">
        <v>21</v>
      </c>
      <c r="B2706">
        <v>1000074</v>
      </c>
      <c r="C2706">
        <v>352567</v>
      </c>
      <c r="F2706" s="7">
        <v>1</v>
      </c>
      <c r="G2706" s="7">
        <v>784</v>
      </c>
      <c r="H2706" s="8">
        <v>670</v>
      </c>
      <c r="J2706" t="s">
        <v>23</v>
      </c>
      <c r="K2706" s="7">
        <v>1230</v>
      </c>
      <c r="L2706" s="9">
        <v>1</v>
      </c>
      <c r="M2706" t="s">
        <v>1728</v>
      </c>
      <c r="N2706" t="s">
        <v>436</v>
      </c>
      <c r="O2706" s="27" t="str">
        <f>HYPERLINK("https://www.ncbi.nlm.nih.gov/nuccore/NZ_AUBE01000004.1?report=graph&amp;from=74157&amp;to=74161", "TTA_codon")</f>
        <v>TTA_codon</v>
      </c>
      <c r="P2706" s="7">
        <v>51</v>
      </c>
      <c r="Q2706" t="s">
        <v>2246</v>
      </c>
      <c r="R2706" t="s">
        <v>2227</v>
      </c>
    </row>
    <row r="2707" spans="1:18" x14ac:dyDescent="0.15">
      <c r="A2707" t="s">
        <v>21</v>
      </c>
      <c r="B2707">
        <v>1000074</v>
      </c>
      <c r="C2707">
        <v>353176</v>
      </c>
      <c r="F2707" s="7">
        <v>1</v>
      </c>
      <c r="G2707" s="7">
        <v>784</v>
      </c>
      <c r="H2707" s="8">
        <v>673</v>
      </c>
      <c r="J2707" t="s">
        <v>23</v>
      </c>
      <c r="K2707" s="7">
        <v>1203</v>
      </c>
      <c r="L2707" s="9">
        <v>1</v>
      </c>
      <c r="M2707" t="s">
        <v>2247</v>
      </c>
      <c r="N2707" t="s">
        <v>169</v>
      </c>
      <c r="O2707" s="27" t="str">
        <f>HYPERLINK("https://www.ncbi.nlm.nih.gov/nuccore/NZ_JNWJ01000023.1?report=graph&amp;from=104560&amp;to=104564", "TTA_codon")</f>
        <v>TTA_codon</v>
      </c>
      <c r="P2707" s="7">
        <v>45</v>
      </c>
      <c r="Q2707" t="s">
        <v>2248</v>
      </c>
      <c r="R2707" t="s">
        <v>2227</v>
      </c>
    </row>
    <row r="2708" spans="1:18" x14ac:dyDescent="0.15">
      <c r="A2708" t="s">
        <v>21</v>
      </c>
      <c r="B2708">
        <v>1000074</v>
      </c>
      <c r="C2708">
        <v>353990</v>
      </c>
      <c r="F2708" s="7">
        <v>1</v>
      </c>
      <c r="G2708" s="7">
        <v>784</v>
      </c>
      <c r="H2708" s="8">
        <v>679</v>
      </c>
      <c r="J2708" t="s">
        <v>23</v>
      </c>
      <c r="K2708" s="7">
        <v>1266</v>
      </c>
      <c r="L2708" s="9">
        <v>1</v>
      </c>
      <c r="M2708" t="s">
        <v>1031</v>
      </c>
      <c r="N2708" t="s">
        <v>270</v>
      </c>
      <c r="O2708" s="27" t="str">
        <f>HYPERLINK("https://www.ncbi.nlm.nih.gov/nuccore/NZ_JOBH01000001.1?report=graph&amp;from=553508&amp;to=553512", "TTA_codon")</f>
        <v>TTA_codon</v>
      </c>
      <c r="P2708" s="7">
        <v>69</v>
      </c>
      <c r="Q2708" t="s">
        <v>2249</v>
      </c>
      <c r="R2708" t="s">
        <v>2227</v>
      </c>
    </row>
    <row r="2709" spans="1:18" x14ac:dyDescent="0.15">
      <c r="A2709" t="s">
        <v>21</v>
      </c>
      <c r="B2709">
        <v>1000074</v>
      </c>
      <c r="C2709">
        <v>354161</v>
      </c>
      <c r="F2709" s="7">
        <v>1</v>
      </c>
      <c r="G2709" s="7">
        <v>784</v>
      </c>
      <c r="H2709" s="8">
        <v>679</v>
      </c>
      <c r="J2709" t="s">
        <v>23</v>
      </c>
      <c r="K2709" s="7">
        <v>1239</v>
      </c>
      <c r="L2709" s="9">
        <v>1</v>
      </c>
      <c r="M2709" t="s">
        <v>2250</v>
      </c>
      <c r="N2709" t="s">
        <v>361</v>
      </c>
      <c r="O2709" s="27" t="str">
        <f>HYPERLINK("https://www.ncbi.nlm.nih.gov/nuccore/NZ_JODY01000012.1?report=graph&amp;from=60747&amp;to=60751", "TTA_codon")</f>
        <v>TTA_codon</v>
      </c>
      <c r="P2709" s="7">
        <v>9</v>
      </c>
      <c r="Q2709" t="s">
        <v>2251</v>
      </c>
      <c r="R2709" t="s">
        <v>2227</v>
      </c>
    </row>
    <row r="2710" spans="1:18" x14ac:dyDescent="0.15">
      <c r="A2710" t="s">
        <v>21</v>
      </c>
      <c r="B2710">
        <v>1000074</v>
      </c>
      <c r="C2710">
        <v>354289</v>
      </c>
      <c r="F2710" s="7">
        <v>1</v>
      </c>
      <c r="G2710" s="7">
        <v>784</v>
      </c>
      <c r="H2710" s="8">
        <v>670</v>
      </c>
      <c r="J2710" t="s">
        <v>23</v>
      </c>
      <c r="K2710" s="7">
        <v>1206</v>
      </c>
      <c r="L2710" s="9">
        <v>1</v>
      </c>
      <c r="M2710" t="s">
        <v>2252</v>
      </c>
      <c r="N2710" t="s">
        <v>142</v>
      </c>
      <c r="O2710" s="27" t="str">
        <f>HYPERLINK("https://www.ncbi.nlm.nih.gov/nuccore/NZ_JOEI01000031.1?report=graph&amp;from=30163&amp;to=30167", "TTA_codon")</f>
        <v>TTA_codon</v>
      </c>
      <c r="P2710" s="7">
        <v>35</v>
      </c>
      <c r="Q2710" t="s">
        <v>2253</v>
      </c>
      <c r="R2710" t="s">
        <v>2227</v>
      </c>
    </row>
    <row r="2711" spans="1:18" x14ac:dyDescent="0.15">
      <c r="A2711" t="s">
        <v>21</v>
      </c>
      <c r="B2711">
        <v>1000074</v>
      </c>
      <c r="C2711">
        <v>354535</v>
      </c>
      <c r="F2711" s="7">
        <v>1</v>
      </c>
      <c r="G2711" s="7">
        <v>784</v>
      </c>
      <c r="H2711" s="8">
        <v>673</v>
      </c>
      <c r="J2711" t="s">
        <v>23</v>
      </c>
      <c r="K2711" s="7">
        <v>1227</v>
      </c>
      <c r="L2711" s="9">
        <v>1</v>
      </c>
      <c r="M2711" t="s">
        <v>512</v>
      </c>
      <c r="N2711" s="41" t="s">
        <v>272</v>
      </c>
      <c r="O2711" s="27" t="str">
        <f>HYPERLINK("https://www.ncbi.nlm.nih.gov/nuccore/NZ_JOEY01000012.1?report=graph&amp;from=137673&amp;to=137677", "TTA_codon")</f>
        <v>TTA_codon</v>
      </c>
      <c r="P2711" s="7">
        <v>70</v>
      </c>
      <c r="Q2711" t="s">
        <v>2254</v>
      </c>
      <c r="R2711" t="s">
        <v>2227</v>
      </c>
    </row>
    <row r="2712" spans="1:18" x14ac:dyDescent="0.15">
      <c r="A2712" t="s">
        <v>21</v>
      </c>
      <c r="B2712">
        <v>1000074</v>
      </c>
      <c r="C2712">
        <v>355792</v>
      </c>
      <c r="F2712" s="7">
        <v>1</v>
      </c>
      <c r="G2712" s="7">
        <v>784</v>
      </c>
      <c r="H2712" s="8">
        <v>673</v>
      </c>
      <c r="J2712" t="s">
        <v>23</v>
      </c>
      <c r="K2712" s="7">
        <v>1206</v>
      </c>
      <c r="L2712" s="9">
        <v>1</v>
      </c>
      <c r="M2712" t="s">
        <v>2255</v>
      </c>
      <c r="N2712" t="s">
        <v>75</v>
      </c>
      <c r="O2712" s="27" t="str">
        <f>HYPERLINK("https://www.ncbi.nlm.nih.gov/nuccore/NZ_JOII01000020.1?report=graph&amp;from=84669&amp;to=84673", "TTA_codon")</f>
        <v>TTA_codon</v>
      </c>
      <c r="P2712" s="7">
        <v>1</v>
      </c>
      <c r="Q2712" t="s">
        <v>2256</v>
      </c>
      <c r="R2712" t="s">
        <v>2227</v>
      </c>
    </row>
    <row r="2713" spans="1:18" x14ac:dyDescent="0.15">
      <c r="A2713" t="s">
        <v>21</v>
      </c>
      <c r="B2713">
        <v>1000074</v>
      </c>
      <c r="C2713">
        <v>356347</v>
      </c>
      <c r="F2713" s="7">
        <v>1</v>
      </c>
      <c r="G2713" s="7">
        <v>784</v>
      </c>
      <c r="H2713" s="8">
        <v>670</v>
      </c>
      <c r="J2713" t="s">
        <v>23</v>
      </c>
      <c r="K2713" s="7">
        <v>1209</v>
      </c>
      <c r="L2713" s="9">
        <v>1</v>
      </c>
      <c r="M2713" t="s">
        <v>2257</v>
      </c>
      <c r="N2713" t="s">
        <v>354</v>
      </c>
      <c r="O2713" s="27" t="str">
        <f>HYPERLINK("https://www.ncbi.nlm.nih.gov/nuccore/NZ_JQJU01000020.1?report=graph&amp;from=101605&amp;to=101609", "TTA_codon")</f>
        <v>TTA_codon</v>
      </c>
      <c r="P2713" s="7">
        <v>3</v>
      </c>
      <c r="Q2713" t="s">
        <v>2258</v>
      </c>
      <c r="R2713" t="s">
        <v>2227</v>
      </c>
    </row>
    <row r="2714" spans="1:18" x14ac:dyDescent="0.15">
      <c r="A2714" t="s">
        <v>21</v>
      </c>
      <c r="B2714">
        <v>1000074</v>
      </c>
      <c r="C2714">
        <v>356500</v>
      </c>
      <c r="F2714" s="7">
        <v>1</v>
      </c>
      <c r="G2714" s="7">
        <v>784</v>
      </c>
      <c r="H2714" s="8">
        <v>673</v>
      </c>
      <c r="J2714" t="s">
        <v>23</v>
      </c>
      <c r="K2714" s="7">
        <v>1266</v>
      </c>
      <c r="L2714" s="9">
        <v>1</v>
      </c>
      <c r="M2714" t="s">
        <v>508</v>
      </c>
      <c r="N2714" s="41" t="s">
        <v>509</v>
      </c>
      <c r="O2714" s="27" t="str">
        <f>HYPERLINK("https://www.ncbi.nlm.nih.gov/nuccore/NZ_CP009438.1?report=graph&amp;from=2927458&amp;to=2927462", "TTA_codon")</f>
        <v>TTA_codon</v>
      </c>
      <c r="P2714" s="7">
        <v>15</v>
      </c>
      <c r="Q2714" t="s">
        <v>2259</v>
      </c>
      <c r="R2714" t="s">
        <v>2227</v>
      </c>
    </row>
    <row r="2715" spans="1:18" x14ac:dyDescent="0.15">
      <c r="A2715" t="s">
        <v>21</v>
      </c>
      <c r="B2715">
        <v>1000074</v>
      </c>
      <c r="C2715">
        <v>356841</v>
      </c>
      <c r="F2715" s="7">
        <v>1</v>
      </c>
      <c r="G2715" s="7">
        <v>784</v>
      </c>
      <c r="H2715" s="8">
        <v>673</v>
      </c>
      <c r="J2715" t="s">
        <v>23</v>
      </c>
      <c r="K2715" s="7">
        <v>1212</v>
      </c>
      <c r="L2715" s="9">
        <v>1</v>
      </c>
      <c r="M2715" t="s">
        <v>78</v>
      </c>
      <c r="N2715" t="s">
        <v>79</v>
      </c>
      <c r="O2715" s="27" t="str">
        <f>HYPERLINK("https://www.ncbi.nlm.nih.gov/nuccore/NZ_CP009313.1?report=graph&amp;from=2799122&amp;to=2799126", "TTA_codon")</f>
        <v>TTA_codon</v>
      </c>
      <c r="P2715" s="7">
        <v>24</v>
      </c>
      <c r="Q2715" t="s">
        <v>2260</v>
      </c>
      <c r="R2715" t="s">
        <v>2227</v>
      </c>
    </row>
    <row r="2716" spans="1:18" x14ac:dyDescent="0.15">
      <c r="A2716" t="s">
        <v>21</v>
      </c>
      <c r="B2716">
        <v>1000074</v>
      </c>
      <c r="C2716">
        <v>357130</v>
      </c>
      <c r="F2716" s="7">
        <v>1</v>
      </c>
      <c r="G2716" s="7">
        <v>784</v>
      </c>
      <c r="H2716" s="8">
        <v>667</v>
      </c>
      <c r="J2716" t="s">
        <v>23</v>
      </c>
      <c r="K2716" s="7">
        <v>1146</v>
      </c>
      <c r="L2716" s="9">
        <v>1</v>
      </c>
      <c r="M2716" t="s">
        <v>205</v>
      </c>
      <c r="N2716" t="s">
        <v>206</v>
      </c>
      <c r="O2716" s="27" t="str">
        <f>HYPERLINK("https://www.ncbi.nlm.nih.gov/nuccore/NZ_CP010407.1?report=graph&amp;from=3119116&amp;to=3119120", "TTA_codon")</f>
        <v>TTA_codon</v>
      </c>
      <c r="P2716" s="7">
        <v>68</v>
      </c>
      <c r="Q2716" t="s">
        <v>2261</v>
      </c>
      <c r="R2716" t="s">
        <v>2227</v>
      </c>
    </row>
    <row r="2717" spans="1:18" x14ac:dyDescent="0.15">
      <c r="A2717" t="s">
        <v>21</v>
      </c>
      <c r="B2717">
        <v>1000074</v>
      </c>
      <c r="C2717">
        <v>357262</v>
      </c>
      <c r="F2717" s="7">
        <v>1</v>
      </c>
      <c r="G2717" s="7">
        <v>784</v>
      </c>
      <c r="H2717" s="8">
        <v>691</v>
      </c>
      <c r="J2717" t="s">
        <v>23</v>
      </c>
      <c r="K2717" s="7">
        <v>1104</v>
      </c>
      <c r="L2717" s="9">
        <v>1</v>
      </c>
      <c r="M2717" t="s">
        <v>250</v>
      </c>
      <c r="N2717" s="41" t="s">
        <v>251</v>
      </c>
      <c r="O2717" s="27" t="str">
        <f>HYPERLINK("https://www.ncbi.nlm.nih.gov/nuccore/NZ_CP009922.2?report=graph&amp;from=4065718&amp;to=4065722", "TTA_codon")</f>
        <v>TTA_codon</v>
      </c>
      <c r="P2717" s="7">
        <v>90</v>
      </c>
      <c r="Q2717" t="s">
        <v>2262</v>
      </c>
      <c r="R2717" t="s">
        <v>2227</v>
      </c>
    </row>
    <row r="2718" spans="1:18" x14ac:dyDescent="0.15">
      <c r="A2718" t="s">
        <v>21</v>
      </c>
      <c r="B2718">
        <v>1000074</v>
      </c>
      <c r="C2718">
        <v>358079</v>
      </c>
      <c r="F2718" s="7">
        <v>1</v>
      </c>
      <c r="G2718" s="7">
        <v>784</v>
      </c>
      <c r="H2718" s="8">
        <v>673</v>
      </c>
      <c r="J2718" t="s">
        <v>23</v>
      </c>
      <c r="K2718" s="7">
        <v>1266</v>
      </c>
      <c r="L2718" s="9">
        <v>1</v>
      </c>
      <c r="M2718" t="s">
        <v>2263</v>
      </c>
      <c r="N2718" t="s">
        <v>119</v>
      </c>
      <c r="O2718" s="27" t="str">
        <f>HYPERLINK("https://www.ncbi.nlm.nih.gov/nuccore/NZ_LIPP01000407.1?report=graph&amp;from=1422&amp;to=1426", "TTA_codon")</f>
        <v>TTA_codon</v>
      </c>
      <c r="P2718" s="7">
        <v>50</v>
      </c>
      <c r="Q2718" t="s">
        <v>2264</v>
      </c>
      <c r="R2718" t="s">
        <v>2227</v>
      </c>
    </row>
    <row r="2719" spans="1:18" x14ac:dyDescent="0.15">
      <c r="A2719" t="s">
        <v>21</v>
      </c>
      <c r="B2719">
        <v>1000074</v>
      </c>
      <c r="C2719">
        <v>358341</v>
      </c>
      <c r="F2719" s="7">
        <v>1</v>
      </c>
      <c r="G2719" s="7">
        <v>784</v>
      </c>
      <c r="H2719" s="8">
        <v>673</v>
      </c>
      <c r="J2719" t="s">
        <v>23</v>
      </c>
      <c r="K2719" s="7">
        <v>1215</v>
      </c>
      <c r="L2719" s="9">
        <v>1</v>
      </c>
      <c r="M2719" t="s">
        <v>2265</v>
      </c>
      <c r="N2719" t="s">
        <v>85</v>
      </c>
      <c r="O2719" s="27" t="str">
        <f>HYPERLINK("https://www.ncbi.nlm.nih.gov/nuccore/NZ_LIQX01000017.1?report=graph&amp;from=1470&amp;to=1474", "TTA_codon")</f>
        <v>TTA_codon</v>
      </c>
      <c r="P2719" s="7">
        <v>27</v>
      </c>
      <c r="Q2719" t="s">
        <v>2266</v>
      </c>
      <c r="R2719" t="s">
        <v>2227</v>
      </c>
    </row>
    <row r="2720" spans="1:18" x14ac:dyDescent="0.15">
      <c r="A2720" t="s">
        <v>21</v>
      </c>
      <c r="B2720">
        <v>1000074</v>
      </c>
      <c r="C2720">
        <v>358557</v>
      </c>
      <c r="F2720" s="7">
        <v>1</v>
      </c>
      <c r="G2720" s="7">
        <v>784</v>
      </c>
      <c r="H2720" s="8">
        <v>670</v>
      </c>
      <c r="J2720" t="s">
        <v>23</v>
      </c>
      <c r="K2720" s="7">
        <v>1353</v>
      </c>
      <c r="L2720" s="9">
        <v>1</v>
      </c>
      <c r="M2720" t="s">
        <v>2267</v>
      </c>
      <c r="N2720" s="41" t="s">
        <v>299</v>
      </c>
      <c r="O2720" s="27" t="str">
        <f>HYPERLINK("https://www.ncbi.nlm.nih.gov/nuccore/NZ_LIQY01000129.1?report=graph&amp;from=1348&amp;to=1352", "TTA_codon")</f>
        <v>TTA_codon</v>
      </c>
      <c r="P2720" s="7">
        <v>94</v>
      </c>
      <c r="Q2720" t="s">
        <v>2268</v>
      </c>
      <c r="R2720" t="s">
        <v>2227</v>
      </c>
    </row>
    <row r="2721" spans="1:18" x14ac:dyDescent="0.15">
      <c r="A2721" t="s">
        <v>21</v>
      </c>
      <c r="B2721">
        <v>1000074</v>
      </c>
      <c r="C2721">
        <v>359438</v>
      </c>
      <c r="F2721" s="7">
        <v>1</v>
      </c>
      <c r="G2721" s="7">
        <v>784</v>
      </c>
      <c r="H2721" s="8">
        <v>667</v>
      </c>
      <c r="J2721" t="s">
        <v>23</v>
      </c>
      <c r="K2721" s="7">
        <v>1143</v>
      </c>
      <c r="L2721" s="9">
        <v>1</v>
      </c>
      <c r="M2721" t="s">
        <v>151</v>
      </c>
      <c r="N2721" t="s">
        <v>152</v>
      </c>
      <c r="O2721" s="27" t="str">
        <f>HYPERLINK("https://www.ncbi.nlm.nih.gov/nuccore/NZ_CP013129.1?report=graph&amp;from=3329675&amp;to=3329679", "TTA_codon")</f>
        <v>TTA_codon</v>
      </c>
      <c r="P2721" s="7">
        <v>67</v>
      </c>
      <c r="Q2721" t="s">
        <v>2269</v>
      </c>
      <c r="R2721" t="s">
        <v>2227</v>
      </c>
    </row>
    <row r="2722" spans="1:18" x14ac:dyDescent="0.15">
      <c r="A2722" t="s">
        <v>21</v>
      </c>
      <c r="B2722">
        <v>1000074</v>
      </c>
      <c r="C2722">
        <v>359630</v>
      </c>
      <c r="F2722" s="7">
        <v>1</v>
      </c>
      <c r="G2722" s="7">
        <v>784</v>
      </c>
      <c r="H2722" s="8">
        <v>682</v>
      </c>
      <c r="J2722" t="s">
        <v>23</v>
      </c>
      <c r="K2722" s="7">
        <v>1092</v>
      </c>
      <c r="L2722" s="9">
        <v>1</v>
      </c>
      <c r="M2722" t="s">
        <v>2270</v>
      </c>
      <c r="N2722" s="41" t="s">
        <v>651</v>
      </c>
      <c r="O2722" s="27" t="str">
        <f>HYPERLINK("https://www.ncbi.nlm.nih.gov/nuccore/NZ_LN929897.1?report=graph&amp;from=449276&amp;to=449280", "TTA_codon")</f>
        <v>TTA_codon</v>
      </c>
      <c r="P2722" s="7">
        <v>88</v>
      </c>
      <c r="Q2722" t="s">
        <v>2271</v>
      </c>
      <c r="R2722" t="s">
        <v>2227</v>
      </c>
    </row>
    <row r="2723" spans="1:18" x14ac:dyDescent="0.15">
      <c r="A2723" t="s">
        <v>21</v>
      </c>
      <c r="B2723">
        <v>1000074</v>
      </c>
      <c r="C2723">
        <v>359811</v>
      </c>
      <c r="F2723" s="7">
        <v>1</v>
      </c>
      <c r="G2723" s="7">
        <v>784</v>
      </c>
      <c r="H2723" s="8">
        <v>673</v>
      </c>
      <c r="J2723" t="s">
        <v>23</v>
      </c>
      <c r="K2723" s="7">
        <v>1209</v>
      </c>
      <c r="L2723" s="9">
        <v>1</v>
      </c>
      <c r="M2723" t="s">
        <v>1809</v>
      </c>
      <c r="N2723" t="s">
        <v>91</v>
      </c>
      <c r="O2723" s="27" t="str">
        <f>HYPERLINK("https://www.ncbi.nlm.nih.gov/nuccore/NZ_KQ948320.1?report=graph&amp;from=136890&amp;to=136894", "TTA_codon")</f>
        <v>TTA_codon</v>
      </c>
      <c r="P2723" s="7">
        <v>8</v>
      </c>
      <c r="Q2723" t="s">
        <v>2272</v>
      </c>
      <c r="R2723" t="s">
        <v>2227</v>
      </c>
    </row>
    <row r="2724" spans="1:18" x14ac:dyDescent="0.15">
      <c r="A2724" t="s">
        <v>21</v>
      </c>
      <c r="B2724">
        <v>1000074</v>
      </c>
      <c r="C2724">
        <v>360034</v>
      </c>
      <c r="F2724" s="7">
        <v>1</v>
      </c>
      <c r="G2724" s="7">
        <v>784</v>
      </c>
      <c r="H2724" s="8">
        <v>673</v>
      </c>
      <c r="J2724" t="s">
        <v>23</v>
      </c>
      <c r="K2724" s="7">
        <v>1215</v>
      </c>
      <c r="L2724" s="9">
        <v>1</v>
      </c>
      <c r="M2724" t="s">
        <v>2273</v>
      </c>
      <c r="N2724" t="s">
        <v>125</v>
      </c>
      <c r="O2724" s="27" t="str">
        <f>HYPERLINK("https://www.ncbi.nlm.nih.gov/nuccore/NZ_KQ948473.1?report=graph&amp;from=62281&amp;to=62285", "TTA_codon")</f>
        <v>TTA_codon</v>
      </c>
      <c r="P2724" s="7">
        <v>26</v>
      </c>
      <c r="Q2724" t="s">
        <v>2274</v>
      </c>
      <c r="R2724" t="s">
        <v>2227</v>
      </c>
    </row>
    <row r="2725" spans="1:18" x14ac:dyDescent="0.15">
      <c r="A2725" t="s">
        <v>21</v>
      </c>
      <c r="B2725">
        <v>1000074</v>
      </c>
      <c r="C2725">
        <v>360354</v>
      </c>
      <c r="F2725" s="7">
        <v>1</v>
      </c>
      <c r="G2725" s="7">
        <v>784</v>
      </c>
      <c r="H2725" s="8">
        <v>673</v>
      </c>
      <c r="J2725" t="s">
        <v>23</v>
      </c>
      <c r="K2725" s="7">
        <v>1206</v>
      </c>
      <c r="L2725" s="9">
        <v>1</v>
      </c>
      <c r="M2725" t="s">
        <v>121</v>
      </c>
      <c r="N2725" t="s">
        <v>122</v>
      </c>
      <c r="O2725" s="27" t="str">
        <f>HYPERLINK("https://www.ncbi.nlm.nih.gov/nuccore/NZ_CP016279.1?report=graph&amp;from=9578552&amp;to=9578556", "TTA_codon")</f>
        <v>TTA_codon</v>
      </c>
      <c r="P2725" s="7">
        <v>16</v>
      </c>
      <c r="Q2725" t="s">
        <v>2275</v>
      </c>
      <c r="R2725" t="s">
        <v>2227</v>
      </c>
    </row>
    <row r="2726" spans="1:18" x14ac:dyDescent="0.15">
      <c r="A2726" t="s">
        <v>21</v>
      </c>
      <c r="B2726">
        <v>1000074</v>
      </c>
      <c r="C2726">
        <v>360898</v>
      </c>
      <c r="F2726" s="7">
        <v>1</v>
      </c>
      <c r="G2726" s="7">
        <v>784</v>
      </c>
      <c r="H2726" s="8">
        <v>673</v>
      </c>
      <c r="J2726" t="s">
        <v>23</v>
      </c>
      <c r="K2726" s="7">
        <v>1194</v>
      </c>
      <c r="L2726" s="9">
        <v>1</v>
      </c>
      <c r="M2726" t="s">
        <v>2276</v>
      </c>
      <c r="N2726" t="s">
        <v>97</v>
      </c>
      <c r="O2726" s="27" t="str">
        <f>HYPERLINK("https://www.ncbi.nlm.nih.gov/nuccore/NZ_LOHS01000094.1?report=graph&amp;from=81907&amp;to=81911", "TTA_codon")</f>
        <v>TTA_codon</v>
      </c>
      <c r="P2726" s="7">
        <v>19</v>
      </c>
      <c r="Q2726" t="s">
        <v>2277</v>
      </c>
      <c r="R2726" t="s">
        <v>2227</v>
      </c>
    </row>
    <row r="2727" spans="1:18" x14ac:dyDescent="0.15">
      <c r="A2727" t="s">
        <v>21</v>
      </c>
      <c r="B2727">
        <v>1000074</v>
      </c>
      <c r="C2727">
        <v>361089</v>
      </c>
      <c r="F2727" s="7">
        <v>1</v>
      </c>
      <c r="G2727" s="7">
        <v>784</v>
      </c>
      <c r="H2727" s="8">
        <v>673</v>
      </c>
      <c r="J2727" t="s">
        <v>23</v>
      </c>
      <c r="K2727" s="7">
        <v>1245</v>
      </c>
      <c r="L2727" s="9">
        <v>1</v>
      </c>
      <c r="M2727" t="s">
        <v>98</v>
      </c>
      <c r="N2727" t="s">
        <v>99</v>
      </c>
      <c r="O2727" s="27" t="str">
        <f>HYPERLINK("https://www.ncbi.nlm.nih.gov/nuccore/NZ_CP016438.1?report=graph&amp;from=3829129&amp;to=3829133", "TTA_codon")</f>
        <v>TTA_codon</v>
      </c>
      <c r="P2727" s="7">
        <v>22</v>
      </c>
      <c r="Q2727" t="s">
        <v>2278</v>
      </c>
      <c r="R2727" t="s">
        <v>2227</v>
      </c>
    </row>
    <row r="2728" spans="1:18" x14ac:dyDescent="0.15">
      <c r="A2728" t="s">
        <v>21</v>
      </c>
      <c r="B2728">
        <v>1000074</v>
      </c>
      <c r="C2728">
        <v>361919</v>
      </c>
      <c r="F2728" s="7">
        <v>1</v>
      </c>
      <c r="G2728" s="7">
        <v>784</v>
      </c>
      <c r="H2728" s="8">
        <v>670</v>
      </c>
      <c r="J2728" t="s">
        <v>23</v>
      </c>
      <c r="K2728" s="7">
        <v>1302</v>
      </c>
      <c r="L2728" s="9">
        <v>1</v>
      </c>
      <c r="M2728" t="s">
        <v>1644</v>
      </c>
      <c r="N2728" t="s">
        <v>187</v>
      </c>
      <c r="O2728" s="27" t="str">
        <f>HYPERLINK("https://www.ncbi.nlm.nih.gov/nuccore/NZ_MAXF01000031.1?report=graph&amp;from=16961&amp;to=16965", "TTA_codon")</f>
        <v>TTA_codon</v>
      </c>
      <c r="P2728" s="7">
        <v>65</v>
      </c>
      <c r="Q2728" t="s">
        <v>2279</v>
      </c>
      <c r="R2728" t="s">
        <v>2227</v>
      </c>
    </row>
    <row r="2729" spans="1:18" x14ac:dyDescent="0.15">
      <c r="A2729" t="s">
        <v>21</v>
      </c>
      <c r="B2729">
        <v>1000074</v>
      </c>
      <c r="C2729">
        <v>362674</v>
      </c>
      <c r="F2729" s="7">
        <v>1</v>
      </c>
      <c r="G2729" s="7">
        <v>784</v>
      </c>
      <c r="H2729" s="8">
        <v>679</v>
      </c>
      <c r="J2729" t="s">
        <v>23</v>
      </c>
      <c r="K2729" s="7">
        <v>1245</v>
      </c>
      <c r="L2729" s="9">
        <v>1</v>
      </c>
      <c r="M2729" t="s">
        <v>2280</v>
      </c>
      <c r="N2729" s="41" t="s">
        <v>985</v>
      </c>
      <c r="O2729" s="27" t="str">
        <f>HYPERLINK("https://www.ncbi.nlm.nih.gov/nuccore/NZ_LJGU01000127.1?report=graph&amp;from=450354&amp;to=450358", "TTA_codon")</f>
        <v>TTA_codon</v>
      </c>
      <c r="P2729" s="7">
        <v>74</v>
      </c>
      <c r="Q2729" t="s">
        <v>2281</v>
      </c>
      <c r="R2729" t="s">
        <v>2227</v>
      </c>
    </row>
    <row r="2730" spans="1:18" x14ac:dyDescent="0.15">
      <c r="A2730" t="s">
        <v>21</v>
      </c>
      <c r="B2730">
        <v>1000074</v>
      </c>
      <c r="C2730">
        <v>363085</v>
      </c>
      <c r="F2730" s="7">
        <v>1</v>
      </c>
      <c r="G2730" s="7">
        <v>784</v>
      </c>
      <c r="H2730" s="8">
        <v>673</v>
      </c>
      <c r="J2730" t="s">
        <v>23</v>
      </c>
      <c r="K2730" s="7">
        <v>1209</v>
      </c>
      <c r="L2730" s="9">
        <v>1</v>
      </c>
      <c r="M2730" t="s">
        <v>988</v>
      </c>
      <c r="N2730" t="s">
        <v>401</v>
      </c>
      <c r="O2730" s="27" t="str">
        <f>HYPERLINK("https://www.ncbi.nlm.nih.gov/nuccore/NZ_LFBV01000010.1?report=graph&amp;from=638425&amp;to=638429", "TTA_codon")</f>
        <v>TTA_codon</v>
      </c>
      <c r="P2730" s="7">
        <v>40</v>
      </c>
      <c r="Q2730" t="s">
        <v>2282</v>
      </c>
      <c r="R2730" t="s">
        <v>2227</v>
      </c>
    </row>
    <row r="2731" spans="1:18" x14ac:dyDescent="0.15">
      <c r="A2731" t="s">
        <v>21</v>
      </c>
      <c r="B2731">
        <v>1000074</v>
      </c>
      <c r="C2731">
        <v>363251</v>
      </c>
      <c r="F2731" s="7">
        <v>1</v>
      </c>
      <c r="G2731" s="7">
        <v>784</v>
      </c>
      <c r="H2731" s="8">
        <v>673</v>
      </c>
      <c r="J2731" t="s">
        <v>23</v>
      </c>
      <c r="K2731" s="7">
        <v>1185</v>
      </c>
      <c r="L2731" s="9">
        <v>1</v>
      </c>
      <c r="M2731" t="s">
        <v>2283</v>
      </c>
      <c r="N2731" t="s">
        <v>28</v>
      </c>
      <c r="O2731" s="27" t="str">
        <f>HYPERLINK("https://www.ncbi.nlm.nih.gov/nuccore/NZ_JUJA01000170.1?report=graph&amp;from=63532&amp;to=63536", "TTA_codon")</f>
        <v>TTA_codon</v>
      </c>
      <c r="P2731" s="7">
        <v>20</v>
      </c>
      <c r="Q2731" t="s">
        <v>2284</v>
      </c>
      <c r="R2731" t="s">
        <v>2227</v>
      </c>
    </row>
    <row r="2732" spans="1:18" x14ac:dyDescent="0.15">
      <c r="A2732" t="s">
        <v>21</v>
      </c>
      <c r="B2732">
        <v>1000074</v>
      </c>
      <c r="C2732">
        <v>363590</v>
      </c>
      <c r="F2732" s="7">
        <v>1</v>
      </c>
      <c r="G2732" s="7">
        <v>784</v>
      </c>
      <c r="H2732" s="8">
        <v>670</v>
      </c>
      <c r="J2732" t="s">
        <v>23</v>
      </c>
      <c r="K2732" s="7">
        <v>1308</v>
      </c>
      <c r="L2732" s="9">
        <v>1</v>
      </c>
      <c r="M2732" t="s">
        <v>101</v>
      </c>
      <c r="N2732" s="41" t="s">
        <v>102</v>
      </c>
      <c r="O2732" s="27" t="str">
        <f>HYPERLINK("https://www.ncbi.nlm.nih.gov/nuccore/NZ_CP019458.1?report=graph&amp;from=4524812&amp;to=4524816", "TTA_codon")</f>
        <v>TTA_codon</v>
      </c>
      <c r="P2732" s="7">
        <v>57</v>
      </c>
      <c r="Q2732" t="s">
        <v>2285</v>
      </c>
      <c r="R2732" t="s">
        <v>2227</v>
      </c>
    </row>
    <row r="2733" spans="1:18" x14ac:dyDescent="0.15">
      <c r="A2733" t="s">
        <v>21</v>
      </c>
      <c r="B2733">
        <v>1000074</v>
      </c>
      <c r="C2733">
        <v>364543</v>
      </c>
      <c r="F2733" s="7">
        <v>1</v>
      </c>
      <c r="G2733" s="7">
        <v>784</v>
      </c>
      <c r="H2733" s="8">
        <v>673</v>
      </c>
      <c r="J2733" t="s">
        <v>23</v>
      </c>
      <c r="K2733" s="7">
        <v>1173</v>
      </c>
      <c r="L2733" s="9">
        <v>1</v>
      </c>
      <c r="M2733" t="s">
        <v>2286</v>
      </c>
      <c r="N2733" t="s">
        <v>108</v>
      </c>
      <c r="O2733" s="27" t="str">
        <f>HYPERLINK("https://www.ncbi.nlm.nih.gov/nuccore/NZ_MUMD01000067.1?report=graph&amp;from=25551&amp;to=25555", "TTA_codon")</f>
        <v>TTA_codon</v>
      </c>
      <c r="P2733" s="7">
        <v>33</v>
      </c>
      <c r="Q2733" t="s">
        <v>2287</v>
      </c>
      <c r="R2733" t="s">
        <v>2227</v>
      </c>
    </row>
    <row r="2734" spans="1:18" x14ac:dyDescent="0.15">
      <c r="A2734" t="s">
        <v>21</v>
      </c>
      <c r="B2734">
        <v>1000074</v>
      </c>
      <c r="C2734">
        <v>364663</v>
      </c>
      <c r="F2734" s="7">
        <v>1</v>
      </c>
      <c r="G2734" s="7">
        <v>784</v>
      </c>
      <c r="H2734" s="8">
        <v>673</v>
      </c>
      <c r="J2734" t="s">
        <v>23</v>
      </c>
      <c r="K2734" s="7">
        <v>1221</v>
      </c>
      <c r="L2734" s="9">
        <v>1</v>
      </c>
      <c r="M2734" t="s">
        <v>2288</v>
      </c>
      <c r="N2734" t="s">
        <v>110</v>
      </c>
      <c r="O2734" s="27" t="str">
        <f>HYPERLINK("https://www.ncbi.nlm.nih.gov/nuccore/NZ_MUME01000249.1?report=graph&amp;from=6876&amp;to=6880", "TTA_codon")</f>
        <v>TTA_codon</v>
      </c>
      <c r="P2734" s="7">
        <v>37</v>
      </c>
      <c r="Q2734" t="s">
        <v>2289</v>
      </c>
      <c r="R2734" t="s">
        <v>2227</v>
      </c>
    </row>
    <row r="2735" spans="1:18" x14ac:dyDescent="0.15">
      <c r="A2735" t="s">
        <v>21</v>
      </c>
      <c r="B2735">
        <v>1000074</v>
      </c>
      <c r="C2735">
        <v>365324</v>
      </c>
      <c r="F2735" s="7">
        <v>1</v>
      </c>
      <c r="G2735" s="7">
        <v>784</v>
      </c>
      <c r="H2735" s="8">
        <v>667</v>
      </c>
      <c r="J2735" t="s">
        <v>23</v>
      </c>
      <c r="K2735" s="7">
        <v>1182</v>
      </c>
      <c r="L2735" s="9">
        <v>1</v>
      </c>
      <c r="M2735" t="s">
        <v>2290</v>
      </c>
      <c r="N2735" t="s">
        <v>129</v>
      </c>
      <c r="O2735" s="27" t="str">
        <f>HYPERLINK("https://www.ncbi.nlm.nih.gov/nuccore/NZ_FNHI01000007.1?report=graph&amp;from=249169&amp;to=249173", "TTA_codon")</f>
        <v>TTA_codon</v>
      </c>
      <c r="P2735" s="7">
        <v>43</v>
      </c>
      <c r="Q2735" t="s">
        <v>2291</v>
      </c>
      <c r="R2735" t="s">
        <v>2227</v>
      </c>
    </row>
    <row r="2736" spans="1:18" x14ac:dyDescent="0.15">
      <c r="A2736" t="s">
        <v>21</v>
      </c>
      <c r="B2736">
        <v>1000074</v>
      </c>
      <c r="C2736">
        <v>365562</v>
      </c>
      <c r="F2736" s="7">
        <v>1</v>
      </c>
      <c r="G2736" s="7">
        <v>784</v>
      </c>
      <c r="H2736" s="8">
        <v>670</v>
      </c>
      <c r="J2736" t="s">
        <v>23</v>
      </c>
      <c r="K2736" s="7">
        <v>1308</v>
      </c>
      <c r="L2736" s="9">
        <v>1</v>
      </c>
      <c r="M2736" t="s">
        <v>213</v>
      </c>
      <c r="N2736" t="s">
        <v>214</v>
      </c>
      <c r="O2736" s="27" t="str">
        <f>HYPERLINK("https://www.ncbi.nlm.nih.gov/nuccore/NZ_FNST01000002.1?report=graph&amp;from=2104509&amp;to=2104513", "TTA_codon")</f>
        <v>TTA_codon</v>
      </c>
      <c r="P2736" s="7">
        <v>92</v>
      </c>
      <c r="Q2736" t="s">
        <v>2292</v>
      </c>
      <c r="R2736" t="s">
        <v>2227</v>
      </c>
    </row>
    <row r="2737" spans="1:18" x14ac:dyDescent="0.15">
      <c r="A2737" t="s">
        <v>21</v>
      </c>
      <c r="B2737">
        <v>1000074</v>
      </c>
      <c r="C2737">
        <v>366177</v>
      </c>
      <c r="F2737" s="7">
        <v>1</v>
      </c>
      <c r="G2737" s="7">
        <v>784</v>
      </c>
      <c r="H2737" s="8">
        <v>685</v>
      </c>
      <c r="J2737" t="s">
        <v>23</v>
      </c>
      <c r="K2737" s="7">
        <v>1401</v>
      </c>
      <c r="L2737" s="9">
        <v>1</v>
      </c>
      <c r="M2737" t="s">
        <v>2293</v>
      </c>
      <c r="N2737" s="41" t="s">
        <v>178</v>
      </c>
      <c r="O2737" s="27" t="str">
        <f>HYPERLINK("https://www.ncbi.nlm.nih.gov/nuccore/NZ_FOGO01000008.1?report=graph&amp;from=223224&amp;to=223228", "TTA_codon")</f>
        <v>TTA_codon</v>
      </c>
      <c r="P2737" s="7">
        <v>101</v>
      </c>
      <c r="Q2737" t="s">
        <v>2294</v>
      </c>
      <c r="R2737" t="s">
        <v>2227</v>
      </c>
    </row>
    <row r="2738" spans="1:18" x14ac:dyDescent="0.15">
      <c r="A2738" t="s">
        <v>21</v>
      </c>
      <c r="B2738">
        <v>1000074</v>
      </c>
      <c r="C2738">
        <v>366370</v>
      </c>
      <c r="F2738" s="7">
        <v>1</v>
      </c>
      <c r="G2738" s="7">
        <v>784</v>
      </c>
      <c r="H2738" s="8">
        <v>643</v>
      </c>
      <c r="J2738" t="s">
        <v>23</v>
      </c>
      <c r="K2738" s="7">
        <v>1209</v>
      </c>
      <c r="L2738" s="9">
        <v>1</v>
      </c>
      <c r="M2738" t="s">
        <v>2295</v>
      </c>
      <c r="N2738" s="41" t="s">
        <v>375</v>
      </c>
      <c r="O2738" s="27" t="str">
        <f>HYPERLINK("https://www.ncbi.nlm.nih.gov/nuccore/NZ_FONG01000031.1?report=graph&amp;from=37377&amp;to=37381", "TTA_codon")</f>
        <v>TTA_codon</v>
      </c>
      <c r="P2738" s="7">
        <v>96</v>
      </c>
      <c r="Q2738" t="s">
        <v>2296</v>
      </c>
      <c r="R2738" t="s">
        <v>2227</v>
      </c>
    </row>
    <row r="2739" spans="1:18" x14ac:dyDescent="0.15">
      <c r="A2739" t="s">
        <v>21</v>
      </c>
      <c r="B2739" t="s">
        <v>2297</v>
      </c>
    </row>
    <row r="2740" spans="1:18" x14ac:dyDescent="0.15">
      <c r="A2740" t="s">
        <v>21</v>
      </c>
      <c r="B2740">
        <v>1001342</v>
      </c>
      <c r="C2740">
        <v>360509</v>
      </c>
      <c r="F2740" s="7">
        <v>1</v>
      </c>
      <c r="G2740" s="7">
        <v>163</v>
      </c>
      <c r="H2740" s="8">
        <v>163</v>
      </c>
      <c r="J2740" t="s">
        <v>23</v>
      </c>
      <c r="K2740" s="7">
        <v>393</v>
      </c>
      <c r="L2740" s="9">
        <v>-1</v>
      </c>
      <c r="M2740" t="s">
        <v>121</v>
      </c>
      <c r="N2740" t="s">
        <v>122</v>
      </c>
      <c r="O2740" s="27" t="str">
        <f>HYPERLINK("https://www.ncbi.nlm.nih.gov/nuccore/NZ_CP016279.1?report=graph&amp;from=5442786&amp;to=5442790", "TTA_codon")</f>
        <v>TTA_codon</v>
      </c>
    </row>
    <row r="2741" spans="1:18" x14ac:dyDescent="0.15">
      <c r="A2741" t="s">
        <v>21</v>
      </c>
      <c r="B2741">
        <v>1001342</v>
      </c>
      <c r="C2741">
        <v>360546</v>
      </c>
      <c r="F2741" s="7">
        <v>1</v>
      </c>
      <c r="G2741" s="7">
        <v>163</v>
      </c>
      <c r="H2741" s="8">
        <v>163</v>
      </c>
      <c r="J2741" t="s">
        <v>23</v>
      </c>
      <c r="K2741" s="7">
        <v>393</v>
      </c>
      <c r="L2741" s="9">
        <v>-1</v>
      </c>
      <c r="M2741" t="s">
        <v>121</v>
      </c>
      <c r="N2741" t="s">
        <v>122</v>
      </c>
      <c r="O2741" s="27" t="str">
        <f>HYPERLINK("https://www.ncbi.nlm.nih.gov/nuccore/NZ_CP016279.1?report=graph&amp;from=10043311&amp;to=10043315", "TTA_codon")</f>
        <v>TTA_codon</v>
      </c>
    </row>
    <row r="2742" spans="1:18" x14ac:dyDescent="0.15">
      <c r="A2742" t="s">
        <v>21</v>
      </c>
      <c r="B2742" t="s">
        <v>2298</v>
      </c>
    </row>
    <row r="2743" spans="1:18" x14ac:dyDescent="0.15">
      <c r="A2743" t="s">
        <v>21</v>
      </c>
      <c r="B2743">
        <v>1000921</v>
      </c>
      <c r="C2743">
        <v>353168</v>
      </c>
      <c r="F2743" s="7">
        <v>1</v>
      </c>
      <c r="G2743" s="7">
        <v>223</v>
      </c>
      <c r="H2743" s="8">
        <v>220</v>
      </c>
      <c r="J2743" t="s">
        <v>23</v>
      </c>
      <c r="K2743" s="7">
        <v>828</v>
      </c>
      <c r="L2743" s="9">
        <v>1</v>
      </c>
      <c r="M2743" t="s">
        <v>2299</v>
      </c>
      <c r="N2743" t="s">
        <v>169</v>
      </c>
      <c r="O2743" s="27" t="str">
        <f>HYPERLINK("https://www.ncbi.nlm.nih.gov/nuccore/NZ_JNWJ01000013.1?report=graph&amp;from=52474&amp;to=52478", "TTA_codon")</f>
        <v>TTA_codon</v>
      </c>
    </row>
    <row r="2744" spans="1:18" x14ac:dyDescent="0.15">
      <c r="A2744" t="s">
        <v>21</v>
      </c>
      <c r="B2744">
        <v>1000921</v>
      </c>
      <c r="C2744">
        <v>362192</v>
      </c>
      <c r="F2744" s="7">
        <v>1</v>
      </c>
      <c r="G2744" s="7">
        <v>229</v>
      </c>
      <c r="H2744" s="8">
        <v>226</v>
      </c>
      <c r="J2744" t="s">
        <v>23</v>
      </c>
      <c r="K2744" s="7">
        <v>840</v>
      </c>
      <c r="L2744" s="9">
        <v>1</v>
      </c>
      <c r="M2744" t="s">
        <v>39</v>
      </c>
      <c r="N2744" t="s">
        <v>40</v>
      </c>
      <c r="O2744" s="27" t="str">
        <f>HYPERLINK("https://www.ncbi.nlm.nih.gov/nuccore/NZ_CP017157.1?report=graph&amp;from=4975519&amp;to=4975523", "TTA_codon")</f>
        <v>TTA_codon</v>
      </c>
    </row>
    <row r="2745" spans="1:18" x14ac:dyDescent="0.15">
      <c r="A2745" t="s">
        <v>21</v>
      </c>
      <c r="B2745" t="s">
        <v>2300</v>
      </c>
    </row>
    <row r="2746" spans="1:18" x14ac:dyDescent="0.15">
      <c r="A2746" t="s">
        <v>21</v>
      </c>
      <c r="B2746">
        <v>1001134</v>
      </c>
      <c r="C2746">
        <v>355995</v>
      </c>
      <c r="F2746" s="7">
        <v>1</v>
      </c>
      <c r="G2746" s="7">
        <v>136</v>
      </c>
      <c r="H2746" s="8">
        <v>136</v>
      </c>
      <c r="J2746" t="s">
        <v>23</v>
      </c>
      <c r="K2746" s="7">
        <v>357</v>
      </c>
      <c r="L2746" s="9">
        <v>-1</v>
      </c>
      <c r="M2746" t="s">
        <v>2301</v>
      </c>
      <c r="N2746" t="s">
        <v>146</v>
      </c>
      <c r="O2746" s="27" t="str">
        <f>HYPERLINK("https://www.ncbi.nlm.nih.gov/nuccore/NZ_JOFH01000003.1?report=graph&amp;from=244453&amp;to=244457", "TTA_codon")</f>
        <v>TTA_codon</v>
      </c>
    </row>
    <row r="2747" spans="1:18" x14ac:dyDescent="0.15">
      <c r="A2747" t="s">
        <v>21</v>
      </c>
      <c r="B2747">
        <v>1001134</v>
      </c>
      <c r="C2747">
        <v>357366</v>
      </c>
      <c r="F2747" s="7">
        <v>1</v>
      </c>
      <c r="G2747" s="7">
        <v>136</v>
      </c>
      <c r="H2747" s="8">
        <v>136</v>
      </c>
      <c r="J2747" t="s">
        <v>23</v>
      </c>
      <c r="K2747" s="7">
        <v>357</v>
      </c>
      <c r="L2747" s="9">
        <v>-1</v>
      </c>
      <c r="M2747" t="s">
        <v>80</v>
      </c>
      <c r="N2747" t="s">
        <v>81</v>
      </c>
      <c r="O2747" s="27" t="str">
        <f>HYPERLINK("https://www.ncbi.nlm.nih.gov/nuccore/NZ_LN831790.1?report=graph&amp;from=612024&amp;to=612028", "TTA_codon")</f>
        <v>TTA_codon</v>
      </c>
    </row>
    <row r="2748" spans="1:18" x14ac:dyDescent="0.15">
      <c r="A2748" t="s">
        <v>21</v>
      </c>
      <c r="B2748" t="s">
        <v>2302</v>
      </c>
    </row>
    <row r="2749" spans="1:18" x14ac:dyDescent="0.15">
      <c r="A2749" t="s">
        <v>21</v>
      </c>
      <c r="B2749">
        <v>1000725</v>
      </c>
      <c r="C2749">
        <v>351187</v>
      </c>
      <c r="F2749" s="7">
        <v>1</v>
      </c>
      <c r="G2749" s="7">
        <v>400</v>
      </c>
      <c r="H2749" s="8">
        <v>400</v>
      </c>
      <c r="J2749" t="s">
        <v>23</v>
      </c>
      <c r="K2749" s="7">
        <v>648</v>
      </c>
      <c r="L2749" s="9">
        <v>-1</v>
      </c>
      <c r="M2749" t="s">
        <v>65</v>
      </c>
      <c r="N2749" t="s">
        <v>66</v>
      </c>
      <c r="O2749" s="27" t="str">
        <f>HYPERLINK("https://www.ncbi.nlm.nih.gov/nuccore/NC_020504.1?report=graph&amp;from=3351513&amp;to=3351517", "TTA_codon")</f>
        <v>TTA_codon</v>
      </c>
    </row>
    <row r="2750" spans="1:18" x14ac:dyDescent="0.15">
      <c r="A2750" t="s">
        <v>21</v>
      </c>
      <c r="B2750">
        <v>1000725</v>
      </c>
      <c r="C2750">
        <v>352755</v>
      </c>
      <c r="F2750" s="7">
        <v>1</v>
      </c>
      <c r="G2750" s="7">
        <v>460</v>
      </c>
      <c r="H2750" s="8">
        <v>301</v>
      </c>
      <c r="J2750" t="s">
        <v>23</v>
      </c>
      <c r="K2750" s="7">
        <v>492</v>
      </c>
      <c r="L2750" s="9">
        <v>-1</v>
      </c>
      <c r="M2750" t="s">
        <v>472</v>
      </c>
      <c r="N2750" t="s">
        <v>473</v>
      </c>
      <c r="O2750" s="27" t="str">
        <f>HYPERLINK("https://www.ncbi.nlm.nih.gov/nuccore/NZ_ASHX02000001.1?report=graph&amp;from=1818674&amp;to=1818678", "TTA_codon")</f>
        <v>TTA_codon</v>
      </c>
    </row>
    <row r="2751" spans="1:18" x14ac:dyDescent="0.15">
      <c r="A2751" t="s">
        <v>21</v>
      </c>
      <c r="B2751">
        <v>1000725</v>
      </c>
      <c r="C2751">
        <v>354286</v>
      </c>
      <c r="F2751" s="7">
        <v>1</v>
      </c>
      <c r="G2751" s="7">
        <v>460</v>
      </c>
      <c r="H2751" s="8">
        <v>301</v>
      </c>
      <c r="J2751" t="s">
        <v>23</v>
      </c>
      <c r="K2751" s="7">
        <v>498</v>
      </c>
      <c r="L2751" s="9">
        <v>-1</v>
      </c>
      <c r="M2751" t="s">
        <v>1157</v>
      </c>
      <c r="N2751" t="s">
        <v>142</v>
      </c>
      <c r="O2751" s="27" t="str">
        <f>HYPERLINK("https://www.ncbi.nlm.nih.gov/nuccore/NZ_JOEI01000009.1?report=graph&amp;from=294259&amp;to=294263", "TTA_codon")</f>
        <v>TTA_codon</v>
      </c>
    </row>
    <row r="2752" spans="1:18" x14ac:dyDescent="0.15">
      <c r="A2752" t="s">
        <v>21</v>
      </c>
      <c r="B2752">
        <v>1000725</v>
      </c>
      <c r="C2752">
        <v>355884</v>
      </c>
      <c r="F2752" s="7">
        <v>1</v>
      </c>
      <c r="G2752" s="7">
        <v>460</v>
      </c>
      <c r="H2752" s="8">
        <v>301</v>
      </c>
      <c r="J2752" t="s">
        <v>23</v>
      </c>
      <c r="K2752" s="7">
        <v>498</v>
      </c>
      <c r="L2752" s="9">
        <v>-1</v>
      </c>
      <c r="M2752" t="s">
        <v>1390</v>
      </c>
      <c r="N2752" t="s">
        <v>384</v>
      </c>
      <c r="O2752" s="27" t="str">
        <f>HYPERLINK("https://www.ncbi.nlm.nih.gov/nuccore/NZ_JOAK01000005.1?report=graph&amp;from=98665&amp;to=98669", "TTA_codon")</f>
        <v>TTA_codon</v>
      </c>
    </row>
    <row r="2753" spans="1:15" x14ac:dyDescent="0.15">
      <c r="A2753" t="s">
        <v>21</v>
      </c>
      <c r="B2753">
        <v>1000725</v>
      </c>
      <c r="C2753">
        <v>356008</v>
      </c>
      <c r="F2753" s="7">
        <v>1</v>
      </c>
      <c r="G2753" s="7">
        <v>298</v>
      </c>
      <c r="H2753" s="8">
        <v>298</v>
      </c>
      <c r="J2753" t="s">
        <v>23</v>
      </c>
      <c r="K2753" s="7">
        <v>648</v>
      </c>
      <c r="L2753" s="9">
        <v>-1</v>
      </c>
      <c r="M2753" t="s">
        <v>1718</v>
      </c>
      <c r="N2753" t="s">
        <v>146</v>
      </c>
      <c r="O2753" s="27" t="str">
        <f>HYPERLINK("https://www.ncbi.nlm.nih.gov/nuccore/NZ_JOFH01000008.1?report=graph&amp;from=175010&amp;to=175014", "TTA_codon")</f>
        <v>TTA_codon</v>
      </c>
    </row>
    <row r="2754" spans="1:15" x14ac:dyDescent="0.15">
      <c r="A2754" t="s">
        <v>21</v>
      </c>
      <c r="B2754">
        <v>1000725</v>
      </c>
      <c r="C2754">
        <v>357944</v>
      </c>
      <c r="F2754" s="7">
        <v>1</v>
      </c>
      <c r="G2754" s="7">
        <v>460</v>
      </c>
      <c r="H2754" s="8">
        <v>301</v>
      </c>
      <c r="J2754" t="s">
        <v>23</v>
      </c>
      <c r="K2754" s="7">
        <v>489</v>
      </c>
      <c r="L2754" s="9">
        <v>-1</v>
      </c>
      <c r="M2754" t="s">
        <v>261</v>
      </c>
      <c r="N2754" t="s">
        <v>262</v>
      </c>
      <c r="O2754" s="27" t="str">
        <f>HYPERLINK("https://www.ncbi.nlm.nih.gov/nuccore/NZ_CP011340.1?report=graph&amp;from=2841314&amp;to=2841318", "TTA_codon")</f>
        <v>TTA_codon</v>
      </c>
    </row>
    <row r="2755" spans="1:15" x14ac:dyDescent="0.15">
      <c r="A2755" t="s">
        <v>21</v>
      </c>
      <c r="B2755">
        <v>1000725</v>
      </c>
      <c r="C2755">
        <v>362423</v>
      </c>
      <c r="F2755" s="7">
        <v>1</v>
      </c>
      <c r="G2755" s="7">
        <v>400</v>
      </c>
      <c r="H2755" s="8">
        <v>346</v>
      </c>
      <c r="J2755" t="s">
        <v>23</v>
      </c>
      <c r="K2755" s="7">
        <v>594</v>
      </c>
      <c r="L2755" s="9">
        <v>-1</v>
      </c>
      <c r="M2755" t="s">
        <v>32</v>
      </c>
      <c r="N2755" t="s">
        <v>33</v>
      </c>
      <c r="O2755" s="27" t="str">
        <f>HYPERLINK("https://www.ncbi.nlm.nih.gov/nuccore/NZ_CP017248.1?report=graph&amp;from=3400046&amp;to=3400050", "TTA_codon")</f>
        <v>TTA_codon</v>
      </c>
    </row>
    <row r="2756" spans="1:15" x14ac:dyDescent="0.15">
      <c r="A2756" t="s">
        <v>21</v>
      </c>
      <c r="B2756">
        <v>1000725</v>
      </c>
      <c r="C2756">
        <v>364541</v>
      </c>
      <c r="F2756" s="7">
        <v>1</v>
      </c>
      <c r="G2756" s="7">
        <v>298</v>
      </c>
      <c r="H2756" s="8">
        <v>298</v>
      </c>
      <c r="J2756" t="s">
        <v>23</v>
      </c>
      <c r="K2756" s="7">
        <v>648</v>
      </c>
      <c r="L2756" s="9">
        <v>-1</v>
      </c>
      <c r="M2756" t="s">
        <v>2303</v>
      </c>
      <c r="N2756" t="s">
        <v>108</v>
      </c>
      <c r="O2756" s="27" t="str">
        <f>HYPERLINK("https://www.ncbi.nlm.nih.gov/nuccore/NZ_MUMD01000348.1?report=graph&amp;from=647&amp;to=651", "TTA_codon")</f>
        <v>TTA_codon</v>
      </c>
    </row>
    <row r="2757" spans="1:15" x14ac:dyDescent="0.15">
      <c r="A2757" t="s">
        <v>21</v>
      </c>
      <c r="B2757">
        <v>1000725</v>
      </c>
      <c r="C2757">
        <v>365223</v>
      </c>
      <c r="F2757" s="7">
        <v>1</v>
      </c>
      <c r="G2757" s="7">
        <v>460</v>
      </c>
      <c r="H2757" s="8">
        <v>301</v>
      </c>
      <c r="J2757" t="s">
        <v>23</v>
      </c>
      <c r="K2757" s="7">
        <v>489</v>
      </c>
      <c r="L2757" s="9">
        <v>-1</v>
      </c>
      <c r="M2757" t="s">
        <v>2304</v>
      </c>
      <c r="N2757" t="s">
        <v>347</v>
      </c>
      <c r="O2757" s="27" t="str">
        <f>HYPERLINK("https://www.ncbi.nlm.nih.gov/nuccore/NZ_FNFF01000002.1?report=graph&amp;from=371841&amp;to=371845", "TTA_codon")</f>
        <v>TTA_codon</v>
      </c>
    </row>
    <row r="2758" spans="1:15" x14ac:dyDescent="0.15">
      <c r="A2758" t="s">
        <v>21</v>
      </c>
      <c r="B2758">
        <v>1000725</v>
      </c>
      <c r="C2758">
        <v>366760</v>
      </c>
      <c r="F2758" s="7">
        <v>1</v>
      </c>
      <c r="G2758" s="7">
        <v>400</v>
      </c>
      <c r="H2758" s="8">
        <v>235</v>
      </c>
      <c r="J2758" t="s">
        <v>23</v>
      </c>
      <c r="K2758" s="7">
        <v>483</v>
      </c>
      <c r="L2758" s="9">
        <v>-1</v>
      </c>
      <c r="M2758" t="s">
        <v>1720</v>
      </c>
      <c r="N2758" t="s">
        <v>209</v>
      </c>
      <c r="O2758" s="27" t="str">
        <f>HYPERLINK("https://www.ncbi.nlm.nih.gov/nuccore/NZ_FZOF01000008.1?report=graph&amp;from=229544&amp;to=229548", "TTA_codon")</f>
        <v>TTA_codon</v>
      </c>
    </row>
    <row r="2759" spans="1:15" x14ac:dyDescent="0.15">
      <c r="A2759" t="s">
        <v>21</v>
      </c>
      <c r="B2759" t="s">
        <v>2305</v>
      </c>
    </row>
    <row r="2760" spans="1:15" x14ac:dyDescent="0.15">
      <c r="A2760" t="s">
        <v>21</v>
      </c>
      <c r="B2760">
        <v>1000292</v>
      </c>
      <c r="C2760">
        <v>347846</v>
      </c>
      <c r="F2760" s="7">
        <v>1</v>
      </c>
      <c r="G2760" s="7">
        <v>2554</v>
      </c>
      <c r="H2760" s="8">
        <v>1618</v>
      </c>
      <c r="J2760" t="s">
        <v>23</v>
      </c>
      <c r="K2760" s="7">
        <v>2232</v>
      </c>
      <c r="L2760" s="9">
        <v>1</v>
      </c>
      <c r="M2760" t="s">
        <v>57</v>
      </c>
      <c r="N2760" t="s">
        <v>58</v>
      </c>
      <c r="O2760" s="27" t="str">
        <f>HYPERLINK("https://www.ncbi.nlm.nih.gov/nuccore/NC_013929.1?report=graph&amp;from=5047494&amp;to=5047498", "TTA_codon")</f>
        <v>TTA_codon</v>
      </c>
    </row>
    <row r="2761" spans="1:15" x14ac:dyDescent="0.15">
      <c r="A2761" t="s">
        <v>21</v>
      </c>
      <c r="B2761">
        <v>1000292</v>
      </c>
      <c r="C2761">
        <v>350501</v>
      </c>
      <c r="F2761" s="7">
        <v>2</v>
      </c>
      <c r="G2761" s="7" t="s">
        <v>2306</v>
      </c>
      <c r="H2761" s="8" t="s">
        <v>2307</v>
      </c>
      <c r="J2761" t="s">
        <v>23</v>
      </c>
      <c r="K2761" s="7">
        <v>2466</v>
      </c>
      <c r="L2761" s="9">
        <v>1</v>
      </c>
      <c r="M2761" t="s">
        <v>2308</v>
      </c>
      <c r="N2761" t="s">
        <v>134</v>
      </c>
      <c r="O2761" s="27" t="str">
        <f>HYPERLINK("https://www.ncbi.nlm.nih.gov/nuccore/NZ_AJSZ01000024.1?report=graph&amp;from=6450&amp;to=7984", "TTA_codon")</f>
        <v>TTA_codon</v>
      </c>
    </row>
    <row r="2762" spans="1:15" x14ac:dyDescent="0.15">
      <c r="A2762" t="s">
        <v>21</v>
      </c>
      <c r="B2762">
        <v>1000292</v>
      </c>
      <c r="C2762">
        <v>350738</v>
      </c>
      <c r="F2762" s="7">
        <v>1</v>
      </c>
      <c r="G2762" s="7">
        <v>2473</v>
      </c>
      <c r="H2762" s="8">
        <v>2344</v>
      </c>
      <c r="J2762" t="s">
        <v>23</v>
      </c>
      <c r="K2762" s="7">
        <v>2949</v>
      </c>
      <c r="L2762" s="9">
        <v>1</v>
      </c>
      <c r="M2762" t="s">
        <v>2309</v>
      </c>
      <c r="N2762" t="s">
        <v>51</v>
      </c>
      <c r="O2762" s="27" t="str">
        <f>HYPERLINK("https://www.ncbi.nlm.nih.gov/nuccore/NZ_AEJB01000189.1?report=graph&amp;from=15136&amp;to=15140", "TTA_codon")</f>
        <v>TTA_codon</v>
      </c>
    </row>
    <row r="2763" spans="1:15" x14ac:dyDescent="0.15">
      <c r="A2763" t="s">
        <v>21</v>
      </c>
      <c r="B2763" t="s">
        <v>2310</v>
      </c>
    </row>
    <row r="2764" spans="1:15" x14ac:dyDescent="0.15">
      <c r="A2764" t="s">
        <v>21</v>
      </c>
      <c r="B2764">
        <v>1000819</v>
      </c>
      <c r="C2764">
        <v>352225</v>
      </c>
      <c r="F2764" s="7">
        <v>1</v>
      </c>
      <c r="G2764" s="7">
        <v>64</v>
      </c>
      <c r="H2764" s="8">
        <v>61</v>
      </c>
      <c r="J2764" t="s">
        <v>23</v>
      </c>
      <c r="K2764" s="7">
        <v>1011</v>
      </c>
      <c r="L2764" s="9">
        <v>1</v>
      </c>
      <c r="M2764" t="s">
        <v>821</v>
      </c>
      <c r="N2764" t="s">
        <v>70</v>
      </c>
      <c r="O2764" s="27" t="str">
        <f>HYPERLINK("https://www.ncbi.nlm.nih.gov/nuccore/NZ_KB904669.1?report=graph&amp;from=79016&amp;to=79020", "TTA_codon")</f>
        <v>TTA_codon</v>
      </c>
    </row>
    <row r="2765" spans="1:15" x14ac:dyDescent="0.15">
      <c r="A2765" t="s">
        <v>21</v>
      </c>
      <c r="B2765">
        <v>1000819</v>
      </c>
      <c r="C2765">
        <v>352227</v>
      </c>
      <c r="F2765" s="7">
        <v>1</v>
      </c>
      <c r="G2765" s="7">
        <v>85</v>
      </c>
      <c r="H2765" s="8">
        <v>85</v>
      </c>
      <c r="J2765" t="s">
        <v>23</v>
      </c>
      <c r="K2765" s="7">
        <v>1014</v>
      </c>
      <c r="L2765" s="9">
        <v>1</v>
      </c>
      <c r="M2765" t="s">
        <v>1109</v>
      </c>
      <c r="N2765" t="s">
        <v>70</v>
      </c>
      <c r="O2765" s="27" t="str">
        <f>HYPERLINK("https://www.ncbi.nlm.nih.gov/nuccore/NZ_KB904634.1?report=graph&amp;from=122418&amp;to=122422", "TTA_codon")</f>
        <v>TTA_codon</v>
      </c>
    </row>
    <row r="2766" spans="1:15" x14ac:dyDescent="0.15">
      <c r="A2766" t="s">
        <v>21</v>
      </c>
      <c r="B2766" t="s">
        <v>2311</v>
      </c>
    </row>
    <row r="2767" spans="1:15" x14ac:dyDescent="0.15">
      <c r="A2767" t="s">
        <v>21</v>
      </c>
      <c r="B2767">
        <v>1000446</v>
      </c>
      <c r="C2767">
        <v>348762</v>
      </c>
      <c r="F2767" s="7">
        <v>1</v>
      </c>
      <c r="G2767" s="7">
        <v>805</v>
      </c>
      <c r="H2767" s="8">
        <v>805</v>
      </c>
      <c r="J2767" t="s">
        <v>23</v>
      </c>
      <c r="K2767" s="7">
        <v>1101</v>
      </c>
      <c r="L2767" s="9">
        <v>1</v>
      </c>
      <c r="M2767" t="s">
        <v>211</v>
      </c>
      <c r="N2767" t="s">
        <v>212</v>
      </c>
      <c r="O2767" s="27" t="str">
        <f>HYPERLINK("https://www.ncbi.nlm.nih.gov/nuccore/NZ_GG657754.1?report=graph&amp;from=2076057&amp;to=2076061", "TTA_codon")</f>
        <v>TTA_codon</v>
      </c>
    </row>
    <row r="2768" spans="1:15" x14ac:dyDescent="0.15">
      <c r="A2768" t="s">
        <v>21</v>
      </c>
      <c r="B2768">
        <v>1000446</v>
      </c>
      <c r="C2768">
        <v>366899</v>
      </c>
      <c r="F2768" s="7">
        <v>1</v>
      </c>
      <c r="G2768" s="7">
        <v>805</v>
      </c>
      <c r="H2768" s="8">
        <v>805</v>
      </c>
      <c r="J2768" t="s">
        <v>23</v>
      </c>
      <c r="K2768" s="7">
        <v>1101</v>
      </c>
      <c r="L2768" s="9">
        <v>1</v>
      </c>
      <c r="M2768" t="s">
        <v>2312</v>
      </c>
      <c r="N2768" t="s">
        <v>2313</v>
      </c>
      <c r="O2768" s="27" t="str">
        <f>HYPERLINK("https://www.ncbi.nlm.nih.gov/nuccore/KY092482.1?report=graph&amp;from=21003&amp;to=21007", "TTA_codon")</f>
        <v>TTA_codon</v>
      </c>
    </row>
    <row r="2769" spans="1:15" x14ac:dyDescent="0.15">
      <c r="A2769" t="s">
        <v>21</v>
      </c>
      <c r="B2769">
        <v>1000446</v>
      </c>
      <c r="C2769">
        <v>367283</v>
      </c>
      <c r="F2769" s="7">
        <v>1</v>
      </c>
      <c r="G2769" s="7">
        <v>805</v>
      </c>
      <c r="H2769" s="8">
        <v>805</v>
      </c>
      <c r="J2769" t="s">
        <v>23</v>
      </c>
      <c r="K2769" s="7">
        <v>1101</v>
      </c>
      <c r="L2769" s="9">
        <v>1</v>
      </c>
      <c r="M2769" t="s">
        <v>2314</v>
      </c>
      <c r="N2769" t="s">
        <v>2315</v>
      </c>
      <c r="O2769" s="27" t="str">
        <f>HYPERLINK("https://www.ncbi.nlm.nih.gov/nuccore/NC_047794.1?report=graph&amp;from=20994&amp;to=20998", "TTA_codon")</f>
        <v>TTA_codon</v>
      </c>
    </row>
    <row r="2770" spans="1:15" x14ac:dyDescent="0.15">
      <c r="A2770" t="s">
        <v>21</v>
      </c>
      <c r="B2770" t="s">
        <v>2316</v>
      </c>
    </row>
    <row r="2771" spans="1:15" x14ac:dyDescent="0.15">
      <c r="A2771" t="s">
        <v>21</v>
      </c>
      <c r="B2771">
        <v>1000808</v>
      </c>
      <c r="C2771">
        <v>352058</v>
      </c>
      <c r="F2771" s="7">
        <v>1</v>
      </c>
      <c r="G2771" s="7">
        <v>916</v>
      </c>
      <c r="H2771" s="8">
        <v>913</v>
      </c>
      <c r="J2771" t="s">
        <v>23</v>
      </c>
      <c r="K2771" s="7">
        <v>1566</v>
      </c>
      <c r="L2771" s="9">
        <v>1</v>
      </c>
      <c r="M2771" t="s">
        <v>2317</v>
      </c>
      <c r="N2771" t="s">
        <v>70</v>
      </c>
      <c r="O2771" s="27" t="str">
        <f>HYPERLINK("https://www.ncbi.nlm.nih.gov/nuccore/NZ_KB904704.1?report=graph&amp;from=10599&amp;to=10603", "TTA_codon")</f>
        <v>TTA_codon</v>
      </c>
    </row>
    <row r="2772" spans="1:15" x14ac:dyDescent="0.15">
      <c r="A2772" t="s">
        <v>21</v>
      </c>
      <c r="B2772">
        <v>1000808</v>
      </c>
      <c r="C2772">
        <v>356634</v>
      </c>
      <c r="F2772" s="7">
        <v>1</v>
      </c>
      <c r="G2772" s="7">
        <v>1015</v>
      </c>
      <c r="H2772" s="8">
        <v>1015</v>
      </c>
      <c r="J2772" t="s">
        <v>23</v>
      </c>
      <c r="K2772" s="7">
        <v>1572</v>
      </c>
      <c r="L2772" s="9">
        <v>1</v>
      </c>
      <c r="M2772" t="s">
        <v>147</v>
      </c>
      <c r="N2772" t="s">
        <v>148</v>
      </c>
      <c r="O2772" s="27" t="str">
        <f>HYPERLINK("https://www.ncbi.nlm.nih.gov/nuccore/NZ_CP021080.1?report=graph&amp;from=808812&amp;to=808816", "TTA_codon")</f>
        <v>TTA_codon</v>
      </c>
    </row>
    <row r="2773" spans="1:15" x14ac:dyDescent="0.15">
      <c r="A2773" t="s">
        <v>21</v>
      </c>
      <c r="B2773">
        <v>1000808</v>
      </c>
      <c r="C2773">
        <v>361903</v>
      </c>
      <c r="F2773" s="7">
        <v>1</v>
      </c>
      <c r="G2773" s="7">
        <v>1015</v>
      </c>
      <c r="H2773" s="8">
        <v>1012</v>
      </c>
      <c r="J2773" t="s">
        <v>23</v>
      </c>
      <c r="K2773" s="7">
        <v>1569</v>
      </c>
      <c r="L2773" s="9">
        <v>1</v>
      </c>
      <c r="M2773" t="s">
        <v>2318</v>
      </c>
      <c r="N2773" t="s">
        <v>187</v>
      </c>
      <c r="O2773" s="27" t="str">
        <f>HYPERLINK("https://www.ncbi.nlm.nih.gov/nuccore/NZ_MAXF01000100.1?report=graph&amp;from=73416&amp;to=73420", "TTA_codon")</f>
        <v>TTA_codon</v>
      </c>
    </row>
    <row r="2774" spans="1:15" x14ac:dyDescent="0.15">
      <c r="A2774" t="s">
        <v>21</v>
      </c>
      <c r="B2774">
        <v>1000808</v>
      </c>
      <c r="C2774">
        <v>361904</v>
      </c>
      <c r="F2774" s="7">
        <v>1</v>
      </c>
      <c r="G2774" s="7">
        <v>1015</v>
      </c>
      <c r="H2774" s="8">
        <v>1012</v>
      </c>
      <c r="J2774" t="s">
        <v>23</v>
      </c>
      <c r="K2774" s="7">
        <v>1569</v>
      </c>
      <c r="L2774" s="9">
        <v>1</v>
      </c>
      <c r="M2774" t="s">
        <v>2319</v>
      </c>
      <c r="N2774" t="s">
        <v>187</v>
      </c>
      <c r="O2774" s="27" t="str">
        <f>HYPERLINK("https://www.ncbi.nlm.nih.gov/nuccore/NZ_MAXF01000110.1?report=graph&amp;from=32971&amp;to=32975", "TTA_codon")</f>
        <v>TTA_codon</v>
      </c>
    </row>
    <row r="2775" spans="1:15" x14ac:dyDescent="0.15">
      <c r="A2775" t="s">
        <v>21</v>
      </c>
      <c r="B2775">
        <v>1000808</v>
      </c>
      <c r="C2775">
        <v>361905</v>
      </c>
      <c r="F2775" s="7">
        <v>1</v>
      </c>
      <c r="G2775" s="7">
        <v>1015</v>
      </c>
      <c r="H2775" s="8">
        <v>1012</v>
      </c>
      <c r="J2775" t="s">
        <v>23</v>
      </c>
      <c r="K2775" s="7">
        <v>1569</v>
      </c>
      <c r="L2775" s="9">
        <v>1</v>
      </c>
      <c r="M2775" t="s">
        <v>2320</v>
      </c>
      <c r="N2775" t="s">
        <v>187</v>
      </c>
      <c r="O2775" s="27" t="str">
        <f>HYPERLINK("https://www.ncbi.nlm.nih.gov/nuccore/NZ_MAXF01000120.1?report=graph&amp;from=6699&amp;to=6703", "TTA_codon")</f>
        <v>TTA_codon</v>
      </c>
    </row>
    <row r="2776" spans="1:15" x14ac:dyDescent="0.15">
      <c r="A2776" t="s">
        <v>21</v>
      </c>
      <c r="B2776">
        <v>1000808</v>
      </c>
      <c r="C2776">
        <v>361906</v>
      </c>
      <c r="F2776" s="7">
        <v>1</v>
      </c>
      <c r="G2776" s="7">
        <v>1015</v>
      </c>
      <c r="H2776" s="8">
        <v>1012</v>
      </c>
      <c r="J2776" t="s">
        <v>23</v>
      </c>
      <c r="K2776" s="7">
        <v>1569</v>
      </c>
      <c r="L2776" s="9">
        <v>1</v>
      </c>
      <c r="M2776" t="s">
        <v>2321</v>
      </c>
      <c r="N2776" t="s">
        <v>187</v>
      </c>
      <c r="O2776" s="27" t="str">
        <f>HYPERLINK("https://www.ncbi.nlm.nih.gov/nuccore/NZ_MAXF01000121.1?report=graph&amp;from=54344&amp;to=54348", "TTA_codon")</f>
        <v>TTA_codon</v>
      </c>
    </row>
    <row r="2777" spans="1:15" x14ac:dyDescent="0.15">
      <c r="A2777" t="s">
        <v>21</v>
      </c>
      <c r="B2777">
        <v>1000808</v>
      </c>
      <c r="C2777">
        <v>364282</v>
      </c>
      <c r="F2777" s="7">
        <v>1</v>
      </c>
      <c r="G2777" s="7">
        <v>916</v>
      </c>
      <c r="H2777" s="8">
        <v>877</v>
      </c>
      <c r="J2777" t="s">
        <v>23</v>
      </c>
      <c r="K2777" s="7">
        <v>1530</v>
      </c>
      <c r="L2777" s="9">
        <v>1</v>
      </c>
      <c r="M2777" t="s">
        <v>105</v>
      </c>
      <c r="N2777" t="s">
        <v>106</v>
      </c>
      <c r="O2777" s="27" t="str">
        <f>HYPERLINK("https://www.ncbi.nlm.nih.gov/nuccore/NZ_CP020042.1?report=graph&amp;from=7386115&amp;to=7386119", "TTA_codon")</f>
        <v>TTA_codon</v>
      </c>
    </row>
    <row r="2778" spans="1:15" x14ac:dyDescent="0.15">
      <c r="A2778" t="s">
        <v>21</v>
      </c>
      <c r="B2778">
        <v>1000808</v>
      </c>
      <c r="C2778">
        <v>364284</v>
      </c>
      <c r="F2778" s="7">
        <v>1</v>
      </c>
      <c r="G2778" s="7">
        <v>916</v>
      </c>
      <c r="H2778" s="8">
        <v>877</v>
      </c>
      <c r="J2778" t="s">
        <v>23</v>
      </c>
      <c r="K2778" s="7">
        <v>1530</v>
      </c>
      <c r="L2778" s="9">
        <v>1</v>
      </c>
      <c r="M2778" t="s">
        <v>105</v>
      </c>
      <c r="N2778" t="s">
        <v>106</v>
      </c>
      <c r="O2778" s="27" t="str">
        <f>HYPERLINK("https://www.ncbi.nlm.nih.gov/nuccore/NZ_CP020042.1?report=graph&amp;from=4169245&amp;to=4169249", "TTA_codon")</f>
        <v>TTA_codon</v>
      </c>
    </row>
    <row r="2779" spans="1:15" x14ac:dyDescent="0.15">
      <c r="A2779" t="s">
        <v>21</v>
      </c>
      <c r="B2779">
        <v>1000808</v>
      </c>
      <c r="C2779">
        <v>364286</v>
      </c>
      <c r="F2779" s="7">
        <v>1</v>
      </c>
      <c r="G2779" s="7">
        <v>916</v>
      </c>
      <c r="H2779" s="8">
        <v>877</v>
      </c>
      <c r="J2779" t="s">
        <v>23</v>
      </c>
      <c r="K2779" s="7">
        <v>1530</v>
      </c>
      <c r="L2779" s="9">
        <v>1</v>
      </c>
      <c r="M2779" t="s">
        <v>105</v>
      </c>
      <c r="N2779" t="s">
        <v>106</v>
      </c>
      <c r="O2779" s="27" t="str">
        <f>HYPERLINK("https://www.ncbi.nlm.nih.gov/nuccore/NZ_CP020042.1?report=graph&amp;from=546502&amp;to=546506", "TTA_codon")</f>
        <v>TTA_codon</v>
      </c>
    </row>
    <row r="2780" spans="1:15" x14ac:dyDescent="0.15">
      <c r="A2780" t="s">
        <v>21</v>
      </c>
      <c r="B2780">
        <v>1000808</v>
      </c>
      <c r="C2780">
        <v>364287</v>
      </c>
      <c r="F2780" s="7">
        <v>1</v>
      </c>
      <c r="G2780" s="7">
        <v>916</v>
      </c>
      <c r="H2780" s="8">
        <v>877</v>
      </c>
      <c r="J2780" t="s">
        <v>23</v>
      </c>
      <c r="K2780" s="7">
        <v>1530</v>
      </c>
      <c r="L2780" s="9">
        <v>1</v>
      </c>
      <c r="M2780" t="s">
        <v>2322</v>
      </c>
      <c r="N2780" t="s">
        <v>106</v>
      </c>
      <c r="O2780" s="27" t="str">
        <f>HYPERLINK("https://www.ncbi.nlm.nih.gov/nuccore/NZ_CP020043.1?report=graph&amp;from=123397&amp;to=123401", "TTA_codon")</f>
        <v>TTA_codon</v>
      </c>
    </row>
    <row r="2781" spans="1:15" x14ac:dyDescent="0.15">
      <c r="A2781" t="s">
        <v>21</v>
      </c>
      <c r="B2781" t="s">
        <v>2323</v>
      </c>
    </row>
    <row r="2782" spans="1:15" x14ac:dyDescent="0.15">
      <c r="A2782" t="s">
        <v>21</v>
      </c>
      <c r="B2782">
        <v>1001050</v>
      </c>
      <c r="C2782">
        <v>354836</v>
      </c>
      <c r="F2782" s="7">
        <v>1</v>
      </c>
      <c r="G2782" s="7">
        <v>3049</v>
      </c>
      <c r="H2782" s="8">
        <v>604</v>
      </c>
      <c r="J2782" t="s">
        <v>23</v>
      </c>
      <c r="K2782" s="7">
        <v>1824</v>
      </c>
      <c r="L2782" s="9">
        <v>-1</v>
      </c>
      <c r="M2782" t="s">
        <v>2324</v>
      </c>
      <c r="N2782" t="s">
        <v>25</v>
      </c>
      <c r="O2782" s="27" t="str">
        <f>HYPERLINK("https://www.ncbi.nlm.nih.gov/nuccore/NZ_JOFU01000023.1?report=graph&amp;from=51757&amp;to=51761", "TTA_codon")</f>
        <v>TTA_codon</v>
      </c>
    </row>
    <row r="2783" spans="1:15" x14ac:dyDescent="0.15">
      <c r="A2783" t="s">
        <v>21</v>
      </c>
      <c r="B2783">
        <v>1001050</v>
      </c>
      <c r="C2783">
        <v>360357</v>
      </c>
      <c r="F2783" s="7">
        <v>1</v>
      </c>
      <c r="G2783" s="7">
        <v>3154</v>
      </c>
      <c r="H2783" s="8">
        <v>3118</v>
      </c>
      <c r="J2783" t="s">
        <v>23</v>
      </c>
      <c r="K2783" s="7">
        <v>4317</v>
      </c>
      <c r="L2783" s="9">
        <v>-1</v>
      </c>
      <c r="M2783" t="s">
        <v>121</v>
      </c>
      <c r="N2783" t="s">
        <v>122</v>
      </c>
      <c r="O2783" s="27" t="str">
        <f>HYPERLINK("https://www.ncbi.nlm.nih.gov/nuccore/NZ_CP016279.1?report=graph&amp;from=5148487&amp;to=5148491", "TTA_codon")</f>
        <v>TTA_codon</v>
      </c>
    </row>
    <row r="2784" spans="1:15" x14ac:dyDescent="0.15">
      <c r="A2784" t="s">
        <v>21</v>
      </c>
      <c r="B2784">
        <v>1001050</v>
      </c>
      <c r="C2784">
        <v>362457</v>
      </c>
      <c r="F2784" s="7">
        <v>2</v>
      </c>
      <c r="G2784" s="7" t="s">
        <v>2325</v>
      </c>
      <c r="H2784" s="8" t="s">
        <v>2326</v>
      </c>
      <c r="J2784" t="s">
        <v>23</v>
      </c>
      <c r="K2784" s="7">
        <v>1878</v>
      </c>
      <c r="L2784" s="9">
        <v>-1</v>
      </c>
      <c r="M2784" t="s">
        <v>32</v>
      </c>
      <c r="N2784" t="s">
        <v>33</v>
      </c>
      <c r="O2784" s="27" t="str">
        <f>HYPERLINK("https://www.ncbi.nlm.nih.gov/nuccore/NZ_CP017248.1?report=graph&amp;from=8815140&amp;to=8815783", "TTA_codon")</f>
        <v>TTA_codon</v>
      </c>
    </row>
    <row r="2785" spans="1:15" x14ac:dyDescent="0.15">
      <c r="A2785" t="s">
        <v>21</v>
      </c>
      <c r="B2785" t="s">
        <v>2327</v>
      </c>
    </row>
    <row r="2786" spans="1:15" x14ac:dyDescent="0.15">
      <c r="A2786" t="s">
        <v>21</v>
      </c>
      <c r="B2786">
        <v>1000791</v>
      </c>
      <c r="C2786">
        <v>351884</v>
      </c>
      <c r="F2786" s="7">
        <v>1</v>
      </c>
      <c r="G2786" s="7">
        <v>715</v>
      </c>
      <c r="H2786" s="8">
        <v>703</v>
      </c>
      <c r="J2786" t="s">
        <v>23</v>
      </c>
      <c r="K2786" s="7">
        <v>894</v>
      </c>
      <c r="L2786" s="9">
        <v>1</v>
      </c>
      <c r="M2786" t="s">
        <v>2328</v>
      </c>
      <c r="N2786" t="s">
        <v>68</v>
      </c>
      <c r="O2786" s="27" t="str">
        <f>HYPERLINK("https://www.ncbi.nlm.nih.gov/nuccore/NZ_BARG01000082.1?report=graph&amp;from=2220&amp;to=2224", "TTA_codon")</f>
        <v>TTA_codon</v>
      </c>
    </row>
    <row r="2787" spans="1:15" x14ac:dyDescent="0.15">
      <c r="A2787" t="s">
        <v>21</v>
      </c>
      <c r="B2787">
        <v>1000791</v>
      </c>
      <c r="C2787">
        <v>353440</v>
      </c>
      <c r="F2787" s="7">
        <v>1</v>
      </c>
      <c r="G2787" s="7">
        <v>619</v>
      </c>
      <c r="H2787" s="8">
        <v>616</v>
      </c>
      <c r="J2787" t="s">
        <v>23</v>
      </c>
      <c r="K2787" s="7">
        <v>903</v>
      </c>
      <c r="L2787" s="9">
        <v>1</v>
      </c>
      <c r="M2787" t="s">
        <v>2329</v>
      </c>
      <c r="N2787" t="s">
        <v>169</v>
      </c>
      <c r="O2787" s="27" t="str">
        <f>HYPERLINK("https://www.ncbi.nlm.nih.gov/nuccore/NZ_JNWJ01000021.1?report=graph&amp;from=131170&amp;to=131174", "TTA_codon")</f>
        <v>TTA_codon</v>
      </c>
    </row>
    <row r="2788" spans="1:15" x14ac:dyDescent="0.15">
      <c r="A2788" t="s">
        <v>21</v>
      </c>
      <c r="B2788">
        <v>1000791</v>
      </c>
      <c r="C2788">
        <v>360212</v>
      </c>
      <c r="F2788" s="7">
        <v>1</v>
      </c>
      <c r="G2788" s="7">
        <v>715</v>
      </c>
      <c r="H2788" s="8">
        <v>679</v>
      </c>
      <c r="J2788" t="s">
        <v>23</v>
      </c>
      <c r="K2788" s="7">
        <v>867</v>
      </c>
      <c r="L2788" s="9">
        <v>1</v>
      </c>
      <c r="M2788" t="s">
        <v>2330</v>
      </c>
      <c r="N2788" t="s">
        <v>125</v>
      </c>
      <c r="O2788" s="27" t="str">
        <f>HYPERLINK("https://www.ncbi.nlm.nih.gov/nuccore/NZ_KQ948458.1?report=graph&amp;from=74907&amp;to=74911", "TTA_codon")</f>
        <v>TTA_codon</v>
      </c>
    </row>
    <row r="2789" spans="1:15" x14ac:dyDescent="0.15">
      <c r="A2789" t="s">
        <v>21</v>
      </c>
      <c r="B2789" t="s">
        <v>2331</v>
      </c>
    </row>
    <row r="2790" spans="1:15" x14ac:dyDescent="0.15">
      <c r="A2790" t="s">
        <v>21</v>
      </c>
      <c r="B2790">
        <v>1000802</v>
      </c>
      <c r="C2790">
        <v>352020</v>
      </c>
      <c r="F2790" s="7">
        <v>1</v>
      </c>
      <c r="G2790" s="7">
        <v>808</v>
      </c>
      <c r="H2790" s="8">
        <v>238</v>
      </c>
      <c r="J2790" t="s">
        <v>23</v>
      </c>
      <c r="K2790" s="7">
        <v>717</v>
      </c>
      <c r="L2790" s="9">
        <v>-1</v>
      </c>
      <c r="M2790" t="s">
        <v>2332</v>
      </c>
      <c r="N2790" t="s">
        <v>68</v>
      </c>
      <c r="O2790" s="27" t="str">
        <f>HYPERLINK("https://www.ncbi.nlm.nih.gov/nuccore/NZ_BARG01000070.1?report=graph&amp;from=18790&amp;to=18794", "TTA_codon")</f>
        <v>TTA_codon</v>
      </c>
    </row>
    <row r="2791" spans="1:15" x14ac:dyDescent="0.15">
      <c r="A2791" t="s">
        <v>21</v>
      </c>
      <c r="B2791">
        <v>1000802</v>
      </c>
      <c r="C2791">
        <v>364205</v>
      </c>
      <c r="F2791" s="7">
        <v>1</v>
      </c>
      <c r="G2791" s="7">
        <v>760</v>
      </c>
      <c r="H2791" s="8">
        <v>760</v>
      </c>
      <c r="J2791" t="s">
        <v>23</v>
      </c>
      <c r="K2791" s="7">
        <v>1287</v>
      </c>
      <c r="L2791" s="9">
        <v>-1</v>
      </c>
      <c r="M2791" t="s">
        <v>254</v>
      </c>
      <c r="N2791" t="s">
        <v>255</v>
      </c>
      <c r="O2791" s="27" t="str">
        <f>HYPERLINK("https://www.ncbi.nlm.nih.gov/nuccore/NZ_CP018047.1?report=graph&amp;from=3634549&amp;to=3634553", "TTA_codon")</f>
        <v>TTA_codon</v>
      </c>
    </row>
    <row r="2792" spans="1:15" x14ac:dyDescent="0.15">
      <c r="A2792" t="s">
        <v>21</v>
      </c>
      <c r="B2792" t="s">
        <v>2333</v>
      </c>
    </row>
    <row r="2793" spans="1:15" x14ac:dyDescent="0.15">
      <c r="A2793" t="s">
        <v>21</v>
      </c>
      <c r="B2793">
        <v>1000742</v>
      </c>
      <c r="C2793">
        <v>351334</v>
      </c>
      <c r="F2793" s="7">
        <v>1</v>
      </c>
      <c r="G2793" s="7">
        <v>346</v>
      </c>
      <c r="H2793" s="8">
        <v>346</v>
      </c>
      <c r="J2793" t="s">
        <v>23</v>
      </c>
      <c r="K2793" s="7">
        <v>810</v>
      </c>
      <c r="L2793" s="9">
        <v>-1</v>
      </c>
      <c r="M2793" t="s">
        <v>65</v>
      </c>
      <c r="N2793" t="s">
        <v>66</v>
      </c>
      <c r="O2793" s="27" t="str">
        <f>HYPERLINK("https://www.ncbi.nlm.nih.gov/nuccore/NC_020504.1?report=graph&amp;from=83873&amp;to=83877", "TTA_codon")</f>
        <v>TTA_codon</v>
      </c>
    </row>
    <row r="2794" spans="1:15" x14ac:dyDescent="0.15">
      <c r="A2794" t="s">
        <v>21</v>
      </c>
      <c r="B2794">
        <v>1000742</v>
      </c>
      <c r="C2794">
        <v>359918</v>
      </c>
      <c r="F2794" s="7">
        <v>2</v>
      </c>
      <c r="G2794" s="7" t="s">
        <v>2334</v>
      </c>
      <c r="H2794" s="8" t="s">
        <v>2335</v>
      </c>
      <c r="J2794" t="s">
        <v>23</v>
      </c>
      <c r="K2794" s="7">
        <v>1680</v>
      </c>
      <c r="L2794" s="9">
        <v>-1</v>
      </c>
      <c r="M2794" t="s">
        <v>675</v>
      </c>
      <c r="N2794" t="s">
        <v>91</v>
      </c>
      <c r="O2794" s="27" t="str">
        <f>HYPERLINK("https://www.ncbi.nlm.nih.gov/nuccore/NZ_KQ948306.1?report=graph&amp;from=733873&amp;to=733955", "TTA_codon")</f>
        <v>TTA_codon</v>
      </c>
    </row>
    <row r="2795" spans="1:15" x14ac:dyDescent="0.15">
      <c r="A2795" t="s">
        <v>21</v>
      </c>
      <c r="B2795">
        <v>1000742</v>
      </c>
      <c r="C2795">
        <v>361843</v>
      </c>
      <c r="F2795" s="7">
        <v>1</v>
      </c>
      <c r="G2795" s="7">
        <v>214</v>
      </c>
      <c r="H2795" s="8">
        <v>118</v>
      </c>
      <c r="J2795" t="s">
        <v>23</v>
      </c>
      <c r="K2795" s="7">
        <v>1677</v>
      </c>
      <c r="L2795" s="9">
        <v>-1</v>
      </c>
      <c r="M2795" t="s">
        <v>37</v>
      </c>
      <c r="N2795" t="s">
        <v>38</v>
      </c>
      <c r="O2795" s="27" t="str">
        <f>HYPERLINK("https://www.ncbi.nlm.nih.gov/nuccore/NZ_CP011533.1?report=graph&amp;from=33797&amp;to=33801", "TTA_codon")</f>
        <v>TTA_codon</v>
      </c>
    </row>
    <row r="2796" spans="1:15" x14ac:dyDescent="0.15">
      <c r="A2796" t="s">
        <v>21</v>
      </c>
      <c r="B2796" t="s">
        <v>2336</v>
      </c>
    </row>
    <row r="2797" spans="1:15" x14ac:dyDescent="0.15">
      <c r="A2797" t="s">
        <v>21</v>
      </c>
      <c r="B2797">
        <v>1000653</v>
      </c>
      <c r="C2797">
        <v>350628</v>
      </c>
      <c r="F2797" s="7">
        <v>1</v>
      </c>
      <c r="G2797" s="7">
        <v>520</v>
      </c>
      <c r="H2797" s="8">
        <v>520</v>
      </c>
      <c r="J2797" t="s">
        <v>23</v>
      </c>
      <c r="K2797" s="7">
        <v>2739</v>
      </c>
      <c r="L2797" s="9">
        <v>-1</v>
      </c>
      <c r="M2797" t="s">
        <v>2337</v>
      </c>
      <c r="N2797" t="s">
        <v>134</v>
      </c>
      <c r="O2797" s="27" t="str">
        <f>HYPERLINK("https://www.ncbi.nlm.nih.gov/nuccore/NZ_AJSZ01000445.1?report=graph&amp;from=4004&amp;to=4008", "TTA_codon")</f>
        <v>TTA_codon</v>
      </c>
    </row>
    <row r="2798" spans="1:15" x14ac:dyDescent="0.15">
      <c r="A2798" t="s">
        <v>21</v>
      </c>
      <c r="B2798">
        <v>1000653</v>
      </c>
      <c r="C2798">
        <v>363157</v>
      </c>
      <c r="F2798" s="7">
        <v>2</v>
      </c>
      <c r="G2798" s="7" t="s">
        <v>2338</v>
      </c>
      <c r="H2798" s="8" t="s">
        <v>2338</v>
      </c>
      <c r="J2798" t="s">
        <v>23</v>
      </c>
      <c r="K2798" s="7">
        <v>2733</v>
      </c>
      <c r="L2798" s="9">
        <v>-1</v>
      </c>
      <c r="M2798" t="s">
        <v>1119</v>
      </c>
      <c r="N2798" t="s">
        <v>401</v>
      </c>
      <c r="O2798" s="27" t="str">
        <f>HYPERLINK("https://www.ncbi.nlm.nih.gov/nuccore/NZ_LFBV01000004.1?report=graph&amp;from=211661&amp;to=211788", "TTA_codon")</f>
        <v>TTA_codon</v>
      </c>
    </row>
    <row r="2799" spans="1:15" x14ac:dyDescent="0.15">
      <c r="A2799" t="s">
        <v>21</v>
      </c>
      <c r="B2799" t="s">
        <v>2339</v>
      </c>
    </row>
    <row r="2800" spans="1:15" x14ac:dyDescent="0.15">
      <c r="A2800" t="s">
        <v>21</v>
      </c>
      <c r="B2800">
        <v>1001428</v>
      </c>
      <c r="C2800">
        <v>362996</v>
      </c>
      <c r="F2800" s="7">
        <v>2</v>
      </c>
      <c r="G2800" s="7" t="s">
        <v>2340</v>
      </c>
      <c r="H2800" s="8" t="s">
        <v>2340</v>
      </c>
      <c r="J2800" t="s">
        <v>23</v>
      </c>
      <c r="K2800" s="7">
        <v>1260</v>
      </c>
      <c r="L2800" s="9">
        <v>1</v>
      </c>
      <c r="M2800" t="s">
        <v>2341</v>
      </c>
      <c r="N2800" t="s">
        <v>1726</v>
      </c>
      <c r="O2800" s="27" t="str">
        <f>HYPERLINK("https://www.ncbi.nlm.nih.gov/nuccore/NZ_MLCF01000118.1?report=graph&amp;from=20628&amp;to=21685", "TTA_codon")</f>
        <v>TTA_codon</v>
      </c>
    </row>
    <row r="2801" spans="1:15" x14ac:dyDescent="0.15">
      <c r="A2801" t="s">
        <v>21</v>
      </c>
      <c r="B2801">
        <v>1001428</v>
      </c>
      <c r="C2801">
        <v>366403</v>
      </c>
      <c r="F2801" s="7">
        <v>2</v>
      </c>
      <c r="G2801" s="7" t="s">
        <v>2342</v>
      </c>
      <c r="H2801" s="8" t="s">
        <v>2343</v>
      </c>
      <c r="J2801" t="s">
        <v>23</v>
      </c>
      <c r="K2801" s="7">
        <v>1245</v>
      </c>
      <c r="L2801" s="9">
        <v>1</v>
      </c>
      <c r="M2801" t="s">
        <v>2344</v>
      </c>
      <c r="N2801" t="s">
        <v>375</v>
      </c>
      <c r="O2801" s="27" t="str">
        <f>HYPERLINK("https://www.ncbi.nlm.nih.gov/nuccore/NZ_FONG01000007.1?report=graph&amp;from=137949&amp;to=138004", "TTA_codon")</f>
        <v>TTA_codon</v>
      </c>
    </row>
    <row r="2802" spans="1:15" x14ac:dyDescent="0.15">
      <c r="A2802" t="s">
        <v>21</v>
      </c>
      <c r="B2802" t="s">
        <v>2345</v>
      </c>
    </row>
    <row r="2803" spans="1:15" x14ac:dyDescent="0.15">
      <c r="A2803" t="s">
        <v>21</v>
      </c>
      <c r="B2803">
        <v>1001048</v>
      </c>
      <c r="C2803">
        <v>354808</v>
      </c>
      <c r="F2803" s="7">
        <v>1</v>
      </c>
      <c r="G2803" s="7">
        <v>340</v>
      </c>
      <c r="H2803" s="8">
        <v>340</v>
      </c>
      <c r="J2803" t="s">
        <v>23</v>
      </c>
      <c r="K2803" s="7">
        <v>1983</v>
      </c>
      <c r="L2803" s="9">
        <v>1</v>
      </c>
      <c r="M2803" t="s">
        <v>24</v>
      </c>
      <c r="N2803" t="s">
        <v>25</v>
      </c>
      <c r="O2803" s="27" t="str">
        <f>HYPERLINK("https://www.ncbi.nlm.nih.gov/nuccore/NZ_JOFU01000020.1?report=graph&amp;from=73772&amp;to=73776", "TTA_codon")</f>
        <v>TTA_codon</v>
      </c>
    </row>
    <row r="2804" spans="1:15" x14ac:dyDescent="0.15">
      <c r="A2804" t="s">
        <v>21</v>
      </c>
      <c r="B2804">
        <v>1001048</v>
      </c>
      <c r="C2804">
        <v>356007</v>
      </c>
      <c r="F2804" s="7">
        <v>1</v>
      </c>
      <c r="G2804" s="7">
        <v>340</v>
      </c>
      <c r="H2804" s="8">
        <v>340</v>
      </c>
      <c r="J2804" t="s">
        <v>23</v>
      </c>
      <c r="K2804" s="7">
        <v>1977</v>
      </c>
      <c r="L2804" s="9">
        <v>1</v>
      </c>
      <c r="M2804" t="s">
        <v>2346</v>
      </c>
      <c r="N2804" t="s">
        <v>146</v>
      </c>
      <c r="O2804" s="27" t="str">
        <f>HYPERLINK("https://www.ncbi.nlm.nih.gov/nuccore/NZ_JOFH01000038.1?report=graph&amp;from=19807&amp;to=19811", "TTA_codon")</f>
        <v>TTA_codon</v>
      </c>
    </row>
    <row r="2805" spans="1:15" x14ac:dyDescent="0.15">
      <c r="A2805" t="s">
        <v>21</v>
      </c>
      <c r="B2805">
        <v>1001048</v>
      </c>
      <c r="C2805">
        <v>358333</v>
      </c>
      <c r="F2805" s="7">
        <v>1</v>
      </c>
      <c r="G2805" s="7">
        <v>328</v>
      </c>
      <c r="H2805" s="8">
        <v>316</v>
      </c>
      <c r="J2805" t="s">
        <v>23</v>
      </c>
      <c r="K2805" s="7">
        <v>1944</v>
      </c>
      <c r="L2805" s="9">
        <v>1</v>
      </c>
      <c r="M2805" t="s">
        <v>2347</v>
      </c>
      <c r="N2805" t="s">
        <v>85</v>
      </c>
      <c r="O2805" s="27" t="str">
        <f>HYPERLINK("https://www.ncbi.nlm.nih.gov/nuccore/NZ_LIQX01000720.1?report=graph&amp;from=678&amp;to=682", "TTA_codon")</f>
        <v>TTA_codon</v>
      </c>
    </row>
    <row r="2806" spans="1:15" x14ac:dyDescent="0.15">
      <c r="A2806" t="s">
        <v>21</v>
      </c>
      <c r="B2806" t="s">
        <v>2348</v>
      </c>
    </row>
    <row r="2807" spans="1:15" x14ac:dyDescent="0.15">
      <c r="A2807" t="s">
        <v>21</v>
      </c>
      <c r="B2807">
        <v>1001145</v>
      </c>
      <c r="C2807">
        <v>356180</v>
      </c>
      <c r="F2807" s="7">
        <v>1</v>
      </c>
      <c r="G2807" s="7">
        <v>97</v>
      </c>
      <c r="H2807" s="8">
        <v>97</v>
      </c>
      <c r="J2807" t="s">
        <v>23</v>
      </c>
      <c r="K2807" s="7">
        <v>972</v>
      </c>
      <c r="L2807" s="9">
        <v>-1</v>
      </c>
      <c r="M2807" t="s">
        <v>1317</v>
      </c>
      <c r="N2807" t="s">
        <v>77</v>
      </c>
      <c r="O2807" s="27" t="str">
        <f>HYPERLINK("https://www.ncbi.nlm.nih.gov/nuccore/NZ_JNXD01000011.1?report=graph&amp;from=467320&amp;to=467324", "TTA_codon")</f>
        <v>TTA_codon</v>
      </c>
    </row>
    <row r="2808" spans="1:15" x14ac:dyDescent="0.15">
      <c r="A2808" t="s">
        <v>21</v>
      </c>
      <c r="B2808">
        <v>1001145</v>
      </c>
      <c r="C2808">
        <v>356517</v>
      </c>
      <c r="F2808" s="7">
        <v>1</v>
      </c>
      <c r="G2808" s="7">
        <v>97</v>
      </c>
      <c r="H2808" s="8">
        <v>97</v>
      </c>
      <c r="J2808" t="s">
        <v>23</v>
      </c>
      <c r="K2808" s="7">
        <v>957</v>
      </c>
      <c r="L2808" s="9">
        <v>-1</v>
      </c>
      <c r="M2808" t="s">
        <v>508</v>
      </c>
      <c r="N2808" t="s">
        <v>509</v>
      </c>
      <c r="O2808" s="27" t="str">
        <f>HYPERLINK("https://www.ncbi.nlm.nih.gov/nuccore/NZ_CP009438.1?report=graph&amp;from=4075229&amp;to=4075233", "TTA_codon")</f>
        <v>TTA_codon</v>
      </c>
    </row>
    <row r="2809" spans="1:15" x14ac:dyDescent="0.15">
      <c r="A2809" t="s">
        <v>21</v>
      </c>
      <c r="B2809" t="s">
        <v>2349</v>
      </c>
    </row>
    <row r="2810" spans="1:15" x14ac:dyDescent="0.15">
      <c r="A2810" t="s">
        <v>21</v>
      </c>
      <c r="B2810">
        <v>1001053</v>
      </c>
      <c r="C2810">
        <v>354860</v>
      </c>
      <c r="F2810" s="7">
        <v>1</v>
      </c>
      <c r="G2810" s="7">
        <v>46</v>
      </c>
      <c r="H2810" s="8">
        <v>46</v>
      </c>
      <c r="J2810" t="s">
        <v>23</v>
      </c>
      <c r="K2810" s="7">
        <v>1452</v>
      </c>
      <c r="L2810" s="9">
        <v>-1</v>
      </c>
      <c r="M2810" t="s">
        <v>423</v>
      </c>
      <c r="N2810" t="s">
        <v>25</v>
      </c>
      <c r="O2810" s="27" t="str">
        <f>HYPERLINK("https://www.ncbi.nlm.nih.gov/nuccore/NZ_JOFU01000005.1?report=graph&amp;from=55173&amp;to=55177", "TTA_codon")</f>
        <v>TTA_codon</v>
      </c>
    </row>
    <row r="2811" spans="1:15" x14ac:dyDescent="0.15">
      <c r="A2811" t="s">
        <v>21</v>
      </c>
      <c r="B2811">
        <v>1001053</v>
      </c>
      <c r="C2811">
        <v>363469</v>
      </c>
      <c r="F2811" s="7">
        <v>1</v>
      </c>
      <c r="G2811" s="7">
        <v>46</v>
      </c>
      <c r="H2811" s="8">
        <v>46</v>
      </c>
      <c r="J2811" t="s">
        <v>23</v>
      </c>
      <c r="K2811" s="7">
        <v>1464</v>
      </c>
      <c r="L2811" s="9">
        <v>-1</v>
      </c>
      <c r="M2811" t="s">
        <v>157</v>
      </c>
      <c r="N2811" t="s">
        <v>158</v>
      </c>
      <c r="O2811" s="27" t="str">
        <f>HYPERLINK("https://www.ncbi.nlm.nih.gov/nuccore/NZ_CP015588.1?report=graph&amp;from=7874880&amp;to=7874884", "TTA_codon")</f>
        <v>TTA_codon</v>
      </c>
    </row>
    <row r="2812" spans="1:15" x14ac:dyDescent="0.15">
      <c r="A2812" t="s">
        <v>21</v>
      </c>
      <c r="B2812" t="s">
        <v>2350</v>
      </c>
    </row>
    <row r="2813" spans="1:15" x14ac:dyDescent="0.15">
      <c r="A2813" t="s">
        <v>21</v>
      </c>
      <c r="B2813">
        <v>1001262</v>
      </c>
      <c r="C2813">
        <v>358100</v>
      </c>
      <c r="F2813" s="7">
        <v>1</v>
      </c>
      <c r="G2813" s="7">
        <v>520</v>
      </c>
      <c r="H2813" s="8">
        <v>520</v>
      </c>
      <c r="J2813" t="s">
        <v>23</v>
      </c>
      <c r="K2813" s="7">
        <v>726</v>
      </c>
      <c r="L2813" s="9">
        <v>-1</v>
      </c>
      <c r="M2813" t="s">
        <v>2351</v>
      </c>
      <c r="N2813" t="s">
        <v>119</v>
      </c>
      <c r="O2813" s="27" t="str">
        <f>HYPERLINK("https://www.ncbi.nlm.nih.gov/nuccore/NZ_LIPP01000118.1?report=graph&amp;from=18168&amp;to=18172", "TTA_codon")</f>
        <v>TTA_codon</v>
      </c>
    </row>
    <row r="2814" spans="1:15" x14ac:dyDescent="0.15">
      <c r="A2814" t="s">
        <v>21</v>
      </c>
      <c r="B2814">
        <v>1001262</v>
      </c>
      <c r="C2814">
        <v>364684</v>
      </c>
      <c r="F2814" s="7">
        <v>1</v>
      </c>
      <c r="G2814" s="7">
        <v>520</v>
      </c>
      <c r="H2814" s="8">
        <v>508</v>
      </c>
      <c r="J2814" t="s">
        <v>23</v>
      </c>
      <c r="K2814" s="7">
        <v>714</v>
      </c>
      <c r="L2814" s="9">
        <v>-1</v>
      </c>
      <c r="M2814" t="s">
        <v>2352</v>
      </c>
      <c r="N2814" t="s">
        <v>110</v>
      </c>
      <c r="O2814" s="27" t="str">
        <f>HYPERLINK("https://www.ncbi.nlm.nih.gov/nuccore/NZ_MUME01000345.1?report=graph&amp;from=2428&amp;to=2432", "TTA_codon")</f>
        <v>TTA_codon</v>
      </c>
    </row>
    <row r="2815" spans="1:15" x14ac:dyDescent="0.15">
      <c r="A2815" t="s">
        <v>21</v>
      </c>
      <c r="B2815" t="s">
        <v>2353</v>
      </c>
    </row>
    <row r="2816" spans="1:15" x14ac:dyDescent="0.15">
      <c r="A2816" t="s">
        <v>21</v>
      </c>
      <c r="B2816">
        <v>1000287</v>
      </c>
      <c r="C2816">
        <v>347830</v>
      </c>
      <c r="F2816" s="7">
        <v>1</v>
      </c>
      <c r="G2816" s="7">
        <v>607</v>
      </c>
      <c r="H2816" s="8">
        <v>586</v>
      </c>
      <c r="J2816" t="s">
        <v>23</v>
      </c>
      <c r="K2816" s="7">
        <v>873</v>
      </c>
      <c r="L2816" s="9">
        <v>-1</v>
      </c>
      <c r="M2816" t="s">
        <v>57</v>
      </c>
      <c r="N2816" t="s">
        <v>58</v>
      </c>
      <c r="O2816" s="27" t="str">
        <f>HYPERLINK("https://www.ncbi.nlm.nih.gov/nuccore/NC_013929.1?report=graph&amp;from=9887798&amp;to=9887802", "TTA_codon")</f>
        <v>TTA_codon</v>
      </c>
    </row>
    <row r="2817" spans="1:15" x14ac:dyDescent="0.15">
      <c r="A2817" t="s">
        <v>21</v>
      </c>
      <c r="B2817">
        <v>1000287</v>
      </c>
      <c r="C2817">
        <v>348844</v>
      </c>
      <c r="F2817" s="7">
        <v>1</v>
      </c>
      <c r="G2817" s="7">
        <v>667</v>
      </c>
      <c r="H2817" s="8">
        <v>625</v>
      </c>
      <c r="J2817" t="s">
        <v>23</v>
      </c>
      <c r="K2817" s="7">
        <v>849</v>
      </c>
      <c r="L2817" s="9">
        <v>-1</v>
      </c>
      <c r="M2817" t="s">
        <v>211</v>
      </c>
      <c r="N2817" t="s">
        <v>212</v>
      </c>
      <c r="O2817" s="27" t="str">
        <f>HYPERLINK("https://www.ncbi.nlm.nih.gov/nuccore/NZ_GG657754.1?report=graph&amp;from=8755377&amp;to=8755381", "TTA_codon")</f>
        <v>TTA_codon</v>
      </c>
    </row>
    <row r="2818" spans="1:15" x14ac:dyDescent="0.15">
      <c r="A2818" t="s">
        <v>21</v>
      </c>
      <c r="B2818" t="s">
        <v>2354</v>
      </c>
    </row>
    <row r="2819" spans="1:15" x14ac:dyDescent="0.15">
      <c r="A2819" t="s">
        <v>21</v>
      </c>
      <c r="B2819">
        <v>1000998</v>
      </c>
      <c r="C2819">
        <v>353774</v>
      </c>
      <c r="F2819" s="7">
        <v>2</v>
      </c>
      <c r="G2819" s="7" t="s">
        <v>2355</v>
      </c>
      <c r="H2819" s="8" t="s">
        <v>2355</v>
      </c>
      <c r="J2819" t="s">
        <v>23</v>
      </c>
      <c r="K2819" s="7">
        <v>786</v>
      </c>
      <c r="L2819" s="9">
        <v>-1</v>
      </c>
      <c r="M2819" t="s">
        <v>2356</v>
      </c>
      <c r="N2819" t="s">
        <v>246</v>
      </c>
      <c r="O2819" s="27" t="str">
        <f>HYPERLINK("https://www.ncbi.nlm.nih.gov/nuccore/NZ_JNYR01000037.1?report=graph&amp;from=28391&amp;to=28551", "TTA_codon")</f>
        <v>TTA_codon</v>
      </c>
    </row>
    <row r="2820" spans="1:15" x14ac:dyDescent="0.15">
      <c r="A2820" t="s">
        <v>21</v>
      </c>
      <c r="B2820">
        <v>1000998</v>
      </c>
      <c r="C2820">
        <v>354192</v>
      </c>
      <c r="F2820" s="7">
        <v>1</v>
      </c>
      <c r="G2820" s="7">
        <v>160</v>
      </c>
      <c r="H2820" s="8">
        <v>133</v>
      </c>
      <c r="J2820" t="s">
        <v>23</v>
      </c>
      <c r="K2820" s="7">
        <v>807</v>
      </c>
      <c r="L2820" s="9">
        <v>-1</v>
      </c>
      <c r="M2820" t="s">
        <v>2357</v>
      </c>
      <c r="N2820" t="s">
        <v>361</v>
      </c>
      <c r="O2820" s="27" t="str">
        <f>HYPERLINK("https://www.ncbi.nlm.nih.gov/nuccore/NZ_JODY01000026.1?report=graph&amp;from=20522&amp;to=20526", "TTA_codon")</f>
        <v>TTA_codon</v>
      </c>
    </row>
    <row r="2821" spans="1:15" x14ac:dyDescent="0.15">
      <c r="A2821" t="s">
        <v>21</v>
      </c>
      <c r="B2821">
        <v>1000998</v>
      </c>
      <c r="C2821">
        <v>360099</v>
      </c>
      <c r="F2821" s="7">
        <v>1</v>
      </c>
      <c r="G2821" s="7">
        <v>316</v>
      </c>
      <c r="H2821" s="8">
        <v>250</v>
      </c>
      <c r="J2821" t="s">
        <v>23</v>
      </c>
      <c r="K2821" s="7">
        <v>678</v>
      </c>
      <c r="L2821" s="9">
        <v>-1</v>
      </c>
      <c r="M2821" t="s">
        <v>2358</v>
      </c>
      <c r="N2821" t="s">
        <v>125</v>
      </c>
      <c r="O2821" s="27" t="str">
        <f>HYPERLINK("https://www.ncbi.nlm.nih.gov/nuccore/NZ_KQ948480.1?report=graph&amp;from=81867&amp;to=81871", "TTA_codon")</f>
        <v>TTA_codon</v>
      </c>
    </row>
    <row r="2822" spans="1:15" x14ac:dyDescent="0.15">
      <c r="A2822" t="s">
        <v>21</v>
      </c>
      <c r="B2822">
        <v>1000998</v>
      </c>
      <c r="C2822">
        <v>365414</v>
      </c>
      <c r="F2822" s="7">
        <v>1</v>
      </c>
      <c r="G2822" s="7">
        <v>316</v>
      </c>
      <c r="H2822" s="8">
        <v>250</v>
      </c>
      <c r="J2822" t="s">
        <v>23</v>
      </c>
      <c r="K2822" s="7">
        <v>717</v>
      </c>
      <c r="L2822" s="9">
        <v>-1</v>
      </c>
      <c r="M2822" t="s">
        <v>2359</v>
      </c>
      <c r="N2822" t="s">
        <v>45</v>
      </c>
      <c r="O2822" s="27" t="str">
        <f>HYPERLINK("https://www.ncbi.nlm.nih.gov/nuccore/NZ_FNIE01000017.1?report=graph&amp;from=121919&amp;to=121923", "TTA_codon")</f>
        <v>TTA_codon</v>
      </c>
    </row>
    <row r="2823" spans="1:15" x14ac:dyDescent="0.15">
      <c r="A2823" t="s">
        <v>21</v>
      </c>
      <c r="B2823" t="s">
        <v>2360</v>
      </c>
    </row>
    <row r="2824" spans="1:15" x14ac:dyDescent="0.15">
      <c r="A2824" t="s">
        <v>21</v>
      </c>
      <c r="B2824">
        <v>1001264</v>
      </c>
      <c r="C2824">
        <v>358134</v>
      </c>
      <c r="F2824" s="7">
        <v>1</v>
      </c>
      <c r="G2824" s="7">
        <v>79</v>
      </c>
      <c r="H2824" s="8">
        <v>73</v>
      </c>
      <c r="J2824" t="s">
        <v>23</v>
      </c>
      <c r="K2824" s="7">
        <v>822</v>
      </c>
      <c r="L2824" s="9">
        <v>1</v>
      </c>
      <c r="M2824" t="s">
        <v>2361</v>
      </c>
      <c r="N2824" t="s">
        <v>119</v>
      </c>
      <c r="O2824" s="27" t="str">
        <f>HYPERLINK("https://www.ncbi.nlm.nih.gov/nuccore/NZ_LIPP01000096.1?report=graph&amp;from=23815&amp;to=23819", "TTA_codon")</f>
        <v>TTA_codon</v>
      </c>
    </row>
    <row r="2825" spans="1:15" x14ac:dyDescent="0.15">
      <c r="A2825" t="s">
        <v>21</v>
      </c>
      <c r="B2825">
        <v>1001264</v>
      </c>
      <c r="C2825">
        <v>360425</v>
      </c>
      <c r="F2825" s="7">
        <v>1</v>
      </c>
      <c r="G2825" s="7">
        <v>58</v>
      </c>
      <c r="H2825" s="8">
        <v>58</v>
      </c>
      <c r="J2825" t="s">
        <v>23</v>
      </c>
      <c r="K2825" s="7">
        <v>849</v>
      </c>
      <c r="L2825" s="9">
        <v>1</v>
      </c>
      <c r="M2825" t="s">
        <v>121</v>
      </c>
      <c r="N2825" t="s">
        <v>122</v>
      </c>
      <c r="O2825" s="27" t="str">
        <f>HYPERLINK("https://www.ncbi.nlm.nih.gov/nuccore/NZ_CP016279.1?report=graph&amp;from=9646827&amp;to=9646831", "TTA_codon")</f>
        <v>TTA_codon</v>
      </c>
    </row>
    <row r="2826" spans="1:15" x14ac:dyDescent="0.15">
      <c r="A2826" t="s">
        <v>195</v>
      </c>
      <c r="B2826" t="s">
        <v>2362</v>
      </c>
    </row>
    <row r="2827" spans="1:15" x14ac:dyDescent="0.15">
      <c r="A2827" t="s">
        <v>195</v>
      </c>
      <c r="B2827">
        <v>1000141</v>
      </c>
      <c r="C2827">
        <v>346976</v>
      </c>
      <c r="F2827" s="7">
        <v>1</v>
      </c>
      <c r="G2827" s="7">
        <v>88</v>
      </c>
      <c r="H2827" s="8">
        <v>88</v>
      </c>
      <c r="J2827" t="s">
        <v>23</v>
      </c>
      <c r="K2827" s="7">
        <v>876</v>
      </c>
      <c r="L2827" s="9">
        <v>-1</v>
      </c>
      <c r="M2827" t="s">
        <v>101</v>
      </c>
      <c r="N2827" t="s">
        <v>102</v>
      </c>
      <c r="O2827" s="27" t="str">
        <f>HYPERLINK("https://www.ncbi.nlm.nih.gov/nuccore/NZ_CP019458.1?report=graph&amp;from=1514805&amp;to=1514809", "TTA_codon")</f>
        <v>TTA_codon</v>
      </c>
    </row>
    <row r="2828" spans="1:15" x14ac:dyDescent="0.15">
      <c r="A2828" t="s">
        <v>21</v>
      </c>
      <c r="B2828">
        <v>1000141</v>
      </c>
      <c r="C2828">
        <v>353386</v>
      </c>
      <c r="F2828" s="7">
        <v>1</v>
      </c>
      <c r="G2828" s="7">
        <v>82</v>
      </c>
      <c r="H2828" s="8">
        <v>82</v>
      </c>
      <c r="J2828" t="s">
        <v>23</v>
      </c>
      <c r="K2828" s="7">
        <v>903</v>
      </c>
      <c r="L2828" s="9">
        <v>-1</v>
      </c>
      <c r="M2828" t="s">
        <v>168</v>
      </c>
      <c r="N2828" t="s">
        <v>169</v>
      </c>
      <c r="O2828" s="27" t="str">
        <f>HYPERLINK("https://www.ncbi.nlm.nih.gov/nuccore/NZ_JNWJ01000008.1?report=graph&amp;from=105258&amp;to=105262", "TTA_codon")</f>
        <v>TTA_codon</v>
      </c>
    </row>
    <row r="2829" spans="1:15" x14ac:dyDescent="0.15">
      <c r="A2829" t="s">
        <v>21</v>
      </c>
      <c r="B2829">
        <v>1000141</v>
      </c>
      <c r="C2829">
        <v>354659</v>
      </c>
      <c r="F2829" s="7">
        <v>1</v>
      </c>
      <c r="G2829" s="7">
        <v>58</v>
      </c>
      <c r="H2829" s="8">
        <v>58</v>
      </c>
      <c r="J2829" t="s">
        <v>23</v>
      </c>
      <c r="K2829" s="7">
        <v>912</v>
      </c>
      <c r="L2829" s="9">
        <v>-1</v>
      </c>
      <c r="M2829" t="s">
        <v>2363</v>
      </c>
      <c r="N2829" t="s">
        <v>272</v>
      </c>
      <c r="O2829" s="27" t="str">
        <f>HYPERLINK("https://www.ncbi.nlm.nih.gov/nuccore/NZ_JOEY01000037.1?report=graph&amp;from=65495&amp;to=65499", "TTA_codon")</f>
        <v>TTA_codon</v>
      </c>
    </row>
    <row r="2830" spans="1:15" x14ac:dyDescent="0.15">
      <c r="A2830" t="s">
        <v>21</v>
      </c>
      <c r="B2830">
        <v>1000141</v>
      </c>
      <c r="C2830">
        <v>356298</v>
      </c>
      <c r="F2830" s="7">
        <v>1</v>
      </c>
      <c r="G2830" s="7">
        <v>151</v>
      </c>
      <c r="H2830" s="8">
        <v>148</v>
      </c>
      <c r="J2830" t="s">
        <v>23</v>
      </c>
      <c r="K2830" s="7">
        <v>816</v>
      </c>
      <c r="L2830" s="9">
        <v>-1</v>
      </c>
      <c r="M2830" t="s">
        <v>2364</v>
      </c>
      <c r="N2830" t="s">
        <v>77</v>
      </c>
      <c r="O2830" s="27" t="str">
        <f>HYPERLINK("https://www.ncbi.nlm.nih.gov/nuccore/NZ_JNXD01000016.1?report=graph&amp;from=29995&amp;to=29999", "TTA_codon")</f>
        <v>TTA_codon</v>
      </c>
    </row>
    <row r="2831" spans="1:15" x14ac:dyDescent="0.15">
      <c r="A2831" t="s">
        <v>21</v>
      </c>
      <c r="B2831">
        <v>1000141</v>
      </c>
      <c r="C2831">
        <v>357897</v>
      </c>
      <c r="F2831" s="7">
        <v>1</v>
      </c>
      <c r="G2831" s="7">
        <v>151</v>
      </c>
      <c r="H2831" s="8">
        <v>148</v>
      </c>
      <c r="J2831" t="s">
        <v>23</v>
      </c>
      <c r="K2831" s="7">
        <v>840</v>
      </c>
      <c r="L2831" s="9">
        <v>-1</v>
      </c>
      <c r="M2831" t="s">
        <v>2365</v>
      </c>
      <c r="N2831" t="s">
        <v>83</v>
      </c>
      <c r="O2831" s="27" t="str">
        <f>HYPERLINK("https://www.ncbi.nlm.nih.gov/nuccore/NZ_DF968232.1?report=graph&amp;from=17455&amp;to=17459", "TTA_codon")</f>
        <v>TTA_codon</v>
      </c>
    </row>
    <row r="2832" spans="1:15" x14ac:dyDescent="0.15">
      <c r="A2832" t="s">
        <v>21</v>
      </c>
      <c r="B2832">
        <v>1000141</v>
      </c>
      <c r="C2832">
        <v>359891</v>
      </c>
      <c r="F2832" s="7">
        <v>1</v>
      </c>
      <c r="G2832" s="7">
        <v>58</v>
      </c>
      <c r="H2832" s="8">
        <v>58</v>
      </c>
      <c r="J2832" t="s">
        <v>23</v>
      </c>
      <c r="K2832" s="7">
        <v>864</v>
      </c>
      <c r="L2832" s="9">
        <v>-1</v>
      </c>
      <c r="M2832" t="s">
        <v>2366</v>
      </c>
      <c r="N2832" t="s">
        <v>91</v>
      </c>
      <c r="O2832" s="27" t="str">
        <f>HYPERLINK("https://www.ncbi.nlm.nih.gov/nuccore/NZ_KQ948313.1?report=graph&amp;from=35867&amp;to=35871", "TTA_codon")</f>
        <v>TTA_codon</v>
      </c>
    </row>
    <row r="2833" spans="1:15" x14ac:dyDescent="0.15">
      <c r="A2833" t="s">
        <v>21</v>
      </c>
      <c r="B2833" t="s">
        <v>2367</v>
      </c>
    </row>
    <row r="2834" spans="1:15" x14ac:dyDescent="0.15">
      <c r="A2834" t="s">
        <v>21</v>
      </c>
      <c r="B2834">
        <v>1000333</v>
      </c>
      <c r="C2834">
        <v>348066</v>
      </c>
      <c r="F2834" s="7">
        <v>1</v>
      </c>
      <c r="G2834" s="7">
        <v>595</v>
      </c>
      <c r="H2834" s="8">
        <v>595</v>
      </c>
      <c r="J2834" t="s">
        <v>23</v>
      </c>
      <c r="K2834" s="7">
        <v>3846</v>
      </c>
      <c r="L2834" s="9">
        <v>-1</v>
      </c>
      <c r="M2834" t="s">
        <v>59</v>
      </c>
      <c r="N2834" t="s">
        <v>60</v>
      </c>
      <c r="O2834" s="27" t="str">
        <f>HYPERLINK("https://www.ncbi.nlm.nih.gov/nuccore/NC_016582.1?report=graph&amp;from=4986485&amp;to=4986489", "TTA_codon")</f>
        <v>TTA_codon</v>
      </c>
    </row>
    <row r="2835" spans="1:15" x14ac:dyDescent="0.15">
      <c r="A2835" t="s">
        <v>21</v>
      </c>
      <c r="B2835">
        <v>1000333</v>
      </c>
      <c r="C2835">
        <v>348790</v>
      </c>
      <c r="F2835" s="7">
        <v>1</v>
      </c>
      <c r="G2835" s="7">
        <v>595</v>
      </c>
      <c r="H2835" s="8">
        <v>562</v>
      </c>
      <c r="J2835" t="s">
        <v>23</v>
      </c>
      <c r="K2835" s="7">
        <v>3546</v>
      </c>
      <c r="L2835" s="9">
        <v>-1</v>
      </c>
      <c r="M2835" t="s">
        <v>211</v>
      </c>
      <c r="N2835" t="s">
        <v>212</v>
      </c>
      <c r="O2835" s="27" t="str">
        <f>HYPERLINK("https://www.ncbi.nlm.nih.gov/nuccore/NZ_GG657754.1?report=graph&amp;from=3766323&amp;to=3766327", "TTA_codon")</f>
        <v>TTA_codon</v>
      </c>
    </row>
    <row r="2836" spans="1:15" x14ac:dyDescent="0.15">
      <c r="A2836" t="s">
        <v>21</v>
      </c>
      <c r="B2836" t="s">
        <v>2368</v>
      </c>
    </row>
    <row r="2837" spans="1:15" x14ac:dyDescent="0.15">
      <c r="A2837" t="s">
        <v>21</v>
      </c>
      <c r="B2837">
        <v>1001041</v>
      </c>
      <c r="C2837">
        <v>351964</v>
      </c>
      <c r="F2837" s="7">
        <v>1</v>
      </c>
      <c r="G2837" s="7">
        <v>49</v>
      </c>
      <c r="H2837" s="8">
        <v>49</v>
      </c>
      <c r="J2837" t="s">
        <v>23</v>
      </c>
      <c r="K2837" s="7">
        <v>243</v>
      </c>
      <c r="L2837" s="9">
        <v>-1</v>
      </c>
      <c r="M2837" t="s">
        <v>841</v>
      </c>
      <c r="N2837" t="s">
        <v>68</v>
      </c>
      <c r="O2837" s="27" t="str">
        <f>HYPERLINK("https://www.ncbi.nlm.nih.gov/nuccore/NZ_BARG01000010.1?report=graph&amp;from=9573&amp;to=9577", "TTA_codon")</f>
        <v>TTA_codon</v>
      </c>
    </row>
    <row r="2838" spans="1:15" x14ac:dyDescent="0.15">
      <c r="A2838" t="s">
        <v>21</v>
      </c>
      <c r="B2838">
        <v>1001041</v>
      </c>
      <c r="C2838">
        <v>354728</v>
      </c>
      <c r="F2838" s="7">
        <v>1</v>
      </c>
      <c r="G2838" s="7">
        <v>49</v>
      </c>
      <c r="H2838" s="8">
        <v>49</v>
      </c>
      <c r="J2838" t="s">
        <v>23</v>
      </c>
      <c r="K2838" s="7">
        <v>243</v>
      </c>
      <c r="L2838" s="9">
        <v>-1</v>
      </c>
      <c r="M2838" t="s">
        <v>679</v>
      </c>
      <c r="N2838" t="s">
        <v>272</v>
      </c>
      <c r="O2838" s="27" t="str">
        <f>HYPERLINK("https://www.ncbi.nlm.nih.gov/nuccore/NZ_JOEY01000024.1?report=graph&amp;from=112387&amp;to=112391", "TTA_codon")</f>
        <v>TTA_codon</v>
      </c>
    </row>
    <row r="2839" spans="1:15" x14ac:dyDescent="0.15">
      <c r="A2839" t="s">
        <v>21</v>
      </c>
      <c r="B2839" t="s">
        <v>2369</v>
      </c>
    </row>
    <row r="2840" spans="1:15" x14ac:dyDescent="0.15">
      <c r="A2840" t="s">
        <v>21</v>
      </c>
      <c r="B2840">
        <v>1000739</v>
      </c>
      <c r="C2840">
        <v>351281</v>
      </c>
      <c r="F2840" s="7">
        <v>1</v>
      </c>
      <c r="G2840" s="7">
        <v>502</v>
      </c>
      <c r="H2840" s="8">
        <v>502</v>
      </c>
      <c r="J2840" t="s">
        <v>23</v>
      </c>
      <c r="K2840" s="7">
        <v>1233</v>
      </c>
      <c r="L2840" s="9">
        <v>-1</v>
      </c>
      <c r="M2840" t="s">
        <v>65</v>
      </c>
      <c r="N2840" t="s">
        <v>66</v>
      </c>
      <c r="O2840" s="27" t="str">
        <f>HYPERLINK("https://www.ncbi.nlm.nih.gov/nuccore/NC_020504.1?report=graph&amp;from=1177151&amp;to=1177155", "TTA_codon")</f>
        <v>TTA_codon</v>
      </c>
    </row>
    <row r="2841" spans="1:15" x14ac:dyDescent="0.15">
      <c r="A2841" t="s">
        <v>21</v>
      </c>
      <c r="B2841">
        <v>1000739</v>
      </c>
      <c r="C2841">
        <v>351859</v>
      </c>
      <c r="F2841" s="7">
        <v>1</v>
      </c>
      <c r="G2841" s="7">
        <v>667</v>
      </c>
      <c r="H2841" s="8">
        <v>607</v>
      </c>
      <c r="J2841" t="s">
        <v>23</v>
      </c>
      <c r="K2841" s="7">
        <v>1203</v>
      </c>
      <c r="L2841" s="9">
        <v>-1</v>
      </c>
      <c r="M2841" t="s">
        <v>67</v>
      </c>
      <c r="N2841" t="s">
        <v>68</v>
      </c>
      <c r="O2841" s="27" t="str">
        <f>HYPERLINK("https://www.ncbi.nlm.nih.gov/nuccore/NZ_BARG01000038.1?report=graph&amp;from=154037&amp;to=154041", "TTA_codon")</f>
        <v>TTA_codon</v>
      </c>
    </row>
    <row r="2842" spans="1:15" x14ac:dyDescent="0.15">
      <c r="A2842" t="s">
        <v>21</v>
      </c>
      <c r="B2842">
        <v>1000739</v>
      </c>
      <c r="C2842">
        <v>363952</v>
      </c>
      <c r="F2842" s="7">
        <v>1</v>
      </c>
      <c r="G2842" s="7">
        <v>565</v>
      </c>
      <c r="H2842" s="8">
        <v>493</v>
      </c>
      <c r="J2842" t="s">
        <v>23</v>
      </c>
      <c r="K2842" s="7">
        <v>1197</v>
      </c>
      <c r="L2842" s="9">
        <v>-1</v>
      </c>
      <c r="M2842" t="s">
        <v>1487</v>
      </c>
      <c r="N2842" t="s">
        <v>104</v>
      </c>
      <c r="O2842" s="27" t="str">
        <f>HYPERLINK("https://www.ncbi.nlm.nih.gov/nuccore/NZ_MVFC01000013.1?report=graph&amp;from=61630&amp;to=61634", "TTA_codon")</f>
        <v>TTA_codon</v>
      </c>
    </row>
    <row r="2843" spans="1:15" x14ac:dyDescent="0.15">
      <c r="A2843" t="s">
        <v>21</v>
      </c>
      <c r="B2843" t="s">
        <v>2370</v>
      </c>
    </row>
    <row r="2844" spans="1:15" x14ac:dyDescent="0.15">
      <c r="A2844" t="s">
        <v>21</v>
      </c>
      <c r="B2844">
        <v>1001385</v>
      </c>
      <c r="C2844">
        <v>361678</v>
      </c>
      <c r="F2844" s="7">
        <v>1</v>
      </c>
      <c r="G2844" s="7">
        <v>775</v>
      </c>
      <c r="H2844" s="8">
        <v>775</v>
      </c>
      <c r="J2844" t="s">
        <v>23</v>
      </c>
      <c r="K2844" s="7">
        <v>1188</v>
      </c>
      <c r="L2844" s="9">
        <v>1</v>
      </c>
      <c r="M2844" t="s">
        <v>37</v>
      </c>
      <c r="N2844" t="s">
        <v>38</v>
      </c>
      <c r="O2844" s="27" t="str">
        <f>HYPERLINK("https://www.ncbi.nlm.nih.gov/nuccore/NZ_CP011533.1?report=graph&amp;from=257392&amp;to=257396", "TTA_codon")</f>
        <v>TTA_codon</v>
      </c>
    </row>
    <row r="2845" spans="1:15" x14ac:dyDescent="0.15">
      <c r="A2845" t="s">
        <v>21</v>
      </c>
      <c r="B2845">
        <v>1001385</v>
      </c>
      <c r="C2845">
        <v>361681</v>
      </c>
      <c r="F2845" s="7">
        <v>1</v>
      </c>
      <c r="G2845" s="7">
        <v>775</v>
      </c>
      <c r="H2845" s="8">
        <v>775</v>
      </c>
      <c r="J2845" t="s">
        <v>23</v>
      </c>
      <c r="K2845" s="7">
        <v>1188</v>
      </c>
      <c r="L2845" s="9">
        <v>1</v>
      </c>
      <c r="M2845" t="s">
        <v>37</v>
      </c>
      <c r="N2845" t="s">
        <v>38</v>
      </c>
      <c r="O2845" s="27" t="str">
        <f>HYPERLINK("https://www.ncbi.nlm.nih.gov/nuccore/NZ_CP011533.1?report=graph&amp;from=188109&amp;to=188113", "TTA_codon")</f>
        <v>TTA_codon</v>
      </c>
    </row>
    <row r="2846" spans="1:15" x14ac:dyDescent="0.15">
      <c r="A2846" t="s">
        <v>21</v>
      </c>
      <c r="B2846" t="s">
        <v>2371</v>
      </c>
    </row>
    <row r="2847" spans="1:15" x14ac:dyDescent="0.15">
      <c r="A2847" t="s">
        <v>21</v>
      </c>
      <c r="B2847">
        <v>1000185</v>
      </c>
      <c r="C2847">
        <v>347301</v>
      </c>
      <c r="F2847" s="7">
        <v>1</v>
      </c>
      <c r="G2847" s="7">
        <v>139</v>
      </c>
      <c r="H2847" s="8">
        <v>136</v>
      </c>
      <c r="J2847" t="s">
        <v>23</v>
      </c>
      <c r="K2847" s="7">
        <v>1116</v>
      </c>
      <c r="L2847" s="9">
        <v>1</v>
      </c>
      <c r="M2847" t="s">
        <v>53</v>
      </c>
      <c r="N2847" t="s">
        <v>54</v>
      </c>
      <c r="O2847" s="27" t="str">
        <f>HYPERLINK("https://www.ncbi.nlm.nih.gov/nuccore/NC_003155.5?report=graph&amp;from=223694&amp;to=223698", "TTA_codon")</f>
        <v>TTA_codon</v>
      </c>
    </row>
    <row r="2848" spans="1:15" x14ac:dyDescent="0.15">
      <c r="A2848" t="s">
        <v>21</v>
      </c>
      <c r="B2848">
        <v>1000185</v>
      </c>
      <c r="C2848">
        <v>348133</v>
      </c>
      <c r="F2848" s="7">
        <v>1</v>
      </c>
      <c r="G2848" s="7">
        <v>265</v>
      </c>
      <c r="H2848" s="8">
        <v>265</v>
      </c>
      <c r="J2848" t="s">
        <v>23</v>
      </c>
      <c r="K2848" s="7">
        <v>1116</v>
      </c>
      <c r="L2848" s="9">
        <v>1</v>
      </c>
      <c r="M2848" t="s">
        <v>59</v>
      </c>
      <c r="N2848" t="s">
        <v>60</v>
      </c>
      <c r="O2848" s="27" t="str">
        <f>HYPERLINK("https://www.ncbi.nlm.nih.gov/nuccore/NC_016582.1?report=graph&amp;from=6802889&amp;to=6802893", "TTA_codon")</f>
        <v>TTA_codon</v>
      </c>
    </row>
    <row r="2849" spans="1:15" x14ac:dyDescent="0.15">
      <c r="A2849" t="s">
        <v>21</v>
      </c>
      <c r="B2849" t="s">
        <v>2372</v>
      </c>
    </row>
    <row r="2850" spans="1:15" x14ac:dyDescent="0.15">
      <c r="A2850" t="s">
        <v>21</v>
      </c>
      <c r="B2850">
        <v>1000652</v>
      </c>
      <c r="C2850">
        <v>350570</v>
      </c>
      <c r="F2850" s="7">
        <v>1</v>
      </c>
      <c r="G2850" s="7">
        <v>268</v>
      </c>
      <c r="H2850" s="8">
        <v>169</v>
      </c>
      <c r="J2850" t="s">
        <v>23</v>
      </c>
      <c r="K2850" s="7">
        <v>1023</v>
      </c>
      <c r="L2850" s="9">
        <v>-1</v>
      </c>
      <c r="M2850" t="s">
        <v>2373</v>
      </c>
      <c r="N2850" t="s">
        <v>134</v>
      </c>
      <c r="O2850" s="27" t="str">
        <f>HYPERLINK("https://www.ncbi.nlm.nih.gov/nuccore/NZ_AJSZ01000555.1?report=graph&amp;from=12778&amp;to=12782", "TTA_codon")</f>
        <v>TTA_codon</v>
      </c>
    </row>
    <row r="2851" spans="1:15" x14ac:dyDescent="0.15">
      <c r="A2851" t="s">
        <v>21</v>
      </c>
      <c r="B2851">
        <v>1000652</v>
      </c>
      <c r="C2851">
        <v>357452</v>
      </c>
      <c r="F2851" s="7">
        <v>1</v>
      </c>
      <c r="G2851" s="7">
        <v>271</v>
      </c>
      <c r="H2851" s="8">
        <v>271</v>
      </c>
      <c r="J2851" t="s">
        <v>23</v>
      </c>
      <c r="K2851" s="7">
        <v>1080</v>
      </c>
      <c r="L2851" s="9">
        <v>-1</v>
      </c>
      <c r="M2851" t="s">
        <v>80</v>
      </c>
      <c r="N2851" t="s">
        <v>81</v>
      </c>
      <c r="O2851" s="27" t="str">
        <f>HYPERLINK("https://www.ncbi.nlm.nih.gov/nuccore/NZ_LN831790.1?report=graph&amp;from=7225504&amp;to=7225508", "TTA_codon")</f>
        <v>TTA_codon</v>
      </c>
    </row>
    <row r="2852" spans="1:15" x14ac:dyDescent="0.15">
      <c r="A2852" t="s">
        <v>21</v>
      </c>
      <c r="B2852" t="s">
        <v>2374</v>
      </c>
    </row>
    <row r="2853" spans="1:15" x14ac:dyDescent="0.15">
      <c r="A2853" t="s">
        <v>21</v>
      </c>
      <c r="B2853">
        <v>1000623</v>
      </c>
      <c r="C2853">
        <v>350401</v>
      </c>
      <c r="F2853" s="7">
        <v>2</v>
      </c>
      <c r="G2853" s="7" t="s">
        <v>2375</v>
      </c>
      <c r="H2853" s="8" t="s">
        <v>2376</v>
      </c>
      <c r="J2853" t="s">
        <v>23</v>
      </c>
      <c r="K2853" s="7">
        <v>3231</v>
      </c>
      <c r="L2853" s="9">
        <v>1</v>
      </c>
      <c r="M2853" t="s">
        <v>35</v>
      </c>
      <c r="N2853" t="s">
        <v>36</v>
      </c>
      <c r="O2853" s="27" t="str">
        <f>HYPERLINK("https://www.ncbi.nlm.nih.gov/nuccore/NZ_JH725387.1?report=graph&amp;from=2733354&amp;to=2735923", "TTA_codon")</f>
        <v>TTA_codon</v>
      </c>
    </row>
    <row r="2854" spans="1:15" x14ac:dyDescent="0.15">
      <c r="A2854" t="s">
        <v>21</v>
      </c>
      <c r="B2854">
        <v>1000623</v>
      </c>
      <c r="C2854">
        <v>352963</v>
      </c>
      <c r="F2854" s="7">
        <v>1</v>
      </c>
      <c r="G2854" s="7">
        <v>115</v>
      </c>
      <c r="H2854" s="8">
        <v>100</v>
      </c>
      <c r="J2854" t="s">
        <v>23</v>
      </c>
      <c r="K2854" s="7">
        <v>2592</v>
      </c>
      <c r="L2854" s="9">
        <v>1</v>
      </c>
      <c r="M2854" t="s">
        <v>2377</v>
      </c>
      <c r="N2854" t="s">
        <v>306</v>
      </c>
      <c r="O2854" s="27" t="str">
        <f>HYPERLINK("https://www.ncbi.nlm.nih.gov/nuccore/NZ_KL571170.1?report=graph&amp;from=4946&amp;to=4950", "TTA_codon")</f>
        <v>TTA_codon</v>
      </c>
    </row>
    <row r="2855" spans="1:15" x14ac:dyDescent="0.15">
      <c r="A2855" t="s">
        <v>21</v>
      </c>
      <c r="B2855">
        <v>1000623</v>
      </c>
      <c r="C2855">
        <v>353842</v>
      </c>
      <c r="F2855" s="7">
        <v>1</v>
      </c>
      <c r="G2855" s="7">
        <v>115</v>
      </c>
      <c r="H2855" s="8">
        <v>109</v>
      </c>
      <c r="J2855" t="s">
        <v>23</v>
      </c>
      <c r="K2855" s="7">
        <v>2598</v>
      </c>
      <c r="L2855" s="9">
        <v>1</v>
      </c>
      <c r="M2855" t="s">
        <v>2378</v>
      </c>
      <c r="N2855" t="s">
        <v>246</v>
      </c>
      <c r="O2855" s="27" t="str">
        <f>HYPERLINK("https://www.ncbi.nlm.nih.gov/nuccore/NZ_JNYR01000046.1?report=graph&amp;from=37973&amp;to=37977", "TTA_codon")</f>
        <v>TTA_codon</v>
      </c>
    </row>
    <row r="2856" spans="1:15" x14ac:dyDescent="0.15">
      <c r="A2856" t="s">
        <v>21</v>
      </c>
      <c r="B2856">
        <v>1000623</v>
      </c>
      <c r="C2856">
        <v>362321</v>
      </c>
      <c r="F2856" s="7">
        <v>1</v>
      </c>
      <c r="G2856" s="7">
        <v>211</v>
      </c>
      <c r="H2856" s="8">
        <v>205</v>
      </c>
      <c r="J2856" t="s">
        <v>23</v>
      </c>
      <c r="K2856" s="7">
        <v>3225</v>
      </c>
      <c r="L2856" s="9">
        <v>1</v>
      </c>
      <c r="M2856" t="s">
        <v>39</v>
      </c>
      <c r="N2856" t="s">
        <v>40</v>
      </c>
      <c r="O2856" s="27" t="str">
        <f>HYPERLINK("https://www.ncbi.nlm.nih.gov/nuccore/NZ_CP017157.1?report=graph&amp;from=7656893&amp;to=7656897", "TTA_codon")</f>
        <v>TTA_codon</v>
      </c>
    </row>
    <row r="2857" spans="1:15" x14ac:dyDescent="0.15">
      <c r="A2857" t="s">
        <v>21</v>
      </c>
      <c r="B2857">
        <v>1000623</v>
      </c>
      <c r="C2857">
        <v>362971</v>
      </c>
      <c r="F2857" s="7">
        <v>1</v>
      </c>
      <c r="G2857" s="7">
        <v>211</v>
      </c>
      <c r="H2857" s="8">
        <v>202</v>
      </c>
      <c r="J2857" t="s">
        <v>23</v>
      </c>
      <c r="K2857" s="7">
        <v>3330</v>
      </c>
      <c r="L2857" s="9">
        <v>1</v>
      </c>
      <c r="M2857" t="s">
        <v>2379</v>
      </c>
      <c r="N2857" t="s">
        <v>156</v>
      </c>
      <c r="O2857" s="27" t="str">
        <f>HYPERLINK("https://www.ncbi.nlm.nih.gov/nuccore/NZ_LJGW01000350.1?report=graph&amp;from=1049&amp;to=1053", "TTA_codon")</f>
        <v>TTA_codon</v>
      </c>
    </row>
    <row r="2858" spans="1:15" x14ac:dyDescent="0.15">
      <c r="A2858" t="s">
        <v>21</v>
      </c>
      <c r="B2858">
        <v>1000623</v>
      </c>
      <c r="C2858">
        <v>364211</v>
      </c>
      <c r="F2858" s="7">
        <v>1</v>
      </c>
      <c r="G2858" s="7">
        <v>70</v>
      </c>
      <c r="H2858" s="8">
        <v>70</v>
      </c>
      <c r="J2858" t="s">
        <v>23</v>
      </c>
      <c r="K2858" s="7">
        <v>3207</v>
      </c>
      <c r="L2858" s="9">
        <v>1</v>
      </c>
      <c r="M2858" t="s">
        <v>254</v>
      </c>
      <c r="N2858" t="s">
        <v>255</v>
      </c>
      <c r="O2858" s="27" t="str">
        <f>HYPERLINK("https://www.ncbi.nlm.nih.gov/nuccore/NZ_CP018047.1?report=graph&amp;from=427029&amp;to=427033", "TTA_codon")</f>
        <v>TTA_codon</v>
      </c>
    </row>
    <row r="2859" spans="1:15" x14ac:dyDescent="0.15">
      <c r="A2859" t="s">
        <v>21</v>
      </c>
      <c r="B2859" t="s">
        <v>2380</v>
      </c>
    </row>
    <row r="2860" spans="1:15" x14ac:dyDescent="0.15">
      <c r="A2860" t="s">
        <v>21</v>
      </c>
      <c r="B2860">
        <v>1001416</v>
      </c>
      <c r="C2860">
        <v>350252</v>
      </c>
      <c r="F2860" s="7">
        <v>2</v>
      </c>
      <c r="G2860" s="7" t="s">
        <v>2381</v>
      </c>
      <c r="H2860" s="8" t="s">
        <v>2381</v>
      </c>
      <c r="J2860" t="s">
        <v>23</v>
      </c>
      <c r="K2860" s="7">
        <v>1305</v>
      </c>
      <c r="L2860" s="9">
        <v>1</v>
      </c>
      <c r="M2860" t="s">
        <v>35</v>
      </c>
      <c r="N2860" t="s">
        <v>36</v>
      </c>
      <c r="O2860" s="27" t="str">
        <f>HYPERLINK("https://www.ncbi.nlm.nih.gov/nuccore/NZ_JH725387.1?report=graph&amp;from=233583&amp;to=233608", "TTA_codon")</f>
        <v>TTA_codon</v>
      </c>
    </row>
    <row r="2861" spans="1:15" x14ac:dyDescent="0.15">
      <c r="A2861" t="s">
        <v>21</v>
      </c>
      <c r="B2861">
        <v>1001416</v>
      </c>
      <c r="C2861">
        <v>362427</v>
      </c>
      <c r="F2861" s="7">
        <v>1</v>
      </c>
      <c r="G2861" s="7">
        <v>40</v>
      </c>
      <c r="H2861" s="8">
        <v>40</v>
      </c>
      <c r="J2861" t="s">
        <v>23</v>
      </c>
      <c r="K2861" s="7">
        <v>1293</v>
      </c>
      <c r="L2861" s="9">
        <v>1</v>
      </c>
      <c r="M2861" t="s">
        <v>32</v>
      </c>
      <c r="N2861" t="s">
        <v>33</v>
      </c>
      <c r="O2861" s="27" t="str">
        <f>HYPERLINK("https://www.ncbi.nlm.nih.gov/nuccore/NZ_CP017248.1?report=graph&amp;from=6740987&amp;to=6740991", "TTA_codon")</f>
        <v>TTA_codon</v>
      </c>
    </row>
    <row r="2862" spans="1:15" x14ac:dyDescent="0.15">
      <c r="A2862" t="s">
        <v>21</v>
      </c>
      <c r="B2862" t="s">
        <v>2382</v>
      </c>
    </row>
    <row r="2863" spans="1:15" x14ac:dyDescent="0.15">
      <c r="A2863" t="s">
        <v>21</v>
      </c>
      <c r="B2863">
        <v>1000598</v>
      </c>
      <c r="C2863">
        <v>350262</v>
      </c>
      <c r="F2863" s="7">
        <v>1</v>
      </c>
      <c r="G2863" s="7">
        <v>259</v>
      </c>
      <c r="H2863" s="8">
        <v>187</v>
      </c>
      <c r="J2863" t="s">
        <v>23</v>
      </c>
      <c r="K2863" s="7">
        <v>1053</v>
      </c>
      <c r="L2863" s="9">
        <v>1</v>
      </c>
      <c r="M2863" t="s">
        <v>35</v>
      </c>
      <c r="N2863" t="s">
        <v>36</v>
      </c>
      <c r="O2863" s="27" t="str">
        <f>HYPERLINK("https://www.ncbi.nlm.nih.gov/nuccore/NZ_JH725387.1?report=graph&amp;from=5063089&amp;to=5063093", "TTA_codon")</f>
        <v>TTA_codon</v>
      </c>
    </row>
    <row r="2864" spans="1:15" x14ac:dyDescent="0.15">
      <c r="A2864" t="s">
        <v>21</v>
      </c>
      <c r="B2864">
        <v>1000598</v>
      </c>
      <c r="C2864">
        <v>354310</v>
      </c>
      <c r="F2864" s="7">
        <v>1</v>
      </c>
      <c r="G2864" s="7">
        <v>223</v>
      </c>
      <c r="H2864" s="8">
        <v>223</v>
      </c>
      <c r="J2864" t="s">
        <v>23</v>
      </c>
      <c r="K2864" s="7">
        <v>1119</v>
      </c>
      <c r="L2864" s="9">
        <v>1</v>
      </c>
      <c r="M2864" t="s">
        <v>1587</v>
      </c>
      <c r="N2864" t="s">
        <v>142</v>
      </c>
      <c r="O2864" s="27" t="str">
        <f>HYPERLINK("https://www.ncbi.nlm.nih.gov/nuccore/NZ_JOEI01000013.1?report=graph&amp;from=207739&amp;to=207743", "TTA_codon")</f>
        <v>TTA_codon</v>
      </c>
    </row>
    <row r="2865" spans="1:15" x14ac:dyDescent="0.15">
      <c r="A2865" t="s">
        <v>21</v>
      </c>
      <c r="B2865">
        <v>1000598</v>
      </c>
      <c r="C2865">
        <v>362213</v>
      </c>
      <c r="F2865" s="7">
        <v>1</v>
      </c>
      <c r="G2865" s="7">
        <v>259</v>
      </c>
      <c r="H2865" s="8">
        <v>175</v>
      </c>
      <c r="J2865" t="s">
        <v>23</v>
      </c>
      <c r="K2865" s="7">
        <v>1041</v>
      </c>
      <c r="L2865" s="9">
        <v>1</v>
      </c>
      <c r="M2865" t="s">
        <v>39</v>
      </c>
      <c r="N2865" t="s">
        <v>40</v>
      </c>
      <c r="O2865" s="27" t="str">
        <f>HYPERLINK("https://www.ncbi.nlm.nih.gov/nuccore/NZ_CP017157.1?report=graph&amp;from=1870299&amp;to=1870303", "TTA_codon")</f>
        <v>TTA_codon</v>
      </c>
    </row>
    <row r="2866" spans="1:15" x14ac:dyDescent="0.15">
      <c r="A2866" t="s">
        <v>21</v>
      </c>
      <c r="B2866" t="s">
        <v>2383</v>
      </c>
    </row>
    <row r="2867" spans="1:15" x14ac:dyDescent="0.15">
      <c r="A2867" t="s">
        <v>21</v>
      </c>
      <c r="B2867">
        <v>1001515</v>
      </c>
      <c r="C2867">
        <v>366357</v>
      </c>
      <c r="F2867" s="7">
        <v>1</v>
      </c>
      <c r="G2867" s="7">
        <v>1510</v>
      </c>
      <c r="H2867" s="8">
        <v>430</v>
      </c>
      <c r="J2867" t="s">
        <v>23</v>
      </c>
      <c r="K2867" s="7">
        <v>1296</v>
      </c>
      <c r="L2867" s="9">
        <v>1</v>
      </c>
      <c r="M2867" t="s">
        <v>706</v>
      </c>
      <c r="N2867" t="s">
        <v>375</v>
      </c>
      <c r="O2867" s="27" t="str">
        <f>HYPERLINK("https://www.ncbi.nlm.nih.gov/nuccore/NZ_FONG01000003.1?report=graph&amp;from=226708&amp;to=226712", "TTA_codon")</f>
        <v>TTA_codon</v>
      </c>
    </row>
    <row r="2868" spans="1:15" x14ac:dyDescent="0.15">
      <c r="A2868" t="s">
        <v>21</v>
      </c>
      <c r="B2868">
        <v>1001515</v>
      </c>
      <c r="C2868">
        <v>366773</v>
      </c>
      <c r="F2868" s="7">
        <v>1</v>
      </c>
      <c r="G2868" s="7">
        <v>1471</v>
      </c>
      <c r="H2868" s="8">
        <v>1306</v>
      </c>
      <c r="J2868" t="s">
        <v>23</v>
      </c>
      <c r="K2868" s="7">
        <v>2586</v>
      </c>
      <c r="L2868" s="9">
        <v>1</v>
      </c>
      <c r="M2868" t="s">
        <v>1504</v>
      </c>
      <c r="N2868" t="s">
        <v>209</v>
      </c>
      <c r="O2868" s="27" t="str">
        <f>HYPERLINK("https://www.ncbi.nlm.nih.gov/nuccore/NZ_FZOF01000006.1?report=graph&amp;from=230088&amp;to=230092", "TTA_codon")</f>
        <v>TTA_codon</v>
      </c>
    </row>
    <row r="2869" spans="1:15" x14ac:dyDescent="0.15">
      <c r="A2869" t="s">
        <v>21</v>
      </c>
      <c r="B2869">
        <v>1001515</v>
      </c>
      <c r="C2869">
        <v>366774</v>
      </c>
      <c r="F2869" s="7">
        <v>1</v>
      </c>
      <c r="G2869" s="7">
        <v>1390</v>
      </c>
      <c r="H2869" s="8">
        <v>1216</v>
      </c>
      <c r="J2869" t="s">
        <v>23</v>
      </c>
      <c r="K2869" s="7">
        <v>2463</v>
      </c>
      <c r="L2869" s="9">
        <v>1</v>
      </c>
      <c r="M2869" t="s">
        <v>2384</v>
      </c>
      <c r="N2869" t="s">
        <v>209</v>
      </c>
      <c r="O2869" s="27" t="str">
        <f>HYPERLINK("https://www.ncbi.nlm.nih.gov/nuccore/NZ_FZOF01000023.1?report=graph&amp;from=148155&amp;to=148159", "TTA_codon")</f>
        <v>TTA_codon</v>
      </c>
    </row>
    <row r="2870" spans="1:15" x14ac:dyDescent="0.15">
      <c r="A2870" t="s">
        <v>21</v>
      </c>
      <c r="B2870" t="s">
        <v>2385</v>
      </c>
    </row>
    <row r="2871" spans="1:15" x14ac:dyDescent="0.15">
      <c r="A2871" t="s">
        <v>21</v>
      </c>
      <c r="B2871">
        <v>1000195</v>
      </c>
      <c r="C2871">
        <v>347332</v>
      </c>
      <c r="F2871" s="7">
        <v>1</v>
      </c>
      <c r="G2871" s="7">
        <v>316</v>
      </c>
      <c r="H2871" s="8">
        <v>313</v>
      </c>
      <c r="J2871" t="s">
        <v>23</v>
      </c>
      <c r="K2871" s="7">
        <v>756</v>
      </c>
      <c r="L2871" s="9">
        <v>1</v>
      </c>
      <c r="M2871" t="s">
        <v>217</v>
      </c>
      <c r="N2871" t="s">
        <v>218</v>
      </c>
      <c r="O2871" s="27" t="str">
        <f>HYPERLINK("https://www.ncbi.nlm.nih.gov/nuccore/NC_021985.1?report=graph&amp;from=8224960&amp;to=8224964", "TTA_codon")</f>
        <v>TTA_codon</v>
      </c>
    </row>
    <row r="2872" spans="1:15" x14ac:dyDescent="0.15">
      <c r="A2872" t="s">
        <v>21</v>
      </c>
      <c r="B2872">
        <v>1000195</v>
      </c>
      <c r="C2872">
        <v>347736</v>
      </c>
      <c r="F2872" s="7">
        <v>1</v>
      </c>
      <c r="G2872" s="7">
        <v>271</v>
      </c>
      <c r="H2872" s="8">
        <v>268</v>
      </c>
      <c r="J2872" t="s">
        <v>23</v>
      </c>
      <c r="K2872" s="7">
        <v>753</v>
      </c>
      <c r="L2872" s="9">
        <v>1</v>
      </c>
      <c r="M2872" t="s">
        <v>57</v>
      </c>
      <c r="N2872" t="s">
        <v>58</v>
      </c>
      <c r="O2872" s="27" t="str">
        <f>HYPERLINK("https://www.ncbi.nlm.nih.gov/nuccore/NC_013929.1?report=graph&amp;from=1219828&amp;to=1219832", "TTA_codon")</f>
        <v>TTA_codon</v>
      </c>
    </row>
    <row r="2873" spans="1:15" x14ac:dyDescent="0.15">
      <c r="A2873" t="s">
        <v>21</v>
      </c>
      <c r="B2873">
        <v>1000195</v>
      </c>
      <c r="C2873">
        <v>353694</v>
      </c>
      <c r="F2873" s="7">
        <v>1</v>
      </c>
      <c r="G2873" s="7">
        <v>160</v>
      </c>
      <c r="H2873" s="8">
        <v>157</v>
      </c>
      <c r="J2873" t="s">
        <v>23</v>
      </c>
      <c r="K2873" s="7">
        <v>753</v>
      </c>
      <c r="L2873" s="9">
        <v>1</v>
      </c>
      <c r="M2873" t="s">
        <v>2386</v>
      </c>
      <c r="N2873" t="s">
        <v>246</v>
      </c>
      <c r="O2873" s="27" t="str">
        <f>HYPERLINK("https://www.ncbi.nlm.nih.gov/nuccore/NZ_JNYR01000083.1?report=graph&amp;from=203&amp;to=207", "TTA_codon")</f>
        <v>TTA_codon</v>
      </c>
    </row>
    <row r="2874" spans="1:15" x14ac:dyDescent="0.15">
      <c r="A2874" t="s">
        <v>21</v>
      </c>
      <c r="B2874">
        <v>1000195</v>
      </c>
      <c r="C2874">
        <v>355993</v>
      </c>
      <c r="F2874" s="7">
        <v>1</v>
      </c>
      <c r="G2874" s="7">
        <v>91</v>
      </c>
      <c r="H2874" s="8">
        <v>91</v>
      </c>
      <c r="J2874" t="s">
        <v>23</v>
      </c>
      <c r="K2874" s="7">
        <v>756</v>
      </c>
      <c r="L2874" s="9">
        <v>1</v>
      </c>
      <c r="M2874" t="s">
        <v>204</v>
      </c>
      <c r="N2874" t="s">
        <v>146</v>
      </c>
      <c r="O2874" s="27" t="str">
        <f>HYPERLINK("https://www.ncbi.nlm.nih.gov/nuccore/NZ_JOFH01000037.1?report=graph&amp;from=733&amp;to=737", "TTA_codon")</f>
        <v>TTA_codon</v>
      </c>
    </row>
    <row r="2875" spans="1:15" x14ac:dyDescent="0.15">
      <c r="A2875" t="s">
        <v>21</v>
      </c>
      <c r="B2875">
        <v>1000195</v>
      </c>
      <c r="C2875">
        <v>358764</v>
      </c>
      <c r="F2875" s="7">
        <v>2</v>
      </c>
      <c r="G2875" s="7" t="s">
        <v>2387</v>
      </c>
      <c r="H2875" s="8" t="s">
        <v>2388</v>
      </c>
      <c r="J2875" t="s">
        <v>23</v>
      </c>
      <c r="K2875" s="7">
        <v>837</v>
      </c>
      <c r="L2875" s="9">
        <v>1</v>
      </c>
      <c r="M2875" t="s">
        <v>1683</v>
      </c>
      <c r="N2875" t="s">
        <v>87</v>
      </c>
      <c r="O2875" s="27" t="str">
        <f>HYPERLINK("https://www.ncbi.nlm.nih.gov/nuccore/NZ_LIQS01000070.1?report=graph&amp;from=12378&amp;to=12982", "TTA_codon")</f>
        <v>TTA_codon</v>
      </c>
    </row>
    <row r="2876" spans="1:15" x14ac:dyDescent="0.15">
      <c r="A2876" t="s">
        <v>195</v>
      </c>
      <c r="B2876" t="s">
        <v>2389</v>
      </c>
    </row>
    <row r="2877" spans="1:15" x14ac:dyDescent="0.15">
      <c r="A2877" t="s">
        <v>195</v>
      </c>
      <c r="B2877">
        <v>1001320</v>
      </c>
      <c r="C2877">
        <v>345996</v>
      </c>
      <c r="F2877" s="7">
        <v>1</v>
      </c>
      <c r="G2877" s="7">
        <v>43</v>
      </c>
      <c r="H2877" s="8">
        <v>43</v>
      </c>
      <c r="J2877" t="s">
        <v>23</v>
      </c>
      <c r="K2877" s="7">
        <v>1260</v>
      </c>
      <c r="L2877" s="9">
        <v>1</v>
      </c>
      <c r="M2877" t="s">
        <v>53</v>
      </c>
      <c r="N2877" t="s">
        <v>54</v>
      </c>
      <c r="O2877" s="27" t="str">
        <f>HYPERLINK("https://www.ncbi.nlm.nih.gov/nuccore/NC_003155.5?report=graph&amp;from=376923&amp;to=376927", "TTA_codon")</f>
        <v>TTA_codon</v>
      </c>
    </row>
    <row r="2878" spans="1:15" x14ac:dyDescent="0.15">
      <c r="A2878" t="s">
        <v>195</v>
      </c>
      <c r="B2878">
        <v>1001320</v>
      </c>
      <c r="C2878">
        <v>346005</v>
      </c>
      <c r="F2878" s="7">
        <v>1</v>
      </c>
      <c r="G2878" s="7">
        <v>43</v>
      </c>
      <c r="H2878" s="8">
        <v>43</v>
      </c>
      <c r="J2878" t="s">
        <v>23</v>
      </c>
      <c r="K2878" s="7">
        <v>1260</v>
      </c>
      <c r="L2878" s="9">
        <v>1</v>
      </c>
      <c r="M2878" t="s">
        <v>53</v>
      </c>
      <c r="N2878" t="s">
        <v>54</v>
      </c>
      <c r="O2878" s="27" t="str">
        <f>HYPERLINK("https://www.ncbi.nlm.nih.gov/nuccore/NC_003155.5?report=graph&amp;from=1240350&amp;to=1240354", "TTA_codon")</f>
        <v>TTA_codon</v>
      </c>
    </row>
    <row r="2879" spans="1:15" x14ac:dyDescent="0.15">
      <c r="A2879" t="s">
        <v>21</v>
      </c>
      <c r="B2879">
        <v>1001320</v>
      </c>
      <c r="C2879">
        <v>347251</v>
      </c>
      <c r="F2879" s="7">
        <v>2</v>
      </c>
      <c r="G2879" s="7" t="s">
        <v>2390</v>
      </c>
      <c r="H2879" s="8" t="s">
        <v>2391</v>
      </c>
      <c r="J2879" t="s">
        <v>23</v>
      </c>
      <c r="K2879" s="7">
        <v>1266</v>
      </c>
      <c r="L2879" s="9">
        <v>1</v>
      </c>
      <c r="M2879" t="s">
        <v>53</v>
      </c>
      <c r="N2879" t="s">
        <v>54</v>
      </c>
      <c r="O2879" s="27" t="str">
        <f>HYPERLINK("https://www.ncbi.nlm.nih.gov/nuccore/NC_003155.5?report=graph&amp;from=4605844&amp;to=4606655", "TTA_codon")</f>
        <v>TTA_codon</v>
      </c>
    </row>
    <row r="2880" spans="1:15" x14ac:dyDescent="0.15">
      <c r="A2880" t="s">
        <v>21</v>
      </c>
      <c r="B2880">
        <v>1001320</v>
      </c>
      <c r="C2880">
        <v>347258</v>
      </c>
      <c r="F2880" s="7">
        <v>1</v>
      </c>
      <c r="G2880" s="7">
        <v>43</v>
      </c>
      <c r="H2880" s="8">
        <v>43</v>
      </c>
      <c r="J2880" t="s">
        <v>23</v>
      </c>
      <c r="K2880" s="7">
        <v>1260</v>
      </c>
      <c r="L2880" s="9">
        <v>1</v>
      </c>
      <c r="M2880" t="s">
        <v>53</v>
      </c>
      <c r="N2880" t="s">
        <v>54</v>
      </c>
      <c r="O2880" s="27" t="str">
        <f>HYPERLINK("https://www.ncbi.nlm.nih.gov/nuccore/NC_003155.5?report=graph&amp;from=337951&amp;to=337955", "TTA_codon")</f>
        <v>TTA_codon</v>
      </c>
    </row>
    <row r="2881" spans="1:15" x14ac:dyDescent="0.15">
      <c r="A2881" t="s">
        <v>21</v>
      </c>
      <c r="B2881">
        <v>1001320</v>
      </c>
      <c r="C2881">
        <v>356846</v>
      </c>
      <c r="F2881" s="7">
        <v>1</v>
      </c>
      <c r="G2881" s="7">
        <v>733</v>
      </c>
      <c r="H2881" s="8">
        <v>718</v>
      </c>
      <c r="J2881" t="s">
        <v>23</v>
      </c>
      <c r="K2881" s="7">
        <v>1236</v>
      </c>
      <c r="L2881" s="9">
        <v>1</v>
      </c>
      <c r="M2881" t="s">
        <v>78</v>
      </c>
      <c r="N2881" t="s">
        <v>79</v>
      </c>
      <c r="O2881" s="27" t="str">
        <f>HYPERLINK("https://www.ncbi.nlm.nih.gov/nuccore/NZ_CP009313.1?report=graph&amp;from=5960909&amp;to=5960913", "TTA_codon")</f>
        <v>TTA_codon</v>
      </c>
    </row>
    <row r="2882" spans="1:15" x14ac:dyDescent="0.15">
      <c r="A2882" t="s">
        <v>21</v>
      </c>
      <c r="B2882">
        <v>1001320</v>
      </c>
      <c r="C2882">
        <v>359815</v>
      </c>
      <c r="F2882" s="7">
        <v>1</v>
      </c>
      <c r="G2882" s="7">
        <v>901</v>
      </c>
      <c r="H2882" s="8">
        <v>850</v>
      </c>
      <c r="J2882" t="s">
        <v>23</v>
      </c>
      <c r="K2882" s="7">
        <v>1266</v>
      </c>
      <c r="L2882" s="9">
        <v>1</v>
      </c>
      <c r="M2882" t="s">
        <v>1424</v>
      </c>
      <c r="N2882" t="s">
        <v>91</v>
      </c>
      <c r="O2882" s="27" t="str">
        <f>HYPERLINK("https://www.ncbi.nlm.nih.gov/nuccore/NZ_KQ948327.1?report=graph&amp;from=111135&amp;to=111139", "TTA_codon")</f>
        <v>TTA_codon</v>
      </c>
    </row>
    <row r="2883" spans="1:15" x14ac:dyDescent="0.15">
      <c r="A2883" t="s">
        <v>21</v>
      </c>
      <c r="B2883">
        <v>1001320</v>
      </c>
      <c r="C2883">
        <v>360048</v>
      </c>
      <c r="F2883" s="7">
        <v>2</v>
      </c>
      <c r="G2883" s="7" t="s">
        <v>2392</v>
      </c>
      <c r="H2883" s="8" t="s">
        <v>2393</v>
      </c>
      <c r="J2883" t="s">
        <v>23</v>
      </c>
      <c r="K2883" s="7">
        <v>1215</v>
      </c>
      <c r="L2883" s="9">
        <v>1</v>
      </c>
      <c r="M2883" t="s">
        <v>617</v>
      </c>
      <c r="N2883" t="s">
        <v>125</v>
      </c>
      <c r="O2883" s="27" t="str">
        <f>HYPERLINK("https://www.ncbi.nlm.nih.gov/nuccore/NZ_KQ948452.1?report=graph&amp;from=348661&amp;to=349400", "TTA_codon")</f>
        <v>TTA_codon</v>
      </c>
    </row>
    <row r="2884" spans="1:15" x14ac:dyDescent="0.15">
      <c r="A2884" t="s">
        <v>21</v>
      </c>
      <c r="B2884">
        <v>1001320</v>
      </c>
      <c r="C2884">
        <v>360355</v>
      </c>
      <c r="F2884" s="7">
        <v>2</v>
      </c>
      <c r="G2884" s="7" t="s">
        <v>2390</v>
      </c>
      <c r="H2884" s="8" t="s">
        <v>2394</v>
      </c>
      <c r="J2884" t="s">
        <v>23</v>
      </c>
      <c r="K2884" s="7">
        <v>1209</v>
      </c>
      <c r="L2884" s="9">
        <v>1</v>
      </c>
      <c r="M2884" t="s">
        <v>121</v>
      </c>
      <c r="N2884" t="s">
        <v>122</v>
      </c>
      <c r="O2884" s="27" t="str">
        <f>HYPERLINK("https://www.ncbi.nlm.nih.gov/nuccore/NZ_CP016279.1?report=graph&amp;from=5125812&amp;to=5126623", "TTA_codon")</f>
        <v>TTA_codon</v>
      </c>
    </row>
    <row r="2885" spans="1:15" x14ac:dyDescent="0.15">
      <c r="A2885" t="s">
        <v>21</v>
      </c>
      <c r="B2885">
        <v>1001320</v>
      </c>
      <c r="C2885">
        <v>361926</v>
      </c>
      <c r="F2885" s="7">
        <v>1</v>
      </c>
      <c r="G2885" s="7">
        <v>37</v>
      </c>
      <c r="H2885" s="8">
        <v>37</v>
      </c>
      <c r="J2885" t="s">
        <v>23</v>
      </c>
      <c r="K2885" s="7">
        <v>1212</v>
      </c>
      <c r="L2885" s="9">
        <v>1</v>
      </c>
      <c r="M2885" t="s">
        <v>2395</v>
      </c>
      <c r="N2885" t="s">
        <v>187</v>
      </c>
      <c r="O2885" s="27" t="str">
        <f>HYPERLINK("https://www.ncbi.nlm.nih.gov/nuccore/NZ_MAXF01000230.1?report=graph&amp;from=1757&amp;to=1761", "TTA_codon")</f>
        <v>TTA_codon</v>
      </c>
    </row>
    <row r="2886" spans="1:15" x14ac:dyDescent="0.15">
      <c r="A2886" t="s">
        <v>21</v>
      </c>
      <c r="B2886">
        <v>1001320</v>
      </c>
      <c r="C2886">
        <v>364547</v>
      </c>
      <c r="F2886" s="7">
        <v>1</v>
      </c>
      <c r="G2886" s="7">
        <v>37</v>
      </c>
      <c r="H2886" s="8">
        <v>37</v>
      </c>
      <c r="J2886" t="s">
        <v>23</v>
      </c>
      <c r="K2886" s="7">
        <v>1221</v>
      </c>
      <c r="L2886" s="9">
        <v>1</v>
      </c>
      <c r="M2886" t="s">
        <v>2396</v>
      </c>
      <c r="N2886" t="s">
        <v>108</v>
      </c>
      <c r="O2886" s="27" t="str">
        <f>HYPERLINK("https://www.ncbi.nlm.nih.gov/nuccore/NZ_MUMD01000536.1?report=graph&amp;from=93&amp;to=97", "TTA_codon")</f>
        <v>TTA_codon</v>
      </c>
    </row>
    <row r="2887" spans="1:15" x14ac:dyDescent="0.15">
      <c r="A2887" t="s">
        <v>21</v>
      </c>
      <c r="B2887">
        <v>1001320</v>
      </c>
      <c r="C2887">
        <v>365567</v>
      </c>
      <c r="F2887" s="7">
        <v>2</v>
      </c>
      <c r="G2887" s="7" t="s">
        <v>2390</v>
      </c>
      <c r="H2887" s="8" t="s">
        <v>2391</v>
      </c>
      <c r="J2887" t="s">
        <v>23</v>
      </c>
      <c r="K2887" s="7">
        <v>1266</v>
      </c>
      <c r="L2887" s="9">
        <v>1</v>
      </c>
      <c r="M2887" t="s">
        <v>213</v>
      </c>
      <c r="N2887" t="s">
        <v>214</v>
      </c>
      <c r="O2887" s="27" t="str">
        <f>HYPERLINK("https://www.ncbi.nlm.nih.gov/nuccore/NZ_FNST01000002.1?report=graph&amp;from=10156458&amp;to=10157269", "TTA_codon")</f>
        <v>TTA_codon</v>
      </c>
    </row>
    <row r="2888" spans="1:15" x14ac:dyDescent="0.15">
      <c r="A2888" t="s">
        <v>21</v>
      </c>
      <c r="B2888" t="s">
        <v>2397</v>
      </c>
    </row>
    <row r="2889" spans="1:15" x14ac:dyDescent="0.15">
      <c r="A2889" t="s">
        <v>21</v>
      </c>
      <c r="B2889">
        <v>1001035</v>
      </c>
      <c r="C2889">
        <v>354643</v>
      </c>
      <c r="F2889" s="7">
        <v>1</v>
      </c>
      <c r="G2889" s="7">
        <v>43</v>
      </c>
      <c r="H2889" s="8">
        <v>43</v>
      </c>
      <c r="J2889" t="s">
        <v>23</v>
      </c>
      <c r="K2889" s="7">
        <v>2322</v>
      </c>
      <c r="L2889" s="9">
        <v>-1</v>
      </c>
      <c r="M2889" t="s">
        <v>2398</v>
      </c>
      <c r="N2889" t="s">
        <v>272</v>
      </c>
      <c r="O2889" s="27" t="str">
        <f>HYPERLINK("https://www.ncbi.nlm.nih.gov/nuccore/NZ_JOEY01000046.1?report=graph&amp;from=98009&amp;to=98013", "TTA_codon")</f>
        <v>TTA_codon</v>
      </c>
    </row>
    <row r="2890" spans="1:15" x14ac:dyDescent="0.15">
      <c r="A2890" t="s">
        <v>21</v>
      </c>
      <c r="B2890">
        <v>1001035</v>
      </c>
      <c r="C2890">
        <v>359984</v>
      </c>
      <c r="F2890" s="7">
        <v>1</v>
      </c>
      <c r="G2890" s="7">
        <v>43</v>
      </c>
      <c r="H2890" s="8">
        <v>43</v>
      </c>
      <c r="J2890" t="s">
        <v>23</v>
      </c>
      <c r="K2890" s="7">
        <v>2289</v>
      </c>
      <c r="L2890" s="9">
        <v>-1</v>
      </c>
      <c r="M2890" t="s">
        <v>1665</v>
      </c>
      <c r="N2890" t="s">
        <v>91</v>
      </c>
      <c r="O2890" s="27" t="str">
        <f>HYPERLINK("https://www.ncbi.nlm.nih.gov/nuccore/NZ_KQ948304.1?report=graph&amp;from=680213&amp;to=680217", "TTA_codon")</f>
        <v>TTA_codon</v>
      </c>
    </row>
    <row r="2891" spans="1:15" x14ac:dyDescent="0.15">
      <c r="A2891" t="s">
        <v>21</v>
      </c>
      <c r="B2891" t="s">
        <v>2399</v>
      </c>
    </row>
    <row r="2892" spans="1:15" x14ac:dyDescent="0.15">
      <c r="A2892" t="s">
        <v>21</v>
      </c>
      <c r="B2892">
        <v>1000615</v>
      </c>
      <c r="C2892">
        <v>350326</v>
      </c>
      <c r="F2892" s="7">
        <v>1</v>
      </c>
      <c r="G2892" s="7">
        <v>445</v>
      </c>
      <c r="H2892" s="8">
        <v>415</v>
      </c>
      <c r="J2892" t="s">
        <v>23</v>
      </c>
      <c r="K2892" s="7">
        <v>2670</v>
      </c>
      <c r="L2892" s="9">
        <v>-1</v>
      </c>
      <c r="M2892" t="s">
        <v>35</v>
      </c>
      <c r="N2892" t="s">
        <v>36</v>
      </c>
      <c r="O2892" s="27" t="str">
        <f>HYPERLINK("https://www.ncbi.nlm.nih.gov/nuccore/NZ_JH725387.1?report=graph&amp;from=1545832&amp;to=1545836", "TTA_codon")</f>
        <v>TTA_codon</v>
      </c>
    </row>
    <row r="2893" spans="1:15" x14ac:dyDescent="0.15">
      <c r="A2893" t="s">
        <v>21</v>
      </c>
      <c r="B2893">
        <v>1000615</v>
      </c>
      <c r="C2893">
        <v>365391</v>
      </c>
      <c r="F2893" s="7">
        <v>1</v>
      </c>
      <c r="G2893" s="7">
        <v>367</v>
      </c>
      <c r="H2893" s="8">
        <v>316</v>
      </c>
      <c r="J2893" t="s">
        <v>23</v>
      </c>
      <c r="K2893" s="7">
        <v>2721</v>
      </c>
      <c r="L2893" s="9">
        <v>-1</v>
      </c>
      <c r="M2893" t="s">
        <v>2400</v>
      </c>
      <c r="N2893" t="s">
        <v>129</v>
      </c>
      <c r="O2893" s="27" t="str">
        <f>HYPERLINK("https://www.ncbi.nlm.nih.gov/nuccore/NZ_FNHI01000031.1?report=graph&amp;from=57578&amp;to=57582", "TTA_codon")</f>
        <v>TTA_codon</v>
      </c>
    </row>
    <row r="2894" spans="1:15" x14ac:dyDescent="0.15">
      <c r="A2894" t="s">
        <v>21</v>
      </c>
      <c r="B2894" t="s">
        <v>2401</v>
      </c>
    </row>
    <row r="2895" spans="1:15" x14ac:dyDescent="0.15">
      <c r="A2895" t="s">
        <v>21</v>
      </c>
      <c r="B2895">
        <v>1000781</v>
      </c>
      <c r="C2895">
        <v>347823</v>
      </c>
      <c r="F2895" s="7">
        <v>2</v>
      </c>
      <c r="G2895" s="7" t="s">
        <v>2402</v>
      </c>
      <c r="H2895" s="8" t="s">
        <v>1731</v>
      </c>
      <c r="J2895" t="s">
        <v>23</v>
      </c>
      <c r="K2895" s="7">
        <v>1071</v>
      </c>
      <c r="L2895" s="9">
        <v>1</v>
      </c>
      <c r="M2895" t="s">
        <v>57</v>
      </c>
      <c r="N2895" t="s">
        <v>58</v>
      </c>
      <c r="O2895" s="27" t="str">
        <f>HYPERLINK("https://www.ncbi.nlm.nih.gov/nuccore/NC_013929.1?report=graph&amp;from=3960226&amp;to=3960299", "TTA_codon")</f>
        <v>TTA_codon</v>
      </c>
    </row>
    <row r="2896" spans="1:15" x14ac:dyDescent="0.15">
      <c r="A2896" t="s">
        <v>21</v>
      </c>
      <c r="B2896">
        <v>1000781</v>
      </c>
      <c r="C2896">
        <v>347824</v>
      </c>
      <c r="F2896" s="7">
        <v>2</v>
      </c>
      <c r="G2896" s="7" t="s">
        <v>2402</v>
      </c>
      <c r="H2896" s="8" t="s">
        <v>1731</v>
      </c>
      <c r="J2896" t="s">
        <v>23</v>
      </c>
      <c r="K2896" s="7">
        <v>1071</v>
      </c>
      <c r="L2896" s="9">
        <v>1</v>
      </c>
      <c r="M2896" t="s">
        <v>57</v>
      </c>
      <c r="N2896" t="s">
        <v>58</v>
      </c>
      <c r="O2896" s="27" t="str">
        <f>HYPERLINK("https://www.ncbi.nlm.nih.gov/nuccore/NC_013929.1?report=graph&amp;from=6451148&amp;to=6451221", "TTA_codon")</f>
        <v>TTA_codon</v>
      </c>
    </row>
    <row r="2897" spans="1:15" x14ac:dyDescent="0.15">
      <c r="A2897" t="s">
        <v>21</v>
      </c>
      <c r="B2897">
        <v>1000781</v>
      </c>
      <c r="C2897">
        <v>351826</v>
      </c>
      <c r="F2897" s="7">
        <v>1</v>
      </c>
      <c r="G2897" s="7">
        <v>346</v>
      </c>
      <c r="H2897" s="8">
        <v>343</v>
      </c>
      <c r="J2897" t="s">
        <v>23</v>
      </c>
      <c r="K2897" s="7">
        <v>1329</v>
      </c>
      <c r="L2897" s="9">
        <v>1</v>
      </c>
      <c r="M2897" t="s">
        <v>2403</v>
      </c>
      <c r="N2897" t="s">
        <v>68</v>
      </c>
      <c r="O2897" s="27" t="str">
        <f>HYPERLINK("https://www.ncbi.nlm.nih.gov/nuccore/NZ_BARG01000044.1?report=graph&amp;from=87774&amp;to=87778", "TTA_codon")</f>
        <v>TTA_codon</v>
      </c>
    </row>
    <row r="2898" spans="1:15" x14ac:dyDescent="0.15">
      <c r="A2898" t="s">
        <v>21</v>
      </c>
      <c r="B2898">
        <v>1000781</v>
      </c>
      <c r="C2898">
        <v>359477</v>
      </c>
      <c r="F2898" s="7">
        <v>1</v>
      </c>
      <c r="G2898" s="7">
        <v>313</v>
      </c>
      <c r="H2898" s="8">
        <v>73</v>
      </c>
      <c r="J2898" t="s">
        <v>23</v>
      </c>
      <c r="K2898" s="7">
        <v>1077</v>
      </c>
      <c r="L2898" s="9">
        <v>1</v>
      </c>
      <c r="M2898" t="s">
        <v>151</v>
      </c>
      <c r="N2898" t="s">
        <v>152</v>
      </c>
      <c r="O2898" s="27" t="str">
        <f>HYPERLINK("https://www.ncbi.nlm.nih.gov/nuccore/NZ_CP013129.1?report=graph&amp;from=8852048&amp;to=8852052", "TTA_codon")</f>
        <v>TTA_codon</v>
      </c>
    </row>
    <row r="2899" spans="1:15" x14ac:dyDescent="0.15">
      <c r="A2899" t="s">
        <v>21</v>
      </c>
      <c r="B2899">
        <v>1000781</v>
      </c>
      <c r="C2899">
        <v>359478</v>
      </c>
      <c r="F2899" s="7">
        <v>1</v>
      </c>
      <c r="G2899" s="7">
        <v>313</v>
      </c>
      <c r="H2899" s="8">
        <v>73</v>
      </c>
      <c r="J2899" t="s">
        <v>23</v>
      </c>
      <c r="K2899" s="7">
        <v>1077</v>
      </c>
      <c r="L2899" s="9">
        <v>1</v>
      </c>
      <c r="M2899" t="s">
        <v>151</v>
      </c>
      <c r="N2899" t="s">
        <v>152</v>
      </c>
      <c r="O2899" s="27" t="str">
        <f>HYPERLINK("https://www.ncbi.nlm.nih.gov/nuccore/NZ_CP013129.1?report=graph&amp;from=5810549&amp;to=5810553", "TTA_codon")</f>
        <v>TTA_codon</v>
      </c>
    </row>
    <row r="2900" spans="1:15" x14ac:dyDescent="0.15">
      <c r="A2900" t="s">
        <v>21</v>
      </c>
      <c r="B2900">
        <v>1000781</v>
      </c>
      <c r="C2900">
        <v>359479</v>
      </c>
      <c r="F2900" s="7">
        <v>1</v>
      </c>
      <c r="G2900" s="7">
        <v>313</v>
      </c>
      <c r="H2900" s="8">
        <v>73</v>
      </c>
      <c r="J2900" t="s">
        <v>23</v>
      </c>
      <c r="K2900" s="7">
        <v>1077</v>
      </c>
      <c r="L2900" s="9">
        <v>1</v>
      </c>
      <c r="M2900" t="s">
        <v>151</v>
      </c>
      <c r="N2900" t="s">
        <v>152</v>
      </c>
      <c r="O2900" s="27" t="str">
        <f>HYPERLINK("https://www.ncbi.nlm.nih.gov/nuccore/NZ_CP013129.1?report=graph&amp;from=306751&amp;to=306755", "TTA_codon")</f>
        <v>TTA_codon</v>
      </c>
    </row>
    <row r="2901" spans="1:15" x14ac:dyDescent="0.15">
      <c r="A2901" t="s">
        <v>21</v>
      </c>
      <c r="B2901">
        <v>1000781</v>
      </c>
      <c r="C2901">
        <v>360100</v>
      </c>
      <c r="F2901" s="7">
        <v>1</v>
      </c>
      <c r="G2901" s="7">
        <v>460</v>
      </c>
      <c r="H2901" s="8">
        <v>457</v>
      </c>
      <c r="J2901" t="s">
        <v>23</v>
      </c>
      <c r="K2901" s="7">
        <v>1149</v>
      </c>
      <c r="L2901" s="9">
        <v>1</v>
      </c>
      <c r="M2901" t="s">
        <v>2404</v>
      </c>
      <c r="N2901" t="s">
        <v>125</v>
      </c>
      <c r="O2901" s="27" t="str">
        <f>HYPERLINK("https://www.ncbi.nlm.nih.gov/nuccore/NZ_KQ948501.1?report=graph&amp;from=4753&amp;to=4757", "TTA_codon")</f>
        <v>TTA_codon</v>
      </c>
    </row>
    <row r="2902" spans="1:15" x14ac:dyDescent="0.15">
      <c r="A2902" t="s">
        <v>21</v>
      </c>
      <c r="B2902" t="s">
        <v>2405</v>
      </c>
    </row>
    <row r="2903" spans="1:15" x14ac:dyDescent="0.15">
      <c r="A2903" t="s">
        <v>21</v>
      </c>
      <c r="B2903">
        <v>1001019</v>
      </c>
      <c r="C2903">
        <v>354432</v>
      </c>
      <c r="F2903" s="7">
        <v>1</v>
      </c>
      <c r="G2903" s="7">
        <v>82</v>
      </c>
      <c r="H2903" s="8">
        <v>82</v>
      </c>
      <c r="J2903" t="s">
        <v>23</v>
      </c>
      <c r="K2903" s="7">
        <v>1377</v>
      </c>
      <c r="L2903" s="9">
        <v>1</v>
      </c>
      <c r="M2903" t="s">
        <v>2406</v>
      </c>
      <c r="N2903" t="s">
        <v>142</v>
      </c>
      <c r="O2903" s="27" t="str">
        <f>HYPERLINK("https://www.ncbi.nlm.nih.gov/nuccore/NZ_JOEI01000012.1?report=graph&amp;from=23785&amp;to=23789", "TTA_codon")</f>
        <v>TTA_codon</v>
      </c>
    </row>
    <row r="2904" spans="1:15" x14ac:dyDescent="0.15">
      <c r="A2904" t="s">
        <v>21</v>
      </c>
      <c r="B2904">
        <v>1001019</v>
      </c>
      <c r="C2904">
        <v>364926</v>
      </c>
      <c r="F2904" s="7">
        <v>1</v>
      </c>
      <c r="G2904" s="7">
        <v>82</v>
      </c>
      <c r="H2904" s="8">
        <v>76</v>
      </c>
      <c r="J2904" t="s">
        <v>23</v>
      </c>
      <c r="K2904" s="7">
        <v>1443</v>
      </c>
      <c r="L2904" s="9">
        <v>1</v>
      </c>
      <c r="M2904" t="s">
        <v>126</v>
      </c>
      <c r="N2904" t="s">
        <v>127</v>
      </c>
      <c r="O2904" s="27" t="str">
        <f>HYPERLINK("https://www.ncbi.nlm.nih.gov/nuccore/NZ_CP021748.1?report=graph&amp;from=3118445&amp;to=3118449", "TTA_codon")</f>
        <v>TTA_codon</v>
      </c>
    </row>
    <row r="2905" spans="1:15" x14ac:dyDescent="0.15">
      <c r="A2905" t="s">
        <v>21</v>
      </c>
      <c r="B2905" t="s">
        <v>2407</v>
      </c>
    </row>
    <row r="2906" spans="1:15" x14ac:dyDescent="0.15">
      <c r="A2906" t="s">
        <v>21</v>
      </c>
      <c r="B2906">
        <v>1000821</v>
      </c>
      <c r="C2906">
        <v>352281</v>
      </c>
      <c r="F2906" s="7">
        <v>2</v>
      </c>
      <c r="G2906" s="7" t="s">
        <v>2408</v>
      </c>
      <c r="H2906" s="8" t="s">
        <v>2409</v>
      </c>
      <c r="J2906" t="s">
        <v>23</v>
      </c>
      <c r="K2906" s="7">
        <v>702</v>
      </c>
      <c r="L2906" s="9">
        <v>-1</v>
      </c>
      <c r="M2906" t="s">
        <v>527</v>
      </c>
      <c r="N2906" t="s">
        <v>72</v>
      </c>
      <c r="O2906" s="27" t="str">
        <f>HYPERLINK("https://www.ncbi.nlm.nih.gov/nuccore/NZ_KB905813.1?report=graph&amp;from=918633&amp;to=918733", "TTA_codon")</f>
        <v>TTA_codon</v>
      </c>
    </row>
    <row r="2907" spans="1:15" x14ac:dyDescent="0.15">
      <c r="A2907" t="s">
        <v>21</v>
      </c>
      <c r="B2907">
        <v>1000821</v>
      </c>
      <c r="C2907">
        <v>353551</v>
      </c>
      <c r="F2907" s="7">
        <v>1</v>
      </c>
      <c r="G2907" s="7">
        <v>226</v>
      </c>
      <c r="H2907" s="8">
        <v>211</v>
      </c>
      <c r="J2907" t="s">
        <v>23</v>
      </c>
      <c r="K2907" s="7">
        <v>747</v>
      </c>
      <c r="L2907" s="9">
        <v>-1</v>
      </c>
      <c r="M2907" t="s">
        <v>2410</v>
      </c>
      <c r="N2907" t="s">
        <v>140</v>
      </c>
      <c r="O2907" s="27" t="str">
        <f>HYPERLINK("https://www.ncbi.nlm.nih.gov/nuccore/NZ_JNXG01000028.1?report=graph&amp;from=11077&amp;to=11081", "TTA_codon")</f>
        <v>TTA_codon</v>
      </c>
    </row>
    <row r="2908" spans="1:15" x14ac:dyDescent="0.15">
      <c r="A2908" t="s">
        <v>21</v>
      </c>
      <c r="B2908">
        <v>1000821</v>
      </c>
      <c r="C2908">
        <v>361066</v>
      </c>
      <c r="F2908" s="7">
        <v>1</v>
      </c>
      <c r="G2908" s="7">
        <v>271</v>
      </c>
      <c r="H2908" s="8">
        <v>232</v>
      </c>
      <c r="J2908" t="s">
        <v>23</v>
      </c>
      <c r="K2908" s="7">
        <v>717</v>
      </c>
      <c r="L2908" s="9">
        <v>-1</v>
      </c>
      <c r="M2908" t="s">
        <v>98</v>
      </c>
      <c r="N2908" t="s">
        <v>99</v>
      </c>
      <c r="O2908" s="27" t="str">
        <f>HYPERLINK("https://www.ncbi.nlm.nih.gov/nuccore/NZ_CP016438.1?report=graph&amp;from=8282235&amp;to=8282239", "TTA_codon")</f>
        <v>TTA_codon</v>
      </c>
    </row>
    <row r="2909" spans="1:15" x14ac:dyDescent="0.15">
      <c r="A2909" t="s">
        <v>21</v>
      </c>
      <c r="B2909" t="s">
        <v>2411</v>
      </c>
    </row>
    <row r="2910" spans="1:15" x14ac:dyDescent="0.15">
      <c r="A2910" t="s">
        <v>21</v>
      </c>
      <c r="B2910">
        <v>1000939</v>
      </c>
      <c r="C2910">
        <v>353363</v>
      </c>
      <c r="F2910" s="7">
        <v>1</v>
      </c>
      <c r="G2910" s="7">
        <v>73</v>
      </c>
      <c r="H2910" s="8">
        <v>73</v>
      </c>
      <c r="J2910" t="s">
        <v>23</v>
      </c>
      <c r="K2910" s="7">
        <v>750</v>
      </c>
      <c r="L2910" s="9">
        <v>1</v>
      </c>
      <c r="M2910" t="s">
        <v>2412</v>
      </c>
      <c r="N2910" t="s">
        <v>169</v>
      </c>
      <c r="O2910" s="27" t="str">
        <f>HYPERLINK("https://www.ncbi.nlm.nih.gov/nuccore/NZ_JNWJ01000037.1?report=graph&amp;from=50462&amp;to=50466", "TTA_codon")</f>
        <v>TTA_codon</v>
      </c>
    </row>
    <row r="2911" spans="1:15" x14ac:dyDescent="0.15">
      <c r="A2911" t="s">
        <v>21</v>
      </c>
      <c r="B2911">
        <v>1000939</v>
      </c>
      <c r="C2911">
        <v>359253</v>
      </c>
      <c r="F2911" s="7">
        <v>1</v>
      </c>
      <c r="G2911" s="7">
        <v>73</v>
      </c>
      <c r="H2911" s="8">
        <v>46</v>
      </c>
      <c r="J2911" t="s">
        <v>23</v>
      </c>
      <c r="K2911" s="7">
        <v>726</v>
      </c>
      <c r="L2911" s="9">
        <v>1</v>
      </c>
      <c r="M2911" t="s">
        <v>2413</v>
      </c>
      <c r="N2911" t="s">
        <v>451</v>
      </c>
      <c r="O2911" s="27" t="str">
        <f>HYPERLINK("https://www.ncbi.nlm.nih.gov/nuccore/NZ_LIQZ01000637.1?report=graph&amp;from=1036&amp;to=1040", "TTA_codon")</f>
        <v>TTA_codon</v>
      </c>
    </row>
    <row r="2912" spans="1:15" x14ac:dyDescent="0.15">
      <c r="A2912" t="s">
        <v>21</v>
      </c>
      <c r="B2912" t="s">
        <v>2414</v>
      </c>
    </row>
    <row r="2913" spans="1:15" x14ac:dyDescent="0.15">
      <c r="A2913" t="s">
        <v>21</v>
      </c>
      <c r="B2913">
        <v>1001472</v>
      </c>
      <c r="C2913">
        <v>363884</v>
      </c>
      <c r="F2913" s="7">
        <v>1</v>
      </c>
      <c r="G2913" s="7">
        <v>316</v>
      </c>
      <c r="H2913" s="8">
        <v>316</v>
      </c>
      <c r="J2913" t="s">
        <v>23</v>
      </c>
      <c r="K2913" s="7">
        <v>417</v>
      </c>
      <c r="L2913" s="9">
        <v>-1</v>
      </c>
      <c r="M2913" t="s">
        <v>101</v>
      </c>
      <c r="N2913" t="s">
        <v>102</v>
      </c>
      <c r="O2913" s="27" t="str">
        <f>HYPERLINK("https://www.ncbi.nlm.nih.gov/nuccore/NZ_CP019458.1?report=graph&amp;from=5958041&amp;to=5958045", "TTA_codon")</f>
        <v>TTA_codon</v>
      </c>
    </row>
    <row r="2914" spans="1:15" x14ac:dyDescent="0.15">
      <c r="A2914" t="s">
        <v>21</v>
      </c>
      <c r="B2914">
        <v>1001472</v>
      </c>
      <c r="C2914">
        <v>365792</v>
      </c>
      <c r="F2914" s="7">
        <v>1</v>
      </c>
      <c r="G2914" s="7">
        <v>316</v>
      </c>
      <c r="H2914" s="8">
        <v>316</v>
      </c>
      <c r="J2914" t="s">
        <v>23</v>
      </c>
      <c r="K2914" s="7">
        <v>411</v>
      </c>
      <c r="L2914" s="9">
        <v>-1</v>
      </c>
      <c r="M2914" t="s">
        <v>213</v>
      </c>
      <c r="N2914" t="s">
        <v>214</v>
      </c>
      <c r="O2914" s="27" t="str">
        <f>HYPERLINK("https://www.ncbi.nlm.nih.gov/nuccore/NZ_FNST01000002.1?report=graph&amp;from=3653334&amp;to=3653338", "TTA_codon")</f>
        <v>TTA_codon</v>
      </c>
    </row>
    <row r="2915" spans="1:15" x14ac:dyDescent="0.15">
      <c r="A2915" t="s">
        <v>21</v>
      </c>
      <c r="B2915" t="s">
        <v>2415</v>
      </c>
    </row>
    <row r="2916" spans="1:15" x14ac:dyDescent="0.15">
      <c r="A2916" t="s">
        <v>21</v>
      </c>
      <c r="B2916">
        <v>1000971</v>
      </c>
      <c r="C2916">
        <v>352874</v>
      </c>
      <c r="F2916" s="7">
        <v>2</v>
      </c>
      <c r="G2916" s="7" t="s">
        <v>2416</v>
      </c>
      <c r="H2916" s="8" t="s">
        <v>2416</v>
      </c>
      <c r="J2916" t="s">
        <v>23</v>
      </c>
      <c r="K2916" s="7">
        <v>1227</v>
      </c>
      <c r="L2916" s="9">
        <v>1</v>
      </c>
      <c r="M2916" t="s">
        <v>2417</v>
      </c>
      <c r="N2916" t="s">
        <v>306</v>
      </c>
      <c r="O2916" s="27" t="str">
        <f>HYPERLINK("https://www.ncbi.nlm.nih.gov/nuccore/NZ_KL571063.1?report=graph&amp;from=83202&amp;to=83524", "TTA_codon")</f>
        <v>TTA_codon</v>
      </c>
    </row>
    <row r="2917" spans="1:15" x14ac:dyDescent="0.15">
      <c r="A2917" t="s">
        <v>21</v>
      </c>
      <c r="B2917">
        <v>1000971</v>
      </c>
      <c r="C2917">
        <v>353736</v>
      </c>
      <c r="F2917" s="7">
        <v>1</v>
      </c>
      <c r="G2917" s="7">
        <v>1096</v>
      </c>
      <c r="H2917" s="8">
        <v>1084</v>
      </c>
      <c r="J2917" t="s">
        <v>23</v>
      </c>
      <c r="K2917" s="7">
        <v>1215</v>
      </c>
      <c r="L2917" s="9">
        <v>1</v>
      </c>
      <c r="M2917" t="s">
        <v>2418</v>
      </c>
      <c r="N2917" t="s">
        <v>246</v>
      </c>
      <c r="O2917" s="27" t="str">
        <f>HYPERLINK("https://www.ncbi.nlm.nih.gov/nuccore/NZ_JNYR01000002.1?report=graph&amp;from=108201&amp;to=108205", "TTA_codon")</f>
        <v>TTA_codon</v>
      </c>
    </row>
    <row r="2918" spans="1:15" x14ac:dyDescent="0.15">
      <c r="A2918" t="s">
        <v>21</v>
      </c>
      <c r="B2918" t="s">
        <v>2419</v>
      </c>
    </row>
    <row r="2919" spans="1:15" x14ac:dyDescent="0.15">
      <c r="A2919" t="s">
        <v>21</v>
      </c>
      <c r="B2919">
        <v>1001485</v>
      </c>
      <c r="C2919">
        <v>354524</v>
      </c>
      <c r="F2919" s="7">
        <v>1</v>
      </c>
      <c r="G2919" s="7">
        <v>43</v>
      </c>
      <c r="H2919" s="8">
        <v>37</v>
      </c>
      <c r="J2919" t="s">
        <v>23</v>
      </c>
      <c r="K2919" s="7">
        <v>2901</v>
      </c>
      <c r="L2919" s="9">
        <v>-1</v>
      </c>
      <c r="M2919" t="s">
        <v>2420</v>
      </c>
      <c r="N2919" t="s">
        <v>272</v>
      </c>
      <c r="O2919" s="27" t="str">
        <f>HYPERLINK("https://www.ncbi.nlm.nih.gov/nuccore/NZ_JOEY01000026.1?report=graph&amp;from=123621&amp;to=123625", "TTA_codon")</f>
        <v>TTA_codon</v>
      </c>
    </row>
    <row r="2920" spans="1:15" x14ac:dyDescent="0.15">
      <c r="A2920" t="s">
        <v>21</v>
      </c>
      <c r="B2920">
        <v>1001485</v>
      </c>
      <c r="C2920">
        <v>356490</v>
      </c>
      <c r="F2920" s="7">
        <v>1</v>
      </c>
      <c r="G2920" s="7">
        <v>43</v>
      </c>
      <c r="H2920" s="8">
        <v>37</v>
      </c>
      <c r="J2920" t="s">
        <v>23</v>
      </c>
      <c r="K2920" s="7">
        <v>2901</v>
      </c>
      <c r="L2920" s="9">
        <v>-1</v>
      </c>
      <c r="M2920" t="s">
        <v>508</v>
      </c>
      <c r="N2920" t="s">
        <v>509</v>
      </c>
      <c r="O2920" s="27" t="str">
        <f>HYPERLINK("https://www.ncbi.nlm.nih.gov/nuccore/NZ_CP009438.1?report=graph&amp;from=6294422&amp;to=6294426", "TTA_codon")</f>
        <v>TTA_codon</v>
      </c>
    </row>
    <row r="2921" spans="1:15" x14ac:dyDescent="0.15">
      <c r="A2921" t="s">
        <v>21</v>
      </c>
      <c r="B2921">
        <v>1001485</v>
      </c>
      <c r="C2921">
        <v>360944</v>
      </c>
      <c r="F2921" s="7">
        <v>1</v>
      </c>
      <c r="G2921" s="7">
        <v>43</v>
      </c>
      <c r="H2921" s="8">
        <v>37</v>
      </c>
      <c r="J2921" t="s">
        <v>23</v>
      </c>
      <c r="K2921" s="7">
        <v>2901</v>
      </c>
      <c r="L2921" s="9">
        <v>-1</v>
      </c>
      <c r="M2921" t="s">
        <v>2421</v>
      </c>
      <c r="N2921" t="s">
        <v>97</v>
      </c>
      <c r="O2921" s="27" t="str">
        <f>HYPERLINK("https://www.ncbi.nlm.nih.gov/nuccore/NZ_LOHS01000044.1?report=graph&amp;from=5990&amp;to=5994", "TTA_codon")</f>
        <v>TTA_codon</v>
      </c>
    </row>
    <row r="2922" spans="1:15" x14ac:dyDescent="0.15">
      <c r="A2922" t="s">
        <v>21</v>
      </c>
      <c r="B2922">
        <v>1001485</v>
      </c>
      <c r="C2922">
        <v>364569</v>
      </c>
      <c r="F2922" s="7">
        <v>1</v>
      </c>
      <c r="G2922" s="7">
        <v>73</v>
      </c>
      <c r="H2922" s="8">
        <v>73</v>
      </c>
      <c r="J2922" t="s">
        <v>23</v>
      </c>
      <c r="K2922" s="7">
        <v>2907</v>
      </c>
      <c r="L2922" s="9">
        <v>-1</v>
      </c>
      <c r="M2922" t="s">
        <v>2422</v>
      </c>
      <c r="N2922" t="s">
        <v>108</v>
      </c>
      <c r="O2922" s="27" t="str">
        <f>HYPERLINK("https://www.ncbi.nlm.nih.gov/nuccore/NZ_MUMD01000186.1?report=graph&amp;from=23926&amp;to=23930", "TTA_codon")</f>
        <v>TTA_codon</v>
      </c>
    </row>
    <row r="2923" spans="1:15" x14ac:dyDescent="0.15">
      <c r="A2923" t="s">
        <v>195</v>
      </c>
      <c r="B2923" t="s">
        <v>2423</v>
      </c>
    </row>
    <row r="2924" spans="1:15" x14ac:dyDescent="0.15">
      <c r="A2924" t="s">
        <v>195</v>
      </c>
      <c r="B2924">
        <v>1000015</v>
      </c>
      <c r="C2924">
        <v>346047</v>
      </c>
      <c r="F2924" s="7">
        <v>1</v>
      </c>
      <c r="G2924" s="7">
        <v>229</v>
      </c>
      <c r="H2924" s="8">
        <v>121</v>
      </c>
      <c r="J2924" t="s">
        <v>23</v>
      </c>
      <c r="K2924" s="7">
        <v>525</v>
      </c>
      <c r="L2924" s="9">
        <v>-1</v>
      </c>
      <c r="M2924" t="s">
        <v>57</v>
      </c>
      <c r="N2924" t="s">
        <v>58</v>
      </c>
      <c r="O2924" s="27" t="str">
        <f>HYPERLINK("https://www.ncbi.nlm.nih.gov/nuccore/NC_013929.1?report=graph&amp;from=4828653&amp;to=4828657", "TTA_codon")</f>
        <v>TTA_codon</v>
      </c>
    </row>
    <row r="2925" spans="1:15" x14ac:dyDescent="0.15">
      <c r="A2925" t="s">
        <v>195</v>
      </c>
      <c r="B2925">
        <v>1000015</v>
      </c>
      <c r="C2925">
        <v>346271</v>
      </c>
      <c r="F2925" s="7">
        <v>1</v>
      </c>
      <c r="G2925" s="7">
        <v>229</v>
      </c>
      <c r="H2925" s="8">
        <v>229</v>
      </c>
      <c r="J2925" t="s">
        <v>23</v>
      </c>
      <c r="K2925" s="7">
        <v>639</v>
      </c>
      <c r="L2925" s="9">
        <v>-1</v>
      </c>
      <c r="M2925" t="s">
        <v>30</v>
      </c>
      <c r="N2925" t="s">
        <v>31</v>
      </c>
      <c r="O2925" s="27" t="str">
        <f>HYPERLINK("https://www.ncbi.nlm.nih.gov/nuccore/NZ_KB913030.1?report=graph&amp;from=2737533&amp;to=2737537", "TTA_codon")</f>
        <v>TTA_codon</v>
      </c>
    </row>
    <row r="2926" spans="1:15" x14ac:dyDescent="0.15">
      <c r="A2926" t="s">
        <v>195</v>
      </c>
      <c r="B2926">
        <v>1000015</v>
      </c>
      <c r="C2926">
        <v>346541</v>
      </c>
      <c r="F2926" s="7">
        <v>1</v>
      </c>
      <c r="G2926" s="7">
        <v>319</v>
      </c>
      <c r="H2926" s="8">
        <v>148</v>
      </c>
      <c r="J2926" t="s">
        <v>23</v>
      </c>
      <c r="K2926" s="7">
        <v>462</v>
      </c>
      <c r="L2926" s="9">
        <v>-1</v>
      </c>
      <c r="M2926" t="s">
        <v>78</v>
      </c>
      <c r="N2926" t="s">
        <v>79</v>
      </c>
      <c r="O2926" s="27" t="str">
        <f>HYPERLINK("https://www.ncbi.nlm.nih.gov/nuccore/NZ_CP009313.1?report=graph&amp;from=161241&amp;to=161245", "TTA_codon")</f>
        <v>TTA_codon</v>
      </c>
    </row>
    <row r="2927" spans="1:15" x14ac:dyDescent="0.15">
      <c r="A2927" t="s">
        <v>195</v>
      </c>
      <c r="B2927">
        <v>1000015</v>
      </c>
      <c r="C2927">
        <v>346747</v>
      </c>
      <c r="F2927" s="7">
        <v>1</v>
      </c>
      <c r="G2927" s="7">
        <v>166</v>
      </c>
      <c r="H2927" s="8">
        <v>58</v>
      </c>
      <c r="J2927" t="s">
        <v>23</v>
      </c>
      <c r="K2927" s="7">
        <v>525</v>
      </c>
      <c r="L2927" s="9">
        <v>-1</v>
      </c>
      <c r="M2927" t="s">
        <v>1424</v>
      </c>
      <c r="N2927" t="s">
        <v>91</v>
      </c>
      <c r="O2927" s="27" t="str">
        <f>HYPERLINK("https://www.ncbi.nlm.nih.gov/nuccore/NZ_KQ948327.1?report=graph&amp;from=114188&amp;to=114192", "TTA_codon")</f>
        <v>TTA_codon</v>
      </c>
    </row>
    <row r="2928" spans="1:15" x14ac:dyDescent="0.15">
      <c r="A2928" t="s">
        <v>195</v>
      </c>
      <c r="B2928">
        <v>1000015</v>
      </c>
      <c r="C2928">
        <v>346856</v>
      </c>
      <c r="F2928" s="7">
        <v>1</v>
      </c>
      <c r="G2928" s="7">
        <v>229</v>
      </c>
      <c r="H2928" s="8">
        <v>121</v>
      </c>
      <c r="J2928" t="s">
        <v>23</v>
      </c>
      <c r="K2928" s="7">
        <v>525</v>
      </c>
      <c r="L2928" s="9">
        <v>-1</v>
      </c>
      <c r="M2928" t="s">
        <v>37</v>
      </c>
      <c r="N2928" t="s">
        <v>38</v>
      </c>
      <c r="O2928" s="27" t="str">
        <f>HYPERLINK("https://www.ncbi.nlm.nih.gov/nuccore/NZ_CP011533.1?report=graph&amp;from=197904&amp;to=197908", "TTA_codon")</f>
        <v>TTA_codon</v>
      </c>
    </row>
    <row r="2929" spans="1:15" x14ac:dyDescent="0.15">
      <c r="A2929" t="s">
        <v>21</v>
      </c>
      <c r="B2929">
        <v>1000015</v>
      </c>
      <c r="C2929">
        <v>347235</v>
      </c>
      <c r="F2929" s="7">
        <v>1</v>
      </c>
      <c r="G2929" s="7">
        <v>229</v>
      </c>
      <c r="H2929" s="8">
        <v>121</v>
      </c>
      <c r="J2929" t="s">
        <v>23</v>
      </c>
      <c r="K2929" s="7">
        <v>483</v>
      </c>
      <c r="L2929" s="9">
        <v>-1</v>
      </c>
      <c r="M2929" t="s">
        <v>53</v>
      </c>
      <c r="N2929" t="s">
        <v>54</v>
      </c>
      <c r="O2929" s="27" t="str">
        <f>HYPERLINK("https://www.ncbi.nlm.nih.gov/nuccore/NC_003155.5?report=graph&amp;from=374383&amp;to=374387", "TTA_codon")</f>
        <v>TTA_codon</v>
      </c>
    </row>
    <row r="2930" spans="1:15" x14ac:dyDescent="0.15">
      <c r="A2930" t="s">
        <v>21</v>
      </c>
      <c r="B2930">
        <v>1000015</v>
      </c>
      <c r="C2930">
        <v>349916</v>
      </c>
      <c r="F2930" s="7">
        <v>1</v>
      </c>
      <c r="G2930" s="7">
        <v>346</v>
      </c>
      <c r="H2930" s="8">
        <v>238</v>
      </c>
      <c r="J2930" t="s">
        <v>23</v>
      </c>
      <c r="K2930" s="7">
        <v>528</v>
      </c>
      <c r="L2930" s="9">
        <v>-1</v>
      </c>
      <c r="M2930" t="s">
        <v>2424</v>
      </c>
      <c r="N2930" t="s">
        <v>249</v>
      </c>
      <c r="O2930" s="27" t="str">
        <f>HYPERLINK("https://www.ncbi.nlm.nih.gov/nuccore/NZ_AHBF01000230.1?report=graph&amp;from=2487&amp;to=2491", "TTA_codon")</f>
        <v>TTA_codon</v>
      </c>
    </row>
    <row r="2931" spans="1:15" x14ac:dyDescent="0.15">
      <c r="A2931" t="s">
        <v>21</v>
      </c>
      <c r="B2931">
        <v>1000015</v>
      </c>
      <c r="C2931">
        <v>349917</v>
      </c>
      <c r="F2931" s="7">
        <v>1</v>
      </c>
      <c r="G2931" s="7">
        <v>346</v>
      </c>
      <c r="H2931" s="8">
        <v>238</v>
      </c>
      <c r="J2931" t="s">
        <v>23</v>
      </c>
      <c r="K2931" s="7">
        <v>378</v>
      </c>
      <c r="L2931" s="9">
        <v>-1</v>
      </c>
      <c r="M2931" t="s">
        <v>2425</v>
      </c>
      <c r="N2931" t="s">
        <v>249</v>
      </c>
      <c r="O2931" s="27" t="str">
        <f>HYPERLINK("https://www.ncbi.nlm.nih.gov/nuccore/NZ_AHBF01000172.1?report=graph&amp;from=151&amp;to=155", "TTA_codon")</f>
        <v>TTA_codon</v>
      </c>
    </row>
    <row r="2932" spans="1:15" x14ac:dyDescent="0.15">
      <c r="A2932" t="s">
        <v>21</v>
      </c>
      <c r="B2932">
        <v>1000015</v>
      </c>
      <c r="C2932">
        <v>351493</v>
      </c>
      <c r="F2932" s="7">
        <v>1</v>
      </c>
      <c r="G2932" s="7">
        <v>229</v>
      </c>
      <c r="H2932" s="8">
        <v>121</v>
      </c>
      <c r="J2932" t="s">
        <v>23</v>
      </c>
      <c r="K2932" s="7">
        <v>525</v>
      </c>
      <c r="L2932" s="9">
        <v>-1</v>
      </c>
      <c r="M2932" t="s">
        <v>477</v>
      </c>
      <c r="N2932" t="s">
        <v>138</v>
      </c>
      <c r="O2932" s="27" t="str">
        <f>HYPERLINK("https://www.ncbi.nlm.nih.gov/nuccore/NZ_KB889670.1?report=graph&amp;from=63537&amp;to=63541", "TTA_codon")</f>
        <v>TTA_codon</v>
      </c>
    </row>
    <row r="2933" spans="1:15" x14ac:dyDescent="0.15">
      <c r="A2933" t="s">
        <v>21</v>
      </c>
      <c r="B2933">
        <v>1000015</v>
      </c>
      <c r="C2933">
        <v>359804</v>
      </c>
      <c r="F2933" s="7">
        <v>2</v>
      </c>
      <c r="G2933" s="7" t="s">
        <v>2426</v>
      </c>
      <c r="H2933" s="8" t="s">
        <v>207</v>
      </c>
      <c r="J2933" t="s">
        <v>23</v>
      </c>
      <c r="K2933" s="7">
        <v>480</v>
      </c>
      <c r="L2933" s="9">
        <v>-1</v>
      </c>
      <c r="M2933" t="s">
        <v>2427</v>
      </c>
      <c r="N2933" t="s">
        <v>91</v>
      </c>
      <c r="O2933" s="27" t="str">
        <f>HYPERLINK("https://www.ncbi.nlm.nih.gov/nuccore/NZ_KQ948319.1?report=graph&amp;from=78585&amp;to=78631", "TTA_codon")</f>
        <v>TTA_codon</v>
      </c>
    </row>
    <row r="2934" spans="1:15" x14ac:dyDescent="0.15">
      <c r="A2934" t="s">
        <v>21</v>
      </c>
      <c r="B2934">
        <v>1000015</v>
      </c>
      <c r="C2934">
        <v>360342</v>
      </c>
      <c r="F2934" s="7">
        <v>2</v>
      </c>
      <c r="G2934" s="7" t="s">
        <v>2428</v>
      </c>
      <c r="H2934" s="8" t="s">
        <v>2429</v>
      </c>
      <c r="J2934" t="s">
        <v>23</v>
      </c>
      <c r="K2934" s="7">
        <v>1059</v>
      </c>
      <c r="L2934" s="9">
        <v>-1</v>
      </c>
      <c r="M2934" t="s">
        <v>121</v>
      </c>
      <c r="N2934" t="s">
        <v>122</v>
      </c>
      <c r="O2934" s="27" t="str">
        <f>HYPERLINK("https://www.ncbi.nlm.nih.gov/nuccore/NZ_CP016279.1?report=graph&amp;from=4760880&amp;to=4760950", "TTA_codon")</f>
        <v>TTA_codon</v>
      </c>
    </row>
    <row r="2935" spans="1:15" x14ac:dyDescent="0.15">
      <c r="A2935" t="s">
        <v>21</v>
      </c>
      <c r="B2935">
        <v>1000015</v>
      </c>
      <c r="C2935">
        <v>365907</v>
      </c>
      <c r="F2935" s="7">
        <v>1</v>
      </c>
      <c r="G2935" s="7">
        <v>229</v>
      </c>
      <c r="H2935" s="8">
        <v>121</v>
      </c>
      <c r="J2935" t="s">
        <v>23</v>
      </c>
      <c r="K2935" s="7">
        <v>525</v>
      </c>
      <c r="L2935" s="9">
        <v>-1</v>
      </c>
      <c r="M2935" t="s">
        <v>2430</v>
      </c>
      <c r="N2935" t="s">
        <v>115</v>
      </c>
      <c r="O2935" s="27" t="str">
        <f>HYPERLINK("https://www.ncbi.nlm.nih.gov/nuccore/NZ_FODD01000072.1?report=graph&amp;from=9122&amp;to=9126", "TTA_codon")</f>
        <v>TTA_codon</v>
      </c>
    </row>
    <row r="2936" spans="1:15" x14ac:dyDescent="0.15">
      <c r="A2936" t="s">
        <v>21</v>
      </c>
      <c r="B2936" t="s">
        <v>2431</v>
      </c>
    </row>
    <row r="2937" spans="1:15" x14ac:dyDescent="0.15">
      <c r="A2937" t="s">
        <v>21</v>
      </c>
      <c r="B2937">
        <v>1001118</v>
      </c>
      <c r="C2937">
        <v>352728</v>
      </c>
      <c r="F2937" s="7">
        <v>2</v>
      </c>
      <c r="G2937" s="7" t="s">
        <v>2432</v>
      </c>
      <c r="H2937" s="8" t="s">
        <v>2433</v>
      </c>
      <c r="J2937" t="s">
        <v>23</v>
      </c>
      <c r="K2937" s="7">
        <v>3096</v>
      </c>
      <c r="L2937" s="9">
        <v>1</v>
      </c>
      <c r="M2937" t="s">
        <v>2434</v>
      </c>
      <c r="N2937" t="s">
        <v>436</v>
      </c>
      <c r="O2937" s="27" t="str">
        <f>HYPERLINK("https://www.ncbi.nlm.nih.gov/nuccore/NZ_AUBE01000021.1?report=graph&amp;from=38941&amp;to=39332", "TTA_codon")</f>
        <v>TTA_codon</v>
      </c>
    </row>
    <row r="2938" spans="1:15" x14ac:dyDescent="0.15">
      <c r="A2938" t="s">
        <v>21</v>
      </c>
      <c r="B2938">
        <v>1001118</v>
      </c>
      <c r="C2938">
        <v>355753</v>
      </c>
      <c r="F2938" s="7">
        <v>1</v>
      </c>
      <c r="G2938" s="7">
        <v>556</v>
      </c>
      <c r="H2938" s="8">
        <v>529</v>
      </c>
      <c r="J2938" t="s">
        <v>23</v>
      </c>
      <c r="K2938" s="7">
        <v>3141</v>
      </c>
      <c r="L2938" s="9">
        <v>1</v>
      </c>
      <c r="M2938" t="s">
        <v>1232</v>
      </c>
      <c r="N2938" t="s">
        <v>278</v>
      </c>
      <c r="O2938" s="27" t="str">
        <f>HYPERLINK("https://www.ncbi.nlm.nih.gov/nuccore/NZ_JOID01000004.1?report=graph&amp;from=209272&amp;to=209276", "TTA_codon")</f>
        <v>TTA_codon</v>
      </c>
    </row>
    <row r="2939" spans="1:15" x14ac:dyDescent="0.15">
      <c r="A2939" t="s">
        <v>21</v>
      </c>
      <c r="B2939" t="s">
        <v>2435</v>
      </c>
    </row>
    <row r="2940" spans="1:15" x14ac:dyDescent="0.15">
      <c r="A2940" t="s">
        <v>21</v>
      </c>
      <c r="B2940">
        <v>1001224</v>
      </c>
      <c r="C2940">
        <v>357280</v>
      </c>
      <c r="F2940" s="7">
        <v>1</v>
      </c>
      <c r="G2940" s="7">
        <v>709</v>
      </c>
      <c r="H2940" s="8">
        <v>691</v>
      </c>
      <c r="J2940" t="s">
        <v>23</v>
      </c>
      <c r="K2940" s="7">
        <v>2118</v>
      </c>
      <c r="L2940" s="9">
        <v>1</v>
      </c>
      <c r="M2940" t="s">
        <v>250</v>
      </c>
      <c r="N2940" t="s">
        <v>251</v>
      </c>
      <c r="O2940" s="27" t="str">
        <f>HYPERLINK("https://www.ncbi.nlm.nih.gov/nuccore/NZ_CP009922.2?report=graph&amp;from=4294206&amp;to=4294210", "TTA_codon")</f>
        <v>TTA_codon</v>
      </c>
    </row>
    <row r="2941" spans="1:15" x14ac:dyDescent="0.15">
      <c r="A2941" t="s">
        <v>21</v>
      </c>
      <c r="B2941">
        <v>1001224</v>
      </c>
      <c r="C2941">
        <v>366581</v>
      </c>
      <c r="F2941" s="7">
        <v>1</v>
      </c>
      <c r="G2941" s="7">
        <v>709</v>
      </c>
      <c r="H2941" s="8">
        <v>643</v>
      </c>
      <c r="J2941" t="s">
        <v>23</v>
      </c>
      <c r="K2941" s="7">
        <v>1989</v>
      </c>
      <c r="L2941" s="9">
        <v>1</v>
      </c>
      <c r="M2941" t="s">
        <v>2436</v>
      </c>
      <c r="N2941" t="s">
        <v>180</v>
      </c>
      <c r="O2941" s="27" t="str">
        <f>HYPERLINK("https://www.ncbi.nlm.nih.gov/nuccore/NZ_FRBI01000001.1?report=graph&amp;from=628562&amp;to=628566", "TTA_codon")</f>
        <v>TTA_codon</v>
      </c>
    </row>
    <row r="2942" spans="1:15" x14ac:dyDescent="0.15">
      <c r="A2942" t="s">
        <v>195</v>
      </c>
      <c r="B2942" t="s">
        <v>2437</v>
      </c>
    </row>
    <row r="2943" spans="1:15" x14ac:dyDescent="0.15">
      <c r="A2943" t="s">
        <v>195</v>
      </c>
      <c r="B2943">
        <v>1000120</v>
      </c>
      <c r="C2943">
        <v>346842</v>
      </c>
      <c r="F2943" s="7">
        <v>1</v>
      </c>
      <c r="G2943" s="7">
        <v>82</v>
      </c>
      <c r="H2943" s="8">
        <v>82</v>
      </c>
      <c r="J2943" t="s">
        <v>23</v>
      </c>
      <c r="K2943" s="7">
        <v>876</v>
      </c>
      <c r="L2943" s="9">
        <v>-1</v>
      </c>
      <c r="M2943" t="s">
        <v>98</v>
      </c>
      <c r="N2943" t="s">
        <v>99</v>
      </c>
      <c r="O2943" s="27" t="str">
        <f>HYPERLINK("https://www.ncbi.nlm.nih.gov/nuccore/NZ_CP016438.1?report=graph&amp;from=4149944&amp;to=4149948", "TTA_codon")</f>
        <v>TTA_codon</v>
      </c>
    </row>
    <row r="2944" spans="1:15" x14ac:dyDescent="0.15">
      <c r="A2944" t="s">
        <v>21</v>
      </c>
      <c r="B2944">
        <v>1000120</v>
      </c>
      <c r="C2944">
        <v>354815</v>
      </c>
      <c r="F2944" s="7">
        <v>1</v>
      </c>
      <c r="G2944" s="7">
        <v>70</v>
      </c>
      <c r="H2944" s="8">
        <v>70</v>
      </c>
      <c r="J2944" t="s">
        <v>23</v>
      </c>
      <c r="K2944" s="7">
        <v>879</v>
      </c>
      <c r="L2944" s="9">
        <v>-1</v>
      </c>
      <c r="M2944" t="s">
        <v>2438</v>
      </c>
      <c r="N2944" t="s">
        <v>25</v>
      </c>
      <c r="O2944" s="27" t="str">
        <f>HYPERLINK("https://www.ncbi.nlm.nih.gov/nuccore/NZ_JOFU01000003.1?report=graph&amp;from=227162&amp;to=227166", "TTA_codon")</f>
        <v>TTA_codon</v>
      </c>
    </row>
    <row r="2945" spans="1:15" x14ac:dyDescent="0.15">
      <c r="A2945" t="s">
        <v>21</v>
      </c>
      <c r="B2945">
        <v>1000120</v>
      </c>
      <c r="C2945">
        <v>358343</v>
      </c>
      <c r="F2945" s="7">
        <v>1</v>
      </c>
      <c r="G2945" s="7">
        <v>55</v>
      </c>
      <c r="H2945" s="8">
        <v>55</v>
      </c>
      <c r="J2945" t="s">
        <v>23</v>
      </c>
      <c r="K2945" s="7">
        <v>909</v>
      </c>
      <c r="L2945" s="9">
        <v>-1</v>
      </c>
      <c r="M2945" t="s">
        <v>2439</v>
      </c>
      <c r="N2945" t="s">
        <v>85</v>
      </c>
      <c r="O2945" s="27" t="str">
        <f>HYPERLINK("https://www.ncbi.nlm.nih.gov/nuccore/NZ_LIQX01000076.1?report=graph&amp;from=10567&amp;to=10571", "TTA_codon")</f>
        <v>TTA_codon</v>
      </c>
    </row>
    <row r="2946" spans="1:15" x14ac:dyDescent="0.15">
      <c r="A2946" t="s">
        <v>21</v>
      </c>
      <c r="B2946">
        <v>1000120</v>
      </c>
      <c r="C2946">
        <v>362433</v>
      </c>
      <c r="F2946" s="7">
        <v>1</v>
      </c>
      <c r="G2946" s="7">
        <v>70</v>
      </c>
      <c r="H2946" s="8">
        <v>70</v>
      </c>
      <c r="J2946" t="s">
        <v>23</v>
      </c>
      <c r="K2946" s="7">
        <v>891</v>
      </c>
      <c r="L2946" s="9">
        <v>-1</v>
      </c>
      <c r="M2946" t="s">
        <v>32</v>
      </c>
      <c r="N2946" t="s">
        <v>33</v>
      </c>
      <c r="O2946" s="27" t="str">
        <f>HYPERLINK("https://www.ncbi.nlm.nih.gov/nuccore/NZ_CP017248.1?report=graph&amp;from=3773215&amp;to=3773219", "TTA_codon")</f>
        <v>TTA_codon</v>
      </c>
    </row>
    <row r="2947" spans="1:15" x14ac:dyDescent="0.15">
      <c r="A2947" t="s">
        <v>21</v>
      </c>
      <c r="B2947" t="s">
        <v>2440</v>
      </c>
    </row>
    <row r="2948" spans="1:15" x14ac:dyDescent="0.15">
      <c r="A2948" t="s">
        <v>21</v>
      </c>
      <c r="B2948">
        <v>1001191</v>
      </c>
      <c r="C2948">
        <v>355814</v>
      </c>
      <c r="F2948" s="7">
        <v>1</v>
      </c>
      <c r="G2948" s="7">
        <v>412</v>
      </c>
      <c r="H2948" s="8">
        <v>34</v>
      </c>
      <c r="J2948" t="s">
        <v>23</v>
      </c>
      <c r="K2948" s="7">
        <v>1263</v>
      </c>
      <c r="L2948" s="9">
        <v>-1</v>
      </c>
      <c r="M2948" t="s">
        <v>2441</v>
      </c>
      <c r="N2948" t="s">
        <v>75</v>
      </c>
      <c r="O2948" s="27" t="str">
        <f>HYPERLINK("https://www.ncbi.nlm.nih.gov/nuccore/NZ_JOII01000013.1?report=graph&amp;from=165761&amp;to=165765", "TTA_codon")</f>
        <v>TTA_codon</v>
      </c>
    </row>
    <row r="2949" spans="1:15" x14ac:dyDescent="0.15">
      <c r="A2949" t="s">
        <v>21</v>
      </c>
      <c r="B2949">
        <v>1001191</v>
      </c>
      <c r="C2949">
        <v>356769</v>
      </c>
      <c r="F2949" s="7">
        <v>2</v>
      </c>
      <c r="G2949" s="7" t="s">
        <v>2442</v>
      </c>
      <c r="H2949" s="8" t="s">
        <v>2442</v>
      </c>
      <c r="J2949" t="s">
        <v>23</v>
      </c>
      <c r="K2949" s="7">
        <v>1671</v>
      </c>
      <c r="L2949" s="9">
        <v>-1</v>
      </c>
      <c r="M2949" t="s">
        <v>147</v>
      </c>
      <c r="N2949" t="s">
        <v>148</v>
      </c>
      <c r="O2949" s="27" t="str">
        <f>HYPERLINK("https://www.ncbi.nlm.nih.gov/nuccore/NZ_CP021080.1?report=graph&amp;from=2783058&amp;to=2783149", "TTA_codon")</f>
        <v>TTA_codon</v>
      </c>
    </row>
    <row r="2950" spans="1:15" x14ac:dyDescent="0.15">
      <c r="A2950" t="s">
        <v>21</v>
      </c>
      <c r="B2950" t="s">
        <v>2443</v>
      </c>
    </row>
    <row r="2951" spans="1:15" x14ac:dyDescent="0.15">
      <c r="A2951" t="s">
        <v>21</v>
      </c>
      <c r="B2951">
        <v>1000754</v>
      </c>
      <c r="C2951">
        <v>351490</v>
      </c>
      <c r="F2951" s="7">
        <v>1</v>
      </c>
      <c r="G2951" s="7">
        <v>1099</v>
      </c>
      <c r="H2951" s="8">
        <v>832</v>
      </c>
      <c r="J2951" t="s">
        <v>23</v>
      </c>
      <c r="K2951" s="7">
        <v>1605</v>
      </c>
      <c r="L2951" s="9">
        <v>1</v>
      </c>
      <c r="M2951" t="s">
        <v>2444</v>
      </c>
      <c r="N2951" t="s">
        <v>138</v>
      </c>
      <c r="O2951" s="27" t="str">
        <f>HYPERLINK("https://www.ncbi.nlm.nih.gov/nuccore/NZ_KB889698.1?report=graph&amp;from=36248&amp;to=36252", "TTA_codon")</f>
        <v>TTA_codon</v>
      </c>
    </row>
    <row r="2952" spans="1:15" x14ac:dyDescent="0.15">
      <c r="A2952" t="s">
        <v>21</v>
      </c>
      <c r="B2952">
        <v>1000754</v>
      </c>
      <c r="C2952">
        <v>362669</v>
      </c>
      <c r="F2952" s="7">
        <v>2</v>
      </c>
      <c r="G2952" s="7" t="s">
        <v>2445</v>
      </c>
      <c r="H2952" s="8" t="s">
        <v>2446</v>
      </c>
      <c r="J2952" t="s">
        <v>23</v>
      </c>
      <c r="K2952" s="7">
        <v>1779</v>
      </c>
      <c r="L2952" s="9">
        <v>1</v>
      </c>
      <c r="M2952" t="s">
        <v>2447</v>
      </c>
      <c r="N2952" t="s">
        <v>985</v>
      </c>
      <c r="O2952" s="27" t="str">
        <f>HYPERLINK("https://www.ncbi.nlm.nih.gov/nuccore/NZ_LJGU01000096.1?report=graph&amp;from=11021&amp;to=11475", "TTA_codon")</f>
        <v>TTA_codon</v>
      </c>
    </row>
    <row r="2953" spans="1:15" x14ac:dyDescent="0.15">
      <c r="A2953" t="s">
        <v>21</v>
      </c>
      <c r="B2953">
        <v>1000754</v>
      </c>
      <c r="C2953">
        <v>364099</v>
      </c>
      <c r="F2953" s="7">
        <v>2</v>
      </c>
      <c r="G2953" s="7" t="s">
        <v>2448</v>
      </c>
      <c r="H2953" s="8" t="s">
        <v>2449</v>
      </c>
      <c r="J2953" t="s">
        <v>23</v>
      </c>
      <c r="K2953" s="7">
        <v>1842</v>
      </c>
      <c r="L2953" s="9">
        <v>1</v>
      </c>
      <c r="M2953" t="s">
        <v>254</v>
      </c>
      <c r="N2953" t="s">
        <v>255</v>
      </c>
      <c r="O2953" s="27" t="str">
        <f>HYPERLINK("https://www.ncbi.nlm.nih.gov/nuccore/NZ_CP018047.1?report=graph&amp;from=4254512&amp;to=4255401", "TTA_codon")</f>
        <v>TTA_codon</v>
      </c>
    </row>
    <row r="2954" spans="1:15" x14ac:dyDescent="0.15">
      <c r="A2954" t="s">
        <v>21</v>
      </c>
      <c r="B2954" t="s">
        <v>2450</v>
      </c>
    </row>
    <row r="2955" spans="1:15" x14ac:dyDescent="0.15">
      <c r="A2955" t="s">
        <v>21</v>
      </c>
      <c r="B2955">
        <v>1000417</v>
      </c>
      <c r="C2955">
        <v>348614</v>
      </c>
      <c r="F2955" s="7">
        <v>1</v>
      </c>
      <c r="G2955" s="7">
        <v>301</v>
      </c>
      <c r="H2955" s="8">
        <v>301</v>
      </c>
      <c r="J2955" t="s">
        <v>23</v>
      </c>
      <c r="K2955" s="7">
        <v>426</v>
      </c>
      <c r="L2955" s="9">
        <v>-1</v>
      </c>
      <c r="M2955" t="s">
        <v>61</v>
      </c>
      <c r="N2955" t="s">
        <v>62</v>
      </c>
      <c r="O2955" s="27" t="str">
        <f>HYPERLINK("https://www.ncbi.nlm.nih.gov/nuccore/NZ_DS999641.1?report=graph&amp;from=1083816&amp;to=1083820", "TTA_codon")</f>
        <v>TTA_codon</v>
      </c>
    </row>
    <row r="2956" spans="1:15" x14ac:dyDescent="0.15">
      <c r="A2956" t="s">
        <v>21</v>
      </c>
      <c r="B2956">
        <v>1000417</v>
      </c>
      <c r="C2956">
        <v>359369</v>
      </c>
      <c r="F2956" s="7">
        <v>1</v>
      </c>
      <c r="G2956" s="7">
        <v>256</v>
      </c>
      <c r="H2956" s="8">
        <v>256</v>
      </c>
      <c r="J2956" t="s">
        <v>23</v>
      </c>
      <c r="K2956" s="7">
        <v>429</v>
      </c>
      <c r="L2956" s="9">
        <v>-1</v>
      </c>
      <c r="M2956" t="s">
        <v>2451</v>
      </c>
      <c r="N2956" t="s">
        <v>89</v>
      </c>
      <c r="O2956" s="27" t="str">
        <f>HYPERLINK("https://www.ncbi.nlm.nih.gov/nuccore/NZ_LIRG01000066.1?report=graph&amp;from=17366&amp;to=17370", "TTA_codon")</f>
        <v>TTA_codon</v>
      </c>
    </row>
    <row r="2957" spans="1:15" x14ac:dyDescent="0.15">
      <c r="A2957" t="s">
        <v>21</v>
      </c>
      <c r="B2957" t="s">
        <v>2452</v>
      </c>
    </row>
    <row r="2958" spans="1:15" x14ac:dyDescent="0.15">
      <c r="A2958" t="s">
        <v>21</v>
      </c>
      <c r="B2958">
        <v>1000731</v>
      </c>
      <c r="C2958">
        <v>351209</v>
      </c>
      <c r="F2958" s="7">
        <v>1</v>
      </c>
      <c r="G2958" s="7">
        <v>1102</v>
      </c>
      <c r="H2958" s="8">
        <v>1075</v>
      </c>
      <c r="J2958" t="s">
        <v>23</v>
      </c>
      <c r="K2958" s="7">
        <v>1143</v>
      </c>
      <c r="L2958" s="9">
        <v>1</v>
      </c>
      <c r="M2958" t="s">
        <v>65</v>
      </c>
      <c r="N2958" t="s">
        <v>66</v>
      </c>
      <c r="O2958" s="27" t="str">
        <f>HYPERLINK("https://www.ncbi.nlm.nih.gov/nuccore/NC_020504.1?report=graph&amp;from=1698597&amp;to=1698601", "TTA_codon")</f>
        <v>TTA_codon</v>
      </c>
    </row>
    <row r="2959" spans="1:15" x14ac:dyDescent="0.15">
      <c r="A2959" t="s">
        <v>21</v>
      </c>
      <c r="B2959">
        <v>1000731</v>
      </c>
      <c r="C2959">
        <v>354308</v>
      </c>
      <c r="F2959" s="7">
        <v>1</v>
      </c>
      <c r="G2959" s="7">
        <v>1090</v>
      </c>
      <c r="H2959" s="8">
        <v>1045</v>
      </c>
      <c r="J2959" t="s">
        <v>23</v>
      </c>
      <c r="K2959" s="7">
        <v>1110</v>
      </c>
      <c r="L2959" s="9">
        <v>1</v>
      </c>
      <c r="M2959" t="s">
        <v>2191</v>
      </c>
      <c r="N2959" t="s">
        <v>142</v>
      </c>
      <c r="O2959" s="27" t="str">
        <f>HYPERLINK("https://www.ncbi.nlm.nih.gov/nuccore/NZ_JOEI01000018.1?report=graph&amp;from=228632&amp;to=228636", "TTA_codon")</f>
        <v>TTA_codon</v>
      </c>
    </row>
    <row r="2960" spans="1:15" x14ac:dyDescent="0.15">
      <c r="A2960" t="s">
        <v>21</v>
      </c>
      <c r="B2960" t="s">
        <v>2453</v>
      </c>
    </row>
    <row r="2961" spans="1:15" x14ac:dyDescent="0.15">
      <c r="A2961" t="s">
        <v>21</v>
      </c>
      <c r="B2961">
        <v>1001234</v>
      </c>
      <c r="C2961">
        <v>357430</v>
      </c>
      <c r="F2961" s="7">
        <v>1</v>
      </c>
      <c r="G2961" s="7">
        <v>1027</v>
      </c>
      <c r="H2961" s="8">
        <v>859</v>
      </c>
      <c r="J2961" t="s">
        <v>23</v>
      </c>
      <c r="K2961" s="7">
        <v>1866</v>
      </c>
      <c r="L2961" s="9">
        <v>1</v>
      </c>
      <c r="M2961" t="s">
        <v>80</v>
      </c>
      <c r="N2961" t="s">
        <v>81</v>
      </c>
      <c r="O2961" s="27" t="str">
        <f>HYPERLINK("https://www.ncbi.nlm.nih.gov/nuccore/NZ_LN831790.1?report=graph&amp;from=191363&amp;to=191367", "TTA_codon")</f>
        <v>TTA_codon</v>
      </c>
    </row>
    <row r="2962" spans="1:15" x14ac:dyDescent="0.15">
      <c r="A2962" t="s">
        <v>21</v>
      </c>
      <c r="B2962">
        <v>1001234</v>
      </c>
      <c r="C2962">
        <v>363957</v>
      </c>
      <c r="F2962" s="7">
        <v>1</v>
      </c>
      <c r="G2962" s="7">
        <v>934</v>
      </c>
      <c r="H2962" s="8">
        <v>835</v>
      </c>
      <c r="J2962" t="s">
        <v>23</v>
      </c>
      <c r="K2962" s="7">
        <v>1968</v>
      </c>
      <c r="L2962" s="9">
        <v>1</v>
      </c>
      <c r="M2962" t="s">
        <v>2454</v>
      </c>
      <c r="N2962" t="s">
        <v>104</v>
      </c>
      <c r="O2962" s="27" t="str">
        <f>HYPERLINK("https://www.ncbi.nlm.nih.gov/nuccore/NZ_MVFC01000015.1?report=graph&amp;from=65820&amp;to=65824", "TTA_codon")</f>
        <v>TTA_codon</v>
      </c>
    </row>
    <row r="2963" spans="1:15" x14ac:dyDescent="0.15">
      <c r="A2963" t="s">
        <v>21</v>
      </c>
      <c r="B2963">
        <v>1001234</v>
      </c>
      <c r="C2963">
        <v>365646</v>
      </c>
      <c r="F2963" s="7">
        <v>1</v>
      </c>
      <c r="G2963" s="7">
        <v>1054</v>
      </c>
      <c r="H2963" s="8">
        <v>964</v>
      </c>
      <c r="J2963" t="s">
        <v>23</v>
      </c>
      <c r="K2963" s="7">
        <v>1923</v>
      </c>
      <c r="L2963" s="9">
        <v>1</v>
      </c>
      <c r="M2963" t="s">
        <v>213</v>
      </c>
      <c r="N2963" t="s">
        <v>214</v>
      </c>
      <c r="O2963" s="27" t="str">
        <f>HYPERLINK("https://www.ncbi.nlm.nih.gov/nuccore/NZ_FNST01000002.1?report=graph&amp;from=8620935&amp;to=8620939", "TTA_codon")</f>
        <v>TTA_codon</v>
      </c>
    </row>
    <row r="2964" spans="1:15" x14ac:dyDescent="0.15">
      <c r="A2964" t="s">
        <v>21</v>
      </c>
      <c r="B2964" t="s">
        <v>2455</v>
      </c>
    </row>
    <row r="2965" spans="1:15" x14ac:dyDescent="0.15">
      <c r="A2965" t="s">
        <v>21</v>
      </c>
      <c r="B2965">
        <v>1001063</v>
      </c>
      <c r="C2965">
        <v>355012</v>
      </c>
      <c r="F2965" s="7">
        <v>1</v>
      </c>
      <c r="G2965" s="7">
        <v>1792</v>
      </c>
      <c r="H2965" s="8">
        <v>1654</v>
      </c>
      <c r="J2965" t="s">
        <v>23</v>
      </c>
      <c r="K2965" s="7">
        <v>2070</v>
      </c>
      <c r="L2965" s="9">
        <v>1</v>
      </c>
      <c r="M2965" t="s">
        <v>281</v>
      </c>
      <c r="N2965" t="s">
        <v>25</v>
      </c>
      <c r="O2965" s="27" t="str">
        <f>HYPERLINK("https://www.ncbi.nlm.nih.gov/nuccore/NZ_JOFU01000030.1?report=graph&amp;from=73658&amp;to=73662", "TTA_codon")</f>
        <v>TTA_codon</v>
      </c>
    </row>
    <row r="2966" spans="1:15" x14ac:dyDescent="0.15">
      <c r="A2966" t="s">
        <v>21</v>
      </c>
      <c r="B2966">
        <v>1001063</v>
      </c>
      <c r="C2966">
        <v>358211</v>
      </c>
      <c r="F2966" s="7">
        <v>2</v>
      </c>
      <c r="G2966" s="7" t="s">
        <v>2456</v>
      </c>
      <c r="H2966" s="8" t="s">
        <v>2457</v>
      </c>
      <c r="J2966" t="s">
        <v>23</v>
      </c>
      <c r="K2966" s="7">
        <v>2118</v>
      </c>
      <c r="L2966" s="9">
        <v>1</v>
      </c>
      <c r="M2966" t="s">
        <v>1610</v>
      </c>
      <c r="N2966" t="s">
        <v>119</v>
      </c>
      <c r="O2966" s="27" t="str">
        <f>HYPERLINK("https://www.ncbi.nlm.nih.gov/nuccore/NZ_LIPP01000005.1?report=graph&amp;from=114004&amp;to=114092", "TTA_codon")</f>
        <v>TTA_codon</v>
      </c>
    </row>
    <row r="2967" spans="1:15" x14ac:dyDescent="0.15">
      <c r="A2967" t="s">
        <v>21</v>
      </c>
      <c r="B2967" t="s">
        <v>2458</v>
      </c>
    </row>
    <row r="2968" spans="1:15" x14ac:dyDescent="0.15">
      <c r="A2968" t="s">
        <v>21</v>
      </c>
      <c r="B2968">
        <v>1000413</v>
      </c>
      <c r="C2968">
        <v>348567</v>
      </c>
      <c r="F2968" s="7">
        <v>1</v>
      </c>
      <c r="G2968" s="7">
        <v>130</v>
      </c>
      <c r="H2968" s="8">
        <v>130</v>
      </c>
      <c r="J2968" t="s">
        <v>23</v>
      </c>
      <c r="K2968" s="7">
        <v>513</v>
      </c>
      <c r="L2968" s="9">
        <v>-1</v>
      </c>
      <c r="M2968" t="s">
        <v>61</v>
      </c>
      <c r="N2968" t="s">
        <v>62</v>
      </c>
      <c r="O2968" s="27" t="str">
        <f>HYPERLINK("https://www.ncbi.nlm.nih.gov/nuccore/NZ_DS999641.1?report=graph&amp;from=1647689&amp;to=1647693", "TTA_codon")</f>
        <v>TTA_codon</v>
      </c>
    </row>
    <row r="2969" spans="1:15" x14ac:dyDescent="0.15">
      <c r="A2969" t="s">
        <v>21</v>
      </c>
      <c r="B2969">
        <v>1000413</v>
      </c>
      <c r="C2969">
        <v>349382</v>
      </c>
      <c r="F2969" s="7">
        <v>1</v>
      </c>
      <c r="G2969" s="7">
        <v>130</v>
      </c>
      <c r="H2969" s="8">
        <v>130</v>
      </c>
      <c r="J2969" t="s">
        <v>23</v>
      </c>
      <c r="K2969" s="7">
        <v>513</v>
      </c>
      <c r="L2969" s="9">
        <v>-1</v>
      </c>
      <c r="M2969" t="s">
        <v>458</v>
      </c>
      <c r="N2969" t="s">
        <v>315</v>
      </c>
      <c r="O2969" s="27" t="str">
        <f>HYPERLINK("https://www.ncbi.nlm.nih.gov/nuccore/NC_003888.3?report=graph&amp;from=7068000&amp;to=7068004", "TTA_codon")</f>
        <v>TTA_codon</v>
      </c>
    </row>
    <row r="2970" spans="1:15" x14ac:dyDescent="0.15">
      <c r="A2970" t="s">
        <v>21</v>
      </c>
      <c r="B2970">
        <v>1000413</v>
      </c>
      <c r="C2970">
        <v>349431</v>
      </c>
      <c r="F2970" s="7">
        <v>1</v>
      </c>
      <c r="G2970" s="7">
        <v>130</v>
      </c>
      <c r="H2970" s="8">
        <v>130</v>
      </c>
      <c r="J2970" t="s">
        <v>23</v>
      </c>
      <c r="K2970" s="7">
        <v>513</v>
      </c>
      <c r="L2970" s="9">
        <v>-1</v>
      </c>
      <c r="M2970" t="s">
        <v>458</v>
      </c>
      <c r="N2970" t="s">
        <v>315</v>
      </c>
      <c r="O2970" s="27" t="str">
        <f>HYPERLINK("https://www.ncbi.nlm.nih.gov/nuccore/NC_003888.3?report=graph&amp;from=1715546&amp;to=1715550", "TTA_codon")</f>
        <v>TTA_codon</v>
      </c>
    </row>
    <row r="2971" spans="1:15" x14ac:dyDescent="0.15">
      <c r="A2971" t="s">
        <v>21</v>
      </c>
      <c r="B2971">
        <v>1000413</v>
      </c>
      <c r="C2971">
        <v>350974</v>
      </c>
      <c r="F2971" s="7">
        <v>1</v>
      </c>
      <c r="G2971" s="7">
        <v>130</v>
      </c>
      <c r="H2971" s="8">
        <v>130</v>
      </c>
      <c r="J2971" t="s">
        <v>23</v>
      </c>
      <c r="K2971" s="7">
        <v>516</v>
      </c>
      <c r="L2971" s="9">
        <v>-1</v>
      </c>
      <c r="M2971" t="s">
        <v>556</v>
      </c>
      <c r="N2971" t="s">
        <v>51</v>
      </c>
      <c r="O2971" s="27" t="str">
        <f>HYPERLINK("https://www.ncbi.nlm.nih.gov/nuccore/NZ_AEJB01000371.1?report=graph&amp;from=17207&amp;to=17211", "TTA_codon")</f>
        <v>TTA_codon</v>
      </c>
    </row>
    <row r="2972" spans="1:15" x14ac:dyDescent="0.15">
      <c r="A2972" t="s">
        <v>21</v>
      </c>
      <c r="B2972">
        <v>1000413</v>
      </c>
      <c r="C2972">
        <v>358522</v>
      </c>
      <c r="F2972" s="7">
        <v>1</v>
      </c>
      <c r="G2972" s="7">
        <v>130</v>
      </c>
      <c r="H2972" s="8">
        <v>130</v>
      </c>
      <c r="J2972" t="s">
        <v>23</v>
      </c>
      <c r="K2972" s="7">
        <v>510</v>
      </c>
      <c r="L2972" s="9">
        <v>-1</v>
      </c>
      <c r="M2972" t="s">
        <v>2459</v>
      </c>
      <c r="N2972" t="s">
        <v>85</v>
      </c>
      <c r="O2972" s="27" t="str">
        <f>HYPERLINK("https://www.ncbi.nlm.nih.gov/nuccore/NZ_LIQX01000536.1?report=graph&amp;from=6307&amp;to=6311", "TTA_codon")</f>
        <v>TTA_codon</v>
      </c>
    </row>
    <row r="2973" spans="1:15" x14ac:dyDescent="0.15">
      <c r="A2973" t="s">
        <v>21</v>
      </c>
      <c r="B2973" t="s">
        <v>2460</v>
      </c>
    </row>
    <row r="2974" spans="1:15" x14ac:dyDescent="0.15">
      <c r="A2974" t="s">
        <v>21</v>
      </c>
      <c r="B2974">
        <v>1001193</v>
      </c>
      <c r="C2974">
        <v>356806</v>
      </c>
      <c r="F2974" s="7">
        <v>1</v>
      </c>
      <c r="G2974" s="7">
        <v>97</v>
      </c>
      <c r="H2974" s="8">
        <v>97</v>
      </c>
      <c r="J2974" t="s">
        <v>23</v>
      </c>
      <c r="K2974" s="7">
        <v>798</v>
      </c>
      <c r="L2974" s="9">
        <v>1</v>
      </c>
      <c r="M2974" t="s">
        <v>147</v>
      </c>
      <c r="N2974" t="s">
        <v>148</v>
      </c>
      <c r="O2974" s="27" t="str">
        <f>HYPERLINK("https://www.ncbi.nlm.nih.gov/nuccore/NZ_CP021080.1?report=graph&amp;from=4243742&amp;to=4243746", "TTA_codon")</f>
        <v>TTA_codon</v>
      </c>
    </row>
    <row r="2975" spans="1:15" x14ac:dyDescent="0.15">
      <c r="A2975" t="s">
        <v>21</v>
      </c>
      <c r="B2975">
        <v>1001193</v>
      </c>
      <c r="C2975">
        <v>363517</v>
      </c>
      <c r="F2975" s="7">
        <v>1</v>
      </c>
      <c r="G2975" s="7">
        <v>97</v>
      </c>
      <c r="H2975" s="8">
        <v>43</v>
      </c>
      <c r="J2975" t="s">
        <v>23</v>
      </c>
      <c r="K2975" s="7">
        <v>825</v>
      </c>
      <c r="L2975" s="9">
        <v>1</v>
      </c>
      <c r="M2975" t="s">
        <v>157</v>
      </c>
      <c r="N2975" t="s">
        <v>158</v>
      </c>
      <c r="O2975" s="27" t="str">
        <f>HYPERLINK("https://www.ncbi.nlm.nih.gov/nuccore/NZ_CP015588.1?report=graph&amp;from=4926135&amp;to=4926139", "TTA_codon")</f>
        <v>TTA_codon</v>
      </c>
    </row>
    <row r="2976" spans="1:15" x14ac:dyDescent="0.15">
      <c r="A2976" t="s">
        <v>21</v>
      </c>
      <c r="B2976" t="s">
        <v>2461</v>
      </c>
    </row>
    <row r="2977" spans="1:15" x14ac:dyDescent="0.15">
      <c r="A2977" t="s">
        <v>21</v>
      </c>
      <c r="B2977">
        <v>1000350</v>
      </c>
      <c r="C2977">
        <v>348139</v>
      </c>
      <c r="F2977" s="7">
        <v>1</v>
      </c>
      <c r="G2977" s="7">
        <v>313</v>
      </c>
      <c r="H2977" s="8">
        <v>202</v>
      </c>
      <c r="J2977" t="s">
        <v>23</v>
      </c>
      <c r="K2977" s="7">
        <v>405</v>
      </c>
      <c r="L2977" s="9">
        <v>-1</v>
      </c>
      <c r="M2977" t="s">
        <v>59</v>
      </c>
      <c r="N2977" t="s">
        <v>60</v>
      </c>
      <c r="O2977" s="27" t="str">
        <f>HYPERLINK("https://www.ncbi.nlm.nih.gov/nuccore/NC_016582.1?report=graph&amp;from=4881694&amp;to=4881698", "TTA_codon")</f>
        <v>TTA_codon</v>
      </c>
    </row>
    <row r="2978" spans="1:15" x14ac:dyDescent="0.15">
      <c r="A2978" t="s">
        <v>21</v>
      </c>
      <c r="B2978">
        <v>1000350</v>
      </c>
      <c r="C2978">
        <v>355650</v>
      </c>
      <c r="F2978" s="7">
        <v>1</v>
      </c>
      <c r="G2978" s="7">
        <v>295</v>
      </c>
      <c r="H2978" s="8">
        <v>295</v>
      </c>
      <c r="J2978" t="s">
        <v>23</v>
      </c>
      <c r="K2978" s="7">
        <v>540</v>
      </c>
      <c r="L2978" s="9">
        <v>-1</v>
      </c>
      <c r="M2978" t="s">
        <v>1094</v>
      </c>
      <c r="N2978" t="s">
        <v>278</v>
      </c>
      <c r="O2978" s="27" t="str">
        <f>HYPERLINK("https://www.ncbi.nlm.nih.gov/nuccore/NZ_JOID01000017.1?report=graph&amp;from=99941&amp;to=99945", "TTA_codon")</f>
        <v>TTA_codon</v>
      </c>
    </row>
    <row r="2979" spans="1:15" x14ac:dyDescent="0.15">
      <c r="A2979" t="s">
        <v>21</v>
      </c>
      <c r="B2979" t="s">
        <v>2462</v>
      </c>
    </row>
    <row r="2980" spans="1:15" x14ac:dyDescent="0.15">
      <c r="A2980" t="s">
        <v>21</v>
      </c>
      <c r="B2980">
        <v>1001336</v>
      </c>
      <c r="C2980">
        <v>352528</v>
      </c>
      <c r="F2980" s="7">
        <v>1</v>
      </c>
      <c r="G2980" s="7">
        <v>205</v>
      </c>
      <c r="H2980" s="8">
        <v>154</v>
      </c>
      <c r="J2980" t="s">
        <v>23</v>
      </c>
      <c r="K2980" s="7">
        <v>1164</v>
      </c>
      <c r="L2980" s="9">
        <v>-1</v>
      </c>
      <c r="M2980" t="s">
        <v>30</v>
      </c>
      <c r="N2980" t="s">
        <v>31</v>
      </c>
      <c r="O2980" s="27" t="str">
        <f>HYPERLINK("https://www.ncbi.nlm.nih.gov/nuccore/NZ_KB913030.1?report=graph&amp;from=1914270&amp;to=1914274", "TTA_codon")</f>
        <v>TTA_codon</v>
      </c>
    </row>
    <row r="2981" spans="1:15" x14ac:dyDescent="0.15">
      <c r="A2981" t="s">
        <v>21</v>
      </c>
      <c r="B2981">
        <v>1001336</v>
      </c>
      <c r="C2981">
        <v>360281</v>
      </c>
      <c r="F2981" s="7">
        <v>1</v>
      </c>
      <c r="G2981" s="7">
        <v>118</v>
      </c>
      <c r="H2981" s="8">
        <v>118</v>
      </c>
      <c r="J2981" t="s">
        <v>23</v>
      </c>
      <c r="K2981" s="7">
        <v>1392</v>
      </c>
      <c r="L2981" s="9">
        <v>-1</v>
      </c>
      <c r="M2981" t="s">
        <v>2463</v>
      </c>
      <c r="N2981" t="s">
        <v>125</v>
      </c>
      <c r="O2981" s="27" t="str">
        <f>HYPERLINK("https://www.ncbi.nlm.nih.gov/nuccore/NZ_KQ948488.1?report=graph&amp;from=15439&amp;to=15443", "TTA_codon")</f>
        <v>TTA_codon</v>
      </c>
    </row>
    <row r="2982" spans="1:15" x14ac:dyDescent="0.15">
      <c r="A2982" t="s">
        <v>21</v>
      </c>
      <c r="B2982" t="s">
        <v>2464</v>
      </c>
    </row>
    <row r="2983" spans="1:15" x14ac:dyDescent="0.15">
      <c r="A2983" t="s">
        <v>21</v>
      </c>
      <c r="B2983">
        <v>1000387</v>
      </c>
      <c r="C2983">
        <v>348358</v>
      </c>
      <c r="F2983" s="7">
        <v>1</v>
      </c>
      <c r="G2983" s="7">
        <v>394</v>
      </c>
      <c r="H2983" s="8">
        <v>376</v>
      </c>
      <c r="J2983" t="s">
        <v>23</v>
      </c>
      <c r="K2983" s="7">
        <v>765</v>
      </c>
      <c r="L2983" s="9">
        <v>1</v>
      </c>
      <c r="M2983" t="s">
        <v>59</v>
      </c>
      <c r="N2983" t="s">
        <v>60</v>
      </c>
      <c r="O2983" s="27" t="str">
        <f>HYPERLINK("https://www.ncbi.nlm.nih.gov/nuccore/NC_016582.1?report=graph&amp;from=6993908&amp;to=6993912", "TTA_codon")</f>
        <v>TTA_codon</v>
      </c>
    </row>
    <row r="2984" spans="1:15" x14ac:dyDescent="0.15">
      <c r="A2984" t="s">
        <v>21</v>
      </c>
      <c r="B2984">
        <v>1000387</v>
      </c>
      <c r="C2984">
        <v>349500</v>
      </c>
      <c r="F2984" s="7">
        <v>1</v>
      </c>
      <c r="G2984" s="7">
        <v>427</v>
      </c>
      <c r="H2984" s="8">
        <v>376</v>
      </c>
      <c r="J2984" t="s">
        <v>23</v>
      </c>
      <c r="K2984" s="7">
        <v>774</v>
      </c>
      <c r="L2984" s="9">
        <v>1</v>
      </c>
      <c r="M2984" t="s">
        <v>2465</v>
      </c>
      <c r="N2984" t="s">
        <v>64</v>
      </c>
      <c r="O2984" s="27" t="str">
        <f>HYPERLINK("https://www.ncbi.nlm.nih.gov/nuccore/NZ_AEYX01000045.1?report=graph&amp;from=234079&amp;to=234083", "TTA_codon")</f>
        <v>TTA_codon</v>
      </c>
    </row>
    <row r="2985" spans="1:15" x14ac:dyDescent="0.15">
      <c r="A2985" t="s">
        <v>21</v>
      </c>
      <c r="B2985">
        <v>1000387</v>
      </c>
      <c r="C2985">
        <v>350913</v>
      </c>
      <c r="F2985" s="7">
        <v>1</v>
      </c>
      <c r="G2985" s="7">
        <v>505</v>
      </c>
      <c r="H2985" s="8">
        <v>454</v>
      </c>
      <c r="J2985" t="s">
        <v>23</v>
      </c>
      <c r="K2985" s="7">
        <v>732</v>
      </c>
      <c r="L2985" s="9">
        <v>1</v>
      </c>
      <c r="M2985" t="s">
        <v>2466</v>
      </c>
      <c r="N2985" t="s">
        <v>51</v>
      </c>
      <c r="O2985" s="27" t="str">
        <f>HYPERLINK("https://www.ncbi.nlm.nih.gov/nuccore/NZ_AEJB01000271.1?report=graph&amp;from=13637&amp;to=13641", "TTA_codon")</f>
        <v>TTA_codon</v>
      </c>
    </row>
    <row r="2986" spans="1:15" x14ac:dyDescent="0.15">
      <c r="A2986" t="s">
        <v>21</v>
      </c>
      <c r="B2986">
        <v>1000387</v>
      </c>
      <c r="C2986">
        <v>355016</v>
      </c>
      <c r="F2986" s="7">
        <v>1</v>
      </c>
      <c r="G2986" s="7">
        <v>394</v>
      </c>
      <c r="H2986" s="8">
        <v>343</v>
      </c>
      <c r="J2986" t="s">
        <v>23</v>
      </c>
      <c r="K2986" s="7">
        <v>732</v>
      </c>
      <c r="L2986" s="9">
        <v>1</v>
      </c>
      <c r="M2986" t="s">
        <v>1363</v>
      </c>
      <c r="N2986" t="s">
        <v>25</v>
      </c>
      <c r="O2986" s="27" t="str">
        <f>HYPERLINK("https://www.ncbi.nlm.nih.gov/nuccore/NZ_JOFU01000025.1?report=graph&amp;from=14495&amp;to=14499", "TTA_codon")</f>
        <v>TTA_codon</v>
      </c>
    </row>
    <row r="2987" spans="1:15" x14ac:dyDescent="0.15">
      <c r="A2987" t="s">
        <v>21</v>
      </c>
      <c r="B2987">
        <v>1000387</v>
      </c>
      <c r="C2987">
        <v>356962</v>
      </c>
      <c r="F2987" s="7">
        <v>1</v>
      </c>
      <c r="G2987" s="7">
        <v>556</v>
      </c>
      <c r="H2987" s="8">
        <v>505</v>
      </c>
      <c r="J2987" t="s">
        <v>23</v>
      </c>
      <c r="K2987" s="7">
        <v>735</v>
      </c>
      <c r="L2987" s="9">
        <v>1</v>
      </c>
      <c r="M2987" t="s">
        <v>78</v>
      </c>
      <c r="N2987" t="s">
        <v>79</v>
      </c>
      <c r="O2987" s="27" t="str">
        <f>HYPERLINK("https://www.ncbi.nlm.nih.gov/nuccore/NZ_CP009313.1?report=graph&amp;from=3238357&amp;to=3238361", "TTA_codon")</f>
        <v>TTA_codon</v>
      </c>
    </row>
    <row r="2988" spans="1:15" x14ac:dyDescent="0.15">
      <c r="A2988" t="s">
        <v>21</v>
      </c>
      <c r="B2988">
        <v>1000387</v>
      </c>
      <c r="C2988">
        <v>357867</v>
      </c>
      <c r="F2988" s="7">
        <v>1</v>
      </c>
      <c r="G2988" s="7">
        <v>505</v>
      </c>
      <c r="H2988" s="8">
        <v>454</v>
      </c>
      <c r="J2988" t="s">
        <v>23</v>
      </c>
      <c r="K2988" s="7">
        <v>732</v>
      </c>
      <c r="L2988" s="9">
        <v>1</v>
      </c>
      <c r="M2988" t="s">
        <v>2467</v>
      </c>
      <c r="N2988" t="s">
        <v>83</v>
      </c>
      <c r="O2988" s="27" t="str">
        <f>HYPERLINK("https://www.ncbi.nlm.nih.gov/nuccore/NZ_DF968220.1?report=graph&amp;from=108549&amp;to=108553", "TTA_codon")</f>
        <v>TTA_codon</v>
      </c>
    </row>
    <row r="2989" spans="1:15" x14ac:dyDescent="0.15">
      <c r="A2989" t="s">
        <v>21</v>
      </c>
      <c r="B2989">
        <v>1000387</v>
      </c>
      <c r="C2989">
        <v>359898</v>
      </c>
      <c r="F2989" s="7">
        <v>1</v>
      </c>
      <c r="G2989" s="7">
        <v>394</v>
      </c>
      <c r="H2989" s="8">
        <v>343</v>
      </c>
      <c r="J2989" t="s">
        <v>23</v>
      </c>
      <c r="K2989" s="7">
        <v>732</v>
      </c>
      <c r="L2989" s="9">
        <v>1</v>
      </c>
      <c r="M2989" t="s">
        <v>417</v>
      </c>
      <c r="N2989" t="s">
        <v>91</v>
      </c>
      <c r="O2989" s="27" t="str">
        <f>HYPERLINK("https://www.ncbi.nlm.nih.gov/nuccore/NZ_KQ948309.1?report=graph&amp;from=235092&amp;to=235096", "TTA_codon")</f>
        <v>TTA_codon</v>
      </c>
    </row>
    <row r="2990" spans="1:15" x14ac:dyDescent="0.15">
      <c r="A2990" t="s">
        <v>21</v>
      </c>
      <c r="B2990">
        <v>1000387</v>
      </c>
      <c r="C2990">
        <v>362090</v>
      </c>
      <c r="F2990" s="7">
        <v>1</v>
      </c>
      <c r="G2990" s="7">
        <v>394</v>
      </c>
      <c r="H2990" s="8">
        <v>376</v>
      </c>
      <c r="J2990" t="s">
        <v>23</v>
      </c>
      <c r="K2990" s="7">
        <v>765</v>
      </c>
      <c r="L2990" s="9">
        <v>1</v>
      </c>
      <c r="M2990" t="s">
        <v>1185</v>
      </c>
      <c r="N2990" t="s">
        <v>187</v>
      </c>
      <c r="O2990" s="27" t="str">
        <f>HYPERLINK("https://www.ncbi.nlm.nih.gov/nuccore/NZ_MAXF01000077.1?report=graph&amp;from=19647&amp;to=19651", "TTA_codon")</f>
        <v>TTA_codon</v>
      </c>
    </row>
    <row r="2991" spans="1:15" x14ac:dyDescent="0.15">
      <c r="A2991" t="s">
        <v>21</v>
      </c>
      <c r="B2991">
        <v>1000387</v>
      </c>
      <c r="C2991">
        <v>363745</v>
      </c>
      <c r="F2991" s="7">
        <v>1</v>
      </c>
      <c r="G2991" s="7">
        <v>394</v>
      </c>
      <c r="H2991" s="8">
        <v>367</v>
      </c>
      <c r="J2991" t="s">
        <v>23</v>
      </c>
      <c r="K2991" s="7">
        <v>756</v>
      </c>
      <c r="L2991" s="9">
        <v>1</v>
      </c>
      <c r="M2991" t="s">
        <v>101</v>
      </c>
      <c r="N2991" t="s">
        <v>102</v>
      </c>
      <c r="O2991" s="27" t="str">
        <f>HYPERLINK("https://www.ncbi.nlm.nih.gov/nuccore/NZ_CP019458.1?report=graph&amp;from=6080871&amp;to=6080875", "TTA_codon")</f>
        <v>TTA_codon</v>
      </c>
    </row>
    <row r="2992" spans="1:15" x14ac:dyDescent="0.15">
      <c r="A2992" t="s">
        <v>21</v>
      </c>
      <c r="B2992">
        <v>1000387</v>
      </c>
      <c r="C2992">
        <v>364723</v>
      </c>
      <c r="F2992" s="7">
        <v>1</v>
      </c>
      <c r="G2992" s="7">
        <v>508</v>
      </c>
      <c r="H2992" s="8">
        <v>457</v>
      </c>
      <c r="J2992" t="s">
        <v>23</v>
      </c>
      <c r="K2992" s="7">
        <v>732</v>
      </c>
      <c r="L2992" s="9">
        <v>1</v>
      </c>
      <c r="M2992" t="s">
        <v>2468</v>
      </c>
      <c r="N2992" t="s">
        <v>110</v>
      </c>
      <c r="O2992" s="27" t="str">
        <f>HYPERLINK("https://www.ncbi.nlm.nih.gov/nuccore/NZ_MUME01000326.1?report=graph&amp;from=2327&amp;to=2331", "TTA_codon")</f>
        <v>TTA_codon</v>
      </c>
    </row>
    <row r="2993" spans="1:15" x14ac:dyDescent="0.15">
      <c r="A2993" t="s">
        <v>21</v>
      </c>
      <c r="B2993">
        <v>1000387</v>
      </c>
      <c r="C2993">
        <v>365733</v>
      </c>
      <c r="F2993" s="7">
        <v>1</v>
      </c>
      <c r="G2993" s="7">
        <v>394</v>
      </c>
      <c r="H2993" s="8">
        <v>367</v>
      </c>
      <c r="J2993" t="s">
        <v>23</v>
      </c>
      <c r="K2993" s="7">
        <v>756</v>
      </c>
      <c r="L2993" s="9">
        <v>1</v>
      </c>
      <c r="M2993" t="s">
        <v>213</v>
      </c>
      <c r="N2993" t="s">
        <v>214</v>
      </c>
      <c r="O2993" s="27" t="str">
        <f>HYPERLINK("https://www.ncbi.nlm.nih.gov/nuccore/NZ_FNST01000002.1?report=graph&amp;from=3672896&amp;to=3672900", "TTA_codon")</f>
        <v>TTA_codon</v>
      </c>
    </row>
    <row r="2994" spans="1:15" x14ac:dyDescent="0.15">
      <c r="A2994" t="s">
        <v>21</v>
      </c>
      <c r="B2994" t="s">
        <v>2469</v>
      </c>
    </row>
    <row r="2995" spans="1:15" x14ac:dyDescent="0.15">
      <c r="A2995" t="s">
        <v>21</v>
      </c>
      <c r="B2995">
        <v>1001345</v>
      </c>
      <c r="C2995">
        <v>360709</v>
      </c>
      <c r="F2995" s="7">
        <v>1</v>
      </c>
      <c r="G2995" s="7">
        <v>874</v>
      </c>
      <c r="H2995" s="8">
        <v>865</v>
      </c>
      <c r="J2995" t="s">
        <v>23</v>
      </c>
      <c r="K2995" s="7">
        <v>951</v>
      </c>
      <c r="L2995" s="9">
        <v>1</v>
      </c>
      <c r="M2995" t="s">
        <v>1503</v>
      </c>
      <c r="N2995" t="s">
        <v>95</v>
      </c>
      <c r="O2995" s="27" t="str">
        <f>HYPERLINK("https://www.ncbi.nlm.nih.gov/nuccore/NZ_JYIJ01000017.1?report=graph&amp;from=170592&amp;to=170596", "TTA_codon")</f>
        <v>TTA_codon</v>
      </c>
    </row>
    <row r="2996" spans="1:15" x14ac:dyDescent="0.15">
      <c r="A2996" t="s">
        <v>21</v>
      </c>
      <c r="B2996">
        <v>1001345</v>
      </c>
      <c r="C2996">
        <v>363643</v>
      </c>
      <c r="F2996" s="7">
        <v>1</v>
      </c>
      <c r="G2996" s="7">
        <v>793</v>
      </c>
      <c r="H2996" s="8">
        <v>781</v>
      </c>
      <c r="J2996" t="s">
        <v>23</v>
      </c>
      <c r="K2996" s="7">
        <v>954</v>
      </c>
      <c r="L2996" s="9">
        <v>1</v>
      </c>
      <c r="M2996" t="s">
        <v>101</v>
      </c>
      <c r="N2996" t="s">
        <v>102</v>
      </c>
      <c r="O2996" s="27" t="str">
        <f>HYPERLINK("https://www.ncbi.nlm.nih.gov/nuccore/NZ_CP019458.1?report=graph&amp;from=4762857&amp;to=4762861", "TTA_codon")</f>
        <v>TTA_codon</v>
      </c>
    </row>
    <row r="2997" spans="1:15" x14ac:dyDescent="0.15">
      <c r="A2997" t="s">
        <v>21</v>
      </c>
      <c r="B2997" t="s">
        <v>2470</v>
      </c>
    </row>
    <row r="2998" spans="1:15" x14ac:dyDescent="0.15">
      <c r="A2998" t="s">
        <v>21</v>
      </c>
      <c r="B2998">
        <v>1000174</v>
      </c>
      <c r="C2998">
        <v>347265</v>
      </c>
      <c r="F2998" s="7">
        <v>1</v>
      </c>
      <c r="G2998" s="7">
        <v>442</v>
      </c>
      <c r="H2998" s="8">
        <v>442</v>
      </c>
      <c r="J2998" t="s">
        <v>23</v>
      </c>
      <c r="K2998" s="7">
        <v>1137</v>
      </c>
      <c r="L2998" s="9">
        <v>-1</v>
      </c>
      <c r="M2998" t="s">
        <v>53</v>
      </c>
      <c r="N2998" t="s">
        <v>54</v>
      </c>
      <c r="O2998" s="27" t="str">
        <f>HYPERLINK("https://www.ncbi.nlm.nih.gov/nuccore/NC_003155.5?report=graph&amp;from=1494680&amp;to=1494684", "TTA_codon")</f>
        <v>TTA_codon</v>
      </c>
    </row>
    <row r="2999" spans="1:15" x14ac:dyDescent="0.15">
      <c r="A2999" t="s">
        <v>21</v>
      </c>
      <c r="B2999">
        <v>1000174</v>
      </c>
      <c r="C2999">
        <v>347778</v>
      </c>
      <c r="F2999" s="7">
        <v>1</v>
      </c>
      <c r="G2999" s="7">
        <v>442</v>
      </c>
      <c r="H2999" s="8">
        <v>442</v>
      </c>
      <c r="J2999" t="s">
        <v>23</v>
      </c>
      <c r="K2999" s="7">
        <v>1134</v>
      </c>
      <c r="L2999" s="9">
        <v>-1</v>
      </c>
      <c r="M2999" t="s">
        <v>57</v>
      </c>
      <c r="N2999" t="s">
        <v>58</v>
      </c>
      <c r="O2999" s="27" t="str">
        <f>HYPERLINK("https://www.ncbi.nlm.nih.gov/nuccore/NC_013929.1?report=graph&amp;from=4969111&amp;to=4969115", "TTA_codon")</f>
        <v>TTA_codon</v>
      </c>
    </row>
    <row r="3000" spans="1:15" x14ac:dyDescent="0.15">
      <c r="A3000" t="s">
        <v>21</v>
      </c>
      <c r="B3000">
        <v>1000174</v>
      </c>
      <c r="C3000">
        <v>349960</v>
      </c>
      <c r="F3000" s="7">
        <v>1</v>
      </c>
      <c r="G3000" s="7">
        <v>442</v>
      </c>
      <c r="H3000" s="8">
        <v>415</v>
      </c>
      <c r="J3000" t="s">
        <v>23</v>
      </c>
      <c r="K3000" s="7">
        <v>1110</v>
      </c>
      <c r="L3000" s="9">
        <v>-1</v>
      </c>
      <c r="M3000" t="s">
        <v>2424</v>
      </c>
      <c r="N3000" t="s">
        <v>249</v>
      </c>
      <c r="O3000" s="27" t="str">
        <f>HYPERLINK("https://www.ncbi.nlm.nih.gov/nuccore/NZ_AHBF01000230.1?report=graph&amp;from=1134&amp;to=1138", "TTA_codon")</f>
        <v>TTA_codon</v>
      </c>
    </row>
    <row r="3001" spans="1:15" x14ac:dyDescent="0.15">
      <c r="A3001" t="s">
        <v>21</v>
      </c>
      <c r="B3001">
        <v>1000174</v>
      </c>
      <c r="C3001">
        <v>357544</v>
      </c>
      <c r="F3001" s="7">
        <v>1</v>
      </c>
      <c r="G3001" s="7">
        <v>451</v>
      </c>
      <c r="H3001" s="8">
        <v>421</v>
      </c>
      <c r="J3001" t="s">
        <v>23</v>
      </c>
      <c r="K3001" s="7">
        <v>1107</v>
      </c>
      <c r="L3001" s="9">
        <v>-1</v>
      </c>
      <c r="M3001" t="s">
        <v>377</v>
      </c>
      <c r="N3001" t="s">
        <v>378</v>
      </c>
      <c r="O3001" s="27" t="str">
        <f>HYPERLINK("https://www.ncbi.nlm.nih.gov/nuccore/NZ_LFXA01000009.1?report=graph&amp;from=758855&amp;to=758859", "TTA_codon")</f>
        <v>TTA_codon</v>
      </c>
    </row>
    <row r="3002" spans="1:15" x14ac:dyDescent="0.15">
      <c r="A3002" t="s">
        <v>21</v>
      </c>
      <c r="B3002">
        <v>1000174</v>
      </c>
      <c r="C3002">
        <v>359825</v>
      </c>
      <c r="F3002" s="7">
        <v>1</v>
      </c>
      <c r="G3002" s="7">
        <v>442</v>
      </c>
      <c r="H3002" s="8">
        <v>442</v>
      </c>
      <c r="J3002" t="s">
        <v>23</v>
      </c>
      <c r="K3002" s="7">
        <v>678</v>
      </c>
      <c r="L3002" s="9">
        <v>-1</v>
      </c>
      <c r="M3002" t="s">
        <v>2471</v>
      </c>
      <c r="N3002" t="s">
        <v>91</v>
      </c>
      <c r="O3002" s="27" t="str">
        <f>HYPERLINK("https://www.ncbi.nlm.nih.gov/nuccore/NZ_KQ948336.1?report=graph&amp;from=298&amp;to=302", "TTA_codon")</f>
        <v>TTA_codon</v>
      </c>
    </row>
    <row r="3003" spans="1:15" x14ac:dyDescent="0.15">
      <c r="A3003" t="s">
        <v>21</v>
      </c>
      <c r="B3003" t="s">
        <v>2472</v>
      </c>
    </row>
    <row r="3004" spans="1:15" x14ac:dyDescent="0.15">
      <c r="A3004" t="s">
        <v>21</v>
      </c>
      <c r="B3004">
        <v>1000794</v>
      </c>
      <c r="C3004">
        <v>351935</v>
      </c>
      <c r="F3004" s="7">
        <v>1</v>
      </c>
      <c r="G3004" s="7">
        <v>154</v>
      </c>
      <c r="H3004" s="8">
        <v>154</v>
      </c>
      <c r="J3004" t="s">
        <v>23</v>
      </c>
      <c r="K3004" s="7">
        <v>1275</v>
      </c>
      <c r="L3004" s="9">
        <v>-1</v>
      </c>
      <c r="M3004" t="s">
        <v>440</v>
      </c>
      <c r="N3004" t="s">
        <v>68</v>
      </c>
      <c r="O3004" s="27" t="str">
        <f>HYPERLINK("https://www.ncbi.nlm.nih.gov/nuccore/NZ_BARG01000050.1?report=graph&amp;from=90030&amp;to=90034", "TTA_codon")</f>
        <v>TTA_codon</v>
      </c>
    </row>
    <row r="3005" spans="1:15" x14ac:dyDescent="0.15">
      <c r="A3005" t="s">
        <v>21</v>
      </c>
      <c r="B3005">
        <v>1000794</v>
      </c>
      <c r="C3005">
        <v>355678</v>
      </c>
      <c r="F3005" s="7">
        <v>1</v>
      </c>
      <c r="G3005" s="7">
        <v>154</v>
      </c>
      <c r="H3005" s="8">
        <v>154</v>
      </c>
      <c r="J3005" t="s">
        <v>23</v>
      </c>
      <c r="K3005" s="7">
        <v>1293</v>
      </c>
      <c r="L3005" s="9">
        <v>-1</v>
      </c>
      <c r="M3005" t="s">
        <v>2473</v>
      </c>
      <c r="N3005" t="s">
        <v>278</v>
      </c>
      <c r="O3005" s="27" t="str">
        <f>HYPERLINK("https://www.ncbi.nlm.nih.gov/nuccore/NZ_JOID01000011.1?report=graph&amp;from=196177&amp;to=196181", "TTA_codon")</f>
        <v>TTA_codon</v>
      </c>
    </row>
    <row r="3006" spans="1:15" x14ac:dyDescent="0.15">
      <c r="A3006" t="s">
        <v>21</v>
      </c>
      <c r="B3006" t="s">
        <v>2474</v>
      </c>
    </row>
    <row r="3007" spans="1:15" x14ac:dyDescent="0.15">
      <c r="A3007" t="s">
        <v>21</v>
      </c>
      <c r="B3007">
        <v>1000545</v>
      </c>
      <c r="C3007">
        <v>349751</v>
      </c>
      <c r="F3007" s="7">
        <v>1</v>
      </c>
      <c r="G3007" s="7">
        <v>331</v>
      </c>
      <c r="H3007" s="8">
        <v>331</v>
      </c>
      <c r="J3007" t="s">
        <v>23</v>
      </c>
      <c r="K3007" s="7">
        <v>1377</v>
      </c>
      <c r="L3007" s="9">
        <v>1</v>
      </c>
      <c r="M3007" t="s">
        <v>265</v>
      </c>
      <c r="N3007" t="s">
        <v>266</v>
      </c>
      <c r="O3007" s="27" t="str">
        <f>HYPERLINK("https://www.ncbi.nlm.nih.gov/nuccore/NC_017586.1?report=graph&amp;from=2520361&amp;to=2520365", "TTA_codon")</f>
        <v>TTA_codon</v>
      </c>
    </row>
    <row r="3008" spans="1:15" x14ac:dyDescent="0.15">
      <c r="A3008" t="s">
        <v>21</v>
      </c>
      <c r="B3008">
        <v>1000545</v>
      </c>
      <c r="C3008">
        <v>362861</v>
      </c>
      <c r="F3008" s="7">
        <v>1</v>
      </c>
      <c r="G3008" s="7">
        <v>427</v>
      </c>
      <c r="H3008" s="8">
        <v>154</v>
      </c>
      <c r="J3008" t="s">
        <v>23</v>
      </c>
      <c r="K3008" s="7">
        <v>1221</v>
      </c>
      <c r="L3008" s="9">
        <v>1</v>
      </c>
      <c r="M3008" t="s">
        <v>2475</v>
      </c>
      <c r="N3008" t="s">
        <v>156</v>
      </c>
      <c r="O3008" s="27" t="str">
        <f>HYPERLINK("https://www.ncbi.nlm.nih.gov/nuccore/NZ_LJGW01000141.1?report=graph&amp;from=269&amp;to=273", "TTA_codon")</f>
        <v>TTA_codon</v>
      </c>
    </row>
    <row r="3009" spans="1:15" x14ac:dyDescent="0.15">
      <c r="A3009" t="s">
        <v>21</v>
      </c>
      <c r="B3009" t="s">
        <v>2476</v>
      </c>
    </row>
    <row r="3010" spans="1:15" x14ac:dyDescent="0.15">
      <c r="A3010" t="s">
        <v>21</v>
      </c>
      <c r="B3010">
        <v>1001506</v>
      </c>
      <c r="C3010">
        <v>349275</v>
      </c>
      <c r="F3010" s="7">
        <v>1</v>
      </c>
      <c r="G3010" s="7">
        <v>40</v>
      </c>
      <c r="H3010" s="8">
        <v>40</v>
      </c>
      <c r="J3010" t="s">
        <v>23</v>
      </c>
      <c r="K3010" s="7">
        <v>918</v>
      </c>
      <c r="L3010" s="9">
        <v>-1</v>
      </c>
      <c r="M3010" t="s">
        <v>211</v>
      </c>
      <c r="N3010" t="s">
        <v>212</v>
      </c>
      <c r="O3010" s="27" t="str">
        <f>HYPERLINK("https://www.ncbi.nlm.nih.gov/nuccore/NZ_GG657754.1?report=graph&amp;from=10202800&amp;to=10202804", "TTA_codon")</f>
        <v>TTA_codon</v>
      </c>
    </row>
    <row r="3011" spans="1:15" x14ac:dyDescent="0.15">
      <c r="A3011" t="s">
        <v>21</v>
      </c>
      <c r="B3011">
        <v>1001506</v>
      </c>
      <c r="C3011">
        <v>353333</v>
      </c>
      <c r="F3011" s="7">
        <v>1</v>
      </c>
      <c r="G3011" s="7">
        <v>40</v>
      </c>
      <c r="H3011" s="8">
        <v>40</v>
      </c>
      <c r="J3011" t="s">
        <v>23</v>
      </c>
      <c r="K3011" s="7">
        <v>909</v>
      </c>
      <c r="L3011" s="9">
        <v>-1</v>
      </c>
      <c r="M3011" t="s">
        <v>2477</v>
      </c>
      <c r="N3011" t="s">
        <v>169</v>
      </c>
      <c r="O3011" s="27" t="str">
        <f>HYPERLINK("https://www.ncbi.nlm.nih.gov/nuccore/NZ_JNWJ01000003.1?report=graph&amp;from=29068&amp;to=29072", "TTA_codon")</f>
        <v>TTA_codon</v>
      </c>
    </row>
    <row r="3012" spans="1:15" x14ac:dyDescent="0.15">
      <c r="A3012" t="s">
        <v>21</v>
      </c>
      <c r="B3012">
        <v>1001506</v>
      </c>
      <c r="C3012">
        <v>365689</v>
      </c>
      <c r="F3012" s="7">
        <v>1</v>
      </c>
      <c r="G3012" s="7">
        <v>40</v>
      </c>
      <c r="H3012" s="8">
        <v>40</v>
      </c>
      <c r="J3012" t="s">
        <v>23</v>
      </c>
      <c r="K3012" s="7">
        <v>969</v>
      </c>
      <c r="L3012" s="9">
        <v>-1</v>
      </c>
      <c r="M3012" t="s">
        <v>213</v>
      </c>
      <c r="N3012" t="s">
        <v>214</v>
      </c>
      <c r="O3012" s="27" t="str">
        <f>HYPERLINK("https://www.ncbi.nlm.nih.gov/nuccore/NZ_FNST01000002.1?report=graph&amp;from=8196228&amp;to=8196232", "TTA_codon")</f>
        <v>TTA_codon</v>
      </c>
    </row>
    <row r="3013" spans="1:15" x14ac:dyDescent="0.15">
      <c r="A3013" t="s">
        <v>21</v>
      </c>
      <c r="B3013" t="s">
        <v>2478</v>
      </c>
    </row>
    <row r="3014" spans="1:15" x14ac:dyDescent="0.15">
      <c r="A3014" t="s">
        <v>21</v>
      </c>
      <c r="B3014">
        <v>1001495</v>
      </c>
      <c r="C3014">
        <v>365086</v>
      </c>
      <c r="F3014" s="7">
        <v>2</v>
      </c>
      <c r="G3014" s="7" t="s">
        <v>2479</v>
      </c>
      <c r="H3014" s="8" t="s">
        <v>2479</v>
      </c>
      <c r="J3014" t="s">
        <v>23</v>
      </c>
      <c r="K3014" s="7">
        <v>1122</v>
      </c>
      <c r="L3014" s="9">
        <v>-1</v>
      </c>
      <c r="M3014" t="s">
        <v>111</v>
      </c>
      <c r="N3014" t="s">
        <v>112</v>
      </c>
      <c r="O3014" s="27" t="str">
        <f>HYPERLINK("https://www.ncbi.nlm.nih.gov/nuccore/NZ_CP021744.1?report=graph&amp;from=6362036&amp;to=6362250", "TTA_codon")</f>
        <v>TTA_codon</v>
      </c>
    </row>
    <row r="3015" spans="1:15" x14ac:dyDescent="0.15">
      <c r="A3015" t="s">
        <v>21</v>
      </c>
      <c r="B3015">
        <v>1001495</v>
      </c>
      <c r="C3015">
        <v>365268</v>
      </c>
      <c r="F3015" s="7">
        <v>1</v>
      </c>
      <c r="G3015" s="7">
        <v>559</v>
      </c>
      <c r="H3015" s="8">
        <v>553</v>
      </c>
      <c r="J3015" t="s">
        <v>23</v>
      </c>
      <c r="K3015" s="7">
        <v>1116</v>
      </c>
      <c r="L3015" s="9">
        <v>-1</v>
      </c>
      <c r="M3015" t="s">
        <v>2480</v>
      </c>
      <c r="N3015" t="s">
        <v>347</v>
      </c>
      <c r="O3015" s="27" t="str">
        <f>HYPERLINK("https://www.ncbi.nlm.nih.gov/nuccore/NZ_FNFF01000015.1?report=graph&amp;from=138524&amp;to=138528", "TTA_codon")</f>
        <v>TTA_codon</v>
      </c>
    </row>
    <row r="3016" spans="1:15" x14ac:dyDescent="0.15">
      <c r="A3016" t="s">
        <v>21</v>
      </c>
      <c r="B3016" t="s">
        <v>2481</v>
      </c>
    </row>
    <row r="3017" spans="1:15" x14ac:dyDescent="0.15">
      <c r="A3017" t="s">
        <v>21</v>
      </c>
      <c r="B3017">
        <v>1001426</v>
      </c>
      <c r="C3017">
        <v>351426</v>
      </c>
      <c r="F3017" s="7">
        <v>2</v>
      </c>
      <c r="G3017" s="7" t="s">
        <v>2482</v>
      </c>
      <c r="H3017" s="8" t="s">
        <v>2483</v>
      </c>
      <c r="J3017" t="s">
        <v>23</v>
      </c>
      <c r="K3017" s="7">
        <v>3051</v>
      </c>
      <c r="L3017" s="9">
        <v>-1</v>
      </c>
      <c r="M3017" t="s">
        <v>65</v>
      </c>
      <c r="N3017" t="s">
        <v>66</v>
      </c>
      <c r="O3017" s="27" t="str">
        <f>HYPERLINK("https://www.ncbi.nlm.nih.gov/nuccore/NC_020504.1?report=graph&amp;from=7512865&amp;to=7514600", "TTA_codon")</f>
        <v>TTA_codon</v>
      </c>
    </row>
    <row r="3018" spans="1:15" x14ac:dyDescent="0.15">
      <c r="A3018" t="s">
        <v>21</v>
      </c>
      <c r="B3018">
        <v>1001426</v>
      </c>
      <c r="C3018">
        <v>352499</v>
      </c>
      <c r="F3018" s="7">
        <v>2</v>
      </c>
      <c r="G3018" s="7" t="s">
        <v>2484</v>
      </c>
      <c r="H3018" s="8" t="s">
        <v>2485</v>
      </c>
      <c r="J3018" t="s">
        <v>23</v>
      </c>
      <c r="K3018" s="7">
        <v>2850</v>
      </c>
      <c r="L3018" s="9">
        <v>-1</v>
      </c>
      <c r="M3018" t="s">
        <v>30</v>
      </c>
      <c r="N3018" t="s">
        <v>31</v>
      </c>
      <c r="O3018" s="27" t="str">
        <f>HYPERLINK("https://www.ncbi.nlm.nih.gov/nuccore/NZ_KB913030.1?report=graph&amp;from=4140573&amp;to=4142128", "TTA_codon")</f>
        <v>TTA_codon</v>
      </c>
    </row>
    <row r="3019" spans="1:15" x14ac:dyDescent="0.15">
      <c r="A3019" t="s">
        <v>21</v>
      </c>
      <c r="B3019">
        <v>1001426</v>
      </c>
      <c r="C3019">
        <v>355968</v>
      </c>
      <c r="F3019" s="7">
        <v>1</v>
      </c>
      <c r="G3019" s="7">
        <v>70</v>
      </c>
      <c r="H3019" s="8">
        <v>52</v>
      </c>
      <c r="J3019" t="s">
        <v>23</v>
      </c>
      <c r="K3019" s="7">
        <v>2943</v>
      </c>
      <c r="L3019" s="9">
        <v>-1</v>
      </c>
      <c r="M3019" t="s">
        <v>383</v>
      </c>
      <c r="N3019" t="s">
        <v>384</v>
      </c>
      <c r="O3019" s="27" t="str">
        <f>HYPERLINK("https://www.ncbi.nlm.nih.gov/nuccore/NZ_JOAK01000001.1?report=graph&amp;from=630794&amp;to=630798", "TTA_codon")</f>
        <v>TTA_codon</v>
      </c>
    </row>
    <row r="3020" spans="1:15" x14ac:dyDescent="0.15">
      <c r="A3020" t="s">
        <v>21</v>
      </c>
      <c r="B3020">
        <v>1001426</v>
      </c>
      <c r="C3020">
        <v>362917</v>
      </c>
      <c r="F3020" s="7">
        <v>1</v>
      </c>
      <c r="G3020" s="7">
        <v>571</v>
      </c>
      <c r="H3020" s="8">
        <v>499</v>
      </c>
      <c r="J3020" t="s">
        <v>23</v>
      </c>
      <c r="K3020" s="7">
        <v>3477</v>
      </c>
      <c r="L3020" s="9">
        <v>-1</v>
      </c>
      <c r="M3020" t="s">
        <v>2486</v>
      </c>
      <c r="N3020" t="s">
        <v>156</v>
      </c>
      <c r="O3020" s="27" t="str">
        <f>HYPERLINK("https://www.ncbi.nlm.nih.gov/nuccore/NZ_LJGW01000019.1?report=graph&amp;from=3709&amp;to=3713", "TTA_codon")</f>
        <v>TTA_codon</v>
      </c>
    </row>
    <row r="3021" spans="1:15" x14ac:dyDescent="0.15">
      <c r="A3021" t="s">
        <v>21</v>
      </c>
      <c r="B3021" t="s">
        <v>2487</v>
      </c>
    </row>
    <row r="3022" spans="1:15" x14ac:dyDescent="0.15">
      <c r="A3022" t="s">
        <v>21</v>
      </c>
      <c r="B3022">
        <v>1000444</v>
      </c>
      <c r="C3022">
        <v>348755</v>
      </c>
      <c r="F3022" s="7">
        <v>1</v>
      </c>
      <c r="G3022" s="7">
        <v>163</v>
      </c>
      <c r="H3022" s="8">
        <v>160</v>
      </c>
      <c r="J3022" t="s">
        <v>23</v>
      </c>
      <c r="K3022" s="7">
        <v>573</v>
      </c>
      <c r="L3022" s="9">
        <v>-1</v>
      </c>
      <c r="M3022" t="s">
        <v>211</v>
      </c>
      <c r="N3022" t="s">
        <v>212</v>
      </c>
      <c r="O3022" s="27" t="str">
        <f>HYPERLINK("https://www.ncbi.nlm.nih.gov/nuccore/NZ_GG657754.1?report=graph&amp;from=9070029&amp;to=9070033", "TTA_codon")</f>
        <v>TTA_codon</v>
      </c>
    </row>
    <row r="3023" spans="1:15" x14ac:dyDescent="0.15">
      <c r="A3023" t="s">
        <v>21</v>
      </c>
      <c r="B3023">
        <v>1000444</v>
      </c>
      <c r="C3023">
        <v>352777</v>
      </c>
      <c r="F3023" s="7">
        <v>1</v>
      </c>
      <c r="G3023" s="7">
        <v>181</v>
      </c>
      <c r="H3023" s="8">
        <v>181</v>
      </c>
      <c r="J3023" t="s">
        <v>23</v>
      </c>
      <c r="K3023" s="7">
        <v>576</v>
      </c>
      <c r="L3023" s="9">
        <v>-1</v>
      </c>
      <c r="M3023" t="s">
        <v>472</v>
      </c>
      <c r="N3023" t="s">
        <v>473</v>
      </c>
      <c r="O3023" s="27" t="str">
        <f>HYPERLINK("https://www.ncbi.nlm.nih.gov/nuccore/NZ_ASHX02000001.1?report=graph&amp;from=3739171&amp;to=3739175", "TTA_codon")</f>
        <v>TTA_codon</v>
      </c>
    </row>
    <row r="3024" spans="1:15" x14ac:dyDescent="0.15">
      <c r="A3024" t="s">
        <v>21</v>
      </c>
      <c r="B3024" t="s">
        <v>2488</v>
      </c>
    </row>
    <row r="3025" spans="1:15" x14ac:dyDescent="0.15">
      <c r="A3025" t="s">
        <v>21</v>
      </c>
      <c r="B3025">
        <v>1001187</v>
      </c>
      <c r="C3025">
        <v>356661</v>
      </c>
      <c r="F3025" s="7">
        <v>1</v>
      </c>
      <c r="G3025" s="7">
        <v>319</v>
      </c>
      <c r="H3025" s="8">
        <v>319</v>
      </c>
      <c r="J3025" t="s">
        <v>23</v>
      </c>
      <c r="K3025" s="7">
        <v>1170</v>
      </c>
      <c r="L3025" s="9">
        <v>-1</v>
      </c>
      <c r="M3025" t="s">
        <v>147</v>
      </c>
      <c r="N3025" t="s">
        <v>148</v>
      </c>
      <c r="O3025" s="27" t="str">
        <f>HYPERLINK("https://www.ncbi.nlm.nih.gov/nuccore/NZ_CP021080.1?report=graph&amp;from=1855973&amp;to=1855977", "TTA_codon")</f>
        <v>TTA_codon</v>
      </c>
    </row>
    <row r="3026" spans="1:15" x14ac:dyDescent="0.15">
      <c r="A3026" t="s">
        <v>21</v>
      </c>
      <c r="B3026">
        <v>1001187</v>
      </c>
      <c r="C3026">
        <v>365602</v>
      </c>
      <c r="F3026" s="7">
        <v>1</v>
      </c>
      <c r="G3026" s="7">
        <v>388</v>
      </c>
      <c r="H3026" s="8">
        <v>373</v>
      </c>
      <c r="J3026" t="s">
        <v>23</v>
      </c>
      <c r="K3026" s="7">
        <v>1158</v>
      </c>
      <c r="L3026" s="9">
        <v>-1</v>
      </c>
      <c r="M3026" t="s">
        <v>213</v>
      </c>
      <c r="N3026" t="s">
        <v>214</v>
      </c>
      <c r="O3026" s="27" t="str">
        <f>HYPERLINK("https://www.ncbi.nlm.nih.gov/nuccore/NZ_FNST01000002.1?report=graph&amp;from=3481043&amp;to=3481047", "TTA_codon")</f>
        <v>TTA_codon</v>
      </c>
    </row>
    <row r="3027" spans="1:15" x14ac:dyDescent="0.15">
      <c r="A3027" t="s">
        <v>21</v>
      </c>
      <c r="B3027" t="s">
        <v>2489</v>
      </c>
    </row>
    <row r="3028" spans="1:15" x14ac:dyDescent="0.15">
      <c r="A3028" t="s">
        <v>21</v>
      </c>
      <c r="B3028">
        <v>1000392</v>
      </c>
      <c r="C3028">
        <v>348418</v>
      </c>
      <c r="F3028" s="7">
        <v>1</v>
      </c>
      <c r="G3028" s="7">
        <v>43</v>
      </c>
      <c r="H3028" s="8">
        <v>43</v>
      </c>
      <c r="J3028" t="s">
        <v>23</v>
      </c>
      <c r="K3028" s="7">
        <v>744</v>
      </c>
      <c r="L3028" s="9">
        <v>-1</v>
      </c>
      <c r="M3028" t="s">
        <v>59</v>
      </c>
      <c r="N3028" t="s">
        <v>60</v>
      </c>
      <c r="O3028" s="27" t="str">
        <f>HYPERLINK("https://www.ncbi.nlm.nih.gov/nuccore/NC_016582.1?report=graph&amp;from=3780222&amp;to=3780226", "TTA_codon")</f>
        <v>TTA_codon</v>
      </c>
    </row>
    <row r="3029" spans="1:15" x14ac:dyDescent="0.15">
      <c r="A3029" t="s">
        <v>21</v>
      </c>
      <c r="B3029">
        <v>1000392</v>
      </c>
      <c r="C3029">
        <v>349204</v>
      </c>
      <c r="F3029" s="7">
        <v>1</v>
      </c>
      <c r="G3029" s="7">
        <v>43</v>
      </c>
      <c r="H3029" s="8">
        <v>43</v>
      </c>
      <c r="J3029" t="s">
        <v>23</v>
      </c>
      <c r="K3029" s="7">
        <v>744</v>
      </c>
      <c r="L3029" s="9">
        <v>-1</v>
      </c>
      <c r="M3029" t="s">
        <v>211</v>
      </c>
      <c r="N3029" t="s">
        <v>212</v>
      </c>
      <c r="O3029" s="27" t="str">
        <f>HYPERLINK("https://www.ncbi.nlm.nih.gov/nuccore/NZ_GG657754.1?report=graph&amp;from=2662029&amp;to=2662033", "TTA_codon")</f>
        <v>TTA_codon</v>
      </c>
    </row>
    <row r="3030" spans="1:15" x14ac:dyDescent="0.15">
      <c r="A3030" t="s">
        <v>21</v>
      </c>
      <c r="B3030" t="s">
        <v>2490</v>
      </c>
    </row>
    <row r="3031" spans="1:15" x14ac:dyDescent="0.15">
      <c r="A3031" t="s">
        <v>21</v>
      </c>
      <c r="B3031">
        <v>1001363</v>
      </c>
      <c r="C3031">
        <v>361236</v>
      </c>
      <c r="F3031" s="7">
        <v>1</v>
      </c>
      <c r="G3031" s="7">
        <v>61</v>
      </c>
      <c r="H3031" s="8">
        <v>61</v>
      </c>
      <c r="J3031" t="s">
        <v>23</v>
      </c>
      <c r="K3031" s="7">
        <v>1539</v>
      </c>
      <c r="L3031" s="9">
        <v>1</v>
      </c>
      <c r="M3031" t="s">
        <v>98</v>
      </c>
      <c r="N3031" t="s">
        <v>99</v>
      </c>
      <c r="O3031" s="27" t="str">
        <f>HYPERLINK("https://www.ncbi.nlm.nih.gov/nuccore/NZ_CP016438.1?report=graph&amp;from=7611775&amp;to=7611779", "TTA_codon")</f>
        <v>TTA_codon</v>
      </c>
    </row>
    <row r="3032" spans="1:15" x14ac:dyDescent="0.15">
      <c r="A3032" t="s">
        <v>21</v>
      </c>
      <c r="B3032">
        <v>1001363</v>
      </c>
      <c r="C3032">
        <v>363402</v>
      </c>
      <c r="F3032" s="7">
        <v>2</v>
      </c>
      <c r="G3032" s="7" t="s">
        <v>2491</v>
      </c>
      <c r="H3032" s="8" t="s">
        <v>2492</v>
      </c>
      <c r="J3032" t="s">
        <v>23</v>
      </c>
      <c r="K3032" s="7">
        <v>1536</v>
      </c>
      <c r="L3032" s="9">
        <v>1</v>
      </c>
      <c r="M3032" t="s">
        <v>2493</v>
      </c>
      <c r="N3032" t="s">
        <v>28</v>
      </c>
      <c r="O3032" s="27" t="str">
        <f>HYPERLINK("https://www.ncbi.nlm.nih.gov/nuccore/NZ_JUJA01000141.1?report=graph&amp;from=13414&amp;to=14210", "TTA_codon")</f>
        <v>TTA_codon</v>
      </c>
    </row>
    <row r="3033" spans="1:15" x14ac:dyDescent="0.15">
      <c r="A3033" t="s">
        <v>21</v>
      </c>
      <c r="B3033" t="s">
        <v>2494</v>
      </c>
    </row>
    <row r="3034" spans="1:15" x14ac:dyDescent="0.15">
      <c r="A3034" t="s">
        <v>21</v>
      </c>
      <c r="B3034">
        <v>1000583</v>
      </c>
      <c r="C3034">
        <v>350170</v>
      </c>
      <c r="F3034" s="7">
        <v>1</v>
      </c>
      <c r="G3034" s="7">
        <v>637</v>
      </c>
      <c r="H3034" s="8">
        <v>601</v>
      </c>
      <c r="J3034" t="s">
        <v>23</v>
      </c>
      <c r="K3034" s="7">
        <v>1269</v>
      </c>
      <c r="L3034" s="9">
        <v>1</v>
      </c>
      <c r="M3034" t="s">
        <v>566</v>
      </c>
      <c r="N3034" t="s">
        <v>249</v>
      </c>
      <c r="O3034" s="27" t="str">
        <f>HYPERLINK("https://www.ncbi.nlm.nih.gov/nuccore/NZ_AHBF01000021.1?report=graph&amp;from=46488&amp;to=46492", "TTA_codon")</f>
        <v>TTA_codon</v>
      </c>
    </row>
    <row r="3035" spans="1:15" x14ac:dyDescent="0.15">
      <c r="A3035" t="s">
        <v>21</v>
      </c>
      <c r="B3035">
        <v>1000583</v>
      </c>
      <c r="C3035">
        <v>351989</v>
      </c>
      <c r="F3035" s="7">
        <v>1</v>
      </c>
      <c r="G3035" s="7">
        <v>637</v>
      </c>
      <c r="H3035" s="8">
        <v>637</v>
      </c>
      <c r="J3035" t="s">
        <v>23</v>
      </c>
      <c r="K3035" s="7">
        <v>1302</v>
      </c>
      <c r="L3035" s="9">
        <v>1</v>
      </c>
      <c r="M3035" t="s">
        <v>1471</v>
      </c>
      <c r="N3035" t="s">
        <v>68</v>
      </c>
      <c r="O3035" s="27" t="str">
        <f>HYPERLINK("https://www.ncbi.nlm.nih.gov/nuccore/NZ_BARG01000094.1?report=graph&amp;from=56243&amp;to=56247", "TTA_codon")</f>
        <v>TTA_codon</v>
      </c>
    </row>
    <row r="3036" spans="1:15" x14ac:dyDescent="0.15">
      <c r="A3036" t="s">
        <v>21</v>
      </c>
      <c r="B3036" t="s">
        <v>2495</v>
      </c>
    </row>
    <row r="3037" spans="1:15" x14ac:dyDescent="0.15">
      <c r="A3037" t="s">
        <v>21</v>
      </c>
      <c r="B3037">
        <v>1001088</v>
      </c>
      <c r="C3037">
        <v>355401</v>
      </c>
      <c r="F3037" s="7">
        <v>1</v>
      </c>
      <c r="G3037" s="7">
        <v>397</v>
      </c>
      <c r="H3037" s="8">
        <v>397</v>
      </c>
      <c r="J3037" t="s">
        <v>23</v>
      </c>
      <c r="K3037" s="7">
        <v>1377</v>
      </c>
      <c r="L3037" s="9">
        <v>1</v>
      </c>
      <c r="M3037" t="s">
        <v>2496</v>
      </c>
      <c r="N3037" t="s">
        <v>198</v>
      </c>
      <c r="O3037" s="27" t="str">
        <f>HYPERLINK("https://www.ncbi.nlm.nih.gov/nuccore/NZ_JOFL01000009.1?report=graph&amp;from=55632&amp;to=55636", "TTA_codon")</f>
        <v>TTA_codon</v>
      </c>
    </row>
    <row r="3038" spans="1:15" x14ac:dyDescent="0.15">
      <c r="A3038" t="s">
        <v>21</v>
      </c>
      <c r="B3038">
        <v>1001088</v>
      </c>
      <c r="C3038">
        <v>358091</v>
      </c>
      <c r="F3038" s="7">
        <v>1</v>
      </c>
      <c r="G3038" s="7">
        <v>505</v>
      </c>
      <c r="H3038" s="8">
        <v>493</v>
      </c>
      <c r="J3038" t="s">
        <v>23</v>
      </c>
      <c r="K3038" s="7">
        <v>1374</v>
      </c>
      <c r="L3038" s="9">
        <v>1</v>
      </c>
      <c r="M3038" t="s">
        <v>494</v>
      </c>
      <c r="N3038" t="s">
        <v>119</v>
      </c>
      <c r="O3038" s="27" t="str">
        <f>HYPERLINK("https://www.ncbi.nlm.nih.gov/nuccore/NZ_LIPP01000162.1?report=graph&amp;from=27391&amp;to=27395", "TTA_codon")</f>
        <v>TTA_codon</v>
      </c>
    </row>
    <row r="3039" spans="1:15" x14ac:dyDescent="0.15">
      <c r="A3039" t="s">
        <v>21</v>
      </c>
      <c r="B3039">
        <v>1001088</v>
      </c>
      <c r="C3039">
        <v>363605</v>
      </c>
      <c r="F3039" s="7">
        <v>1</v>
      </c>
      <c r="G3039" s="7">
        <v>397</v>
      </c>
      <c r="H3039" s="8">
        <v>388</v>
      </c>
      <c r="J3039" t="s">
        <v>23</v>
      </c>
      <c r="K3039" s="7">
        <v>1362</v>
      </c>
      <c r="L3039" s="9">
        <v>1</v>
      </c>
      <c r="M3039" t="s">
        <v>101</v>
      </c>
      <c r="N3039" t="s">
        <v>102</v>
      </c>
      <c r="O3039" s="27" t="str">
        <f>HYPERLINK("https://www.ncbi.nlm.nih.gov/nuccore/NZ_CP019458.1?report=graph&amp;from=7325651&amp;to=7325655", "TTA_codon")</f>
        <v>TTA_codon</v>
      </c>
    </row>
    <row r="3040" spans="1:15" x14ac:dyDescent="0.15">
      <c r="A3040" t="s">
        <v>21</v>
      </c>
      <c r="B3040" t="s">
        <v>2497</v>
      </c>
    </row>
    <row r="3041" spans="1:15" x14ac:dyDescent="0.15">
      <c r="A3041" t="s">
        <v>21</v>
      </c>
      <c r="B3041">
        <v>1000862</v>
      </c>
      <c r="C3041">
        <v>352578</v>
      </c>
      <c r="F3041" s="7">
        <v>1</v>
      </c>
      <c r="G3041" s="7">
        <v>322</v>
      </c>
      <c r="H3041" s="8">
        <v>322</v>
      </c>
      <c r="J3041" t="s">
        <v>23</v>
      </c>
      <c r="K3041" s="7">
        <v>690</v>
      </c>
      <c r="L3041" s="9">
        <v>-1</v>
      </c>
      <c r="M3041" t="s">
        <v>1067</v>
      </c>
      <c r="N3041" t="s">
        <v>436</v>
      </c>
      <c r="O3041" s="27" t="str">
        <f>HYPERLINK("https://www.ncbi.nlm.nih.gov/nuccore/NZ_AUBE01000001.1?report=graph&amp;from=344165&amp;to=344169", "TTA_codon")</f>
        <v>TTA_codon</v>
      </c>
    </row>
    <row r="3042" spans="1:15" x14ac:dyDescent="0.15">
      <c r="A3042" t="s">
        <v>21</v>
      </c>
      <c r="B3042">
        <v>1000862</v>
      </c>
      <c r="C3042">
        <v>364818</v>
      </c>
      <c r="F3042" s="7">
        <v>1</v>
      </c>
      <c r="G3042" s="7">
        <v>439</v>
      </c>
      <c r="H3042" s="8">
        <v>436</v>
      </c>
      <c r="J3042" t="s">
        <v>23</v>
      </c>
      <c r="K3042" s="7">
        <v>669</v>
      </c>
      <c r="L3042" s="9">
        <v>-1</v>
      </c>
      <c r="M3042" t="s">
        <v>126</v>
      </c>
      <c r="N3042" t="s">
        <v>127</v>
      </c>
      <c r="O3042" s="27" t="str">
        <f>HYPERLINK("https://www.ncbi.nlm.nih.gov/nuccore/NZ_CP021748.1?report=graph&amp;from=1306903&amp;to=1306907", "TTA_codon")</f>
        <v>TTA_codon</v>
      </c>
    </row>
    <row r="3043" spans="1:15" x14ac:dyDescent="0.15">
      <c r="A3043" t="s">
        <v>21</v>
      </c>
      <c r="B3043" t="s">
        <v>2498</v>
      </c>
    </row>
    <row r="3044" spans="1:15" x14ac:dyDescent="0.15">
      <c r="A3044" t="s">
        <v>21</v>
      </c>
      <c r="B3044">
        <v>1000349</v>
      </c>
      <c r="C3044">
        <v>348138</v>
      </c>
      <c r="F3044" s="7">
        <v>1</v>
      </c>
      <c r="G3044" s="7">
        <v>499</v>
      </c>
      <c r="H3044" s="8">
        <v>466</v>
      </c>
      <c r="J3044" t="s">
        <v>23</v>
      </c>
      <c r="K3044" s="7">
        <v>1044</v>
      </c>
      <c r="L3044" s="9">
        <v>1</v>
      </c>
      <c r="M3044" t="s">
        <v>59</v>
      </c>
      <c r="N3044" t="s">
        <v>60</v>
      </c>
      <c r="O3044" s="27" t="str">
        <f>HYPERLINK("https://www.ncbi.nlm.nih.gov/nuccore/NC_016582.1?report=graph&amp;from=5940937&amp;to=5940941", "TTA_codon")</f>
        <v>TTA_codon</v>
      </c>
    </row>
    <row r="3045" spans="1:15" x14ac:dyDescent="0.15">
      <c r="A3045" t="s">
        <v>21</v>
      </c>
      <c r="B3045">
        <v>1000349</v>
      </c>
      <c r="C3045">
        <v>358578</v>
      </c>
      <c r="F3045" s="7">
        <v>1</v>
      </c>
      <c r="G3045" s="7">
        <v>562</v>
      </c>
      <c r="H3045" s="8">
        <v>559</v>
      </c>
      <c r="J3045" t="s">
        <v>23</v>
      </c>
      <c r="K3045" s="7">
        <v>1062</v>
      </c>
      <c r="L3045" s="9">
        <v>1</v>
      </c>
      <c r="M3045" t="s">
        <v>2499</v>
      </c>
      <c r="N3045" t="s">
        <v>299</v>
      </c>
      <c r="O3045" s="27" t="str">
        <f>HYPERLINK("https://www.ncbi.nlm.nih.gov/nuccore/NZ_LIQY01000711.1?report=graph&amp;from=610&amp;to=614", "TTA_codon")</f>
        <v>TTA_codon</v>
      </c>
    </row>
    <row r="3046" spans="1:15" x14ac:dyDescent="0.15">
      <c r="A3046" t="s">
        <v>21</v>
      </c>
      <c r="B3046">
        <v>1000349</v>
      </c>
      <c r="C3046">
        <v>361971</v>
      </c>
      <c r="F3046" s="7">
        <v>1</v>
      </c>
      <c r="G3046" s="7">
        <v>499</v>
      </c>
      <c r="H3046" s="8">
        <v>469</v>
      </c>
      <c r="J3046" t="s">
        <v>23</v>
      </c>
      <c r="K3046" s="7">
        <v>1032</v>
      </c>
      <c r="L3046" s="9">
        <v>1</v>
      </c>
      <c r="M3046" t="s">
        <v>2500</v>
      </c>
      <c r="N3046" t="s">
        <v>187</v>
      </c>
      <c r="O3046" s="27" t="str">
        <f>HYPERLINK("https://www.ncbi.nlm.nih.gov/nuccore/NZ_MAXF01000041.1?report=graph&amp;from=37392&amp;to=37396", "TTA_codon")</f>
        <v>TTA_codon</v>
      </c>
    </row>
    <row r="3047" spans="1:15" x14ac:dyDescent="0.15">
      <c r="A3047" t="s">
        <v>21</v>
      </c>
      <c r="B3047">
        <v>1000349</v>
      </c>
      <c r="C3047">
        <v>363649</v>
      </c>
      <c r="F3047" s="7">
        <v>1</v>
      </c>
      <c r="G3047" s="7">
        <v>499</v>
      </c>
      <c r="H3047" s="8">
        <v>472</v>
      </c>
      <c r="J3047" t="s">
        <v>23</v>
      </c>
      <c r="K3047" s="7">
        <v>1014</v>
      </c>
      <c r="L3047" s="9">
        <v>1</v>
      </c>
      <c r="M3047" t="s">
        <v>101</v>
      </c>
      <c r="N3047" t="s">
        <v>102</v>
      </c>
      <c r="O3047" s="27" t="str">
        <f>HYPERLINK("https://www.ncbi.nlm.nih.gov/nuccore/NZ_CP019458.1?report=graph&amp;from=5113916&amp;to=5113920", "TTA_codon")</f>
        <v>TTA_codon</v>
      </c>
    </row>
    <row r="3048" spans="1:15" x14ac:dyDescent="0.15">
      <c r="A3048" t="s">
        <v>21</v>
      </c>
      <c r="B3048">
        <v>1000349</v>
      </c>
      <c r="C3048">
        <v>365584</v>
      </c>
      <c r="F3048" s="7">
        <v>1</v>
      </c>
      <c r="G3048" s="7">
        <v>499</v>
      </c>
      <c r="H3048" s="8">
        <v>472</v>
      </c>
      <c r="J3048" t="s">
        <v>23</v>
      </c>
      <c r="K3048" s="7">
        <v>1014</v>
      </c>
      <c r="L3048" s="9">
        <v>1</v>
      </c>
      <c r="M3048" t="s">
        <v>213</v>
      </c>
      <c r="N3048" t="s">
        <v>214</v>
      </c>
      <c r="O3048" s="27" t="str">
        <f>HYPERLINK("https://www.ncbi.nlm.nih.gov/nuccore/NZ_FNST01000002.1?report=graph&amp;from=2680433&amp;to=2680437", "TTA_codon")</f>
        <v>TTA_codon</v>
      </c>
    </row>
    <row r="3049" spans="1:15" x14ac:dyDescent="0.15">
      <c r="A3049" t="s">
        <v>21</v>
      </c>
      <c r="B3049" t="s">
        <v>2501</v>
      </c>
    </row>
    <row r="3050" spans="1:15" x14ac:dyDescent="0.15">
      <c r="A3050" t="s">
        <v>21</v>
      </c>
      <c r="B3050">
        <v>1000894</v>
      </c>
      <c r="C3050">
        <v>352888</v>
      </c>
      <c r="F3050" s="7">
        <v>1</v>
      </c>
      <c r="G3050" s="7">
        <v>58</v>
      </c>
      <c r="H3050" s="8">
        <v>58</v>
      </c>
      <c r="J3050" t="s">
        <v>23</v>
      </c>
      <c r="K3050" s="7">
        <v>750</v>
      </c>
      <c r="L3050" s="9">
        <v>1</v>
      </c>
      <c r="M3050" t="s">
        <v>2502</v>
      </c>
      <c r="N3050" t="s">
        <v>306</v>
      </c>
      <c r="O3050" s="27" t="str">
        <f>HYPERLINK("https://www.ncbi.nlm.nih.gov/nuccore/NZ_KL571079.1?report=graph&amp;from=21152&amp;to=21156", "TTA_codon")</f>
        <v>TTA_codon</v>
      </c>
    </row>
    <row r="3051" spans="1:15" x14ac:dyDescent="0.15">
      <c r="A3051" t="s">
        <v>21</v>
      </c>
      <c r="B3051">
        <v>1000894</v>
      </c>
      <c r="C3051">
        <v>353754</v>
      </c>
      <c r="F3051" s="7">
        <v>1</v>
      </c>
      <c r="G3051" s="7">
        <v>58</v>
      </c>
      <c r="H3051" s="8">
        <v>58</v>
      </c>
      <c r="J3051" t="s">
        <v>23</v>
      </c>
      <c r="K3051" s="7">
        <v>750</v>
      </c>
      <c r="L3051" s="9">
        <v>1</v>
      </c>
      <c r="M3051" t="s">
        <v>2503</v>
      </c>
      <c r="N3051" t="s">
        <v>246</v>
      </c>
      <c r="O3051" s="27" t="str">
        <f>HYPERLINK("https://www.ncbi.nlm.nih.gov/nuccore/NZ_JNYR01000049.1?report=graph&amp;from=13108&amp;to=13112", "TTA_codon")</f>
        <v>TTA_codon</v>
      </c>
    </row>
    <row r="3052" spans="1:15" x14ac:dyDescent="0.15">
      <c r="A3052" t="s">
        <v>21</v>
      </c>
      <c r="B3052" t="s">
        <v>2504</v>
      </c>
    </row>
    <row r="3053" spans="1:15" x14ac:dyDescent="0.15">
      <c r="A3053" t="s">
        <v>21</v>
      </c>
      <c r="B3053">
        <v>1001471</v>
      </c>
      <c r="C3053">
        <v>350144</v>
      </c>
      <c r="F3053" s="7">
        <v>1</v>
      </c>
      <c r="G3053" s="7">
        <v>265</v>
      </c>
      <c r="H3053" s="8">
        <v>265</v>
      </c>
      <c r="J3053" t="s">
        <v>23</v>
      </c>
      <c r="K3053" s="7">
        <v>741</v>
      </c>
      <c r="L3053" s="9">
        <v>-1</v>
      </c>
      <c r="M3053" t="s">
        <v>2505</v>
      </c>
      <c r="N3053" t="s">
        <v>249</v>
      </c>
      <c r="O3053" s="27" t="str">
        <f>HYPERLINK("https://www.ncbi.nlm.nih.gov/nuccore/NZ_AHBF01000052.1?report=graph&amp;from=28401&amp;to=28405", "TTA_codon")</f>
        <v>TTA_codon</v>
      </c>
    </row>
    <row r="3054" spans="1:15" x14ac:dyDescent="0.15">
      <c r="A3054" t="s">
        <v>21</v>
      </c>
      <c r="B3054">
        <v>1001471</v>
      </c>
      <c r="C3054">
        <v>363847</v>
      </c>
      <c r="F3054" s="7">
        <v>1</v>
      </c>
      <c r="G3054" s="7">
        <v>265</v>
      </c>
      <c r="H3054" s="8">
        <v>88</v>
      </c>
      <c r="J3054" t="s">
        <v>23</v>
      </c>
      <c r="K3054" s="7">
        <v>561</v>
      </c>
      <c r="L3054" s="9">
        <v>-1</v>
      </c>
      <c r="M3054" t="s">
        <v>101</v>
      </c>
      <c r="N3054" t="s">
        <v>102</v>
      </c>
      <c r="O3054" s="27" t="str">
        <f>HYPERLINK("https://www.ncbi.nlm.nih.gov/nuccore/NZ_CP019458.1?report=graph&amp;from=8463867&amp;to=8463871", "TTA_codon")</f>
        <v>TTA_codon</v>
      </c>
    </row>
    <row r="3055" spans="1:15" x14ac:dyDescent="0.15">
      <c r="A3055" t="s">
        <v>21</v>
      </c>
      <c r="B3055" t="s">
        <v>2506</v>
      </c>
    </row>
    <row r="3056" spans="1:15" x14ac:dyDescent="0.15">
      <c r="A3056" t="s">
        <v>21</v>
      </c>
      <c r="B3056">
        <v>1001180</v>
      </c>
      <c r="C3056">
        <v>356631</v>
      </c>
      <c r="F3056" s="7">
        <v>1</v>
      </c>
      <c r="G3056" s="7">
        <v>457</v>
      </c>
      <c r="H3056" s="8">
        <v>457</v>
      </c>
      <c r="J3056" t="s">
        <v>23</v>
      </c>
      <c r="K3056" s="7">
        <v>1026</v>
      </c>
      <c r="L3056" s="9">
        <v>-1</v>
      </c>
      <c r="M3056" t="s">
        <v>147</v>
      </c>
      <c r="N3056" t="s">
        <v>148</v>
      </c>
      <c r="O3056" s="27" t="str">
        <f>HYPERLINK("https://www.ncbi.nlm.nih.gov/nuccore/NZ_CP021080.1?report=graph&amp;from=6976330&amp;to=6976334", "TTA_codon")</f>
        <v>TTA_codon</v>
      </c>
    </row>
    <row r="3057" spans="1:15" x14ac:dyDescent="0.15">
      <c r="A3057" t="s">
        <v>21</v>
      </c>
      <c r="B3057">
        <v>1001180</v>
      </c>
      <c r="C3057">
        <v>357682</v>
      </c>
      <c r="F3057" s="7">
        <v>1</v>
      </c>
      <c r="G3057" s="7">
        <v>457</v>
      </c>
      <c r="H3057" s="8">
        <v>457</v>
      </c>
      <c r="J3057" t="s">
        <v>23</v>
      </c>
      <c r="K3057" s="7">
        <v>1053</v>
      </c>
      <c r="L3057" s="9">
        <v>-1</v>
      </c>
      <c r="M3057" t="s">
        <v>2507</v>
      </c>
      <c r="N3057" t="s">
        <v>83</v>
      </c>
      <c r="O3057" s="27" t="str">
        <f>HYPERLINK("https://www.ncbi.nlm.nih.gov/nuccore/NZ_DF968240.1?report=graph&amp;from=1024&amp;to=1028", "TTA_codon")</f>
        <v>TTA_codon</v>
      </c>
    </row>
    <row r="3058" spans="1:15" x14ac:dyDescent="0.15">
      <c r="A3058" t="s">
        <v>21</v>
      </c>
      <c r="B3058" t="s">
        <v>2508</v>
      </c>
    </row>
    <row r="3059" spans="1:15" x14ac:dyDescent="0.15">
      <c r="A3059" t="s">
        <v>21</v>
      </c>
      <c r="B3059">
        <v>1000191</v>
      </c>
      <c r="C3059">
        <v>347324</v>
      </c>
      <c r="F3059" s="7">
        <v>1</v>
      </c>
      <c r="G3059" s="7">
        <v>1555</v>
      </c>
      <c r="H3059" s="8">
        <v>1534</v>
      </c>
      <c r="J3059" t="s">
        <v>23</v>
      </c>
      <c r="K3059" s="7">
        <v>1917</v>
      </c>
      <c r="L3059" s="9">
        <v>1</v>
      </c>
      <c r="M3059" t="s">
        <v>53</v>
      </c>
      <c r="N3059" t="s">
        <v>54</v>
      </c>
      <c r="O3059" s="27" t="str">
        <f>HYPERLINK("https://www.ncbi.nlm.nih.gov/nuccore/NC_003155.5?report=graph&amp;from=1038259&amp;to=1038263", "TTA_codon")</f>
        <v>TTA_codon</v>
      </c>
    </row>
    <row r="3060" spans="1:15" x14ac:dyDescent="0.15">
      <c r="A3060" t="s">
        <v>21</v>
      </c>
      <c r="B3060">
        <v>1000191</v>
      </c>
      <c r="C3060">
        <v>360961</v>
      </c>
      <c r="F3060" s="7">
        <v>3</v>
      </c>
      <c r="G3060" s="7" t="s">
        <v>2509</v>
      </c>
      <c r="H3060" s="8" t="s">
        <v>2510</v>
      </c>
      <c r="J3060" t="s">
        <v>23</v>
      </c>
      <c r="K3060" s="7">
        <v>1806</v>
      </c>
      <c r="L3060" s="9">
        <v>1</v>
      </c>
      <c r="M3060" t="s">
        <v>2511</v>
      </c>
      <c r="N3060" t="s">
        <v>97</v>
      </c>
      <c r="O3060" s="27" t="str">
        <f>HYPERLINK("https://www.ncbi.nlm.nih.gov/nuccore/NZ_LOHS01000200.1?report=graph&amp;from=130333&amp;to=131612", "TTA_codon")</f>
        <v>TTA_codon</v>
      </c>
    </row>
    <row r="3061" spans="1:15" x14ac:dyDescent="0.15">
      <c r="A3061" t="s">
        <v>21</v>
      </c>
      <c r="B3061" t="s">
        <v>2512</v>
      </c>
    </row>
    <row r="3062" spans="1:15" x14ac:dyDescent="0.15">
      <c r="A3062" t="s">
        <v>21</v>
      </c>
      <c r="B3062">
        <v>1000985</v>
      </c>
      <c r="C3062">
        <v>353986</v>
      </c>
      <c r="F3062" s="7">
        <v>1</v>
      </c>
      <c r="G3062" s="7">
        <v>1765</v>
      </c>
      <c r="H3062" s="8">
        <v>1741</v>
      </c>
      <c r="J3062" t="s">
        <v>23</v>
      </c>
      <c r="K3062" s="7">
        <v>2619</v>
      </c>
      <c r="L3062" s="9">
        <v>-1</v>
      </c>
      <c r="M3062" t="s">
        <v>1031</v>
      </c>
      <c r="N3062" t="s">
        <v>270</v>
      </c>
      <c r="O3062" s="27" t="str">
        <f>HYPERLINK("https://www.ncbi.nlm.nih.gov/nuccore/NZ_JOBH01000001.1?report=graph&amp;from=49367&amp;to=49371", "TTA_codon")</f>
        <v>TTA_codon</v>
      </c>
    </row>
    <row r="3063" spans="1:15" x14ac:dyDescent="0.15">
      <c r="A3063" t="s">
        <v>21</v>
      </c>
      <c r="B3063">
        <v>1000985</v>
      </c>
      <c r="C3063">
        <v>358071</v>
      </c>
      <c r="F3063" s="7">
        <v>1</v>
      </c>
      <c r="G3063" s="7">
        <v>1837</v>
      </c>
      <c r="H3063" s="8">
        <v>1678</v>
      </c>
      <c r="J3063" t="s">
        <v>23</v>
      </c>
      <c r="K3063" s="7">
        <v>2496</v>
      </c>
      <c r="L3063" s="9">
        <v>-1</v>
      </c>
      <c r="M3063" t="s">
        <v>2513</v>
      </c>
      <c r="N3063" t="s">
        <v>119</v>
      </c>
      <c r="O3063" s="27" t="str">
        <f>HYPERLINK("https://www.ncbi.nlm.nih.gov/nuccore/NZ_LIPP01000065.1?report=graph&amp;from=23370&amp;to=23374", "TTA_codon")</f>
        <v>TTA_codon</v>
      </c>
    </row>
    <row r="3064" spans="1:15" x14ac:dyDescent="0.15">
      <c r="A3064" t="s">
        <v>195</v>
      </c>
      <c r="B3064" t="s">
        <v>2514</v>
      </c>
    </row>
    <row r="3065" spans="1:15" x14ac:dyDescent="0.15">
      <c r="A3065" t="s">
        <v>195</v>
      </c>
      <c r="B3065">
        <v>1000048</v>
      </c>
      <c r="C3065">
        <v>346236</v>
      </c>
      <c r="F3065" s="7">
        <v>1</v>
      </c>
      <c r="G3065" s="7">
        <v>43</v>
      </c>
      <c r="H3065" s="8">
        <v>43</v>
      </c>
      <c r="J3065" t="s">
        <v>23</v>
      </c>
      <c r="K3065" s="7">
        <v>372</v>
      </c>
      <c r="L3065" s="9">
        <v>-1</v>
      </c>
      <c r="M3065" t="s">
        <v>2515</v>
      </c>
      <c r="N3065" t="s">
        <v>68</v>
      </c>
      <c r="O3065" s="27" t="str">
        <f>HYPERLINK("https://www.ncbi.nlm.nih.gov/nuccore/NZ_BARG01000015.1?report=graph&amp;from=12462&amp;to=12466", "TTA_codon")</f>
        <v>TTA_codon</v>
      </c>
    </row>
    <row r="3066" spans="1:15" x14ac:dyDescent="0.15">
      <c r="A3066" t="s">
        <v>21</v>
      </c>
      <c r="B3066">
        <v>1000048</v>
      </c>
      <c r="C3066">
        <v>356618</v>
      </c>
      <c r="F3066" s="7">
        <v>1</v>
      </c>
      <c r="G3066" s="7">
        <v>43</v>
      </c>
      <c r="H3066" s="8">
        <v>43</v>
      </c>
      <c r="J3066" t="s">
        <v>23</v>
      </c>
      <c r="K3066" s="7">
        <v>375</v>
      </c>
      <c r="L3066" s="9">
        <v>-1</v>
      </c>
      <c r="M3066" t="s">
        <v>147</v>
      </c>
      <c r="N3066" t="s">
        <v>148</v>
      </c>
      <c r="O3066" s="27" t="str">
        <f>HYPERLINK("https://www.ncbi.nlm.nih.gov/nuccore/NZ_CP021080.1?report=graph&amp;from=3330557&amp;to=3330561", "TTA_codon")</f>
        <v>TTA_codon</v>
      </c>
    </row>
    <row r="3067" spans="1:15" x14ac:dyDescent="0.15">
      <c r="A3067" t="s">
        <v>21</v>
      </c>
      <c r="B3067">
        <v>1000048</v>
      </c>
      <c r="C3067">
        <v>363233</v>
      </c>
      <c r="F3067" s="7">
        <v>1</v>
      </c>
      <c r="G3067" s="7">
        <v>43</v>
      </c>
      <c r="H3067" s="8">
        <v>43</v>
      </c>
      <c r="J3067" t="s">
        <v>23</v>
      </c>
      <c r="K3067" s="7">
        <v>369</v>
      </c>
      <c r="L3067" s="9">
        <v>-1</v>
      </c>
      <c r="M3067" t="s">
        <v>2516</v>
      </c>
      <c r="N3067" t="s">
        <v>28</v>
      </c>
      <c r="O3067" s="27" t="str">
        <f>HYPERLINK("https://www.ncbi.nlm.nih.gov/nuccore/NZ_JUJA01000088.1?report=graph&amp;from=52458&amp;to=52462", "TTA_codon")</f>
        <v>TTA_codon</v>
      </c>
    </row>
    <row r="3068" spans="1:15" x14ac:dyDescent="0.15">
      <c r="A3068" t="s">
        <v>21</v>
      </c>
      <c r="B3068" t="s">
        <v>2517</v>
      </c>
    </row>
    <row r="3069" spans="1:15" x14ac:dyDescent="0.15">
      <c r="A3069" t="s">
        <v>21</v>
      </c>
      <c r="B3069">
        <v>1000992</v>
      </c>
      <c r="C3069">
        <v>354077</v>
      </c>
      <c r="F3069" s="7">
        <v>1</v>
      </c>
      <c r="G3069" s="7">
        <v>163</v>
      </c>
      <c r="H3069" s="8">
        <v>124</v>
      </c>
      <c r="J3069" t="s">
        <v>23</v>
      </c>
      <c r="K3069" s="7">
        <v>696</v>
      </c>
      <c r="L3069" s="9">
        <v>1</v>
      </c>
      <c r="M3069" t="s">
        <v>1247</v>
      </c>
      <c r="N3069" t="s">
        <v>270</v>
      </c>
      <c r="O3069" s="27" t="str">
        <f>HYPERLINK("https://www.ncbi.nlm.nih.gov/nuccore/NZ_JOBH01000009.1?report=graph&amp;from=25927&amp;to=25931", "TTA_codon")</f>
        <v>TTA_codon</v>
      </c>
    </row>
    <row r="3070" spans="1:15" x14ac:dyDescent="0.15">
      <c r="A3070" t="s">
        <v>21</v>
      </c>
      <c r="B3070">
        <v>1000992</v>
      </c>
      <c r="C3070">
        <v>358670</v>
      </c>
      <c r="F3070" s="7">
        <v>1</v>
      </c>
      <c r="G3070" s="7">
        <v>160</v>
      </c>
      <c r="H3070" s="8">
        <v>148</v>
      </c>
      <c r="J3070" t="s">
        <v>23</v>
      </c>
      <c r="K3070" s="7">
        <v>756</v>
      </c>
      <c r="L3070" s="9">
        <v>1</v>
      </c>
      <c r="M3070" t="s">
        <v>2518</v>
      </c>
      <c r="N3070" t="s">
        <v>299</v>
      </c>
      <c r="O3070" s="27" t="str">
        <f>HYPERLINK("https://www.ncbi.nlm.nih.gov/nuccore/NZ_LIQY01000081.1?report=graph&amp;from=8197&amp;to=8201", "TTA_codon")</f>
        <v>TTA_codon</v>
      </c>
    </row>
    <row r="3071" spans="1:15" x14ac:dyDescent="0.15">
      <c r="A3071" t="s">
        <v>21</v>
      </c>
      <c r="B3071">
        <v>1000992</v>
      </c>
      <c r="C3071">
        <v>360625</v>
      </c>
      <c r="F3071" s="7">
        <v>1</v>
      </c>
      <c r="G3071" s="7">
        <v>229</v>
      </c>
      <c r="H3071" s="8">
        <v>196</v>
      </c>
      <c r="J3071" t="s">
        <v>23</v>
      </c>
      <c r="K3071" s="7">
        <v>738</v>
      </c>
      <c r="L3071" s="9">
        <v>1</v>
      </c>
      <c r="M3071" t="s">
        <v>121</v>
      </c>
      <c r="N3071" t="s">
        <v>122</v>
      </c>
      <c r="O3071" s="27" t="str">
        <f>HYPERLINK("https://www.ncbi.nlm.nih.gov/nuccore/NZ_CP016279.1?report=graph&amp;from=9671902&amp;to=9671906", "TTA_codon")</f>
        <v>TTA_codon</v>
      </c>
    </row>
    <row r="3072" spans="1:15" x14ac:dyDescent="0.15">
      <c r="A3072" t="s">
        <v>21</v>
      </c>
      <c r="B3072">
        <v>1000992</v>
      </c>
      <c r="C3072">
        <v>365971</v>
      </c>
      <c r="F3072" s="7">
        <v>1</v>
      </c>
      <c r="G3072" s="7">
        <v>124</v>
      </c>
      <c r="H3072" s="8">
        <v>121</v>
      </c>
      <c r="J3072" t="s">
        <v>23</v>
      </c>
      <c r="K3072" s="7">
        <v>762</v>
      </c>
      <c r="L3072" s="9">
        <v>1</v>
      </c>
      <c r="M3072" t="s">
        <v>2519</v>
      </c>
      <c r="N3072" t="s">
        <v>115</v>
      </c>
      <c r="O3072" s="27" t="str">
        <f>HYPERLINK("https://www.ncbi.nlm.nih.gov/nuccore/NZ_FODD01000028.1?report=graph&amp;from=59643&amp;to=59647", "TTA_codon")</f>
        <v>TTA_codon</v>
      </c>
    </row>
    <row r="3073" spans="1:15" x14ac:dyDescent="0.15">
      <c r="A3073" t="s">
        <v>21</v>
      </c>
      <c r="B3073" t="s">
        <v>2520</v>
      </c>
    </row>
    <row r="3074" spans="1:15" x14ac:dyDescent="0.15">
      <c r="A3074" t="s">
        <v>21</v>
      </c>
      <c r="B3074">
        <v>1001556</v>
      </c>
      <c r="C3074">
        <v>367035</v>
      </c>
      <c r="F3074" s="7">
        <v>2</v>
      </c>
      <c r="G3074" s="7" t="s">
        <v>2521</v>
      </c>
      <c r="H3074" s="8" t="s">
        <v>2521</v>
      </c>
      <c r="J3074" t="s">
        <v>23</v>
      </c>
      <c r="K3074" s="7">
        <v>213</v>
      </c>
      <c r="L3074" s="9">
        <v>-1</v>
      </c>
      <c r="M3074" t="s">
        <v>226</v>
      </c>
      <c r="N3074" t="s">
        <v>227</v>
      </c>
      <c r="O3074" s="27" t="str">
        <f>HYPERLINK("https://www.ncbi.nlm.nih.gov/nuccore/MK801722.1?report=graph&amp;from=10665&amp;to=10684", "TTA_codon")</f>
        <v>TTA_codon</v>
      </c>
    </row>
    <row r="3075" spans="1:15" x14ac:dyDescent="0.15">
      <c r="A3075" t="s">
        <v>21</v>
      </c>
      <c r="B3075">
        <v>1001556</v>
      </c>
      <c r="C3075">
        <v>367202</v>
      </c>
      <c r="F3075" s="7">
        <v>2</v>
      </c>
      <c r="G3075" s="7" t="s">
        <v>2521</v>
      </c>
      <c r="H3075" s="8" t="s">
        <v>2521</v>
      </c>
      <c r="J3075" t="s">
        <v>23</v>
      </c>
      <c r="K3075" s="7">
        <v>213</v>
      </c>
      <c r="L3075" s="9">
        <v>-1</v>
      </c>
      <c r="M3075" t="s">
        <v>236</v>
      </c>
      <c r="N3075" t="s">
        <v>237</v>
      </c>
      <c r="O3075" s="27" t="str">
        <f>HYPERLINK("https://www.ncbi.nlm.nih.gov/nuccore/MW291014.1?report=graph&amp;from=12418&amp;to=12437", "TTA_codon")</f>
        <v>TTA_codon</v>
      </c>
    </row>
    <row r="3076" spans="1:15" x14ac:dyDescent="0.15">
      <c r="A3076" t="s">
        <v>21</v>
      </c>
      <c r="B3076" t="s">
        <v>2522</v>
      </c>
    </row>
    <row r="3077" spans="1:15" x14ac:dyDescent="0.15">
      <c r="A3077" t="s">
        <v>21</v>
      </c>
      <c r="B3077">
        <v>1000210</v>
      </c>
      <c r="C3077">
        <v>347384</v>
      </c>
      <c r="F3077" s="7">
        <v>1</v>
      </c>
      <c r="G3077" s="7">
        <v>175</v>
      </c>
      <c r="H3077" s="8">
        <v>166</v>
      </c>
      <c r="J3077" t="s">
        <v>23</v>
      </c>
      <c r="K3077" s="7">
        <v>1167</v>
      </c>
      <c r="L3077" s="9">
        <v>1</v>
      </c>
      <c r="M3077" t="s">
        <v>217</v>
      </c>
      <c r="N3077" t="s">
        <v>218</v>
      </c>
      <c r="O3077" s="27" t="str">
        <f>HYPERLINK("https://www.ncbi.nlm.nih.gov/nuccore/NC_021985.1?report=graph&amp;from=885122&amp;to=885126", "TTA_codon")</f>
        <v>TTA_codon</v>
      </c>
    </row>
    <row r="3078" spans="1:15" x14ac:dyDescent="0.15">
      <c r="A3078" t="s">
        <v>21</v>
      </c>
      <c r="B3078">
        <v>1000210</v>
      </c>
      <c r="C3078">
        <v>347749</v>
      </c>
      <c r="F3078" s="7">
        <v>1</v>
      </c>
      <c r="G3078" s="7">
        <v>106</v>
      </c>
      <c r="H3078" s="8">
        <v>100</v>
      </c>
      <c r="J3078" t="s">
        <v>23</v>
      </c>
      <c r="K3078" s="7">
        <v>1188</v>
      </c>
      <c r="L3078" s="9">
        <v>1</v>
      </c>
      <c r="M3078" t="s">
        <v>57</v>
      </c>
      <c r="N3078" t="s">
        <v>58</v>
      </c>
      <c r="O3078" s="27" t="str">
        <f>HYPERLINK("https://www.ncbi.nlm.nih.gov/nuccore/NC_013929.1?report=graph&amp;from=8746855&amp;to=8746859", "TTA_codon")</f>
        <v>TTA_codon</v>
      </c>
    </row>
    <row r="3079" spans="1:15" x14ac:dyDescent="0.15">
      <c r="A3079" t="s">
        <v>21</v>
      </c>
      <c r="B3079">
        <v>1000210</v>
      </c>
      <c r="C3079">
        <v>354878</v>
      </c>
      <c r="F3079" s="7">
        <v>1</v>
      </c>
      <c r="G3079" s="7">
        <v>175</v>
      </c>
      <c r="H3079" s="8">
        <v>166</v>
      </c>
      <c r="J3079" t="s">
        <v>23</v>
      </c>
      <c r="K3079" s="7">
        <v>1176</v>
      </c>
      <c r="L3079" s="9">
        <v>1</v>
      </c>
      <c r="M3079" t="s">
        <v>2523</v>
      </c>
      <c r="N3079" t="s">
        <v>25</v>
      </c>
      <c r="O3079" s="27" t="str">
        <f>HYPERLINK("https://www.ncbi.nlm.nih.gov/nuccore/NZ_JOFU01000036.1?report=graph&amp;from=67188&amp;to=67192", "TTA_codon")</f>
        <v>TTA_codon</v>
      </c>
    </row>
    <row r="3080" spans="1:15" x14ac:dyDescent="0.15">
      <c r="A3080" t="s">
        <v>21</v>
      </c>
      <c r="B3080">
        <v>1000210</v>
      </c>
      <c r="C3080">
        <v>358328</v>
      </c>
      <c r="F3080" s="7">
        <v>1</v>
      </c>
      <c r="G3080" s="7">
        <v>106</v>
      </c>
      <c r="H3080" s="8">
        <v>100</v>
      </c>
      <c r="J3080" t="s">
        <v>23</v>
      </c>
      <c r="K3080" s="7">
        <v>1194</v>
      </c>
      <c r="L3080" s="9">
        <v>1</v>
      </c>
      <c r="M3080" t="s">
        <v>1486</v>
      </c>
      <c r="N3080" t="s">
        <v>85</v>
      </c>
      <c r="O3080" s="27" t="str">
        <f>HYPERLINK("https://www.ncbi.nlm.nih.gov/nuccore/NZ_LIQX01000089.1?report=graph&amp;from=9945&amp;to=9949", "TTA_codon")</f>
        <v>TTA_codon</v>
      </c>
    </row>
    <row r="3081" spans="1:15" x14ac:dyDescent="0.15">
      <c r="A3081" t="s">
        <v>21</v>
      </c>
      <c r="B3081">
        <v>1000210</v>
      </c>
      <c r="C3081">
        <v>360436</v>
      </c>
      <c r="F3081" s="7">
        <v>1</v>
      </c>
      <c r="G3081" s="7">
        <v>175</v>
      </c>
      <c r="H3081" s="8">
        <v>166</v>
      </c>
      <c r="J3081" t="s">
        <v>23</v>
      </c>
      <c r="K3081" s="7">
        <v>1167</v>
      </c>
      <c r="L3081" s="9">
        <v>1</v>
      </c>
      <c r="M3081" t="s">
        <v>121</v>
      </c>
      <c r="N3081" t="s">
        <v>122</v>
      </c>
      <c r="O3081" s="27" t="str">
        <f>HYPERLINK("https://www.ncbi.nlm.nih.gov/nuccore/NZ_CP016279.1?report=graph&amp;from=6146202&amp;to=6146206", "TTA_codon")</f>
        <v>TTA_codon</v>
      </c>
    </row>
    <row r="3082" spans="1:15" x14ac:dyDescent="0.15">
      <c r="A3082" t="s">
        <v>21</v>
      </c>
      <c r="B3082">
        <v>1000210</v>
      </c>
      <c r="C3082">
        <v>364707</v>
      </c>
      <c r="F3082" s="7">
        <v>1</v>
      </c>
      <c r="G3082" s="7">
        <v>175</v>
      </c>
      <c r="H3082" s="8">
        <v>166</v>
      </c>
      <c r="J3082" t="s">
        <v>23</v>
      </c>
      <c r="K3082" s="7">
        <v>1167</v>
      </c>
      <c r="L3082" s="9">
        <v>1</v>
      </c>
      <c r="M3082" t="s">
        <v>2524</v>
      </c>
      <c r="N3082" t="s">
        <v>110</v>
      </c>
      <c r="O3082" s="27" t="str">
        <f>HYPERLINK("https://www.ncbi.nlm.nih.gov/nuccore/NZ_MUME01000276.1?report=graph&amp;from=16258&amp;to=16262", "TTA_codon")</f>
        <v>TTA_codon</v>
      </c>
    </row>
    <row r="3083" spans="1:15" x14ac:dyDescent="0.15">
      <c r="A3083" t="s">
        <v>195</v>
      </c>
      <c r="B3083" t="s">
        <v>2525</v>
      </c>
    </row>
    <row r="3084" spans="1:15" x14ac:dyDescent="0.15">
      <c r="A3084" t="s">
        <v>195</v>
      </c>
      <c r="B3084">
        <v>1001220</v>
      </c>
      <c r="C3084">
        <v>347177</v>
      </c>
      <c r="F3084" s="7">
        <v>1</v>
      </c>
      <c r="G3084" s="7">
        <v>2557</v>
      </c>
      <c r="H3084" s="8">
        <v>2443</v>
      </c>
      <c r="J3084" t="s">
        <v>23</v>
      </c>
      <c r="K3084" s="7">
        <v>3093</v>
      </c>
      <c r="L3084" s="9">
        <v>1</v>
      </c>
      <c r="M3084" t="s">
        <v>535</v>
      </c>
      <c r="N3084" t="s">
        <v>47</v>
      </c>
      <c r="O3084" s="27" t="str">
        <f>HYPERLINK("https://www.ncbi.nlm.nih.gov/nuccore/NZ_FOLM01000004.1?report=graph&amp;from=142290&amp;to=142294", "TTA_codon")</f>
        <v>TTA_codon</v>
      </c>
    </row>
    <row r="3085" spans="1:15" x14ac:dyDescent="0.15">
      <c r="A3085" t="s">
        <v>195</v>
      </c>
      <c r="B3085">
        <v>1001220</v>
      </c>
      <c r="C3085">
        <v>347179</v>
      </c>
      <c r="F3085" s="7">
        <v>2</v>
      </c>
      <c r="G3085" s="7" t="s">
        <v>2526</v>
      </c>
      <c r="H3085" s="8" t="s">
        <v>2527</v>
      </c>
      <c r="J3085" t="s">
        <v>23</v>
      </c>
      <c r="K3085" s="7">
        <v>2877</v>
      </c>
      <c r="L3085" s="9">
        <v>1</v>
      </c>
      <c r="M3085" t="s">
        <v>1186</v>
      </c>
      <c r="N3085" t="s">
        <v>47</v>
      </c>
      <c r="O3085" s="27" t="str">
        <f>HYPERLINK("https://www.ncbi.nlm.nih.gov/nuccore/NZ_FOLM01000021.1?report=graph&amp;from=10125&amp;to=12172", "TTA_codon")</f>
        <v>TTA_codon</v>
      </c>
    </row>
    <row r="3086" spans="1:15" x14ac:dyDescent="0.15">
      <c r="A3086" t="s">
        <v>21</v>
      </c>
      <c r="B3086">
        <v>1001220</v>
      </c>
      <c r="C3086">
        <v>350473</v>
      </c>
      <c r="F3086" s="7">
        <v>1</v>
      </c>
      <c r="G3086" s="7">
        <v>2545</v>
      </c>
      <c r="H3086" s="8">
        <v>2392</v>
      </c>
      <c r="J3086" t="s">
        <v>23</v>
      </c>
      <c r="K3086" s="7">
        <v>3036</v>
      </c>
      <c r="L3086" s="9">
        <v>1</v>
      </c>
      <c r="M3086" t="s">
        <v>2528</v>
      </c>
      <c r="N3086" t="s">
        <v>134</v>
      </c>
      <c r="O3086" s="27" t="str">
        <f>HYPERLINK("https://www.ncbi.nlm.nih.gov/nuccore/NZ_AJSZ01000219.1?report=graph&amp;from=28920&amp;to=28924", "TTA_codon")</f>
        <v>TTA_codon</v>
      </c>
    </row>
    <row r="3087" spans="1:15" x14ac:dyDescent="0.15">
      <c r="A3087" t="s">
        <v>21</v>
      </c>
      <c r="B3087">
        <v>1001220</v>
      </c>
      <c r="C3087">
        <v>352848</v>
      </c>
      <c r="F3087" s="7">
        <v>1</v>
      </c>
      <c r="G3087" s="7">
        <v>2461</v>
      </c>
      <c r="H3087" s="8">
        <v>2248</v>
      </c>
      <c r="J3087" t="s">
        <v>23</v>
      </c>
      <c r="K3087" s="7">
        <v>2955</v>
      </c>
      <c r="L3087" s="9">
        <v>1</v>
      </c>
      <c r="M3087" t="s">
        <v>2529</v>
      </c>
      <c r="N3087" t="s">
        <v>306</v>
      </c>
      <c r="O3087" s="27" t="str">
        <f>HYPERLINK("https://www.ncbi.nlm.nih.gov/nuccore/NZ_KL571088.1?report=graph&amp;from=30605&amp;to=30609", "TTA_codon")</f>
        <v>TTA_codon</v>
      </c>
    </row>
    <row r="3088" spans="1:15" x14ac:dyDescent="0.15">
      <c r="A3088" t="s">
        <v>21</v>
      </c>
      <c r="B3088">
        <v>1001220</v>
      </c>
      <c r="C3088">
        <v>352850</v>
      </c>
      <c r="F3088" s="7">
        <v>2</v>
      </c>
      <c r="G3088" s="7" t="s">
        <v>2530</v>
      </c>
      <c r="H3088" s="8" t="s">
        <v>2531</v>
      </c>
      <c r="J3088" t="s">
        <v>23</v>
      </c>
      <c r="K3088" s="7">
        <v>3054</v>
      </c>
      <c r="L3088" s="9">
        <v>1</v>
      </c>
      <c r="M3088" t="s">
        <v>2532</v>
      </c>
      <c r="N3088" t="s">
        <v>306</v>
      </c>
      <c r="O3088" s="27" t="str">
        <f>HYPERLINK("https://www.ncbi.nlm.nih.gov/nuccore/NZ_JNYL01000459.1?report=graph&amp;from=2492&amp;to=2814", "TTA_codon")</f>
        <v>TTA_codon</v>
      </c>
    </row>
    <row r="3089" spans="1:15" x14ac:dyDescent="0.15">
      <c r="A3089" t="s">
        <v>21</v>
      </c>
      <c r="B3089">
        <v>1001220</v>
      </c>
      <c r="C3089">
        <v>357250</v>
      </c>
      <c r="F3089" s="7">
        <v>1</v>
      </c>
      <c r="G3089" s="7">
        <v>2623</v>
      </c>
      <c r="H3089" s="8">
        <v>2332</v>
      </c>
      <c r="J3089" t="s">
        <v>23</v>
      </c>
      <c r="K3089" s="7">
        <v>2832</v>
      </c>
      <c r="L3089" s="9">
        <v>1</v>
      </c>
      <c r="M3089" t="s">
        <v>250</v>
      </c>
      <c r="N3089" t="s">
        <v>251</v>
      </c>
      <c r="O3089" s="27" t="str">
        <f>HYPERLINK("https://www.ncbi.nlm.nih.gov/nuccore/NZ_CP009922.2?report=graph&amp;from=208452&amp;to=208456", "TTA_codon")</f>
        <v>TTA_codon</v>
      </c>
    </row>
    <row r="3090" spans="1:15" x14ac:dyDescent="0.15">
      <c r="A3090" t="s">
        <v>21</v>
      </c>
      <c r="B3090">
        <v>1001220</v>
      </c>
      <c r="C3090">
        <v>359425</v>
      </c>
      <c r="F3090" s="7">
        <v>1</v>
      </c>
      <c r="G3090" s="7">
        <v>484</v>
      </c>
      <c r="H3090" s="8">
        <v>460</v>
      </c>
      <c r="J3090" t="s">
        <v>23</v>
      </c>
      <c r="K3090" s="7">
        <v>3051</v>
      </c>
      <c r="L3090" s="9">
        <v>1</v>
      </c>
      <c r="M3090" t="s">
        <v>151</v>
      </c>
      <c r="N3090" t="s">
        <v>152</v>
      </c>
      <c r="O3090" s="27" t="str">
        <f>HYPERLINK("https://www.ncbi.nlm.nih.gov/nuccore/NZ_CP013129.1?report=graph&amp;from=2875546&amp;to=2875550", "TTA_codon")</f>
        <v>TTA_codon</v>
      </c>
    </row>
    <row r="3091" spans="1:15" x14ac:dyDescent="0.15">
      <c r="A3091" t="s">
        <v>21</v>
      </c>
      <c r="B3091">
        <v>1001220</v>
      </c>
      <c r="C3091">
        <v>363905</v>
      </c>
      <c r="F3091" s="7">
        <v>1</v>
      </c>
      <c r="G3091" s="7">
        <v>490</v>
      </c>
      <c r="H3091" s="8">
        <v>328</v>
      </c>
      <c r="J3091" t="s">
        <v>23</v>
      </c>
      <c r="K3091" s="7">
        <v>1881</v>
      </c>
      <c r="L3091" s="9">
        <v>1</v>
      </c>
      <c r="M3091" t="s">
        <v>2533</v>
      </c>
      <c r="N3091" t="s">
        <v>104</v>
      </c>
      <c r="O3091" s="27" t="str">
        <f>HYPERLINK("https://www.ncbi.nlm.nih.gov/nuccore/NZ_MVFC01000020.1?report=graph&amp;from=6867&amp;to=6871", "TTA_codon")</f>
        <v>TTA_codon</v>
      </c>
    </row>
    <row r="3092" spans="1:15" x14ac:dyDescent="0.15">
      <c r="A3092" t="s">
        <v>21</v>
      </c>
      <c r="B3092">
        <v>1001220</v>
      </c>
      <c r="C3092">
        <v>363906</v>
      </c>
      <c r="F3092" s="7">
        <v>1</v>
      </c>
      <c r="G3092" s="7">
        <v>472</v>
      </c>
      <c r="H3092" s="8">
        <v>448</v>
      </c>
      <c r="J3092" t="s">
        <v>23</v>
      </c>
      <c r="K3092" s="7">
        <v>3042</v>
      </c>
      <c r="L3092" s="9">
        <v>1</v>
      </c>
      <c r="M3092" t="s">
        <v>2534</v>
      </c>
      <c r="N3092" t="s">
        <v>104</v>
      </c>
      <c r="O3092" s="27" t="str">
        <f>HYPERLINK("https://www.ncbi.nlm.nih.gov/nuccore/NZ_MVFC01000005.1?report=graph&amp;from=17966&amp;to=17970", "TTA_codon")</f>
        <v>TTA_codon</v>
      </c>
    </row>
    <row r="3093" spans="1:15" x14ac:dyDescent="0.15">
      <c r="A3093" t="s">
        <v>21</v>
      </c>
      <c r="B3093">
        <v>1001220</v>
      </c>
      <c r="C3093">
        <v>366751</v>
      </c>
      <c r="F3093" s="7">
        <v>1</v>
      </c>
      <c r="G3093" s="7">
        <v>2656</v>
      </c>
      <c r="H3093" s="8">
        <v>2398</v>
      </c>
      <c r="J3093" t="s">
        <v>23</v>
      </c>
      <c r="K3093" s="7">
        <v>2946</v>
      </c>
      <c r="L3093" s="9">
        <v>1</v>
      </c>
      <c r="M3093" t="s">
        <v>2535</v>
      </c>
      <c r="N3093" t="s">
        <v>209</v>
      </c>
      <c r="O3093" s="27" t="str">
        <f>HYPERLINK("https://www.ncbi.nlm.nih.gov/nuccore/NZ_FZOF01000021.1?report=graph&amp;from=54010&amp;to=54014", "TTA_codon")</f>
        <v>TTA_codon</v>
      </c>
    </row>
    <row r="3094" spans="1:15" x14ac:dyDescent="0.15">
      <c r="A3094" t="s">
        <v>21</v>
      </c>
      <c r="B3094" t="s">
        <v>2536</v>
      </c>
    </row>
    <row r="3095" spans="1:15" x14ac:dyDescent="0.15">
      <c r="A3095" t="s">
        <v>21</v>
      </c>
      <c r="B3095">
        <v>1000297</v>
      </c>
      <c r="C3095">
        <v>347894</v>
      </c>
      <c r="F3095" s="7">
        <v>1</v>
      </c>
      <c r="G3095" s="7">
        <v>337</v>
      </c>
      <c r="H3095" s="8">
        <v>337</v>
      </c>
      <c r="J3095" t="s">
        <v>23</v>
      </c>
      <c r="K3095" s="7">
        <v>1488</v>
      </c>
      <c r="L3095" s="9">
        <v>-1</v>
      </c>
      <c r="M3095" t="s">
        <v>57</v>
      </c>
      <c r="N3095" t="s">
        <v>58</v>
      </c>
      <c r="O3095" s="27" t="str">
        <f>HYPERLINK("https://www.ncbi.nlm.nih.gov/nuccore/NC_013929.1?report=graph&amp;from=9203871&amp;to=9203875", "TTA_codon")</f>
        <v>TTA_codon</v>
      </c>
    </row>
    <row r="3096" spans="1:15" x14ac:dyDescent="0.15">
      <c r="A3096" t="s">
        <v>21</v>
      </c>
      <c r="B3096">
        <v>1000297</v>
      </c>
      <c r="C3096">
        <v>356305</v>
      </c>
      <c r="F3096" s="7">
        <v>1</v>
      </c>
      <c r="G3096" s="7">
        <v>274</v>
      </c>
      <c r="H3096" s="8">
        <v>259</v>
      </c>
      <c r="J3096" t="s">
        <v>23</v>
      </c>
      <c r="K3096" s="7">
        <v>1461</v>
      </c>
      <c r="L3096" s="9">
        <v>-1</v>
      </c>
      <c r="M3096" t="s">
        <v>1561</v>
      </c>
      <c r="N3096" t="s">
        <v>77</v>
      </c>
      <c r="O3096" s="27" t="str">
        <f>HYPERLINK("https://www.ncbi.nlm.nih.gov/nuccore/NZ_JNXD01000001.1?report=graph&amp;from=435098&amp;to=435102", "TTA_codon")</f>
        <v>TTA_codon</v>
      </c>
    </row>
    <row r="3097" spans="1:15" x14ac:dyDescent="0.15">
      <c r="A3097" t="s">
        <v>21</v>
      </c>
      <c r="B3097" t="s">
        <v>2537</v>
      </c>
    </row>
    <row r="3098" spans="1:15" x14ac:dyDescent="0.15">
      <c r="A3098" t="s">
        <v>21</v>
      </c>
      <c r="B3098">
        <v>1000918</v>
      </c>
      <c r="C3098">
        <v>353154</v>
      </c>
      <c r="F3098" s="7">
        <v>1</v>
      </c>
      <c r="G3098" s="7">
        <v>112</v>
      </c>
      <c r="H3098" s="8">
        <v>106</v>
      </c>
      <c r="J3098" t="s">
        <v>23</v>
      </c>
      <c r="K3098" s="7">
        <v>372</v>
      </c>
      <c r="L3098" s="9">
        <v>1</v>
      </c>
      <c r="M3098" t="s">
        <v>189</v>
      </c>
      <c r="N3098" t="s">
        <v>169</v>
      </c>
      <c r="O3098" s="27" t="str">
        <f>HYPERLINK("https://www.ncbi.nlm.nih.gov/nuccore/NZ_JNWJ01000015.1?report=graph&amp;from=18447&amp;to=18451", "TTA_codon")</f>
        <v>TTA_codon</v>
      </c>
    </row>
    <row r="3099" spans="1:15" x14ac:dyDescent="0.15">
      <c r="A3099" t="s">
        <v>21</v>
      </c>
      <c r="B3099">
        <v>1000918</v>
      </c>
      <c r="C3099">
        <v>358059</v>
      </c>
      <c r="F3099" s="7">
        <v>2</v>
      </c>
      <c r="G3099" s="7" t="s">
        <v>2538</v>
      </c>
      <c r="H3099" s="8" t="s">
        <v>2539</v>
      </c>
      <c r="J3099" t="s">
        <v>23</v>
      </c>
      <c r="K3099" s="7">
        <v>369</v>
      </c>
      <c r="L3099" s="9">
        <v>1</v>
      </c>
      <c r="M3099" t="s">
        <v>846</v>
      </c>
      <c r="N3099" t="s">
        <v>119</v>
      </c>
      <c r="O3099" s="27" t="str">
        <f>HYPERLINK("https://www.ncbi.nlm.nih.gov/nuccore/NZ_LIPP01000064.1?report=graph&amp;from=17152&amp;to=17267", "TTA_codon")</f>
        <v>TTA_codon</v>
      </c>
    </row>
    <row r="3100" spans="1:15" x14ac:dyDescent="0.15">
      <c r="A3100" t="s">
        <v>21</v>
      </c>
      <c r="B3100">
        <v>1000918</v>
      </c>
      <c r="C3100">
        <v>359802</v>
      </c>
      <c r="F3100" s="7">
        <v>1</v>
      </c>
      <c r="G3100" s="7">
        <v>112</v>
      </c>
      <c r="H3100" s="8">
        <v>109</v>
      </c>
      <c r="J3100" t="s">
        <v>23</v>
      </c>
      <c r="K3100" s="7">
        <v>381</v>
      </c>
      <c r="L3100" s="9">
        <v>1</v>
      </c>
      <c r="M3100" t="s">
        <v>1086</v>
      </c>
      <c r="N3100" t="s">
        <v>91</v>
      </c>
      <c r="O3100" s="27" t="str">
        <f>HYPERLINK("https://www.ncbi.nlm.nih.gov/nuccore/NZ_KQ948307.1?report=graph&amp;from=566422&amp;to=566426", "TTA_codon")</f>
        <v>TTA_codon</v>
      </c>
    </row>
    <row r="3101" spans="1:15" x14ac:dyDescent="0.15">
      <c r="A3101" t="s">
        <v>21</v>
      </c>
      <c r="B3101">
        <v>1000918</v>
      </c>
      <c r="C3101">
        <v>360013</v>
      </c>
      <c r="F3101" s="7">
        <v>1</v>
      </c>
      <c r="G3101" s="7">
        <v>112</v>
      </c>
      <c r="H3101" s="8">
        <v>112</v>
      </c>
      <c r="J3101" t="s">
        <v>23</v>
      </c>
      <c r="K3101" s="7">
        <v>390</v>
      </c>
      <c r="L3101" s="9">
        <v>1</v>
      </c>
      <c r="M3101" t="s">
        <v>496</v>
      </c>
      <c r="N3101" t="s">
        <v>125</v>
      </c>
      <c r="O3101" s="27" t="str">
        <f>HYPERLINK("https://www.ncbi.nlm.nih.gov/nuccore/NZ_KQ948454.1?report=graph&amp;from=381615&amp;to=381619", "TTA_codon")</f>
        <v>TTA_codon</v>
      </c>
    </row>
    <row r="3102" spans="1:15" x14ac:dyDescent="0.15">
      <c r="A3102" t="s">
        <v>21</v>
      </c>
      <c r="B3102">
        <v>1000918</v>
      </c>
      <c r="C3102">
        <v>363569</v>
      </c>
      <c r="F3102" s="7">
        <v>1</v>
      </c>
      <c r="G3102" s="7">
        <v>112</v>
      </c>
      <c r="H3102" s="8">
        <v>106</v>
      </c>
      <c r="J3102" t="s">
        <v>23</v>
      </c>
      <c r="K3102" s="7">
        <v>369</v>
      </c>
      <c r="L3102" s="9">
        <v>1</v>
      </c>
      <c r="M3102" t="s">
        <v>101</v>
      </c>
      <c r="N3102" t="s">
        <v>102</v>
      </c>
      <c r="O3102" s="27" t="str">
        <f>HYPERLINK("https://www.ncbi.nlm.nih.gov/nuccore/NZ_CP019458.1?report=graph&amp;from=5626427&amp;to=5626431", "TTA_codon")</f>
        <v>TTA_codon</v>
      </c>
    </row>
    <row r="3103" spans="1:15" x14ac:dyDescent="0.15">
      <c r="A3103" t="s">
        <v>21</v>
      </c>
      <c r="B3103" t="s">
        <v>2540</v>
      </c>
    </row>
    <row r="3104" spans="1:15" x14ac:dyDescent="0.15">
      <c r="A3104" t="s">
        <v>21</v>
      </c>
      <c r="B3104">
        <v>1000302</v>
      </c>
      <c r="C3104">
        <v>347913</v>
      </c>
      <c r="F3104" s="7">
        <v>1</v>
      </c>
      <c r="G3104" s="7">
        <v>49</v>
      </c>
      <c r="H3104" s="8">
        <v>49</v>
      </c>
      <c r="J3104" t="s">
        <v>23</v>
      </c>
      <c r="K3104" s="7">
        <v>1104</v>
      </c>
      <c r="L3104" s="9">
        <v>1</v>
      </c>
      <c r="M3104" t="s">
        <v>57</v>
      </c>
      <c r="N3104" t="s">
        <v>58</v>
      </c>
      <c r="O3104" s="27" t="str">
        <f>HYPERLINK("https://www.ncbi.nlm.nih.gov/nuccore/NC_013929.1?report=graph&amp;from=9897226&amp;to=9897230", "TTA_codon")</f>
        <v>TTA_codon</v>
      </c>
    </row>
    <row r="3105" spans="1:15" x14ac:dyDescent="0.15">
      <c r="A3105" t="s">
        <v>21</v>
      </c>
      <c r="B3105">
        <v>1000302</v>
      </c>
      <c r="C3105">
        <v>361312</v>
      </c>
      <c r="F3105" s="7">
        <v>1</v>
      </c>
      <c r="G3105" s="7">
        <v>49</v>
      </c>
      <c r="H3105" s="8">
        <v>49</v>
      </c>
      <c r="J3105" t="s">
        <v>23</v>
      </c>
      <c r="K3105" s="7">
        <v>1107</v>
      </c>
      <c r="L3105" s="9">
        <v>1</v>
      </c>
      <c r="M3105" t="s">
        <v>98</v>
      </c>
      <c r="N3105" t="s">
        <v>99</v>
      </c>
      <c r="O3105" s="27" t="str">
        <f>HYPERLINK("https://www.ncbi.nlm.nih.gov/nuccore/NZ_CP016438.1?report=graph&amp;from=9724126&amp;to=9724130", "TTA_codon")</f>
        <v>TTA_codon</v>
      </c>
    </row>
    <row r="3106" spans="1:15" x14ac:dyDescent="0.15">
      <c r="A3106" t="s">
        <v>21</v>
      </c>
      <c r="B3106" t="s">
        <v>2541</v>
      </c>
    </row>
    <row r="3107" spans="1:15" x14ac:dyDescent="0.15">
      <c r="A3107" t="s">
        <v>21</v>
      </c>
      <c r="B3107">
        <v>1000854</v>
      </c>
      <c r="C3107">
        <v>352478</v>
      </c>
      <c r="F3107" s="7">
        <v>1</v>
      </c>
      <c r="G3107" s="7">
        <v>373</v>
      </c>
      <c r="H3107" s="8">
        <v>370</v>
      </c>
      <c r="J3107" t="s">
        <v>23</v>
      </c>
      <c r="K3107" s="7">
        <v>645</v>
      </c>
      <c r="L3107" s="9">
        <v>1</v>
      </c>
      <c r="M3107" t="s">
        <v>30</v>
      </c>
      <c r="N3107" t="s">
        <v>31</v>
      </c>
      <c r="O3107" s="27" t="str">
        <f>HYPERLINK("https://www.ncbi.nlm.nih.gov/nuccore/NZ_KB913030.1?report=graph&amp;from=2585279&amp;to=2585283", "TTA_codon")</f>
        <v>TTA_codon</v>
      </c>
    </row>
    <row r="3108" spans="1:15" x14ac:dyDescent="0.15">
      <c r="A3108" t="s">
        <v>21</v>
      </c>
      <c r="B3108">
        <v>1000854</v>
      </c>
      <c r="C3108">
        <v>352709</v>
      </c>
      <c r="F3108" s="7">
        <v>1</v>
      </c>
      <c r="G3108" s="7">
        <v>286</v>
      </c>
      <c r="H3108" s="8">
        <v>229</v>
      </c>
      <c r="J3108" t="s">
        <v>23</v>
      </c>
      <c r="K3108" s="7">
        <v>630</v>
      </c>
      <c r="L3108" s="9">
        <v>1</v>
      </c>
      <c r="M3108" t="s">
        <v>1728</v>
      </c>
      <c r="N3108" t="s">
        <v>436</v>
      </c>
      <c r="O3108" s="27" t="str">
        <f>HYPERLINK("https://www.ncbi.nlm.nih.gov/nuccore/NZ_AUBE01000004.1?report=graph&amp;from=101239&amp;to=101243", "TTA_codon")</f>
        <v>TTA_codon</v>
      </c>
    </row>
    <row r="3109" spans="1:15" x14ac:dyDescent="0.15">
      <c r="A3109" t="s">
        <v>21</v>
      </c>
      <c r="B3109">
        <v>1000854</v>
      </c>
      <c r="C3109">
        <v>353045</v>
      </c>
      <c r="F3109" s="7">
        <v>1</v>
      </c>
      <c r="G3109" s="7">
        <v>286</v>
      </c>
      <c r="H3109" s="8">
        <v>232</v>
      </c>
      <c r="J3109" t="s">
        <v>23</v>
      </c>
      <c r="K3109" s="7">
        <v>738</v>
      </c>
      <c r="L3109" s="9">
        <v>1</v>
      </c>
      <c r="M3109" t="s">
        <v>2542</v>
      </c>
      <c r="N3109" t="s">
        <v>306</v>
      </c>
      <c r="O3109" s="27" t="str">
        <f>HYPERLINK("https://www.ncbi.nlm.nih.gov/nuccore/NZ_KL571085.1?report=graph&amp;from=7873&amp;to=7877", "TTA_codon")</f>
        <v>TTA_codon</v>
      </c>
    </row>
    <row r="3110" spans="1:15" x14ac:dyDescent="0.15">
      <c r="A3110" t="s">
        <v>21</v>
      </c>
      <c r="B3110">
        <v>1000854</v>
      </c>
      <c r="C3110">
        <v>353847</v>
      </c>
      <c r="F3110" s="7">
        <v>1</v>
      </c>
      <c r="G3110" s="7">
        <v>286</v>
      </c>
      <c r="H3110" s="8">
        <v>232</v>
      </c>
      <c r="J3110" t="s">
        <v>23</v>
      </c>
      <c r="K3110" s="7">
        <v>678</v>
      </c>
      <c r="L3110" s="9">
        <v>1</v>
      </c>
      <c r="M3110" t="s">
        <v>1030</v>
      </c>
      <c r="N3110" t="s">
        <v>246</v>
      </c>
      <c r="O3110" s="27" t="str">
        <f>HYPERLINK("https://www.ncbi.nlm.nih.gov/nuccore/NZ_JNYR01000018.1?report=graph&amp;from=51387&amp;to=51391", "TTA_codon")</f>
        <v>TTA_codon</v>
      </c>
    </row>
    <row r="3111" spans="1:15" x14ac:dyDescent="0.15">
      <c r="A3111" t="s">
        <v>21</v>
      </c>
      <c r="B3111">
        <v>1000854</v>
      </c>
      <c r="C3111">
        <v>355848</v>
      </c>
      <c r="F3111" s="7">
        <v>1</v>
      </c>
      <c r="G3111" s="7">
        <v>337</v>
      </c>
      <c r="H3111" s="8">
        <v>190</v>
      </c>
      <c r="J3111" t="s">
        <v>23</v>
      </c>
      <c r="K3111" s="7">
        <v>609</v>
      </c>
      <c r="L3111" s="9">
        <v>1</v>
      </c>
      <c r="M3111" t="s">
        <v>2543</v>
      </c>
      <c r="N3111" t="s">
        <v>75</v>
      </c>
      <c r="O3111" s="27" t="str">
        <f>HYPERLINK("https://www.ncbi.nlm.nih.gov/nuccore/NZ_JOII01000022.1?report=graph&amp;from=129788&amp;to=129792", "TTA_codon")</f>
        <v>TTA_codon</v>
      </c>
    </row>
    <row r="3112" spans="1:15" x14ac:dyDescent="0.15">
      <c r="A3112" t="s">
        <v>21</v>
      </c>
      <c r="B3112">
        <v>1000854</v>
      </c>
      <c r="C3112">
        <v>356736</v>
      </c>
      <c r="F3112" s="7">
        <v>1</v>
      </c>
      <c r="G3112" s="7">
        <v>286</v>
      </c>
      <c r="H3112" s="8">
        <v>193</v>
      </c>
      <c r="J3112" t="s">
        <v>23</v>
      </c>
      <c r="K3112" s="7">
        <v>561</v>
      </c>
      <c r="L3112" s="9">
        <v>1</v>
      </c>
      <c r="M3112" t="s">
        <v>147</v>
      </c>
      <c r="N3112" t="s">
        <v>148</v>
      </c>
      <c r="O3112" s="27" t="str">
        <f>HYPERLINK("https://www.ncbi.nlm.nih.gov/nuccore/NZ_CP021080.1?report=graph&amp;from=2463608&amp;to=2463612", "TTA_codon")</f>
        <v>TTA_codon</v>
      </c>
    </row>
    <row r="3113" spans="1:15" x14ac:dyDescent="0.15">
      <c r="A3113" t="s">
        <v>21</v>
      </c>
      <c r="B3113">
        <v>1000854</v>
      </c>
      <c r="C3113">
        <v>360600</v>
      </c>
      <c r="F3113" s="7">
        <v>1</v>
      </c>
      <c r="G3113" s="7">
        <v>286</v>
      </c>
      <c r="H3113" s="8">
        <v>193</v>
      </c>
      <c r="J3113" t="s">
        <v>23</v>
      </c>
      <c r="K3113" s="7">
        <v>579</v>
      </c>
      <c r="L3113" s="9">
        <v>1</v>
      </c>
      <c r="M3113" t="s">
        <v>121</v>
      </c>
      <c r="N3113" t="s">
        <v>122</v>
      </c>
      <c r="O3113" s="27" t="str">
        <f>HYPERLINK("https://www.ncbi.nlm.nih.gov/nuccore/NZ_CP016279.1?report=graph&amp;from=9605309&amp;to=9605313", "TTA_codon")</f>
        <v>TTA_codon</v>
      </c>
    </row>
    <row r="3114" spans="1:15" x14ac:dyDescent="0.15">
      <c r="A3114" t="s">
        <v>21</v>
      </c>
      <c r="B3114">
        <v>1000854</v>
      </c>
      <c r="C3114">
        <v>360996</v>
      </c>
      <c r="F3114" s="7">
        <v>2</v>
      </c>
      <c r="G3114" s="7" t="s">
        <v>2544</v>
      </c>
      <c r="H3114" s="8" t="s">
        <v>2545</v>
      </c>
      <c r="J3114" t="s">
        <v>23</v>
      </c>
      <c r="K3114" s="7">
        <v>660</v>
      </c>
      <c r="L3114" s="9">
        <v>1</v>
      </c>
      <c r="M3114" t="s">
        <v>2546</v>
      </c>
      <c r="N3114" t="s">
        <v>97</v>
      </c>
      <c r="O3114" s="27" t="str">
        <f>HYPERLINK("https://www.ncbi.nlm.nih.gov/nuccore/NZ_LOHS01000184.1?report=graph&amp;from=9429&amp;to=9922", "TTA_codon")</f>
        <v>TTA_codon</v>
      </c>
    </row>
    <row r="3115" spans="1:15" x14ac:dyDescent="0.15">
      <c r="A3115" t="s">
        <v>21</v>
      </c>
      <c r="B3115">
        <v>1000854</v>
      </c>
      <c r="C3115">
        <v>362035</v>
      </c>
      <c r="F3115" s="7">
        <v>1</v>
      </c>
      <c r="G3115" s="7">
        <v>286</v>
      </c>
      <c r="H3115" s="8">
        <v>208</v>
      </c>
      <c r="J3115" t="s">
        <v>23</v>
      </c>
      <c r="K3115" s="7">
        <v>555</v>
      </c>
      <c r="L3115" s="9">
        <v>1</v>
      </c>
      <c r="M3115" t="s">
        <v>1644</v>
      </c>
      <c r="N3115" t="s">
        <v>187</v>
      </c>
      <c r="O3115" s="27" t="str">
        <f>HYPERLINK("https://www.ncbi.nlm.nih.gov/nuccore/NZ_MAXF01000031.1?report=graph&amp;from=60510&amp;to=60514", "TTA_codon")</f>
        <v>TTA_codon</v>
      </c>
    </row>
    <row r="3116" spans="1:15" x14ac:dyDescent="0.15">
      <c r="A3116" t="s">
        <v>21</v>
      </c>
      <c r="B3116">
        <v>1000854</v>
      </c>
      <c r="C3116">
        <v>363815</v>
      </c>
      <c r="F3116" s="7">
        <v>1</v>
      </c>
      <c r="G3116" s="7">
        <v>286</v>
      </c>
      <c r="H3116" s="8">
        <v>208</v>
      </c>
      <c r="J3116" t="s">
        <v>23</v>
      </c>
      <c r="K3116" s="7">
        <v>765</v>
      </c>
      <c r="L3116" s="9">
        <v>1</v>
      </c>
      <c r="M3116" t="s">
        <v>101</v>
      </c>
      <c r="N3116" t="s">
        <v>102</v>
      </c>
      <c r="O3116" s="27" t="str">
        <f>HYPERLINK("https://www.ncbi.nlm.nih.gov/nuccore/NZ_CP019458.1?report=graph&amp;from=4573386&amp;to=4573390", "TTA_codon")</f>
        <v>TTA_codon</v>
      </c>
    </row>
    <row r="3117" spans="1:15" x14ac:dyDescent="0.15">
      <c r="A3117" t="s">
        <v>21</v>
      </c>
      <c r="B3117">
        <v>1000854</v>
      </c>
      <c r="C3117">
        <v>364900</v>
      </c>
      <c r="F3117" s="7">
        <v>1</v>
      </c>
      <c r="G3117" s="7">
        <v>286</v>
      </c>
      <c r="H3117" s="8">
        <v>238</v>
      </c>
      <c r="J3117" t="s">
        <v>23</v>
      </c>
      <c r="K3117" s="7">
        <v>651</v>
      </c>
      <c r="L3117" s="9">
        <v>1</v>
      </c>
      <c r="M3117" t="s">
        <v>126</v>
      </c>
      <c r="N3117" t="s">
        <v>127</v>
      </c>
      <c r="O3117" s="27" t="str">
        <f>HYPERLINK("https://www.ncbi.nlm.nih.gov/nuccore/NZ_CP021748.1?report=graph&amp;from=3415071&amp;to=3415075", "TTA_codon")</f>
        <v>TTA_codon</v>
      </c>
    </row>
    <row r="3118" spans="1:15" x14ac:dyDescent="0.15">
      <c r="A3118" t="s">
        <v>21</v>
      </c>
      <c r="B3118">
        <v>1000854</v>
      </c>
      <c r="C3118">
        <v>365101</v>
      </c>
      <c r="F3118" s="7">
        <v>1</v>
      </c>
      <c r="G3118" s="7">
        <v>286</v>
      </c>
      <c r="H3118" s="8">
        <v>247</v>
      </c>
      <c r="J3118" t="s">
        <v>23</v>
      </c>
      <c r="K3118" s="7">
        <v>663</v>
      </c>
      <c r="L3118" s="9">
        <v>1</v>
      </c>
      <c r="M3118" t="s">
        <v>111</v>
      </c>
      <c r="N3118" t="s">
        <v>112</v>
      </c>
      <c r="O3118" s="27" t="str">
        <f>HYPERLINK("https://www.ncbi.nlm.nih.gov/nuccore/NZ_CP021744.1?report=graph&amp;from=4990215&amp;to=4990219", "TTA_codon")</f>
        <v>TTA_codon</v>
      </c>
    </row>
    <row r="3119" spans="1:15" x14ac:dyDescent="0.15">
      <c r="A3119" t="s">
        <v>21</v>
      </c>
      <c r="B3119">
        <v>1000854</v>
      </c>
      <c r="C3119">
        <v>365862</v>
      </c>
      <c r="F3119" s="7">
        <v>2</v>
      </c>
      <c r="G3119" s="7" t="s">
        <v>2547</v>
      </c>
      <c r="H3119" s="8" t="s">
        <v>2548</v>
      </c>
      <c r="J3119" t="s">
        <v>23</v>
      </c>
      <c r="K3119" s="7">
        <v>627</v>
      </c>
      <c r="L3119" s="9">
        <v>1</v>
      </c>
      <c r="M3119" t="s">
        <v>213</v>
      </c>
      <c r="N3119" t="s">
        <v>214</v>
      </c>
      <c r="O3119" s="27" t="str">
        <f>HYPERLINK("https://www.ncbi.nlm.nih.gov/nuccore/NZ_FNST01000002.1?report=graph&amp;from=2140708&amp;to=2140766", "TTA_codon")</f>
        <v>TTA_codon</v>
      </c>
    </row>
    <row r="3120" spans="1:15" x14ac:dyDescent="0.15">
      <c r="A3120" t="s">
        <v>21</v>
      </c>
      <c r="B3120" t="s">
        <v>2549</v>
      </c>
    </row>
    <row r="3121" spans="1:15" x14ac:dyDescent="0.15">
      <c r="A3121" t="s">
        <v>21</v>
      </c>
      <c r="B3121">
        <v>1000358</v>
      </c>
      <c r="C3121">
        <v>348192</v>
      </c>
      <c r="F3121" s="7">
        <v>1</v>
      </c>
      <c r="G3121" s="7">
        <v>547</v>
      </c>
      <c r="H3121" s="8">
        <v>496</v>
      </c>
      <c r="J3121" t="s">
        <v>23</v>
      </c>
      <c r="K3121" s="7">
        <v>1227</v>
      </c>
      <c r="L3121" s="9">
        <v>1</v>
      </c>
      <c r="M3121" t="s">
        <v>59</v>
      </c>
      <c r="N3121" t="s">
        <v>60</v>
      </c>
      <c r="O3121" s="27" t="str">
        <f>HYPERLINK("https://www.ncbi.nlm.nih.gov/nuccore/NC_016582.1?report=graph&amp;from=990697&amp;to=990701", "TTA_codon")</f>
        <v>TTA_codon</v>
      </c>
    </row>
    <row r="3122" spans="1:15" x14ac:dyDescent="0.15">
      <c r="A3122" t="s">
        <v>21</v>
      </c>
      <c r="B3122">
        <v>1000358</v>
      </c>
      <c r="C3122">
        <v>356696</v>
      </c>
      <c r="F3122" s="7">
        <v>1</v>
      </c>
      <c r="G3122" s="7">
        <v>514</v>
      </c>
      <c r="H3122" s="8">
        <v>445</v>
      </c>
      <c r="J3122" t="s">
        <v>23</v>
      </c>
      <c r="K3122" s="7">
        <v>1218</v>
      </c>
      <c r="L3122" s="9">
        <v>1</v>
      </c>
      <c r="M3122" t="s">
        <v>147</v>
      </c>
      <c r="N3122" t="s">
        <v>148</v>
      </c>
      <c r="O3122" s="27" t="str">
        <f>HYPERLINK("https://www.ncbi.nlm.nih.gov/nuccore/NZ_CP021080.1?report=graph&amp;from=5900237&amp;to=5900241", "TTA_codon")</f>
        <v>TTA_codon</v>
      </c>
    </row>
    <row r="3123" spans="1:15" x14ac:dyDescent="0.15">
      <c r="A3123" t="s">
        <v>21</v>
      </c>
      <c r="B3123" t="s">
        <v>2550</v>
      </c>
    </row>
    <row r="3124" spans="1:15" x14ac:dyDescent="0.15">
      <c r="A3124" t="s">
        <v>21</v>
      </c>
      <c r="B3124">
        <v>1000896</v>
      </c>
      <c r="C3124">
        <v>352893</v>
      </c>
      <c r="F3124" s="7">
        <v>1</v>
      </c>
      <c r="G3124" s="7">
        <v>103</v>
      </c>
      <c r="H3124" s="8">
        <v>73</v>
      </c>
      <c r="J3124" t="s">
        <v>23</v>
      </c>
      <c r="K3124" s="7">
        <v>873</v>
      </c>
      <c r="L3124" s="9">
        <v>1</v>
      </c>
      <c r="M3124" t="s">
        <v>2551</v>
      </c>
      <c r="N3124" t="s">
        <v>306</v>
      </c>
      <c r="O3124" s="27" t="str">
        <f>HYPERLINK("https://www.ncbi.nlm.nih.gov/nuccore/NZ_KL571089.1?report=graph&amp;from=80055&amp;to=80059", "TTA_codon")</f>
        <v>TTA_codon</v>
      </c>
    </row>
    <row r="3125" spans="1:15" x14ac:dyDescent="0.15">
      <c r="A3125" t="s">
        <v>21</v>
      </c>
      <c r="B3125">
        <v>1000896</v>
      </c>
      <c r="C3125">
        <v>361371</v>
      </c>
      <c r="F3125" s="7">
        <v>1</v>
      </c>
      <c r="G3125" s="7">
        <v>169</v>
      </c>
      <c r="H3125" s="8">
        <v>163</v>
      </c>
      <c r="J3125" t="s">
        <v>23</v>
      </c>
      <c r="K3125" s="7">
        <v>1047</v>
      </c>
      <c r="L3125" s="9">
        <v>1</v>
      </c>
      <c r="M3125" t="s">
        <v>286</v>
      </c>
      <c r="N3125" t="s">
        <v>201</v>
      </c>
      <c r="O3125" s="27" t="str">
        <f>HYPERLINK("https://www.ncbi.nlm.nih.gov/nuccore/NZ_CP016560.1?report=graph&amp;from=149503&amp;to=149507", "TTA_codon")</f>
        <v>TTA_codon</v>
      </c>
    </row>
    <row r="3126" spans="1:15" x14ac:dyDescent="0.15">
      <c r="A3126" t="s">
        <v>21</v>
      </c>
      <c r="B3126" t="s">
        <v>2552</v>
      </c>
    </row>
    <row r="3127" spans="1:15" x14ac:dyDescent="0.15">
      <c r="A3127" t="s">
        <v>21</v>
      </c>
      <c r="B3127">
        <v>1001454</v>
      </c>
      <c r="C3127">
        <v>363665</v>
      </c>
      <c r="F3127" s="7">
        <v>1</v>
      </c>
      <c r="G3127" s="7">
        <v>46</v>
      </c>
      <c r="H3127" s="8">
        <v>46</v>
      </c>
      <c r="J3127" t="s">
        <v>23</v>
      </c>
      <c r="K3127" s="7">
        <v>1161</v>
      </c>
      <c r="L3127" s="9">
        <v>1</v>
      </c>
      <c r="M3127" t="s">
        <v>101</v>
      </c>
      <c r="N3127" t="s">
        <v>102</v>
      </c>
      <c r="O3127" s="27" t="str">
        <f>HYPERLINK("https://www.ncbi.nlm.nih.gov/nuccore/NZ_CP019458.1?report=graph&amp;from=4547639&amp;to=4547643", "TTA_codon")</f>
        <v>TTA_codon</v>
      </c>
    </row>
    <row r="3128" spans="1:15" x14ac:dyDescent="0.15">
      <c r="A3128" t="s">
        <v>21</v>
      </c>
      <c r="B3128">
        <v>1001454</v>
      </c>
      <c r="C3128">
        <v>365639</v>
      </c>
      <c r="F3128" s="7">
        <v>1</v>
      </c>
      <c r="G3128" s="7">
        <v>46</v>
      </c>
      <c r="H3128" s="8">
        <v>46</v>
      </c>
      <c r="J3128" t="s">
        <v>23</v>
      </c>
      <c r="K3128" s="7">
        <v>1200</v>
      </c>
      <c r="L3128" s="9">
        <v>1</v>
      </c>
      <c r="M3128" t="s">
        <v>213</v>
      </c>
      <c r="N3128" t="s">
        <v>214</v>
      </c>
      <c r="O3128" s="27" t="str">
        <f>HYPERLINK("https://www.ncbi.nlm.nih.gov/nuccore/NZ_FNST01000002.1?report=graph&amp;from=2115515&amp;to=2115519", "TTA_codon")</f>
        <v>TTA_codon</v>
      </c>
    </row>
    <row r="3129" spans="1:15" x14ac:dyDescent="0.15">
      <c r="A3129" t="s">
        <v>21</v>
      </c>
      <c r="B3129" t="s">
        <v>2553</v>
      </c>
    </row>
    <row r="3130" spans="1:15" x14ac:dyDescent="0.15">
      <c r="A3130" t="s">
        <v>21</v>
      </c>
      <c r="B3130">
        <v>1000911</v>
      </c>
      <c r="C3130">
        <v>353115</v>
      </c>
      <c r="F3130" s="7">
        <v>1</v>
      </c>
      <c r="G3130" s="7">
        <v>103</v>
      </c>
      <c r="H3130" s="8">
        <v>97</v>
      </c>
      <c r="J3130" t="s">
        <v>23</v>
      </c>
      <c r="K3130" s="7">
        <v>831</v>
      </c>
      <c r="L3130" s="9">
        <v>-1</v>
      </c>
      <c r="M3130" t="s">
        <v>2168</v>
      </c>
      <c r="N3130" t="s">
        <v>306</v>
      </c>
      <c r="O3130" s="27" t="str">
        <f>HYPERLINK("https://www.ncbi.nlm.nih.gov/nuccore/NZ_KL571070.1?report=graph&amp;from=8904&amp;to=8908", "TTA_codon")</f>
        <v>TTA_codon</v>
      </c>
    </row>
    <row r="3131" spans="1:15" x14ac:dyDescent="0.15">
      <c r="A3131" t="s">
        <v>21</v>
      </c>
      <c r="B3131">
        <v>1000911</v>
      </c>
      <c r="C3131">
        <v>362089</v>
      </c>
      <c r="F3131" s="7">
        <v>1</v>
      </c>
      <c r="G3131" s="7">
        <v>193</v>
      </c>
      <c r="H3131" s="8">
        <v>166</v>
      </c>
      <c r="J3131" t="s">
        <v>23</v>
      </c>
      <c r="K3131" s="7">
        <v>831</v>
      </c>
      <c r="L3131" s="9">
        <v>-1</v>
      </c>
      <c r="M3131" t="s">
        <v>2554</v>
      </c>
      <c r="N3131" t="s">
        <v>187</v>
      </c>
      <c r="O3131" s="27" t="str">
        <f>HYPERLINK("https://www.ncbi.nlm.nih.gov/nuccore/NZ_MAXF01000091.1?report=graph&amp;from=50322&amp;to=50326", "TTA_codon")</f>
        <v>TTA_codon</v>
      </c>
    </row>
    <row r="3132" spans="1:15" x14ac:dyDescent="0.15">
      <c r="A3132" t="s">
        <v>21</v>
      </c>
      <c r="B3132">
        <v>1000911</v>
      </c>
      <c r="C3132">
        <v>362650</v>
      </c>
      <c r="F3132" s="7">
        <v>1</v>
      </c>
      <c r="G3132" s="7">
        <v>214</v>
      </c>
      <c r="H3132" s="8">
        <v>214</v>
      </c>
      <c r="J3132" t="s">
        <v>23</v>
      </c>
      <c r="K3132" s="7">
        <v>846</v>
      </c>
      <c r="L3132" s="9">
        <v>-1</v>
      </c>
      <c r="M3132" t="s">
        <v>32</v>
      </c>
      <c r="N3132" t="s">
        <v>33</v>
      </c>
      <c r="O3132" s="27" t="str">
        <f>HYPERLINK("https://www.ncbi.nlm.nih.gov/nuccore/NZ_CP017248.1?report=graph&amp;from=5758314&amp;to=5758318", "TTA_codon")</f>
        <v>TTA_codon</v>
      </c>
    </row>
    <row r="3133" spans="1:15" x14ac:dyDescent="0.15">
      <c r="A3133" t="s">
        <v>21</v>
      </c>
      <c r="B3133" t="s">
        <v>2555</v>
      </c>
    </row>
    <row r="3134" spans="1:15" x14ac:dyDescent="0.15">
      <c r="A3134" t="s">
        <v>21</v>
      </c>
      <c r="B3134">
        <v>1001325</v>
      </c>
      <c r="C3134">
        <v>351219</v>
      </c>
      <c r="F3134" s="7">
        <v>2</v>
      </c>
      <c r="G3134" s="7" t="s">
        <v>2556</v>
      </c>
      <c r="H3134" s="8" t="s">
        <v>2556</v>
      </c>
      <c r="J3134" t="s">
        <v>23</v>
      </c>
      <c r="K3134" s="7">
        <v>837</v>
      </c>
      <c r="L3134" s="9">
        <v>1</v>
      </c>
      <c r="M3134" t="s">
        <v>65</v>
      </c>
      <c r="N3134" t="s">
        <v>66</v>
      </c>
      <c r="O3134" s="27" t="str">
        <f>HYPERLINK("https://www.ncbi.nlm.nih.gov/nuccore/NC_020504.1?report=graph&amp;from=6023605&amp;to=6023972", "TTA_codon")</f>
        <v>TTA_codon</v>
      </c>
    </row>
    <row r="3135" spans="1:15" x14ac:dyDescent="0.15">
      <c r="A3135" t="s">
        <v>21</v>
      </c>
      <c r="B3135">
        <v>1001325</v>
      </c>
      <c r="C3135">
        <v>359880</v>
      </c>
      <c r="F3135" s="7">
        <v>1</v>
      </c>
      <c r="G3135" s="7">
        <v>286</v>
      </c>
      <c r="H3135" s="8">
        <v>100</v>
      </c>
      <c r="J3135" t="s">
        <v>23</v>
      </c>
      <c r="K3135" s="7">
        <v>636</v>
      </c>
      <c r="L3135" s="9">
        <v>1</v>
      </c>
      <c r="M3135" t="s">
        <v>2557</v>
      </c>
      <c r="N3135" t="s">
        <v>91</v>
      </c>
      <c r="O3135" s="27" t="str">
        <f>HYPERLINK("https://www.ncbi.nlm.nih.gov/nuccore/NZ_KQ948324.1?report=graph&amp;from=167867&amp;to=167871", "TTA_codon")</f>
        <v>TTA_codon</v>
      </c>
    </row>
    <row r="3136" spans="1:15" x14ac:dyDescent="0.15">
      <c r="A3136" t="s">
        <v>21</v>
      </c>
      <c r="B3136" t="s">
        <v>2558</v>
      </c>
    </row>
    <row r="3137" spans="1:15" x14ac:dyDescent="0.15">
      <c r="A3137" t="s">
        <v>21</v>
      </c>
      <c r="B3137">
        <v>1001270</v>
      </c>
      <c r="C3137">
        <v>358219</v>
      </c>
      <c r="F3137" s="7">
        <v>1</v>
      </c>
      <c r="G3137" s="7">
        <v>121</v>
      </c>
      <c r="H3137" s="8">
        <v>121</v>
      </c>
      <c r="J3137" t="s">
        <v>23</v>
      </c>
      <c r="K3137" s="7">
        <v>975</v>
      </c>
      <c r="L3137" s="9">
        <v>-1</v>
      </c>
      <c r="M3137" t="s">
        <v>2559</v>
      </c>
      <c r="N3137" t="s">
        <v>119</v>
      </c>
      <c r="O3137" s="27" t="str">
        <f>HYPERLINK("https://www.ncbi.nlm.nih.gov/nuccore/NZ_LIPP01000263.1?report=graph&amp;from=5623&amp;to=5627", "TTA_codon")</f>
        <v>TTA_codon</v>
      </c>
    </row>
    <row r="3138" spans="1:15" x14ac:dyDescent="0.15">
      <c r="A3138" t="s">
        <v>21</v>
      </c>
      <c r="B3138">
        <v>1001270</v>
      </c>
      <c r="C3138">
        <v>363535</v>
      </c>
      <c r="F3138" s="7">
        <v>1</v>
      </c>
      <c r="G3138" s="7">
        <v>166</v>
      </c>
      <c r="H3138" s="8">
        <v>160</v>
      </c>
      <c r="J3138" t="s">
        <v>23</v>
      </c>
      <c r="K3138" s="7">
        <v>963</v>
      </c>
      <c r="L3138" s="9">
        <v>-1</v>
      </c>
      <c r="M3138" t="s">
        <v>157</v>
      </c>
      <c r="N3138" t="s">
        <v>158</v>
      </c>
      <c r="O3138" s="27" t="str">
        <f>HYPERLINK("https://www.ncbi.nlm.nih.gov/nuccore/NZ_CP015588.1?report=graph&amp;from=2268873&amp;to=2268877", "TTA_codon")</f>
        <v>TTA_codon</v>
      </c>
    </row>
    <row r="3139" spans="1:15" x14ac:dyDescent="0.15">
      <c r="A3139" t="s">
        <v>21</v>
      </c>
      <c r="B3139" t="s">
        <v>2560</v>
      </c>
    </row>
    <row r="3140" spans="1:15" x14ac:dyDescent="0.15">
      <c r="A3140" t="s">
        <v>21</v>
      </c>
      <c r="B3140">
        <v>1000190</v>
      </c>
      <c r="C3140">
        <v>347321</v>
      </c>
      <c r="F3140" s="7">
        <v>1</v>
      </c>
      <c r="G3140" s="7">
        <v>61</v>
      </c>
      <c r="H3140" s="8">
        <v>61</v>
      </c>
      <c r="J3140" t="s">
        <v>23</v>
      </c>
      <c r="K3140" s="7">
        <v>1779</v>
      </c>
      <c r="L3140" s="9">
        <v>-1</v>
      </c>
      <c r="M3140" t="s">
        <v>53</v>
      </c>
      <c r="N3140" t="s">
        <v>54</v>
      </c>
      <c r="O3140" s="27" t="str">
        <f>HYPERLINK("https://www.ncbi.nlm.nih.gov/nuccore/NC_003155.5?report=graph&amp;from=2877399&amp;to=2877403", "TTA_codon")</f>
        <v>TTA_codon</v>
      </c>
    </row>
    <row r="3141" spans="1:15" x14ac:dyDescent="0.15">
      <c r="A3141" t="s">
        <v>21</v>
      </c>
      <c r="B3141">
        <v>1000190</v>
      </c>
      <c r="C3141">
        <v>355107</v>
      </c>
      <c r="F3141" s="7">
        <v>1</v>
      </c>
      <c r="G3141" s="7">
        <v>82</v>
      </c>
      <c r="H3141" s="8">
        <v>67</v>
      </c>
      <c r="J3141" t="s">
        <v>23</v>
      </c>
      <c r="K3141" s="7">
        <v>1788</v>
      </c>
      <c r="L3141" s="9">
        <v>-1</v>
      </c>
      <c r="M3141" t="s">
        <v>2561</v>
      </c>
      <c r="N3141" t="s">
        <v>433</v>
      </c>
      <c r="O3141" s="27" t="str">
        <f>HYPERLINK("https://www.ncbi.nlm.nih.gov/nuccore/NZ_JOBF01000011.1?report=graph&amp;from=105844&amp;to=105848", "TTA_codon")</f>
        <v>TTA_codon</v>
      </c>
    </row>
    <row r="3142" spans="1:15" x14ac:dyDescent="0.15">
      <c r="A3142" t="s">
        <v>195</v>
      </c>
      <c r="B3142" t="s">
        <v>2562</v>
      </c>
    </row>
    <row r="3143" spans="1:15" x14ac:dyDescent="0.15">
      <c r="A3143" t="s">
        <v>195</v>
      </c>
      <c r="B3143">
        <v>1001523</v>
      </c>
      <c r="C3143">
        <v>346660</v>
      </c>
      <c r="F3143" s="7">
        <v>1</v>
      </c>
      <c r="G3143" s="7">
        <v>1918</v>
      </c>
      <c r="H3143" s="8">
        <v>1366</v>
      </c>
      <c r="J3143" t="s">
        <v>23</v>
      </c>
      <c r="K3143" s="7">
        <v>2624</v>
      </c>
      <c r="L3143" s="9">
        <v>-1</v>
      </c>
      <c r="M3143" t="s">
        <v>2563</v>
      </c>
      <c r="N3143" t="s">
        <v>85</v>
      </c>
      <c r="O3143" s="27" t="str">
        <f>HYPERLINK("https://www.ncbi.nlm.nih.gov/nuccore/NZ_LIQX01000674.1?report=graph&amp;from=1268&amp;to=1272", "TTA_codon")</f>
        <v>TTA_codon</v>
      </c>
    </row>
    <row r="3144" spans="1:15" x14ac:dyDescent="0.15">
      <c r="A3144" t="s">
        <v>21</v>
      </c>
      <c r="B3144">
        <v>1001523</v>
      </c>
      <c r="C3144">
        <v>348719</v>
      </c>
      <c r="F3144" s="7">
        <v>1</v>
      </c>
      <c r="G3144" s="7">
        <v>1138</v>
      </c>
      <c r="H3144" s="8">
        <v>1096</v>
      </c>
      <c r="J3144" t="s">
        <v>23</v>
      </c>
      <c r="K3144" s="7">
        <v>2973</v>
      </c>
      <c r="L3144" s="9">
        <v>-1</v>
      </c>
      <c r="M3144" t="s">
        <v>211</v>
      </c>
      <c r="N3144" t="s">
        <v>212</v>
      </c>
      <c r="O3144" s="27" t="str">
        <f>HYPERLINK("https://www.ncbi.nlm.nih.gov/nuccore/NZ_GG657754.1?report=graph&amp;from=9017633&amp;to=9017637", "TTA_codon")</f>
        <v>TTA_codon</v>
      </c>
    </row>
    <row r="3145" spans="1:15" x14ac:dyDescent="0.15">
      <c r="A3145" t="s">
        <v>21</v>
      </c>
      <c r="B3145">
        <v>1001523</v>
      </c>
      <c r="C3145">
        <v>357523</v>
      </c>
      <c r="F3145" s="7">
        <v>1</v>
      </c>
      <c r="G3145" s="7">
        <v>2086</v>
      </c>
      <c r="H3145" s="8">
        <v>856</v>
      </c>
      <c r="J3145" t="s">
        <v>23</v>
      </c>
      <c r="K3145" s="7">
        <v>3810</v>
      </c>
      <c r="L3145" s="9">
        <v>-1</v>
      </c>
      <c r="M3145" t="s">
        <v>814</v>
      </c>
      <c r="N3145" t="s">
        <v>378</v>
      </c>
      <c r="O3145" s="27" t="str">
        <f>HYPERLINK("https://www.ncbi.nlm.nih.gov/nuccore/NZ_LFXA01000002.1?report=graph&amp;from=719385&amp;to=719389", "TTA_codon")</f>
        <v>TTA_codon</v>
      </c>
    </row>
    <row r="3146" spans="1:15" x14ac:dyDescent="0.15">
      <c r="A3146" t="s">
        <v>21</v>
      </c>
      <c r="B3146">
        <v>1001523</v>
      </c>
      <c r="C3146">
        <v>360417</v>
      </c>
      <c r="F3146" s="7">
        <v>1</v>
      </c>
      <c r="G3146" s="7">
        <v>1954</v>
      </c>
      <c r="H3146" s="8">
        <v>751</v>
      </c>
      <c r="J3146" t="s">
        <v>23</v>
      </c>
      <c r="K3146" s="7">
        <v>1569</v>
      </c>
      <c r="L3146" s="9">
        <v>-1</v>
      </c>
      <c r="M3146" t="s">
        <v>121</v>
      </c>
      <c r="N3146" t="s">
        <v>122</v>
      </c>
      <c r="O3146" s="27" t="str">
        <f>HYPERLINK("https://www.ncbi.nlm.nih.gov/nuccore/NZ_CP016279.1?report=graph&amp;from=5407978&amp;to=5407982", "TTA_codon")</f>
        <v>TTA_codon</v>
      </c>
    </row>
    <row r="3147" spans="1:15" x14ac:dyDescent="0.15">
      <c r="A3147" t="s">
        <v>21</v>
      </c>
      <c r="B3147">
        <v>1001523</v>
      </c>
      <c r="C3147">
        <v>360437</v>
      </c>
      <c r="F3147" s="7">
        <v>3</v>
      </c>
      <c r="G3147" s="7" t="s">
        <v>2564</v>
      </c>
      <c r="H3147" s="8" t="s">
        <v>2565</v>
      </c>
      <c r="J3147" t="s">
        <v>23</v>
      </c>
      <c r="K3147" s="7">
        <v>2520</v>
      </c>
      <c r="L3147" s="9">
        <v>-1</v>
      </c>
      <c r="M3147" t="s">
        <v>121</v>
      </c>
      <c r="N3147" t="s">
        <v>122</v>
      </c>
      <c r="O3147" s="27" t="str">
        <f>HYPERLINK("https://www.ncbi.nlm.nih.gov/nuccore/NZ_CP016279.1?report=graph&amp;from=5392186&amp;to=5393042", "TTA_codon")</f>
        <v>TTA_codon</v>
      </c>
    </row>
    <row r="3148" spans="1:15" x14ac:dyDescent="0.15">
      <c r="A3148" t="s">
        <v>21</v>
      </c>
      <c r="B3148">
        <v>1001523</v>
      </c>
      <c r="C3148">
        <v>366624</v>
      </c>
      <c r="F3148" s="7">
        <v>1</v>
      </c>
      <c r="G3148" s="7">
        <v>1999</v>
      </c>
      <c r="H3148" s="8">
        <v>1090</v>
      </c>
      <c r="J3148" t="s">
        <v>23</v>
      </c>
      <c r="K3148" s="7">
        <v>2745</v>
      </c>
      <c r="L3148" s="9">
        <v>-1</v>
      </c>
      <c r="M3148" t="s">
        <v>1375</v>
      </c>
      <c r="N3148" t="s">
        <v>180</v>
      </c>
      <c r="O3148" s="27" t="str">
        <f>HYPERLINK("https://www.ncbi.nlm.nih.gov/nuccore/NZ_FRBI01000010.1?report=graph&amp;from=185738&amp;to=185742", "TTA_codon")</f>
        <v>TTA_codon</v>
      </c>
    </row>
    <row r="3149" spans="1:15" x14ac:dyDescent="0.15">
      <c r="A3149" t="s">
        <v>21</v>
      </c>
      <c r="B3149" t="s">
        <v>2566</v>
      </c>
    </row>
    <row r="3150" spans="1:15" x14ac:dyDescent="0.15">
      <c r="A3150" t="s">
        <v>21</v>
      </c>
      <c r="B3150">
        <v>1000900</v>
      </c>
      <c r="C3150">
        <v>352920</v>
      </c>
      <c r="F3150" s="7">
        <v>1</v>
      </c>
      <c r="G3150" s="7">
        <v>235</v>
      </c>
      <c r="H3150" s="8">
        <v>172</v>
      </c>
      <c r="J3150" t="s">
        <v>23</v>
      </c>
      <c r="K3150" s="7">
        <v>612</v>
      </c>
      <c r="L3150" s="9">
        <v>1</v>
      </c>
      <c r="M3150" t="s">
        <v>2567</v>
      </c>
      <c r="N3150" t="s">
        <v>306</v>
      </c>
      <c r="O3150" s="27" t="str">
        <f>HYPERLINK("https://www.ncbi.nlm.nih.gov/nuccore/NZ_KL571083.1?report=graph&amp;from=21242&amp;to=21246", "TTA_codon")</f>
        <v>TTA_codon</v>
      </c>
    </row>
    <row r="3151" spans="1:15" x14ac:dyDescent="0.15">
      <c r="A3151" t="s">
        <v>21</v>
      </c>
      <c r="B3151">
        <v>1000900</v>
      </c>
      <c r="C3151">
        <v>355293</v>
      </c>
      <c r="F3151" s="7">
        <v>2</v>
      </c>
      <c r="G3151" s="7" t="s">
        <v>2568</v>
      </c>
      <c r="H3151" s="8" t="s">
        <v>2569</v>
      </c>
      <c r="J3151" t="s">
        <v>23</v>
      </c>
      <c r="K3151" s="7">
        <v>705</v>
      </c>
      <c r="L3151" s="9">
        <v>1</v>
      </c>
      <c r="M3151" t="s">
        <v>2570</v>
      </c>
      <c r="N3151" t="s">
        <v>295</v>
      </c>
      <c r="O3151" s="27" t="str">
        <f>HYPERLINK("https://www.ncbi.nlm.nih.gov/nuccore/NZ_JODL01000014.1?report=graph&amp;from=17813&amp;to=17976", "TTA_codon")</f>
        <v>TTA_codon</v>
      </c>
    </row>
    <row r="3152" spans="1:15" x14ac:dyDescent="0.15">
      <c r="A3152" t="s">
        <v>21</v>
      </c>
      <c r="B3152">
        <v>1000900</v>
      </c>
      <c r="C3152">
        <v>358839</v>
      </c>
      <c r="F3152" s="7">
        <v>1</v>
      </c>
      <c r="G3152" s="7">
        <v>238</v>
      </c>
      <c r="H3152" s="8">
        <v>193</v>
      </c>
      <c r="J3152" t="s">
        <v>23</v>
      </c>
      <c r="K3152" s="7">
        <v>645</v>
      </c>
      <c r="L3152" s="9">
        <v>1</v>
      </c>
      <c r="M3152" t="s">
        <v>2571</v>
      </c>
      <c r="N3152" t="s">
        <v>87</v>
      </c>
      <c r="O3152" s="27" t="str">
        <f>HYPERLINK("https://www.ncbi.nlm.nih.gov/nuccore/NZ_LIQS01000200.1?report=graph&amp;from=27947&amp;to=27951", "TTA_codon")</f>
        <v>TTA_codon</v>
      </c>
    </row>
    <row r="3153" spans="1:15" x14ac:dyDescent="0.15">
      <c r="A3153" t="s">
        <v>21</v>
      </c>
      <c r="B3153">
        <v>1000900</v>
      </c>
      <c r="C3153">
        <v>361394</v>
      </c>
      <c r="F3153" s="7">
        <v>1</v>
      </c>
      <c r="G3153" s="7">
        <v>337</v>
      </c>
      <c r="H3153" s="8">
        <v>325</v>
      </c>
      <c r="J3153" t="s">
        <v>23</v>
      </c>
      <c r="K3153" s="7">
        <v>669</v>
      </c>
      <c r="L3153" s="9">
        <v>1</v>
      </c>
      <c r="M3153" t="s">
        <v>200</v>
      </c>
      <c r="N3153" t="s">
        <v>201</v>
      </c>
      <c r="O3153" s="27" t="str">
        <f>HYPERLINK("https://www.ncbi.nlm.nih.gov/nuccore/NZ_CP016559.1?report=graph&amp;from=4939757&amp;to=4939761", "TTA_codon")</f>
        <v>TTA_codon</v>
      </c>
    </row>
    <row r="3154" spans="1:15" x14ac:dyDescent="0.15">
      <c r="A3154" t="s">
        <v>21</v>
      </c>
      <c r="B3154">
        <v>1000900</v>
      </c>
      <c r="C3154">
        <v>363123</v>
      </c>
      <c r="F3154" s="7">
        <v>1</v>
      </c>
      <c r="G3154" s="7">
        <v>163</v>
      </c>
      <c r="H3154" s="8">
        <v>163</v>
      </c>
      <c r="J3154" t="s">
        <v>23</v>
      </c>
      <c r="K3154" s="7">
        <v>696</v>
      </c>
      <c r="L3154" s="9">
        <v>1</v>
      </c>
      <c r="M3154" t="s">
        <v>989</v>
      </c>
      <c r="N3154" t="s">
        <v>401</v>
      </c>
      <c r="O3154" s="27" t="str">
        <f>HYPERLINK("https://www.ncbi.nlm.nih.gov/nuccore/NZ_LFBV01000003.1?report=graph&amp;from=194901&amp;to=194905", "TTA_codon")</f>
        <v>TTA_codon</v>
      </c>
    </row>
    <row r="3155" spans="1:15" x14ac:dyDescent="0.15">
      <c r="A3155" t="s">
        <v>21</v>
      </c>
      <c r="B3155" t="s">
        <v>2572</v>
      </c>
    </row>
    <row r="3156" spans="1:15" x14ac:dyDescent="0.15">
      <c r="A3156" t="s">
        <v>21</v>
      </c>
      <c r="B3156">
        <v>1000270</v>
      </c>
      <c r="C3156">
        <v>347768</v>
      </c>
      <c r="F3156" s="7">
        <v>1</v>
      </c>
      <c r="G3156" s="7">
        <v>1534</v>
      </c>
      <c r="H3156" s="8">
        <v>1336</v>
      </c>
      <c r="J3156" t="s">
        <v>23</v>
      </c>
      <c r="K3156" s="7">
        <v>1884</v>
      </c>
      <c r="L3156" s="9">
        <v>1</v>
      </c>
      <c r="M3156" t="s">
        <v>57</v>
      </c>
      <c r="N3156" t="s">
        <v>58</v>
      </c>
      <c r="O3156" s="27" t="str">
        <f>HYPERLINK("https://www.ncbi.nlm.nih.gov/nuccore/NC_013929.1?report=graph&amp;from=3666045&amp;to=3666049", "TTA_codon")</f>
        <v>TTA_codon</v>
      </c>
    </row>
    <row r="3157" spans="1:15" x14ac:dyDescent="0.15">
      <c r="A3157" t="s">
        <v>21</v>
      </c>
      <c r="B3157">
        <v>1000270</v>
      </c>
      <c r="C3157">
        <v>349467</v>
      </c>
      <c r="F3157" s="7">
        <v>1</v>
      </c>
      <c r="G3157" s="7">
        <v>1534</v>
      </c>
      <c r="H3157" s="8">
        <v>1516</v>
      </c>
      <c r="J3157" t="s">
        <v>23</v>
      </c>
      <c r="K3157" s="7">
        <v>2148</v>
      </c>
      <c r="L3157" s="9">
        <v>1</v>
      </c>
      <c r="M3157" t="s">
        <v>2573</v>
      </c>
      <c r="N3157" t="s">
        <v>64</v>
      </c>
      <c r="O3157" s="27" t="str">
        <f>HYPERLINK("https://www.ncbi.nlm.nih.gov/nuccore/NZ_AEYX01000025.1?report=graph&amp;from=59875&amp;to=59879", "TTA_codon")</f>
        <v>TTA_codon</v>
      </c>
    </row>
    <row r="3158" spans="1:15" x14ac:dyDescent="0.15">
      <c r="A3158" t="s">
        <v>21</v>
      </c>
      <c r="B3158" t="s">
        <v>2574</v>
      </c>
    </row>
    <row r="3159" spans="1:15" x14ac:dyDescent="0.15">
      <c r="A3159" t="s">
        <v>21</v>
      </c>
      <c r="B3159">
        <v>1001542</v>
      </c>
      <c r="C3159">
        <v>366932</v>
      </c>
      <c r="F3159" s="7">
        <v>1</v>
      </c>
      <c r="G3159" s="7">
        <v>55</v>
      </c>
      <c r="H3159" s="8">
        <v>55</v>
      </c>
      <c r="J3159" t="s">
        <v>23</v>
      </c>
      <c r="K3159" s="7">
        <v>1005</v>
      </c>
      <c r="L3159" s="9">
        <v>1</v>
      </c>
      <c r="M3159" t="s">
        <v>2575</v>
      </c>
      <c r="N3159" t="s">
        <v>2576</v>
      </c>
      <c r="O3159" s="27" t="str">
        <f>HYPERLINK("https://www.ncbi.nlm.nih.gov/nuccore/MH155877.1?report=graph&amp;from=45457&amp;to=45461", "TTA_codon")</f>
        <v>TTA_codon</v>
      </c>
    </row>
    <row r="3160" spans="1:15" x14ac:dyDescent="0.15">
      <c r="A3160" t="s">
        <v>21</v>
      </c>
      <c r="B3160">
        <v>1001542</v>
      </c>
      <c r="C3160">
        <v>366935</v>
      </c>
      <c r="F3160" s="7">
        <v>1</v>
      </c>
      <c r="G3160" s="7">
        <v>55</v>
      </c>
      <c r="H3160" s="8">
        <v>55</v>
      </c>
      <c r="J3160" t="s">
        <v>23</v>
      </c>
      <c r="K3160" s="7">
        <v>999</v>
      </c>
      <c r="L3160" s="9">
        <v>1</v>
      </c>
      <c r="M3160" t="s">
        <v>2577</v>
      </c>
      <c r="N3160" t="s">
        <v>2578</v>
      </c>
      <c r="O3160" s="27" t="str">
        <f>HYPERLINK("https://www.ncbi.nlm.nih.gov/nuccore/MH155880.1?report=graph&amp;from=44245&amp;to=44249", "TTA_codon")</f>
        <v>TTA_codon</v>
      </c>
    </row>
    <row r="3161" spans="1:15" x14ac:dyDescent="0.15">
      <c r="A3161" t="s">
        <v>21</v>
      </c>
      <c r="B3161">
        <v>1001542</v>
      </c>
      <c r="C3161">
        <v>367147</v>
      </c>
      <c r="F3161" s="7">
        <v>1</v>
      </c>
      <c r="G3161" s="7">
        <v>55</v>
      </c>
      <c r="H3161" s="8">
        <v>55</v>
      </c>
      <c r="J3161" t="s">
        <v>23</v>
      </c>
      <c r="K3161" s="7">
        <v>1005</v>
      </c>
      <c r="L3161" s="9">
        <v>1</v>
      </c>
      <c r="M3161" t="s">
        <v>2579</v>
      </c>
      <c r="N3161" t="s">
        <v>2580</v>
      </c>
      <c r="O3161" s="27" t="str">
        <f>HYPERLINK("https://www.ncbi.nlm.nih.gov/nuccore/MT310854.1?report=graph&amp;from=45457&amp;to=45461", "TTA_codon")</f>
        <v>TTA_codon</v>
      </c>
    </row>
    <row r="3162" spans="1:15" x14ac:dyDescent="0.15">
      <c r="A3162" t="s">
        <v>21</v>
      </c>
      <c r="B3162">
        <v>1001542</v>
      </c>
      <c r="C3162">
        <v>367179</v>
      </c>
      <c r="F3162" s="7">
        <v>1</v>
      </c>
      <c r="G3162" s="7">
        <v>55</v>
      </c>
      <c r="H3162" s="8">
        <v>55</v>
      </c>
      <c r="J3162" t="s">
        <v>23</v>
      </c>
      <c r="K3162" s="7">
        <v>1005</v>
      </c>
      <c r="L3162" s="9">
        <v>1</v>
      </c>
      <c r="M3162" t="s">
        <v>2581</v>
      </c>
      <c r="N3162" t="s">
        <v>2582</v>
      </c>
      <c r="O3162" s="27" t="str">
        <f>HYPERLINK("https://www.ncbi.nlm.nih.gov/nuccore/MT657340.1?report=graph&amp;from=45457&amp;to=45461", "TTA_codon")</f>
        <v>TTA_codon</v>
      </c>
    </row>
    <row r="3163" spans="1:15" x14ac:dyDescent="0.15">
      <c r="A3163" t="s">
        <v>21</v>
      </c>
      <c r="B3163" t="s">
        <v>2583</v>
      </c>
    </row>
    <row r="3164" spans="1:15" x14ac:dyDescent="0.15">
      <c r="A3164" t="s">
        <v>21</v>
      </c>
      <c r="B3164">
        <v>1001288</v>
      </c>
      <c r="C3164">
        <v>358634</v>
      </c>
      <c r="F3164" s="7">
        <v>2</v>
      </c>
      <c r="G3164" s="7" t="s">
        <v>2584</v>
      </c>
      <c r="H3164" s="8" t="s">
        <v>2585</v>
      </c>
      <c r="J3164" t="s">
        <v>23</v>
      </c>
      <c r="K3164" s="7">
        <v>519</v>
      </c>
      <c r="L3164" s="9">
        <v>1</v>
      </c>
      <c r="M3164" t="s">
        <v>2586</v>
      </c>
      <c r="N3164" t="s">
        <v>299</v>
      </c>
      <c r="O3164" s="27" t="str">
        <f>HYPERLINK("https://www.ncbi.nlm.nih.gov/nuccore/NZ_LIQY01000541.1?report=graph&amp;from=5742&amp;to=5875", "TTA_codon")</f>
        <v>TTA_codon</v>
      </c>
    </row>
    <row r="3165" spans="1:15" x14ac:dyDescent="0.15">
      <c r="A3165" t="s">
        <v>21</v>
      </c>
      <c r="B3165">
        <v>1001288</v>
      </c>
      <c r="C3165">
        <v>362020</v>
      </c>
      <c r="F3165" s="7">
        <v>1</v>
      </c>
      <c r="G3165" s="7">
        <v>367</v>
      </c>
      <c r="H3165" s="8">
        <v>352</v>
      </c>
      <c r="J3165" t="s">
        <v>23</v>
      </c>
      <c r="K3165" s="7">
        <v>507</v>
      </c>
      <c r="L3165" s="9">
        <v>1</v>
      </c>
      <c r="M3165" t="s">
        <v>2587</v>
      </c>
      <c r="N3165" t="s">
        <v>187</v>
      </c>
      <c r="O3165" s="27" t="str">
        <f>HYPERLINK("https://www.ncbi.nlm.nih.gov/nuccore/NZ_MAXF01000127.1?report=graph&amp;from=22844&amp;to=22848", "TTA_codon")</f>
        <v>TTA_codon</v>
      </c>
    </row>
    <row r="3166" spans="1:15" x14ac:dyDescent="0.15">
      <c r="A3166" t="s">
        <v>21</v>
      </c>
      <c r="B3166" t="s">
        <v>2588</v>
      </c>
    </row>
    <row r="3167" spans="1:15" x14ac:dyDescent="0.15">
      <c r="A3167" t="s">
        <v>21</v>
      </c>
      <c r="B3167">
        <v>1000937</v>
      </c>
      <c r="C3167">
        <v>353318</v>
      </c>
      <c r="F3167" s="7">
        <v>1</v>
      </c>
      <c r="G3167" s="7">
        <v>127</v>
      </c>
      <c r="H3167" s="8">
        <v>127</v>
      </c>
      <c r="J3167" t="s">
        <v>23</v>
      </c>
      <c r="K3167" s="7">
        <v>1149</v>
      </c>
      <c r="L3167" s="9">
        <v>-1</v>
      </c>
      <c r="M3167" t="s">
        <v>750</v>
      </c>
      <c r="N3167" t="s">
        <v>169</v>
      </c>
      <c r="O3167" s="27" t="str">
        <f>HYPERLINK("https://www.ncbi.nlm.nih.gov/nuccore/NZ_JNWJ01000001.1?report=graph&amp;from=276165&amp;to=276169", "TTA_codon")</f>
        <v>TTA_codon</v>
      </c>
    </row>
    <row r="3168" spans="1:15" x14ac:dyDescent="0.15">
      <c r="A3168" t="s">
        <v>21</v>
      </c>
      <c r="B3168">
        <v>1000937</v>
      </c>
      <c r="C3168">
        <v>363389</v>
      </c>
      <c r="F3168" s="7">
        <v>2</v>
      </c>
      <c r="G3168" s="7" t="s">
        <v>2589</v>
      </c>
      <c r="H3168" s="8" t="s">
        <v>2590</v>
      </c>
      <c r="J3168" t="s">
        <v>23</v>
      </c>
      <c r="K3168" s="7">
        <v>1128</v>
      </c>
      <c r="L3168" s="9">
        <v>-1</v>
      </c>
      <c r="M3168" t="s">
        <v>1495</v>
      </c>
      <c r="N3168" t="s">
        <v>28</v>
      </c>
      <c r="O3168" s="27" t="str">
        <f>HYPERLINK("https://www.ncbi.nlm.nih.gov/nuccore/NZ_JUJA01000158.1?report=graph&amp;from=44281&amp;to=44366", "TTA_codon")</f>
        <v>TTA_codon</v>
      </c>
    </row>
    <row r="3169" spans="1:15" x14ac:dyDescent="0.15">
      <c r="A3169" t="s">
        <v>21</v>
      </c>
      <c r="B3169" t="s">
        <v>2591</v>
      </c>
    </row>
    <row r="3170" spans="1:15" x14ac:dyDescent="0.15">
      <c r="A3170" t="s">
        <v>21</v>
      </c>
      <c r="B3170">
        <v>1000438</v>
      </c>
      <c r="C3170">
        <v>348731</v>
      </c>
      <c r="F3170" s="7">
        <v>1</v>
      </c>
      <c r="G3170" s="7">
        <v>976</v>
      </c>
      <c r="H3170" s="8">
        <v>577</v>
      </c>
      <c r="J3170" t="s">
        <v>23</v>
      </c>
      <c r="K3170" s="7">
        <v>1077</v>
      </c>
      <c r="L3170" s="9">
        <v>-1</v>
      </c>
      <c r="M3170" t="s">
        <v>211</v>
      </c>
      <c r="N3170" t="s">
        <v>212</v>
      </c>
      <c r="O3170" s="27" t="str">
        <f>HYPERLINK("https://www.ncbi.nlm.nih.gov/nuccore/NZ_GG657754.1?report=graph&amp;from=4481649&amp;to=4481653", "TTA_codon")</f>
        <v>TTA_codon</v>
      </c>
    </row>
    <row r="3171" spans="1:15" x14ac:dyDescent="0.15">
      <c r="A3171" t="s">
        <v>21</v>
      </c>
      <c r="B3171">
        <v>1000438</v>
      </c>
      <c r="C3171">
        <v>352057</v>
      </c>
      <c r="F3171" s="7">
        <v>1</v>
      </c>
      <c r="G3171" s="7">
        <v>1051</v>
      </c>
      <c r="H3171" s="8">
        <v>1048</v>
      </c>
      <c r="J3171" t="s">
        <v>23</v>
      </c>
      <c r="K3171" s="7">
        <v>1509</v>
      </c>
      <c r="L3171" s="9">
        <v>-1</v>
      </c>
      <c r="M3171" t="s">
        <v>2592</v>
      </c>
      <c r="N3171" t="s">
        <v>70</v>
      </c>
      <c r="O3171" s="27" t="str">
        <f>HYPERLINK("https://www.ncbi.nlm.nih.gov/nuccore/NZ_KB904655.1?report=graph&amp;from=75376&amp;to=75380", "TTA_codon")</f>
        <v>TTA_codon</v>
      </c>
    </row>
    <row r="3172" spans="1:15" x14ac:dyDescent="0.15">
      <c r="A3172" t="s">
        <v>21</v>
      </c>
      <c r="B3172" t="s">
        <v>2593</v>
      </c>
    </row>
    <row r="3173" spans="1:15" x14ac:dyDescent="0.15">
      <c r="A3173" t="s">
        <v>21</v>
      </c>
      <c r="B3173">
        <v>1001378</v>
      </c>
      <c r="C3173">
        <v>361637</v>
      </c>
      <c r="F3173" s="7">
        <v>2</v>
      </c>
      <c r="G3173" s="7" t="s">
        <v>2594</v>
      </c>
      <c r="H3173" s="8" t="s">
        <v>2595</v>
      </c>
      <c r="J3173" t="s">
        <v>23</v>
      </c>
      <c r="K3173" s="7">
        <v>1230</v>
      </c>
      <c r="L3173" s="9">
        <v>1</v>
      </c>
      <c r="M3173" t="s">
        <v>37</v>
      </c>
      <c r="N3173" t="s">
        <v>38</v>
      </c>
      <c r="O3173" s="27" t="str">
        <f>HYPERLINK("https://www.ncbi.nlm.nih.gov/nuccore/NZ_CP011533.1?report=graph&amp;from=2282048&amp;to=2282115", "TTA_codon")</f>
        <v>TTA_codon</v>
      </c>
    </row>
    <row r="3174" spans="1:15" x14ac:dyDescent="0.15">
      <c r="A3174" t="s">
        <v>21</v>
      </c>
      <c r="B3174">
        <v>1001378</v>
      </c>
      <c r="C3174">
        <v>361638</v>
      </c>
      <c r="F3174" s="7">
        <v>1</v>
      </c>
      <c r="G3174" s="7">
        <v>142</v>
      </c>
      <c r="H3174" s="8">
        <v>142</v>
      </c>
      <c r="J3174" t="s">
        <v>23</v>
      </c>
      <c r="K3174" s="7">
        <v>1203</v>
      </c>
      <c r="L3174" s="9">
        <v>1</v>
      </c>
      <c r="M3174" t="s">
        <v>37</v>
      </c>
      <c r="N3174" t="s">
        <v>38</v>
      </c>
      <c r="O3174" s="27" t="str">
        <f>HYPERLINK("https://www.ncbi.nlm.nih.gov/nuccore/NZ_CP011533.1?report=graph&amp;from=3800854&amp;to=3800858", "TTA_codon")</f>
        <v>TTA_codon</v>
      </c>
    </row>
    <row r="3175" spans="1:15" x14ac:dyDescent="0.15">
      <c r="A3175" t="s">
        <v>21</v>
      </c>
      <c r="B3175" t="s">
        <v>2596</v>
      </c>
    </row>
    <row r="3176" spans="1:15" x14ac:dyDescent="0.15">
      <c r="A3176" t="s">
        <v>21</v>
      </c>
      <c r="B3176">
        <v>1001211</v>
      </c>
      <c r="C3176">
        <v>357053</v>
      </c>
      <c r="F3176" s="7">
        <v>1</v>
      </c>
      <c r="G3176" s="7">
        <v>211</v>
      </c>
      <c r="H3176" s="8">
        <v>211</v>
      </c>
      <c r="J3176" t="s">
        <v>23</v>
      </c>
      <c r="K3176" s="7">
        <v>1218</v>
      </c>
      <c r="L3176" s="9">
        <v>1</v>
      </c>
      <c r="M3176" t="s">
        <v>162</v>
      </c>
      <c r="N3176" t="s">
        <v>163</v>
      </c>
      <c r="O3176" s="27" t="str">
        <f>HYPERLINK("https://www.ncbi.nlm.nih.gov/nuccore/NZ_CP010519.1?report=graph&amp;from=757073&amp;to=757077", "TTA_codon")</f>
        <v>TTA_codon</v>
      </c>
    </row>
    <row r="3177" spans="1:15" x14ac:dyDescent="0.15">
      <c r="A3177" t="s">
        <v>21</v>
      </c>
      <c r="B3177">
        <v>1001211</v>
      </c>
      <c r="C3177">
        <v>361521</v>
      </c>
      <c r="F3177" s="7">
        <v>1</v>
      </c>
      <c r="G3177" s="7">
        <v>217</v>
      </c>
      <c r="H3177" s="8">
        <v>157</v>
      </c>
      <c r="J3177" t="s">
        <v>23</v>
      </c>
      <c r="K3177" s="7">
        <v>1113</v>
      </c>
      <c r="L3177" s="9">
        <v>1</v>
      </c>
      <c r="M3177" t="s">
        <v>286</v>
      </c>
      <c r="N3177" t="s">
        <v>201</v>
      </c>
      <c r="O3177" s="27" t="str">
        <f>HYPERLINK("https://www.ncbi.nlm.nih.gov/nuccore/NZ_CP016560.1?report=graph&amp;from=295212&amp;to=295216", "TTA_codon")</f>
        <v>TTA_codon</v>
      </c>
    </row>
    <row r="3178" spans="1:15" x14ac:dyDescent="0.15">
      <c r="A3178" t="s">
        <v>21</v>
      </c>
      <c r="B3178">
        <v>1001211</v>
      </c>
      <c r="C3178">
        <v>366451</v>
      </c>
      <c r="F3178" s="7">
        <v>3</v>
      </c>
      <c r="G3178" s="7" t="s">
        <v>2597</v>
      </c>
      <c r="H3178" s="8" t="s">
        <v>2598</v>
      </c>
      <c r="J3178" t="s">
        <v>23</v>
      </c>
      <c r="K3178" s="7">
        <v>1161</v>
      </c>
      <c r="L3178" s="9">
        <v>1</v>
      </c>
      <c r="M3178" t="s">
        <v>706</v>
      </c>
      <c r="N3178" t="s">
        <v>375</v>
      </c>
      <c r="O3178" s="27" t="str">
        <f>HYPERLINK("https://www.ncbi.nlm.nih.gov/nuccore/NZ_FONG01000003.1?report=graph&amp;from=109179&amp;to=109321", "TTA_codon")</f>
        <v>TTA_codon</v>
      </c>
    </row>
    <row r="3179" spans="1:15" x14ac:dyDescent="0.15">
      <c r="A3179" t="s">
        <v>21</v>
      </c>
      <c r="B3179" t="s">
        <v>2599</v>
      </c>
    </row>
    <row r="3180" spans="1:15" x14ac:dyDescent="0.15">
      <c r="A3180" t="s">
        <v>21</v>
      </c>
      <c r="B3180">
        <v>1000797</v>
      </c>
      <c r="C3180">
        <v>351950</v>
      </c>
      <c r="F3180" s="7">
        <v>1</v>
      </c>
      <c r="G3180" s="7">
        <v>85</v>
      </c>
      <c r="H3180" s="8">
        <v>79</v>
      </c>
      <c r="J3180" t="s">
        <v>23</v>
      </c>
      <c r="K3180" s="7">
        <v>720</v>
      </c>
      <c r="L3180" s="9">
        <v>-1</v>
      </c>
      <c r="M3180" t="s">
        <v>693</v>
      </c>
      <c r="N3180" t="s">
        <v>68</v>
      </c>
      <c r="O3180" s="27" t="str">
        <f>HYPERLINK("https://www.ncbi.nlm.nih.gov/nuccore/NZ_BARG01000090.1?report=graph&amp;from=9086&amp;to=9090", "TTA_codon")</f>
        <v>TTA_codon</v>
      </c>
    </row>
    <row r="3181" spans="1:15" x14ac:dyDescent="0.15">
      <c r="A3181" t="s">
        <v>21</v>
      </c>
      <c r="B3181">
        <v>1000797</v>
      </c>
      <c r="C3181">
        <v>357217</v>
      </c>
      <c r="F3181" s="7">
        <v>1</v>
      </c>
      <c r="G3181" s="7">
        <v>73</v>
      </c>
      <c r="H3181" s="8">
        <v>73</v>
      </c>
      <c r="J3181" t="s">
        <v>23</v>
      </c>
      <c r="K3181" s="7">
        <v>726</v>
      </c>
      <c r="L3181" s="9">
        <v>-1</v>
      </c>
      <c r="M3181" t="s">
        <v>2600</v>
      </c>
      <c r="N3181" t="s">
        <v>206</v>
      </c>
      <c r="O3181" s="27" t="str">
        <f>HYPERLINK("https://www.ncbi.nlm.nih.gov/nuccore/NZ_CP010408.1?report=graph&amp;from=148526&amp;to=148530", "TTA_codon")</f>
        <v>TTA_codon</v>
      </c>
    </row>
    <row r="3182" spans="1:15" x14ac:dyDescent="0.15">
      <c r="A3182" t="s">
        <v>21</v>
      </c>
      <c r="B3182" t="s">
        <v>2601</v>
      </c>
    </row>
    <row r="3183" spans="1:15" x14ac:dyDescent="0.15">
      <c r="A3183" t="s">
        <v>21</v>
      </c>
      <c r="B3183">
        <v>1000925</v>
      </c>
      <c r="C3183">
        <v>353211</v>
      </c>
      <c r="F3183" s="7">
        <v>1</v>
      </c>
      <c r="G3183" s="7">
        <v>472</v>
      </c>
      <c r="H3183" s="8">
        <v>436</v>
      </c>
      <c r="J3183" t="s">
        <v>23</v>
      </c>
      <c r="K3183" s="7">
        <v>519</v>
      </c>
      <c r="L3183" s="9">
        <v>-1</v>
      </c>
      <c r="M3183" t="s">
        <v>750</v>
      </c>
      <c r="N3183" t="s">
        <v>169</v>
      </c>
      <c r="O3183" s="27" t="str">
        <f>HYPERLINK("https://www.ncbi.nlm.nih.gov/nuccore/NZ_JNWJ01000001.1?report=graph&amp;from=357351&amp;to=357355", "TTA_codon")</f>
        <v>TTA_codon</v>
      </c>
    </row>
    <row r="3184" spans="1:15" x14ac:dyDescent="0.15">
      <c r="A3184" t="s">
        <v>21</v>
      </c>
      <c r="B3184">
        <v>1000925</v>
      </c>
      <c r="C3184">
        <v>361131</v>
      </c>
      <c r="F3184" s="7">
        <v>1</v>
      </c>
      <c r="G3184" s="7">
        <v>415</v>
      </c>
      <c r="H3184" s="8">
        <v>415</v>
      </c>
      <c r="J3184" t="s">
        <v>23</v>
      </c>
      <c r="K3184" s="7">
        <v>537</v>
      </c>
      <c r="L3184" s="9">
        <v>-1</v>
      </c>
      <c r="M3184" t="s">
        <v>98</v>
      </c>
      <c r="N3184" t="s">
        <v>99</v>
      </c>
      <c r="O3184" s="27" t="str">
        <f>HYPERLINK("https://www.ncbi.nlm.nih.gov/nuccore/NZ_CP016438.1?report=graph&amp;from=2784638&amp;to=2784642", "TTA_codon")</f>
        <v>TTA_codon</v>
      </c>
    </row>
    <row r="3185" spans="1:15" x14ac:dyDescent="0.15">
      <c r="A3185" t="s">
        <v>195</v>
      </c>
      <c r="B3185" t="s">
        <v>2602</v>
      </c>
    </row>
    <row r="3186" spans="1:15" x14ac:dyDescent="0.15">
      <c r="A3186" t="s">
        <v>195</v>
      </c>
      <c r="B3186">
        <v>1001500</v>
      </c>
      <c r="C3186">
        <v>346030</v>
      </c>
      <c r="F3186" s="7">
        <v>1</v>
      </c>
      <c r="G3186" s="7">
        <v>19990</v>
      </c>
      <c r="H3186" s="8">
        <v>691</v>
      </c>
      <c r="J3186" t="s">
        <v>23</v>
      </c>
      <c r="K3186" s="7">
        <v>10863</v>
      </c>
      <c r="L3186" s="9">
        <v>1</v>
      </c>
      <c r="M3186" t="s">
        <v>55</v>
      </c>
      <c r="N3186" t="s">
        <v>56</v>
      </c>
      <c r="O3186" s="27" t="str">
        <f>HYPERLINK("https://www.ncbi.nlm.nih.gov/nuccore/NC_010572.1?report=graph&amp;from=8100763&amp;to=8100767", "TTA_codon")</f>
        <v>TTA_codon</v>
      </c>
    </row>
    <row r="3187" spans="1:15" x14ac:dyDescent="0.15">
      <c r="A3187" t="s">
        <v>195</v>
      </c>
      <c r="B3187">
        <v>1001500</v>
      </c>
      <c r="C3187">
        <v>346066</v>
      </c>
      <c r="F3187" s="7">
        <v>1</v>
      </c>
      <c r="G3187" s="7">
        <v>21502</v>
      </c>
      <c r="H3187" s="8">
        <v>1432</v>
      </c>
      <c r="J3187" t="s">
        <v>23</v>
      </c>
      <c r="K3187" s="7">
        <v>2568</v>
      </c>
      <c r="L3187" s="9">
        <v>1</v>
      </c>
      <c r="M3187" t="s">
        <v>59</v>
      </c>
      <c r="N3187" t="s">
        <v>60</v>
      </c>
      <c r="O3187" s="27" t="str">
        <f>HYPERLINK("https://www.ncbi.nlm.nih.gov/nuccore/NC_016582.1?report=graph&amp;from=1371236&amp;to=1371240", "TTA_codon")</f>
        <v>TTA_codon</v>
      </c>
    </row>
    <row r="3188" spans="1:15" x14ac:dyDescent="0.15">
      <c r="A3188" t="s">
        <v>195</v>
      </c>
      <c r="B3188">
        <v>1001500</v>
      </c>
      <c r="C3188">
        <v>346149</v>
      </c>
      <c r="F3188" s="7">
        <v>1</v>
      </c>
      <c r="G3188" s="7">
        <v>2086</v>
      </c>
      <c r="H3188" s="8">
        <v>1723</v>
      </c>
      <c r="J3188" t="s">
        <v>23</v>
      </c>
      <c r="K3188" s="7">
        <v>23541</v>
      </c>
      <c r="L3188" s="9">
        <v>1</v>
      </c>
      <c r="M3188" t="s">
        <v>623</v>
      </c>
      <c r="N3188" t="s">
        <v>249</v>
      </c>
      <c r="O3188" s="27" t="str">
        <f>HYPERLINK("https://www.ncbi.nlm.nih.gov/nuccore/NZ_AHBF01000084.1?report=graph&amp;from=102349&amp;to=102353", "TTA_codon")</f>
        <v>TTA_codon</v>
      </c>
    </row>
    <row r="3189" spans="1:15" x14ac:dyDescent="0.15">
      <c r="A3189" t="s">
        <v>195</v>
      </c>
      <c r="B3189">
        <v>1001500</v>
      </c>
      <c r="C3189">
        <v>347031</v>
      </c>
      <c r="F3189" s="7">
        <v>1</v>
      </c>
      <c r="G3189" s="7">
        <v>21364</v>
      </c>
      <c r="H3189" s="8">
        <v>319</v>
      </c>
      <c r="J3189" t="s">
        <v>23</v>
      </c>
      <c r="K3189" s="7">
        <v>3393</v>
      </c>
      <c r="L3189" s="9">
        <v>1</v>
      </c>
      <c r="M3189" t="s">
        <v>2603</v>
      </c>
      <c r="N3189" t="s">
        <v>110</v>
      </c>
      <c r="O3189" s="27" t="str">
        <f>HYPERLINK("https://www.ncbi.nlm.nih.gov/nuccore/NZ_MUME01000181.1?report=graph&amp;from=3808&amp;to=3812", "TTA_codon")</f>
        <v>TTA_codon</v>
      </c>
    </row>
    <row r="3190" spans="1:15" x14ac:dyDescent="0.15">
      <c r="A3190" t="s">
        <v>195</v>
      </c>
      <c r="B3190">
        <v>1001500</v>
      </c>
      <c r="C3190">
        <v>347174</v>
      </c>
      <c r="F3190" s="7">
        <v>1</v>
      </c>
      <c r="G3190" s="7">
        <v>21496</v>
      </c>
      <c r="H3190" s="8">
        <v>1042</v>
      </c>
      <c r="J3190" t="s">
        <v>23</v>
      </c>
      <c r="K3190" s="7">
        <v>3825</v>
      </c>
      <c r="L3190" s="9">
        <v>1</v>
      </c>
      <c r="M3190" t="s">
        <v>1543</v>
      </c>
      <c r="N3190" t="s">
        <v>178</v>
      </c>
      <c r="O3190" s="27" t="str">
        <f>HYPERLINK("https://www.ncbi.nlm.nih.gov/nuccore/NZ_FOGO01000006.1?report=graph&amp;from=246221&amp;to=246225", "TTA_codon")</f>
        <v>TTA_codon</v>
      </c>
    </row>
    <row r="3191" spans="1:15" x14ac:dyDescent="0.15">
      <c r="A3191" t="s">
        <v>21</v>
      </c>
      <c r="B3191">
        <v>1001500</v>
      </c>
      <c r="C3191">
        <v>348151</v>
      </c>
      <c r="F3191" s="7">
        <v>1</v>
      </c>
      <c r="G3191" s="7">
        <v>21235</v>
      </c>
      <c r="H3191" s="8">
        <v>310</v>
      </c>
      <c r="J3191" t="s">
        <v>23</v>
      </c>
      <c r="K3191" s="7">
        <v>1599</v>
      </c>
      <c r="L3191" s="9">
        <v>1</v>
      </c>
      <c r="M3191" t="s">
        <v>59</v>
      </c>
      <c r="N3191" t="s">
        <v>60</v>
      </c>
      <c r="O3191" s="27" t="str">
        <f>HYPERLINK("https://www.ncbi.nlm.nih.gov/nuccore/NC_016582.1?report=graph&amp;from=2250438&amp;to=2250442", "TTA_codon")</f>
        <v>TTA_codon</v>
      </c>
    </row>
    <row r="3192" spans="1:15" x14ac:dyDescent="0.15">
      <c r="A3192" t="s">
        <v>21</v>
      </c>
      <c r="B3192">
        <v>1001500</v>
      </c>
      <c r="C3192">
        <v>348174</v>
      </c>
      <c r="F3192" s="7">
        <v>2</v>
      </c>
      <c r="G3192" s="7" t="s">
        <v>2604</v>
      </c>
      <c r="H3192" s="8" t="s">
        <v>2605</v>
      </c>
      <c r="J3192" t="s">
        <v>23</v>
      </c>
      <c r="K3192" s="7">
        <v>13692</v>
      </c>
      <c r="L3192" s="9">
        <v>1</v>
      </c>
      <c r="M3192" t="s">
        <v>59</v>
      </c>
      <c r="N3192" t="s">
        <v>60</v>
      </c>
      <c r="O3192" s="27" t="str">
        <f>HYPERLINK("https://www.ncbi.nlm.nih.gov/nuccore/NC_016582.1?report=graph&amp;from=1847635&amp;to=1850915", "TTA_codon")</f>
        <v>TTA_codon</v>
      </c>
    </row>
    <row r="3193" spans="1:15" x14ac:dyDescent="0.15">
      <c r="A3193" t="s">
        <v>21</v>
      </c>
      <c r="B3193">
        <v>1001500</v>
      </c>
      <c r="C3193">
        <v>348200</v>
      </c>
      <c r="F3193" s="7">
        <v>3</v>
      </c>
      <c r="G3193" s="7" t="s">
        <v>2606</v>
      </c>
      <c r="H3193" s="8" t="s">
        <v>2607</v>
      </c>
      <c r="J3193" t="s">
        <v>23</v>
      </c>
      <c r="K3193" s="7">
        <v>4056</v>
      </c>
      <c r="L3193" s="9">
        <v>1</v>
      </c>
      <c r="M3193" t="s">
        <v>59</v>
      </c>
      <c r="N3193" t="s">
        <v>60</v>
      </c>
      <c r="O3193" s="27" t="str">
        <f>HYPERLINK("https://www.ncbi.nlm.nih.gov/nuccore/NC_016582.1?report=graph&amp;from=3900906&amp;to=3902362", "TTA_codon")</f>
        <v>TTA_codon</v>
      </c>
    </row>
    <row r="3194" spans="1:15" x14ac:dyDescent="0.15">
      <c r="A3194" t="s">
        <v>21</v>
      </c>
      <c r="B3194">
        <v>1001500</v>
      </c>
      <c r="C3194">
        <v>348720</v>
      </c>
      <c r="F3194" s="7">
        <v>1</v>
      </c>
      <c r="G3194" s="7">
        <v>12241</v>
      </c>
      <c r="H3194" s="8">
        <v>610</v>
      </c>
      <c r="J3194" t="s">
        <v>23</v>
      </c>
      <c r="K3194" s="7">
        <v>9195</v>
      </c>
      <c r="L3194" s="9">
        <v>1</v>
      </c>
      <c r="M3194" t="s">
        <v>211</v>
      </c>
      <c r="N3194" t="s">
        <v>212</v>
      </c>
      <c r="O3194" s="27" t="str">
        <f>HYPERLINK("https://www.ncbi.nlm.nih.gov/nuccore/NZ_GG657754.1?report=graph&amp;from=8624210&amp;to=8624214", "TTA_codon")</f>
        <v>TTA_codon</v>
      </c>
    </row>
    <row r="3195" spans="1:15" x14ac:dyDescent="0.15">
      <c r="A3195" t="s">
        <v>21</v>
      </c>
      <c r="B3195">
        <v>1001500</v>
      </c>
      <c r="C3195">
        <v>349763</v>
      </c>
      <c r="F3195" s="7">
        <v>2</v>
      </c>
      <c r="G3195" s="7" t="s">
        <v>2608</v>
      </c>
      <c r="H3195" s="8" t="s">
        <v>2609</v>
      </c>
      <c r="J3195" t="s">
        <v>23</v>
      </c>
      <c r="K3195" s="7">
        <v>5133</v>
      </c>
      <c r="L3195" s="9">
        <v>1</v>
      </c>
      <c r="M3195" t="s">
        <v>420</v>
      </c>
      <c r="N3195" t="s">
        <v>266</v>
      </c>
      <c r="O3195" s="27" t="str">
        <f>HYPERLINK("https://www.ncbi.nlm.nih.gov/nuccore/NC_017585.1?report=graph&amp;from=1613887&amp;to=1615595", "TTA_codon")</f>
        <v>TTA_codon</v>
      </c>
    </row>
    <row r="3196" spans="1:15" x14ac:dyDescent="0.15">
      <c r="A3196" t="s">
        <v>21</v>
      </c>
      <c r="B3196">
        <v>1001500</v>
      </c>
      <c r="C3196">
        <v>350321</v>
      </c>
      <c r="F3196" s="7">
        <v>1</v>
      </c>
      <c r="G3196" s="7">
        <v>21187</v>
      </c>
      <c r="H3196" s="8">
        <v>1366</v>
      </c>
      <c r="J3196" t="s">
        <v>23</v>
      </c>
      <c r="K3196" s="7">
        <v>3048</v>
      </c>
      <c r="L3196" s="9">
        <v>1</v>
      </c>
      <c r="M3196" t="s">
        <v>1457</v>
      </c>
      <c r="N3196" t="s">
        <v>36</v>
      </c>
      <c r="O3196" s="27" t="str">
        <f>HYPERLINK("https://www.ncbi.nlm.nih.gov/nuccore/NZ_JH725388.1?report=graph&amp;from=485744&amp;to=485748", "TTA_codon")</f>
        <v>TTA_codon</v>
      </c>
    </row>
    <row r="3197" spans="1:15" x14ac:dyDescent="0.15">
      <c r="A3197" t="s">
        <v>21</v>
      </c>
      <c r="B3197">
        <v>1001500</v>
      </c>
      <c r="C3197">
        <v>350554</v>
      </c>
      <c r="F3197" s="7">
        <v>1</v>
      </c>
      <c r="G3197" s="7">
        <v>451</v>
      </c>
      <c r="H3197" s="8">
        <v>361</v>
      </c>
      <c r="J3197" t="s">
        <v>23</v>
      </c>
      <c r="K3197" s="7">
        <v>26499</v>
      </c>
      <c r="L3197" s="9">
        <v>1</v>
      </c>
      <c r="M3197" t="s">
        <v>2610</v>
      </c>
      <c r="N3197" t="s">
        <v>134</v>
      </c>
      <c r="O3197" s="27" t="str">
        <f>HYPERLINK("https://www.ncbi.nlm.nih.gov/nuccore/NZ_AJSZ01000947.1?report=graph&amp;from=16974&amp;to=16978", "TTA_codon")</f>
        <v>TTA_codon</v>
      </c>
    </row>
    <row r="3198" spans="1:15" x14ac:dyDescent="0.15">
      <c r="A3198" t="s">
        <v>21</v>
      </c>
      <c r="B3198">
        <v>1001500</v>
      </c>
      <c r="C3198">
        <v>351285</v>
      </c>
      <c r="F3198" s="7">
        <v>1</v>
      </c>
      <c r="G3198" s="7">
        <v>13456</v>
      </c>
      <c r="H3198" s="8">
        <v>172</v>
      </c>
      <c r="J3198" t="s">
        <v>23</v>
      </c>
      <c r="K3198" s="7">
        <v>5781</v>
      </c>
      <c r="L3198" s="9">
        <v>1</v>
      </c>
      <c r="M3198" t="s">
        <v>65</v>
      </c>
      <c r="N3198" t="s">
        <v>66</v>
      </c>
      <c r="O3198" s="27" t="str">
        <f>HYPERLINK("https://www.ncbi.nlm.nih.gov/nuccore/NC_020504.1?report=graph&amp;from=3589240&amp;to=3589244", "TTA_codon")</f>
        <v>TTA_codon</v>
      </c>
    </row>
    <row r="3199" spans="1:15" x14ac:dyDescent="0.15">
      <c r="A3199" t="s">
        <v>21</v>
      </c>
      <c r="B3199">
        <v>1001500</v>
      </c>
      <c r="C3199">
        <v>351543</v>
      </c>
      <c r="F3199" s="7">
        <v>1</v>
      </c>
      <c r="G3199" s="7">
        <v>21187</v>
      </c>
      <c r="H3199" s="8">
        <v>244</v>
      </c>
      <c r="J3199" t="s">
        <v>23</v>
      </c>
      <c r="K3199" s="7">
        <v>3339</v>
      </c>
      <c r="L3199" s="9">
        <v>1</v>
      </c>
      <c r="M3199" t="s">
        <v>2611</v>
      </c>
      <c r="N3199" t="s">
        <v>138</v>
      </c>
      <c r="O3199" s="27" t="str">
        <f>HYPERLINK("https://www.ncbi.nlm.nih.gov/nuccore/NZ_KB889741.1?report=graph&amp;from=217091&amp;to=217095", "TTA_codon")</f>
        <v>TTA_codon</v>
      </c>
    </row>
    <row r="3200" spans="1:15" x14ac:dyDescent="0.15">
      <c r="A3200" t="s">
        <v>21</v>
      </c>
      <c r="B3200">
        <v>1001500</v>
      </c>
      <c r="C3200">
        <v>351577</v>
      </c>
      <c r="F3200" s="7">
        <v>1</v>
      </c>
      <c r="G3200" s="7">
        <v>14164</v>
      </c>
      <c r="H3200" s="8">
        <v>856</v>
      </c>
      <c r="J3200" t="s">
        <v>23</v>
      </c>
      <c r="K3200" s="7">
        <v>5085</v>
      </c>
      <c r="L3200" s="9">
        <v>1</v>
      </c>
      <c r="M3200" t="s">
        <v>2612</v>
      </c>
      <c r="N3200" t="s">
        <v>138</v>
      </c>
      <c r="O3200" s="27" t="str">
        <f>HYPERLINK("https://www.ncbi.nlm.nih.gov/nuccore/NZ_KB889668.1?report=graph&amp;from=87739&amp;to=87743", "TTA_codon")</f>
        <v>TTA_codon</v>
      </c>
    </row>
    <row r="3201" spans="1:15" x14ac:dyDescent="0.15">
      <c r="A3201" t="s">
        <v>21</v>
      </c>
      <c r="B3201">
        <v>1001500</v>
      </c>
      <c r="C3201">
        <v>351578</v>
      </c>
      <c r="F3201" s="7">
        <v>1</v>
      </c>
      <c r="G3201" s="7">
        <v>13759</v>
      </c>
      <c r="H3201" s="8">
        <v>1789</v>
      </c>
      <c r="J3201" t="s">
        <v>23</v>
      </c>
      <c r="K3201" s="7">
        <v>6405</v>
      </c>
      <c r="L3201" s="9">
        <v>1</v>
      </c>
      <c r="M3201" t="s">
        <v>2613</v>
      </c>
      <c r="N3201" t="s">
        <v>138</v>
      </c>
      <c r="O3201" s="27" t="str">
        <f>HYPERLINK("https://www.ncbi.nlm.nih.gov/nuccore/NZ_KB889703.1?report=graph&amp;from=26195&amp;to=26199", "TTA_codon")</f>
        <v>TTA_codon</v>
      </c>
    </row>
    <row r="3202" spans="1:15" x14ac:dyDescent="0.15">
      <c r="A3202" t="s">
        <v>21</v>
      </c>
      <c r="B3202">
        <v>1001500</v>
      </c>
      <c r="C3202">
        <v>353309</v>
      </c>
      <c r="F3202" s="7">
        <v>1</v>
      </c>
      <c r="G3202" s="7">
        <v>21364</v>
      </c>
      <c r="H3202" s="8">
        <v>352</v>
      </c>
      <c r="J3202" t="s">
        <v>23</v>
      </c>
      <c r="K3202" s="7">
        <v>1584</v>
      </c>
      <c r="L3202" s="9">
        <v>1</v>
      </c>
      <c r="M3202" t="s">
        <v>2299</v>
      </c>
      <c r="N3202" t="s">
        <v>169</v>
      </c>
      <c r="O3202" s="27" t="str">
        <f>HYPERLINK("https://www.ncbi.nlm.nih.gov/nuccore/NZ_JNWJ01000013.1?report=graph&amp;from=169053&amp;to=169057", "TTA_codon")</f>
        <v>TTA_codon</v>
      </c>
    </row>
    <row r="3203" spans="1:15" x14ac:dyDescent="0.15">
      <c r="A3203" t="s">
        <v>21</v>
      </c>
      <c r="B3203">
        <v>1001500</v>
      </c>
      <c r="C3203">
        <v>353702</v>
      </c>
      <c r="F3203" s="7">
        <v>1</v>
      </c>
      <c r="G3203" s="7">
        <v>20713</v>
      </c>
      <c r="H3203" s="8">
        <v>613</v>
      </c>
      <c r="J3203" t="s">
        <v>23</v>
      </c>
      <c r="K3203" s="7">
        <v>3168</v>
      </c>
      <c r="L3203" s="9">
        <v>1</v>
      </c>
      <c r="M3203" t="s">
        <v>787</v>
      </c>
      <c r="N3203" t="s">
        <v>246</v>
      </c>
      <c r="O3203" s="27" t="str">
        <f>HYPERLINK("https://www.ncbi.nlm.nih.gov/nuccore/NZ_JNYR01000029.1?report=graph&amp;from=11074&amp;to=11078", "TTA_codon")</f>
        <v>TTA_codon</v>
      </c>
    </row>
    <row r="3204" spans="1:15" x14ac:dyDescent="0.15">
      <c r="A3204" t="s">
        <v>21</v>
      </c>
      <c r="B3204">
        <v>1001500</v>
      </c>
      <c r="C3204">
        <v>353793</v>
      </c>
      <c r="F3204" s="7">
        <v>1</v>
      </c>
      <c r="G3204" s="7">
        <v>12127</v>
      </c>
      <c r="H3204" s="8">
        <v>376</v>
      </c>
      <c r="J3204" t="s">
        <v>23</v>
      </c>
      <c r="K3204" s="7">
        <v>6198</v>
      </c>
      <c r="L3204" s="9">
        <v>1</v>
      </c>
      <c r="M3204" t="s">
        <v>1985</v>
      </c>
      <c r="N3204" t="s">
        <v>246</v>
      </c>
      <c r="O3204" s="27" t="str">
        <f>HYPERLINK("https://www.ncbi.nlm.nih.gov/nuccore/NZ_JNYR01000005.1?report=graph&amp;from=84571&amp;to=84575", "TTA_codon")</f>
        <v>TTA_codon</v>
      </c>
    </row>
    <row r="3205" spans="1:15" x14ac:dyDescent="0.15">
      <c r="A3205" t="s">
        <v>21</v>
      </c>
      <c r="B3205">
        <v>1001500</v>
      </c>
      <c r="C3205">
        <v>355677</v>
      </c>
      <c r="F3205" s="7">
        <v>1</v>
      </c>
      <c r="G3205" s="7">
        <v>19990</v>
      </c>
      <c r="H3205" s="8">
        <v>856</v>
      </c>
      <c r="J3205" t="s">
        <v>23</v>
      </c>
      <c r="K3205" s="7">
        <v>4188</v>
      </c>
      <c r="L3205" s="9">
        <v>1</v>
      </c>
      <c r="M3205" t="s">
        <v>2473</v>
      </c>
      <c r="N3205" t="s">
        <v>278</v>
      </c>
      <c r="O3205" s="27" t="str">
        <f>HYPERLINK("https://www.ncbi.nlm.nih.gov/nuccore/NZ_JOID01000011.1?report=graph&amp;from=5000&amp;to=5004", "TTA_codon")</f>
        <v>TTA_codon</v>
      </c>
    </row>
    <row r="3206" spans="1:15" x14ac:dyDescent="0.15">
      <c r="A3206" t="s">
        <v>21</v>
      </c>
      <c r="B3206">
        <v>1001500</v>
      </c>
      <c r="C3206">
        <v>358814</v>
      </c>
      <c r="F3206" s="7">
        <v>2</v>
      </c>
      <c r="G3206" s="7" t="s">
        <v>2614</v>
      </c>
      <c r="H3206" s="8" t="s">
        <v>2615</v>
      </c>
      <c r="J3206" t="s">
        <v>23</v>
      </c>
      <c r="K3206" s="7">
        <v>2301</v>
      </c>
      <c r="L3206" s="9">
        <v>1</v>
      </c>
      <c r="M3206" t="s">
        <v>2616</v>
      </c>
      <c r="N3206" t="s">
        <v>87</v>
      </c>
      <c r="O3206" s="27" t="str">
        <f>HYPERLINK("https://www.ncbi.nlm.nih.gov/nuccore/NZ_LIQS01000466.1?report=graph&amp;from=14194&amp;to=14390", "TTA_codon")</f>
        <v>TTA_codon</v>
      </c>
    </row>
    <row r="3207" spans="1:15" x14ac:dyDescent="0.15">
      <c r="A3207" t="s">
        <v>21</v>
      </c>
      <c r="B3207">
        <v>1001500</v>
      </c>
      <c r="C3207">
        <v>358862</v>
      </c>
      <c r="F3207" s="7">
        <v>1</v>
      </c>
      <c r="G3207" s="7">
        <v>21187</v>
      </c>
      <c r="H3207" s="8">
        <v>148</v>
      </c>
      <c r="J3207" t="s">
        <v>23</v>
      </c>
      <c r="K3207" s="7">
        <v>1773</v>
      </c>
      <c r="L3207" s="9">
        <v>1</v>
      </c>
      <c r="M3207" t="s">
        <v>2617</v>
      </c>
      <c r="N3207" t="s">
        <v>87</v>
      </c>
      <c r="O3207" s="27" t="str">
        <f>HYPERLINK("https://www.ncbi.nlm.nih.gov/nuccore/NZ_LIQS01000024.1?report=graph&amp;from=32199&amp;to=32203", "TTA_codon")</f>
        <v>TTA_codon</v>
      </c>
    </row>
    <row r="3208" spans="1:15" x14ac:dyDescent="0.15">
      <c r="A3208" t="s">
        <v>21</v>
      </c>
      <c r="B3208">
        <v>1001500</v>
      </c>
      <c r="C3208">
        <v>358864</v>
      </c>
      <c r="F3208" s="7">
        <v>1</v>
      </c>
      <c r="G3208" s="7">
        <v>12745</v>
      </c>
      <c r="H3208" s="8">
        <v>940</v>
      </c>
      <c r="J3208" t="s">
        <v>23</v>
      </c>
      <c r="K3208" s="7">
        <v>6417</v>
      </c>
      <c r="L3208" s="9">
        <v>1</v>
      </c>
      <c r="M3208" t="s">
        <v>2618</v>
      </c>
      <c r="N3208" t="s">
        <v>87</v>
      </c>
      <c r="O3208" s="27" t="str">
        <f>HYPERLINK("https://www.ncbi.nlm.nih.gov/nuccore/NZ_LIQS01000290.1?report=graph&amp;from=10627&amp;to=10631", "TTA_codon")</f>
        <v>TTA_codon</v>
      </c>
    </row>
    <row r="3209" spans="1:15" x14ac:dyDescent="0.15">
      <c r="A3209" t="s">
        <v>21</v>
      </c>
      <c r="B3209">
        <v>1001500</v>
      </c>
      <c r="C3209">
        <v>359111</v>
      </c>
      <c r="F3209" s="7">
        <v>1</v>
      </c>
      <c r="G3209" s="7">
        <v>8638</v>
      </c>
      <c r="H3209" s="8">
        <v>1531</v>
      </c>
      <c r="J3209" t="s">
        <v>23</v>
      </c>
      <c r="K3209" s="7">
        <v>16848</v>
      </c>
      <c r="L3209" s="9">
        <v>1</v>
      </c>
      <c r="M3209" t="s">
        <v>2132</v>
      </c>
      <c r="N3209" t="s">
        <v>451</v>
      </c>
      <c r="O3209" s="27" t="str">
        <f>HYPERLINK("https://www.ncbi.nlm.nih.gov/nuccore/NZ_LIQZ01000087.1?report=graph&amp;from=184997&amp;to=185001", "TTA_codon")</f>
        <v>TTA_codon</v>
      </c>
    </row>
    <row r="3210" spans="1:15" x14ac:dyDescent="0.15">
      <c r="A3210" t="s">
        <v>21</v>
      </c>
      <c r="B3210">
        <v>1001500</v>
      </c>
      <c r="C3210">
        <v>359498</v>
      </c>
      <c r="F3210" s="7">
        <v>1</v>
      </c>
      <c r="G3210" s="7">
        <v>13183</v>
      </c>
      <c r="H3210" s="8">
        <v>1303</v>
      </c>
      <c r="J3210" t="s">
        <v>23</v>
      </c>
      <c r="K3210" s="7">
        <v>7176</v>
      </c>
      <c r="L3210" s="9">
        <v>1</v>
      </c>
      <c r="M3210" t="s">
        <v>151</v>
      </c>
      <c r="N3210" t="s">
        <v>152</v>
      </c>
      <c r="O3210" s="27" t="str">
        <f>HYPERLINK("https://www.ncbi.nlm.nih.gov/nuccore/NZ_CP013129.1?report=graph&amp;from=8007794&amp;to=8007798", "TTA_codon")</f>
        <v>TTA_codon</v>
      </c>
    </row>
    <row r="3211" spans="1:15" x14ac:dyDescent="0.15">
      <c r="A3211" t="s">
        <v>21</v>
      </c>
      <c r="B3211">
        <v>1001500</v>
      </c>
      <c r="C3211">
        <v>361186</v>
      </c>
      <c r="F3211" s="7">
        <v>1</v>
      </c>
      <c r="G3211" s="7">
        <v>21676</v>
      </c>
      <c r="H3211" s="8">
        <v>511</v>
      </c>
      <c r="J3211" t="s">
        <v>23</v>
      </c>
      <c r="K3211" s="7">
        <v>1602</v>
      </c>
      <c r="L3211" s="9">
        <v>1</v>
      </c>
      <c r="M3211" t="s">
        <v>98</v>
      </c>
      <c r="N3211" t="s">
        <v>99</v>
      </c>
      <c r="O3211" s="27" t="str">
        <f>HYPERLINK("https://www.ncbi.nlm.nih.gov/nuccore/NZ_CP016438.1?report=graph&amp;from=3365637&amp;to=3365641", "TTA_codon")</f>
        <v>TTA_codon</v>
      </c>
    </row>
    <row r="3212" spans="1:15" x14ac:dyDescent="0.15">
      <c r="A3212" t="s">
        <v>21</v>
      </c>
      <c r="B3212">
        <v>1001500</v>
      </c>
      <c r="C3212">
        <v>361334</v>
      </c>
      <c r="F3212" s="7">
        <v>1</v>
      </c>
      <c r="G3212" s="7">
        <v>12091</v>
      </c>
      <c r="H3212" s="8">
        <v>337</v>
      </c>
      <c r="J3212" t="s">
        <v>23</v>
      </c>
      <c r="K3212" s="7">
        <v>7314</v>
      </c>
      <c r="L3212" s="9">
        <v>1</v>
      </c>
      <c r="M3212" t="s">
        <v>200</v>
      </c>
      <c r="N3212" t="s">
        <v>201</v>
      </c>
      <c r="O3212" s="27" t="str">
        <f>HYPERLINK("https://www.ncbi.nlm.nih.gov/nuccore/NZ_CP016559.1?report=graph&amp;from=4185050&amp;to=4185054", "TTA_codon")</f>
        <v>TTA_codon</v>
      </c>
    </row>
    <row r="3213" spans="1:15" x14ac:dyDescent="0.15">
      <c r="A3213" t="s">
        <v>21</v>
      </c>
      <c r="B3213">
        <v>1001500</v>
      </c>
      <c r="C3213">
        <v>361534</v>
      </c>
      <c r="F3213" s="7">
        <v>1</v>
      </c>
      <c r="G3213" s="7">
        <v>13291</v>
      </c>
      <c r="H3213" s="8">
        <v>1372</v>
      </c>
      <c r="J3213" t="s">
        <v>23</v>
      </c>
      <c r="K3213" s="7">
        <v>7572</v>
      </c>
      <c r="L3213" s="9">
        <v>1</v>
      </c>
      <c r="M3213" t="s">
        <v>37</v>
      </c>
      <c r="N3213" t="s">
        <v>38</v>
      </c>
      <c r="O3213" s="27" t="str">
        <f>HYPERLINK("https://www.ncbi.nlm.nih.gov/nuccore/NZ_CP011533.1?report=graph&amp;from=8421865&amp;to=8421869", "TTA_codon")</f>
        <v>TTA_codon</v>
      </c>
    </row>
    <row r="3214" spans="1:15" x14ac:dyDescent="0.15">
      <c r="A3214" t="s">
        <v>21</v>
      </c>
      <c r="B3214">
        <v>1001500</v>
      </c>
      <c r="C3214">
        <v>361674</v>
      </c>
      <c r="F3214" s="7">
        <v>1</v>
      </c>
      <c r="G3214" s="7">
        <v>637</v>
      </c>
      <c r="H3214" s="8">
        <v>532</v>
      </c>
      <c r="J3214" t="s">
        <v>23</v>
      </c>
      <c r="K3214" s="7">
        <v>14328</v>
      </c>
      <c r="L3214" s="9">
        <v>1</v>
      </c>
      <c r="M3214" t="s">
        <v>37</v>
      </c>
      <c r="N3214" t="s">
        <v>38</v>
      </c>
      <c r="O3214" s="27" t="str">
        <f>HYPERLINK("https://www.ncbi.nlm.nih.gov/nuccore/NZ_CP011533.1?report=graph&amp;from=8406686&amp;to=8406690", "TTA_codon")</f>
        <v>TTA_codon</v>
      </c>
    </row>
    <row r="3215" spans="1:15" x14ac:dyDescent="0.15">
      <c r="A3215" t="s">
        <v>21</v>
      </c>
      <c r="B3215">
        <v>1001500</v>
      </c>
      <c r="C3215">
        <v>361890</v>
      </c>
      <c r="F3215" s="7">
        <v>1</v>
      </c>
      <c r="G3215" s="7">
        <v>12820</v>
      </c>
      <c r="H3215" s="8">
        <v>979</v>
      </c>
      <c r="J3215" t="s">
        <v>23</v>
      </c>
      <c r="K3215" s="7">
        <v>7251</v>
      </c>
      <c r="L3215" s="9">
        <v>1</v>
      </c>
      <c r="M3215" t="s">
        <v>2144</v>
      </c>
      <c r="N3215" t="s">
        <v>187</v>
      </c>
      <c r="O3215" s="27" t="str">
        <f>HYPERLINK("https://www.ncbi.nlm.nih.gov/nuccore/NZ_MAXF01000186.1?report=graph&amp;from=28363&amp;to=28367", "TTA_codon")</f>
        <v>TTA_codon</v>
      </c>
    </row>
    <row r="3216" spans="1:15" x14ac:dyDescent="0.15">
      <c r="A3216" t="s">
        <v>21</v>
      </c>
      <c r="B3216">
        <v>1001500</v>
      </c>
      <c r="C3216">
        <v>362006</v>
      </c>
      <c r="F3216" s="7">
        <v>1</v>
      </c>
      <c r="G3216" s="7">
        <v>12154</v>
      </c>
      <c r="H3216" s="8">
        <v>391</v>
      </c>
      <c r="J3216" t="s">
        <v>23</v>
      </c>
      <c r="K3216" s="7">
        <v>12438</v>
      </c>
      <c r="L3216" s="9">
        <v>1</v>
      </c>
      <c r="M3216" t="s">
        <v>2619</v>
      </c>
      <c r="N3216" t="s">
        <v>187</v>
      </c>
      <c r="O3216" s="27" t="str">
        <f>HYPERLINK("https://www.ncbi.nlm.nih.gov/nuccore/NZ_MAXF01000131.1?report=graph&amp;from=7798&amp;to=7802", "TTA_codon")</f>
        <v>TTA_codon</v>
      </c>
    </row>
    <row r="3217" spans="1:15" x14ac:dyDescent="0.15">
      <c r="A3217" t="s">
        <v>21</v>
      </c>
      <c r="B3217">
        <v>1001500</v>
      </c>
      <c r="C3217">
        <v>362264</v>
      </c>
      <c r="F3217" s="7">
        <v>1</v>
      </c>
      <c r="G3217" s="7">
        <v>21358</v>
      </c>
      <c r="H3217" s="8">
        <v>469</v>
      </c>
      <c r="J3217" t="s">
        <v>23</v>
      </c>
      <c r="K3217" s="7">
        <v>3507</v>
      </c>
      <c r="L3217" s="9">
        <v>1</v>
      </c>
      <c r="M3217" t="s">
        <v>39</v>
      </c>
      <c r="N3217" t="s">
        <v>40</v>
      </c>
      <c r="O3217" s="27" t="str">
        <f>HYPERLINK("https://www.ncbi.nlm.nih.gov/nuccore/NZ_CP017157.1?report=graph&amp;from=4006282&amp;to=4006286", "TTA_codon")</f>
        <v>TTA_codon</v>
      </c>
    </row>
    <row r="3218" spans="1:15" x14ac:dyDescent="0.15">
      <c r="A3218" t="s">
        <v>21</v>
      </c>
      <c r="B3218">
        <v>1001500</v>
      </c>
      <c r="C3218">
        <v>362800</v>
      </c>
      <c r="F3218" s="7">
        <v>1</v>
      </c>
      <c r="G3218" s="7">
        <v>19837</v>
      </c>
      <c r="H3218" s="8">
        <v>619</v>
      </c>
      <c r="J3218" t="s">
        <v>23</v>
      </c>
      <c r="K3218" s="7">
        <v>3279</v>
      </c>
      <c r="L3218" s="9">
        <v>1</v>
      </c>
      <c r="M3218" t="s">
        <v>2620</v>
      </c>
      <c r="N3218" t="s">
        <v>156</v>
      </c>
      <c r="O3218" s="27" t="str">
        <f>HYPERLINK("https://www.ncbi.nlm.nih.gov/nuccore/NZ_LJGW01000311.1?report=graph&amp;from=9066&amp;to=9070", "TTA_codon")</f>
        <v>TTA_codon</v>
      </c>
    </row>
    <row r="3219" spans="1:15" x14ac:dyDescent="0.15">
      <c r="A3219" t="s">
        <v>21</v>
      </c>
      <c r="B3219">
        <v>1001500</v>
      </c>
      <c r="C3219">
        <v>362860</v>
      </c>
      <c r="F3219" s="7">
        <v>1</v>
      </c>
      <c r="G3219" s="7">
        <v>21280</v>
      </c>
      <c r="H3219" s="8">
        <v>1591</v>
      </c>
      <c r="J3219" t="s">
        <v>23</v>
      </c>
      <c r="K3219" s="7">
        <v>4404</v>
      </c>
      <c r="L3219" s="9">
        <v>1</v>
      </c>
      <c r="M3219" t="s">
        <v>2620</v>
      </c>
      <c r="N3219" t="s">
        <v>156</v>
      </c>
      <c r="O3219" s="27" t="str">
        <f>HYPERLINK("https://www.ncbi.nlm.nih.gov/nuccore/NZ_LJGW01000311.1?report=graph&amp;from=13328&amp;to=13332", "TTA_codon")</f>
        <v>TTA_codon</v>
      </c>
    </row>
    <row r="3220" spans="1:15" x14ac:dyDescent="0.15">
      <c r="A3220" t="s">
        <v>21</v>
      </c>
      <c r="B3220">
        <v>1001500</v>
      </c>
      <c r="C3220">
        <v>365060</v>
      </c>
      <c r="F3220" s="7">
        <v>3</v>
      </c>
      <c r="G3220" s="7" t="s">
        <v>2621</v>
      </c>
      <c r="H3220" s="8" t="s">
        <v>2622</v>
      </c>
      <c r="J3220" t="s">
        <v>23</v>
      </c>
      <c r="K3220" s="7">
        <v>11343</v>
      </c>
      <c r="L3220" s="9">
        <v>1</v>
      </c>
      <c r="M3220" t="s">
        <v>111</v>
      </c>
      <c r="N3220" t="s">
        <v>112</v>
      </c>
      <c r="O3220" s="27" t="str">
        <f>HYPERLINK("https://www.ncbi.nlm.nih.gov/nuccore/NZ_CP021744.1?report=graph&amp;from=261284&amp;to=263241", "TTA_codon")</f>
        <v>TTA_codon</v>
      </c>
    </row>
    <row r="3221" spans="1:15" x14ac:dyDescent="0.15">
      <c r="A3221" t="s">
        <v>21</v>
      </c>
      <c r="B3221">
        <v>1001500</v>
      </c>
      <c r="C3221">
        <v>365347</v>
      </c>
      <c r="F3221" s="7">
        <v>1</v>
      </c>
      <c r="G3221" s="7">
        <v>1390</v>
      </c>
      <c r="H3221" s="8">
        <v>433</v>
      </c>
      <c r="J3221" t="s">
        <v>23</v>
      </c>
      <c r="K3221" s="7">
        <v>19110</v>
      </c>
      <c r="L3221" s="9">
        <v>1</v>
      </c>
      <c r="M3221" t="s">
        <v>2623</v>
      </c>
      <c r="N3221" t="s">
        <v>129</v>
      </c>
      <c r="O3221" s="27" t="str">
        <f>HYPERLINK("https://www.ncbi.nlm.nih.gov/nuccore/NZ_FNHI01000019.1?report=graph&amp;from=43278&amp;to=43282", "TTA_codon")</f>
        <v>TTA_codon</v>
      </c>
    </row>
    <row r="3222" spans="1:15" x14ac:dyDescent="0.15">
      <c r="A3222" t="s">
        <v>21</v>
      </c>
      <c r="B3222" t="s">
        <v>2624</v>
      </c>
    </row>
    <row r="3223" spans="1:15" x14ac:dyDescent="0.15">
      <c r="A3223" t="s">
        <v>21</v>
      </c>
      <c r="B3223">
        <v>1001199</v>
      </c>
      <c r="C3223">
        <v>356868</v>
      </c>
      <c r="F3223" s="7">
        <v>1</v>
      </c>
      <c r="G3223" s="7">
        <v>616</v>
      </c>
      <c r="H3223" s="8">
        <v>604</v>
      </c>
      <c r="J3223" t="s">
        <v>23</v>
      </c>
      <c r="K3223" s="7">
        <v>1404</v>
      </c>
      <c r="L3223" s="9">
        <v>1</v>
      </c>
      <c r="M3223" t="s">
        <v>78</v>
      </c>
      <c r="N3223" t="s">
        <v>79</v>
      </c>
      <c r="O3223" s="27" t="str">
        <f>HYPERLINK("https://www.ncbi.nlm.nih.gov/nuccore/NZ_CP009313.1?report=graph&amp;from=2255547&amp;to=2255551", "TTA_codon")</f>
        <v>TTA_codon</v>
      </c>
    </row>
    <row r="3224" spans="1:15" x14ac:dyDescent="0.15">
      <c r="A3224" t="s">
        <v>21</v>
      </c>
      <c r="B3224">
        <v>1001199</v>
      </c>
      <c r="C3224">
        <v>360930</v>
      </c>
      <c r="F3224" s="7">
        <v>1</v>
      </c>
      <c r="G3224" s="7">
        <v>565</v>
      </c>
      <c r="H3224" s="8">
        <v>517</v>
      </c>
      <c r="J3224" t="s">
        <v>23</v>
      </c>
      <c r="K3224" s="7">
        <v>1368</v>
      </c>
      <c r="L3224" s="9">
        <v>1</v>
      </c>
      <c r="M3224" t="s">
        <v>2625</v>
      </c>
      <c r="N3224" t="s">
        <v>97</v>
      </c>
      <c r="O3224" s="27" t="str">
        <f>HYPERLINK("https://www.ncbi.nlm.nih.gov/nuccore/NZ_LOHS01000037.1?report=graph&amp;from=11165&amp;to=11169", "TTA_codon")</f>
        <v>TTA_codon</v>
      </c>
    </row>
    <row r="3225" spans="1:15" x14ac:dyDescent="0.15">
      <c r="A3225" t="s">
        <v>21</v>
      </c>
      <c r="B3225" t="s">
        <v>2626</v>
      </c>
    </row>
    <row r="3226" spans="1:15" x14ac:dyDescent="0.15">
      <c r="A3226" t="s">
        <v>21</v>
      </c>
      <c r="B3226">
        <v>1001427</v>
      </c>
      <c r="C3226">
        <v>362972</v>
      </c>
      <c r="F3226" s="7">
        <v>2</v>
      </c>
      <c r="G3226" s="7" t="s">
        <v>2627</v>
      </c>
      <c r="H3226" s="8" t="s">
        <v>2628</v>
      </c>
      <c r="J3226" t="s">
        <v>23</v>
      </c>
      <c r="K3226" s="7">
        <v>1689</v>
      </c>
      <c r="L3226" s="9">
        <v>1</v>
      </c>
      <c r="M3226" t="s">
        <v>194</v>
      </c>
      <c r="N3226" t="s">
        <v>156</v>
      </c>
      <c r="O3226" s="27" t="str">
        <f>HYPERLINK("https://www.ncbi.nlm.nih.gov/nuccore/NZ_LJGW01000387.1?report=graph&amp;from=37276&amp;to=37832", "TTA_codon")</f>
        <v>TTA_codon</v>
      </c>
    </row>
    <row r="3227" spans="1:15" x14ac:dyDescent="0.15">
      <c r="A3227" t="s">
        <v>21</v>
      </c>
      <c r="B3227">
        <v>1001427</v>
      </c>
      <c r="C3227">
        <v>366133</v>
      </c>
      <c r="F3227" s="7">
        <v>1</v>
      </c>
      <c r="G3227" s="7">
        <v>154</v>
      </c>
      <c r="H3227" s="8">
        <v>154</v>
      </c>
      <c r="J3227" t="s">
        <v>23</v>
      </c>
      <c r="K3227" s="7">
        <v>2121</v>
      </c>
      <c r="L3227" s="9">
        <v>1</v>
      </c>
      <c r="M3227" t="s">
        <v>1927</v>
      </c>
      <c r="N3227" t="s">
        <v>257</v>
      </c>
      <c r="O3227" s="27" t="str">
        <f>HYPERLINK("https://www.ncbi.nlm.nih.gov/nuccore/NZ_FOET01000002.1?report=graph&amp;from=279575&amp;to=279579", "TTA_codon")</f>
        <v>TTA_codon</v>
      </c>
    </row>
    <row r="3228" spans="1:15" x14ac:dyDescent="0.15">
      <c r="A3228" t="s">
        <v>21</v>
      </c>
      <c r="B3228" t="s">
        <v>2629</v>
      </c>
    </row>
    <row r="3229" spans="1:15" x14ac:dyDescent="0.15">
      <c r="A3229" t="s">
        <v>21</v>
      </c>
      <c r="B3229">
        <v>1000505</v>
      </c>
      <c r="C3229">
        <v>349383</v>
      </c>
      <c r="F3229" s="7">
        <v>2</v>
      </c>
      <c r="G3229" s="7" t="s">
        <v>1300</v>
      </c>
      <c r="H3229" s="8" t="s">
        <v>1300</v>
      </c>
      <c r="J3229" t="s">
        <v>23</v>
      </c>
      <c r="K3229" s="7">
        <v>657</v>
      </c>
      <c r="L3229" s="9">
        <v>-1</v>
      </c>
      <c r="M3229" t="s">
        <v>458</v>
      </c>
      <c r="N3229" t="s">
        <v>315</v>
      </c>
      <c r="O3229" s="27" t="str">
        <f>HYPERLINK("https://www.ncbi.nlm.nih.gov/nuccore/NC_003888.3?report=graph&amp;from=5661371&amp;to=5661384", "TTA_codon")</f>
        <v>TTA_codon</v>
      </c>
    </row>
    <row r="3230" spans="1:15" x14ac:dyDescent="0.15">
      <c r="A3230" t="s">
        <v>21</v>
      </c>
      <c r="B3230">
        <v>1000505</v>
      </c>
      <c r="C3230">
        <v>349693</v>
      </c>
      <c r="F3230" s="7">
        <v>1</v>
      </c>
      <c r="G3230" s="7">
        <v>73</v>
      </c>
      <c r="H3230" s="8">
        <v>70</v>
      </c>
      <c r="J3230" t="s">
        <v>23</v>
      </c>
      <c r="K3230" s="7">
        <v>654</v>
      </c>
      <c r="L3230" s="9">
        <v>-1</v>
      </c>
      <c r="M3230" t="s">
        <v>2630</v>
      </c>
      <c r="N3230" t="s">
        <v>335</v>
      </c>
      <c r="O3230" s="27" t="str">
        <f>HYPERLINK("https://www.ncbi.nlm.nih.gov/nuccore/NZ_AGBF01000116.1?report=graph&amp;from=8701&amp;to=8705", "TTA_codon")</f>
        <v>TTA_codon</v>
      </c>
    </row>
    <row r="3231" spans="1:15" x14ac:dyDescent="0.15">
      <c r="A3231" t="s">
        <v>21</v>
      </c>
      <c r="B3231">
        <v>1000505</v>
      </c>
      <c r="C3231">
        <v>359408</v>
      </c>
      <c r="F3231" s="7">
        <v>1</v>
      </c>
      <c r="G3231" s="7">
        <v>73</v>
      </c>
      <c r="H3231" s="8">
        <v>70</v>
      </c>
      <c r="J3231" t="s">
        <v>23</v>
      </c>
      <c r="K3231" s="7">
        <v>654</v>
      </c>
      <c r="L3231" s="9">
        <v>-1</v>
      </c>
      <c r="M3231" t="s">
        <v>2631</v>
      </c>
      <c r="N3231" t="s">
        <v>89</v>
      </c>
      <c r="O3231" s="27" t="str">
        <f>HYPERLINK("https://www.ncbi.nlm.nih.gov/nuccore/NZ_LIRG01000315.1?report=graph&amp;from=8429&amp;to=8433", "TTA_codon")</f>
        <v>TTA_codon</v>
      </c>
    </row>
    <row r="3232" spans="1:15" x14ac:dyDescent="0.15">
      <c r="A3232" t="s">
        <v>21</v>
      </c>
      <c r="B3232">
        <v>1000505</v>
      </c>
      <c r="C3232">
        <v>360599</v>
      </c>
      <c r="F3232" s="7">
        <v>1</v>
      </c>
      <c r="G3232" s="7">
        <v>73</v>
      </c>
      <c r="H3232" s="8">
        <v>70</v>
      </c>
      <c r="J3232" t="s">
        <v>23</v>
      </c>
      <c r="K3232" s="7">
        <v>654</v>
      </c>
      <c r="L3232" s="9">
        <v>-1</v>
      </c>
      <c r="M3232" t="s">
        <v>121</v>
      </c>
      <c r="N3232" t="s">
        <v>122</v>
      </c>
      <c r="O3232" s="27" t="str">
        <f>HYPERLINK("https://www.ncbi.nlm.nih.gov/nuccore/NZ_CP016279.1?report=graph&amp;from=1442406&amp;to=1442410", "TTA_codon")</f>
        <v>TTA_codon</v>
      </c>
    </row>
    <row r="3233" spans="1:15" x14ac:dyDescent="0.15">
      <c r="A3233" t="s">
        <v>21</v>
      </c>
      <c r="B3233">
        <v>1000505</v>
      </c>
      <c r="C3233">
        <v>363179</v>
      </c>
      <c r="F3233" s="7">
        <v>1</v>
      </c>
      <c r="G3233" s="7">
        <v>73</v>
      </c>
      <c r="H3233" s="8">
        <v>43</v>
      </c>
      <c r="J3233" t="s">
        <v>23</v>
      </c>
      <c r="K3233" s="7">
        <v>651</v>
      </c>
      <c r="L3233" s="9">
        <v>-1</v>
      </c>
      <c r="M3233" t="s">
        <v>1483</v>
      </c>
      <c r="N3233" t="s">
        <v>401</v>
      </c>
      <c r="O3233" s="27" t="str">
        <f>HYPERLINK("https://www.ncbi.nlm.nih.gov/nuccore/NZ_LFBV01000001.1?report=graph&amp;from=1754407&amp;to=1754411", "TTA_codon")</f>
        <v>TTA_codon</v>
      </c>
    </row>
    <row r="3234" spans="1:15" x14ac:dyDescent="0.15">
      <c r="A3234" t="s">
        <v>195</v>
      </c>
      <c r="B3234" t="s">
        <v>2632</v>
      </c>
    </row>
    <row r="3235" spans="1:15" x14ac:dyDescent="0.15">
      <c r="A3235" t="s">
        <v>195</v>
      </c>
      <c r="B3235">
        <v>1000032</v>
      </c>
      <c r="C3235">
        <v>346163</v>
      </c>
      <c r="F3235" s="7">
        <v>1</v>
      </c>
      <c r="G3235" s="7">
        <v>337</v>
      </c>
      <c r="H3235" s="8">
        <v>325</v>
      </c>
      <c r="J3235" t="s">
        <v>23</v>
      </c>
      <c r="K3235" s="7">
        <v>1617</v>
      </c>
      <c r="L3235" s="9">
        <v>-1</v>
      </c>
      <c r="M3235" t="s">
        <v>35</v>
      </c>
      <c r="N3235" t="s">
        <v>36</v>
      </c>
      <c r="O3235" s="27" t="str">
        <f>HYPERLINK("https://www.ncbi.nlm.nih.gov/nuccore/NZ_JH725387.1?report=graph&amp;from=5353534&amp;to=5353538", "TTA_codon")</f>
        <v>TTA_codon</v>
      </c>
    </row>
    <row r="3236" spans="1:15" x14ac:dyDescent="0.15">
      <c r="A3236" t="s">
        <v>21</v>
      </c>
      <c r="B3236">
        <v>1000032</v>
      </c>
      <c r="C3236">
        <v>353716</v>
      </c>
      <c r="F3236" s="7">
        <v>1</v>
      </c>
      <c r="G3236" s="7">
        <v>208</v>
      </c>
      <c r="H3236" s="8">
        <v>202</v>
      </c>
      <c r="J3236" t="s">
        <v>23</v>
      </c>
      <c r="K3236" s="7">
        <v>1434</v>
      </c>
      <c r="L3236" s="9">
        <v>-1</v>
      </c>
      <c r="M3236" t="s">
        <v>2633</v>
      </c>
      <c r="N3236" t="s">
        <v>246</v>
      </c>
      <c r="O3236" s="27" t="str">
        <f>HYPERLINK("https://www.ncbi.nlm.nih.gov/nuccore/NZ_JNYR01000045.1?report=graph&amp;from=5568&amp;to=5572", "TTA_codon")</f>
        <v>TTA_codon</v>
      </c>
    </row>
    <row r="3237" spans="1:15" x14ac:dyDescent="0.15">
      <c r="A3237" t="s">
        <v>21</v>
      </c>
      <c r="B3237">
        <v>1000032</v>
      </c>
      <c r="C3237">
        <v>355299</v>
      </c>
      <c r="F3237" s="7">
        <v>1</v>
      </c>
      <c r="G3237" s="7">
        <v>403</v>
      </c>
      <c r="H3237" s="8">
        <v>385</v>
      </c>
      <c r="J3237" t="s">
        <v>23</v>
      </c>
      <c r="K3237" s="7">
        <v>1377</v>
      </c>
      <c r="L3237" s="9">
        <v>-1</v>
      </c>
      <c r="M3237" t="s">
        <v>2634</v>
      </c>
      <c r="N3237" t="s">
        <v>295</v>
      </c>
      <c r="O3237" s="27" t="str">
        <f>HYPERLINK("https://www.ncbi.nlm.nih.gov/nuccore/NZ_JODL01000016.1?report=graph&amp;from=114811&amp;to=114815", "TTA_codon")</f>
        <v>TTA_codon</v>
      </c>
    </row>
    <row r="3238" spans="1:15" x14ac:dyDescent="0.15">
      <c r="A3238" t="s">
        <v>21</v>
      </c>
      <c r="B3238">
        <v>1000032</v>
      </c>
      <c r="C3238">
        <v>356830</v>
      </c>
      <c r="F3238" s="7">
        <v>1</v>
      </c>
      <c r="G3238" s="7">
        <v>244</v>
      </c>
      <c r="H3238" s="8">
        <v>217</v>
      </c>
      <c r="J3238" t="s">
        <v>23</v>
      </c>
      <c r="K3238" s="7">
        <v>1395</v>
      </c>
      <c r="L3238" s="9">
        <v>-1</v>
      </c>
      <c r="M3238" t="s">
        <v>78</v>
      </c>
      <c r="N3238" t="s">
        <v>79</v>
      </c>
      <c r="O3238" s="27" t="str">
        <f>HYPERLINK("https://www.ncbi.nlm.nih.gov/nuccore/NZ_CP009313.1?report=graph&amp;from=6216713&amp;to=6216717", "TTA_codon")</f>
        <v>TTA_codon</v>
      </c>
    </row>
    <row r="3239" spans="1:15" x14ac:dyDescent="0.15">
      <c r="A3239" t="s">
        <v>21</v>
      </c>
      <c r="B3239">
        <v>1000032</v>
      </c>
      <c r="C3239">
        <v>361555</v>
      </c>
      <c r="F3239" s="7">
        <v>1</v>
      </c>
      <c r="G3239" s="7">
        <v>208</v>
      </c>
      <c r="H3239" s="8">
        <v>202</v>
      </c>
      <c r="J3239" t="s">
        <v>23</v>
      </c>
      <c r="K3239" s="7">
        <v>1623</v>
      </c>
      <c r="L3239" s="9">
        <v>-1</v>
      </c>
      <c r="M3239" t="s">
        <v>37</v>
      </c>
      <c r="N3239" t="s">
        <v>38</v>
      </c>
      <c r="O3239" s="27" t="str">
        <f>HYPERLINK("https://www.ncbi.nlm.nih.gov/nuccore/NZ_CP011533.1?report=graph&amp;from=6905561&amp;to=6905565", "TTA_codon")</f>
        <v>TTA_codon</v>
      </c>
    </row>
    <row r="3240" spans="1:15" x14ac:dyDescent="0.15">
      <c r="A3240" t="s">
        <v>21</v>
      </c>
      <c r="B3240">
        <v>1000032</v>
      </c>
      <c r="C3240">
        <v>362187</v>
      </c>
      <c r="F3240" s="7">
        <v>1</v>
      </c>
      <c r="G3240" s="7">
        <v>337</v>
      </c>
      <c r="H3240" s="8">
        <v>331</v>
      </c>
      <c r="J3240" t="s">
        <v>23</v>
      </c>
      <c r="K3240" s="7">
        <v>1560</v>
      </c>
      <c r="L3240" s="9">
        <v>-1</v>
      </c>
      <c r="M3240" t="s">
        <v>39</v>
      </c>
      <c r="N3240" t="s">
        <v>40</v>
      </c>
      <c r="O3240" s="27" t="str">
        <f>HYPERLINK("https://www.ncbi.nlm.nih.gov/nuccore/NZ_CP017157.1?report=graph&amp;from=2197162&amp;to=2197166", "TTA_codon")</f>
        <v>TTA_codon</v>
      </c>
    </row>
    <row r="3241" spans="1:15" x14ac:dyDescent="0.15">
      <c r="A3241" t="s">
        <v>21</v>
      </c>
      <c r="B3241">
        <v>1000032</v>
      </c>
      <c r="C3241">
        <v>363678</v>
      </c>
      <c r="F3241" s="7">
        <v>1</v>
      </c>
      <c r="G3241" s="7">
        <v>247</v>
      </c>
      <c r="H3241" s="8">
        <v>202</v>
      </c>
      <c r="J3241" t="s">
        <v>23</v>
      </c>
      <c r="K3241" s="7">
        <v>1356</v>
      </c>
      <c r="L3241" s="9">
        <v>-1</v>
      </c>
      <c r="M3241" t="s">
        <v>101</v>
      </c>
      <c r="N3241" t="s">
        <v>102</v>
      </c>
      <c r="O3241" s="27" t="str">
        <f>HYPERLINK("https://www.ncbi.nlm.nih.gov/nuccore/NZ_CP019458.1?report=graph&amp;from=9340487&amp;to=9340491", "TTA_codon")</f>
        <v>TTA_codon</v>
      </c>
    </row>
    <row r="3242" spans="1:15" x14ac:dyDescent="0.15">
      <c r="A3242" t="s">
        <v>21</v>
      </c>
      <c r="B3242">
        <v>1000032</v>
      </c>
      <c r="C3242">
        <v>365549</v>
      </c>
      <c r="F3242" s="7">
        <v>1</v>
      </c>
      <c r="G3242" s="7">
        <v>454</v>
      </c>
      <c r="H3242" s="8">
        <v>394</v>
      </c>
      <c r="J3242" t="s">
        <v>23</v>
      </c>
      <c r="K3242" s="7">
        <v>1416</v>
      </c>
      <c r="L3242" s="9">
        <v>-1</v>
      </c>
      <c r="M3242" t="s">
        <v>213</v>
      </c>
      <c r="N3242" t="s">
        <v>214</v>
      </c>
      <c r="O3242" s="27" t="str">
        <f>HYPERLINK("https://www.ncbi.nlm.nih.gov/nuccore/NZ_FNST01000002.1?report=graph&amp;from=7416774&amp;to=7416778", "TTA_codon")</f>
        <v>TTA_codon</v>
      </c>
    </row>
    <row r="3243" spans="1:15" x14ac:dyDescent="0.15">
      <c r="A3243" t="s">
        <v>21</v>
      </c>
      <c r="B3243" t="s">
        <v>2635</v>
      </c>
    </row>
    <row r="3244" spans="1:15" x14ac:dyDescent="0.15">
      <c r="A3244" t="s">
        <v>21</v>
      </c>
      <c r="B3244">
        <v>1001233</v>
      </c>
      <c r="C3244">
        <v>357408</v>
      </c>
      <c r="F3244" s="7">
        <v>1</v>
      </c>
      <c r="G3244" s="7">
        <v>322</v>
      </c>
      <c r="H3244" s="8">
        <v>322</v>
      </c>
      <c r="J3244" t="s">
        <v>23</v>
      </c>
      <c r="K3244" s="7">
        <v>1485</v>
      </c>
      <c r="L3244" s="9">
        <v>-1</v>
      </c>
      <c r="M3244" t="s">
        <v>80</v>
      </c>
      <c r="N3244" t="s">
        <v>81</v>
      </c>
      <c r="O3244" s="27" t="str">
        <f>HYPERLINK("https://www.ncbi.nlm.nih.gov/nuccore/NZ_LN831790.1?report=graph&amp;from=775744&amp;to=775748", "TTA_codon")</f>
        <v>TTA_codon</v>
      </c>
    </row>
    <row r="3245" spans="1:15" x14ac:dyDescent="0.15">
      <c r="A3245" t="s">
        <v>21</v>
      </c>
      <c r="B3245">
        <v>1001233</v>
      </c>
      <c r="C3245">
        <v>363274</v>
      </c>
      <c r="F3245" s="7">
        <v>1</v>
      </c>
      <c r="G3245" s="7">
        <v>313</v>
      </c>
      <c r="H3245" s="8">
        <v>313</v>
      </c>
      <c r="J3245" t="s">
        <v>23</v>
      </c>
      <c r="K3245" s="7">
        <v>1335</v>
      </c>
      <c r="L3245" s="9">
        <v>-1</v>
      </c>
      <c r="M3245" t="s">
        <v>27</v>
      </c>
      <c r="N3245" t="s">
        <v>28</v>
      </c>
      <c r="O3245" s="27" t="str">
        <f>HYPERLINK("https://www.ncbi.nlm.nih.gov/nuccore/NZ_JUJA01000034.1?report=graph&amp;from=49891&amp;to=49895", "TTA_codon")</f>
        <v>TTA_codon</v>
      </c>
    </row>
    <row r="3246" spans="1:15" x14ac:dyDescent="0.15">
      <c r="A3246" t="s">
        <v>21</v>
      </c>
      <c r="B3246" t="s">
        <v>2636</v>
      </c>
    </row>
    <row r="3247" spans="1:15" x14ac:dyDescent="0.15">
      <c r="A3247" t="s">
        <v>21</v>
      </c>
      <c r="B3247">
        <v>1001036</v>
      </c>
      <c r="C3247">
        <v>354661</v>
      </c>
      <c r="F3247" s="7">
        <v>1</v>
      </c>
      <c r="G3247" s="7">
        <v>460</v>
      </c>
      <c r="H3247" s="8">
        <v>460</v>
      </c>
      <c r="J3247" t="s">
        <v>23</v>
      </c>
      <c r="K3247" s="7">
        <v>1632</v>
      </c>
      <c r="L3247" s="9">
        <v>1</v>
      </c>
      <c r="M3247" t="s">
        <v>865</v>
      </c>
      <c r="N3247" t="s">
        <v>272</v>
      </c>
      <c r="O3247" s="27" t="str">
        <f>HYPERLINK("https://www.ncbi.nlm.nih.gov/nuccore/NZ_JOEY01000002.1?report=graph&amp;from=119020&amp;to=119024", "TTA_codon")</f>
        <v>TTA_codon</v>
      </c>
    </row>
    <row r="3248" spans="1:15" x14ac:dyDescent="0.15">
      <c r="A3248" t="s">
        <v>21</v>
      </c>
      <c r="B3248">
        <v>1001036</v>
      </c>
      <c r="C3248">
        <v>358923</v>
      </c>
      <c r="F3248" s="7">
        <v>1</v>
      </c>
      <c r="G3248" s="7">
        <v>460</v>
      </c>
      <c r="H3248" s="8">
        <v>460</v>
      </c>
      <c r="J3248" t="s">
        <v>23</v>
      </c>
      <c r="K3248" s="7">
        <v>1491</v>
      </c>
      <c r="L3248" s="9">
        <v>1</v>
      </c>
      <c r="M3248" t="s">
        <v>2637</v>
      </c>
      <c r="N3248" t="s">
        <v>87</v>
      </c>
      <c r="O3248" s="27" t="str">
        <f>HYPERLINK("https://www.ncbi.nlm.nih.gov/nuccore/NZ_LIQS01000055.1?report=graph&amp;from=805&amp;to=809", "TTA_codon")</f>
        <v>TTA_codon</v>
      </c>
    </row>
    <row r="3249" spans="1:15" x14ac:dyDescent="0.15">
      <c r="A3249" t="s">
        <v>21</v>
      </c>
      <c r="B3249" t="s">
        <v>2638</v>
      </c>
    </row>
    <row r="3250" spans="1:15" x14ac:dyDescent="0.15">
      <c r="A3250" t="s">
        <v>21</v>
      </c>
      <c r="B3250">
        <v>1001444</v>
      </c>
      <c r="C3250">
        <v>363611</v>
      </c>
      <c r="F3250" s="7">
        <v>1</v>
      </c>
      <c r="G3250" s="7">
        <v>385</v>
      </c>
      <c r="H3250" s="8">
        <v>250</v>
      </c>
      <c r="J3250" t="s">
        <v>23</v>
      </c>
      <c r="K3250" s="7">
        <v>1245</v>
      </c>
      <c r="L3250" s="9">
        <v>1</v>
      </c>
      <c r="M3250" t="s">
        <v>101</v>
      </c>
      <c r="N3250" t="s">
        <v>102</v>
      </c>
      <c r="O3250" s="27" t="str">
        <f>HYPERLINK("https://www.ncbi.nlm.nih.gov/nuccore/NZ_CP019458.1?report=graph&amp;from=8943332&amp;to=8943336", "TTA_codon")</f>
        <v>TTA_codon</v>
      </c>
    </row>
    <row r="3251" spans="1:15" x14ac:dyDescent="0.15">
      <c r="A3251" t="s">
        <v>21</v>
      </c>
      <c r="B3251">
        <v>1001444</v>
      </c>
      <c r="C3251">
        <v>365582</v>
      </c>
      <c r="F3251" s="7">
        <v>1</v>
      </c>
      <c r="G3251" s="7">
        <v>499</v>
      </c>
      <c r="H3251" s="8">
        <v>499</v>
      </c>
      <c r="J3251" t="s">
        <v>23</v>
      </c>
      <c r="K3251" s="7">
        <v>1428</v>
      </c>
      <c r="L3251" s="9">
        <v>1</v>
      </c>
      <c r="M3251" t="s">
        <v>213</v>
      </c>
      <c r="N3251" t="s">
        <v>214</v>
      </c>
      <c r="O3251" s="27" t="str">
        <f>HYPERLINK("https://www.ncbi.nlm.nih.gov/nuccore/NZ_FNST01000002.1?report=graph&amp;from=6451705&amp;to=6451709", "TTA_codon")</f>
        <v>TTA_codon</v>
      </c>
    </row>
    <row r="3252" spans="1:15" x14ac:dyDescent="0.15">
      <c r="A3252" t="s">
        <v>21</v>
      </c>
      <c r="B3252" t="s">
        <v>2639</v>
      </c>
    </row>
    <row r="3253" spans="1:15" x14ac:dyDescent="0.15">
      <c r="A3253" t="s">
        <v>21</v>
      </c>
      <c r="B3253">
        <v>1000664</v>
      </c>
      <c r="C3253">
        <v>350709</v>
      </c>
      <c r="F3253" s="7">
        <v>1</v>
      </c>
      <c r="G3253" s="7">
        <v>112</v>
      </c>
      <c r="H3253" s="8">
        <v>112</v>
      </c>
      <c r="J3253" t="s">
        <v>23</v>
      </c>
      <c r="K3253" s="7">
        <v>378</v>
      </c>
      <c r="L3253" s="9">
        <v>-1</v>
      </c>
      <c r="M3253" t="s">
        <v>2640</v>
      </c>
      <c r="N3253" t="s">
        <v>51</v>
      </c>
      <c r="O3253" s="27" t="str">
        <f>HYPERLINK("https://www.ncbi.nlm.nih.gov/nuccore/NZ_AEJB01000036.1?report=graph&amp;from=12428&amp;to=12432", "TTA_codon")</f>
        <v>TTA_codon</v>
      </c>
    </row>
    <row r="3254" spans="1:15" x14ac:dyDescent="0.15">
      <c r="A3254" t="s">
        <v>21</v>
      </c>
      <c r="B3254">
        <v>1000664</v>
      </c>
      <c r="C3254">
        <v>352381</v>
      </c>
      <c r="F3254" s="7">
        <v>1</v>
      </c>
      <c r="G3254" s="7">
        <v>127</v>
      </c>
      <c r="H3254" s="8">
        <v>109</v>
      </c>
      <c r="J3254" t="s">
        <v>23</v>
      </c>
      <c r="K3254" s="7">
        <v>357</v>
      </c>
      <c r="L3254" s="9">
        <v>-1</v>
      </c>
      <c r="M3254" t="s">
        <v>30</v>
      </c>
      <c r="N3254" t="s">
        <v>31</v>
      </c>
      <c r="O3254" s="27" t="str">
        <f>HYPERLINK("https://www.ncbi.nlm.nih.gov/nuccore/NZ_KB913030.1?report=graph&amp;from=3484854&amp;to=3484858", "TTA_codon")</f>
        <v>TTA_codon</v>
      </c>
    </row>
    <row r="3255" spans="1:15" x14ac:dyDescent="0.15">
      <c r="A3255" t="s">
        <v>21</v>
      </c>
      <c r="B3255">
        <v>1000664</v>
      </c>
      <c r="C3255">
        <v>354528</v>
      </c>
      <c r="F3255" s="7">
        <v>1</v>
      </c>
      <c r="G3255" s="7">
        <v>127</v>
      </c>
      <c r="H3255" s="8">
        <v>112</v>
      </c>
      <c r="J3255" t="s">
        <v>23</v>
      </c>
      <c r="K3255" s="7">
        <v>357</v>
      </c>
      <c r="L3255" s="9">
        <v>-1</v>
      </c>
      <c r="M3255" t="s">
        <v>2641</v>
      </c>
      <c r="N3255" t="s">
        <v>272</v>
      </c>
      <c r="O3255" s="27" t="str">
        <f>HYPERLINK("https://www.ncbi.nlm.nih.gov/nuccore/NZ_JOEY01000004.1?report=graph&amp;from=168225&amp;to=168229", "TTA_codon")</f>
        <v>TTA_codon</v>
      </c>
    </row>
    <row r="3256" spans="1:15" x14ac:dyDescent="0.15">
      <c r="A3256" t="s">
        <v>21</v>
      </c>
      <c r="B3256">
        <v>1000664</v>
      </c>
      <c r="C3256">
        <v>355588</v>
      </c>
      <c r="F3256" s="7">
        <v>1</v>
      </c>
      <c r="G3256" s="7">
        <v>112</v>
      </c>
      <c r="H3256" s="8">
        <v>106</v>
      </c>
      <c r="J3256" t="s">
        <v>23</v>
      </c>
      <c r="K3256" s="7">
        <v>369</v>
      </c>
      <c r="L3256" s="9">
        <v>-1</v>
      </c>
      <c r="M3256" t="s">
        <v>1265</v>
      </c>
      <c r="N3256" t="s">
        <v>278</v>
      </c>
      <c r="O3256" s="27" t="str">
        <f>HYPERLINK("https://www.ncbi.nlm.nih.gov/nuccore/NZ_JOID01000008.1?report=graph&amp;from=283917&amp;to=283921", "TTA_codon")</f>
        <v>TTA_codon</v>
      </c>
    </row>
    <row r="3257" spans="1:15" x14ac:dyDescent="0.15">
      <c r="A3257" t="s">
        <v>21</v>
      </c>
      <c r="B3257">
        <v>1000664</v>
      </c>
      <c r="C3257">
        <v>360014</v>
      </c>
      <c r="F3257" s="7">
        <v>1</v>
      </c>
      <c r="G3257" s="7">
        <v>112</v>
      </c>
      <c r="H3257" s="8">
        <v>112</v>
      </c>
      <c r="J3257" t="s">
        <v>23</v>
      </c>
      <c r="K3257" s="7">
        <v>387</v>
      </c>
      <c r="L3257" s="9">
        <v>-1</v>
      </c>
      <c r="M3257" t="s">
        <v>2642</v>
      </c>
      <c r="N3257" t="s">
        <v>125</v>
      </c>
      <c r="O3257" s="27" t="str">
        <f>HYPERLINK("https://www.ncbi.nlm.nih.gov/nuccore/NZ_KQ948460.1?report=graph&amp;from=179860&amp;to=179864", "TTA_codon")</f>
        <v>TTA_codon</v>
      </c>
    </row>
    <row r="3258" spans="1:15" x14ac:dyDescent="0.15">
      <c r="A3258" t="s">
        <v>21</v>
      </c>
      <c r="B3258">
        <v>1000664</v>
      </c>
      <c r="C3258">
        <v>360015</v>
      </c>
      <c r="F3258" s="7">
        <v>1</v>
      </c>
      <c r="G3258" s="7">
        <v>127</v>
      </c>
      <c r="H3258" s="8">
        <v>121</v>
      </c>
      <c r="J3258" t="s">
        <v>23</v>
      </c>
      <c r="K3258" s="7">
        <v>369</v>
      </c>
      <c r="L3258" s="9">
        <v>-1</v>
      </c>
      <c r="M3258" t="s">
        <v>1494</v>
      </c>
      <c r="N3258" t="s">
        <v>125</v>
      </c>
      <c r="O3258" s="27" t="str">
        <f>HYPERLINK("https://www.ncbi.nlm.nih.gov/nuccore/NZ_KQ948464.1?report=graph&amp;from=287065&amp;to=287069", "TTA_codon")</f>
        <v>TTA_codon</v>
      </c>
    </row>
    <row r="3259" spans="1:15" x14ac:dyDescent="0.15">
      <c r="A3259" t="s">
        <v>21</v>
      </c>
      <c r="B3259">
        <v>1000664</v>
      </c>
      <c r="C3259">
        <v>364649</v>
      </c>
      <c r="F3259" s="7">
        <v>1</v>
      </c>
      <c r="G3259" s="7">
        <v>127</v>
      </c>
      <c r="H3259" s="8">
        <v>121</v>
      </c>
      <c r="J3259" t="s">
        <v>23</v>
      </c>
      <c r="K3259" s="7">
        <v>408</v>
      </c>
      <c r="L3259" s="9">
        <v>-1</v>
      </c>
      <c r="M3259" t="s">
        <v>2038</v>
      </c>
      <c r="N3259" t="s">
        <v>110</v>
      </c>
      <c r="O3259" s="27" t="str">
        <f>HYPERLINK("https://www.ncbi.nlm.nih.gov/nuccore/NZ_MUME01000157.1?report=graph&amp;from=15454&amp;to=15458", "TTA_codon")</f>
        <v>TTA_codon</v>
      </c>
    </row>
    <row r="3260" spans="1:15" x14ac:dyDescent="0.15">
      <c r="A3260" t="s">
        <v>21</v>
      </c>
      <c r="B3260" t="s">
        <v>2643</v>
      </c>
    </row>
    <row r="3261" spans="1:15" x14ac:dyDescent="0.15">
      <c r="A3261" t="s">
        <v>21</v>
      </c>
      <c r="B3261">
        <v>1000668</v>
      </c>
      <c r="C3261">
        <v>350734</v>
      </c>
      <c r="F3261" s="7">
        <v>1</v>
      </c>
      <c r="G3261" s="7">
        <v>496</v>
      </c>
      <c r="H3261" s="8">
        <v>484</v>
      </c>
      <c r="J3261" t="s">
        <v>23</v>
      </c>
      <c r="K3261" s="7">
        <v>2121</v>
      </c>
      <c r="L3261" s="9">
        <v>-1</v>
      </c>
      <c r="M3261" t="s">
        <v>2644</v>
      </c>
      <c r="N3261" t="s">
        <v>51</v>
      </c>
      <c r="O3261" s="27" t="str">
        <f>HYPERLINK("https://www.ncbi.nlm.nih.gov/nuccore/NZ_AEJB01000529.1?report=graph&amp;from=13432&amp;to=13436", "TTA_codon")</f>
        <v>TTA_codon</v>
      </c>
    </row>
    <row r="3262" spans="1:15" x14ac:dyDescent="0.15">
      <c r="A3262" t="s">
        <v>21</v>
      </c>
      <c r="B3262">
        <v>1000668</v>
      </c>
      <c r="C3262">
        <v>354166</v>
      </c>
      <c r="F3262" s="7">
        <v>1</v>
      </c>
      <c r="G3262" s="7">
        <v>988</v>
      </c>
      <c r="H3262" s="8">
        <v>946</v>
      </c>
      <c r="J3262" t="s">
        <v>23</v>
      </c>
      <c r="K3262" s="7">
        <v>2271</v>
      </c>
      <c r="L3262" s="9">
        <v>-1</v>
      </c>
      <c r="M3262" t="s">
        <v>2645</v>
      </c>
      <c r="N3262" t="s">
        <v>361</v>
      </c>
      <c r="O3262" s="27" t="str">
        <f>HYPERLINK("https://www.ncbi.nlm.nih.gov/nuccore/NZ_JODY01000010.1?report=graph&amp;from=54788&amp;to=54792", "TTA_codon")</f>
        <v>TTA_codon</v>
      </c>
    </row>
    <row r="3263" spans="1:15" x14ac:dyDescent="0.15">
      <c r="A3263" t="s">
        <v>21</v>
      </c>
      <c r="B3263">
        <v>1000668</v>
      </c>
      <c r="C3263">
        <v>359442</v>
      </c>
      <c r="F3263" s="7">
        <v>1</v>
      </c>
      <c r="G3263" s="7">
        <v>496</v>
      </c>
      <c r="H3263" s="8">
        <v>475</v>
      </c>
      <c r="J3263" t="s">
        <v>23</v>
      </c>
      <c r="K3263" s="7">
        <v>2148</v>
      </c>
      <c r="L3263" s="9">
        <v>-1</v>
      </c>
      <c r="M3263" t="s">
        <v>151</v>
      </c>
      <c r="N3263" t="s">
        <v>152</v>
      </c>
      <c r="O3263" s="27" t="str">
        <f>HYPERLINK("https://www.ncbi.nlm.nih.gov/nuccore/NZ_CP013129.1?report=graph&amp;from=1921604&amp;to=1921608", "TTA_codon")</f>
        <v>TTA_codon</v>
      </c>
    </row>
    <row r="3264" spans="1:15" x14ac:dyDescent="0.15">
      <c r="A3264" t="s">
        <v>21</v>
      </c>
      <c r="B3264">
        <v>1000668</v>
      </c>
      <c r="C3264">
        <v>362815</v>
      </c>
      <c r="F3264" s="7">
        <v>2</v>
      </c>
      <c r="G3264" s="7" t="s">
        <v>2646</v>
      </c>
      <c r="H3264" s="8" t="s">
        <v>2647</v>
      </c>
      <c r="J3264" t="s">
        <v>23</v>
      </c>
      <c r="K3264" s="7">
        <v>2130</v>
      </c>
      <c r="L3264" s="9">
        <v>-1</v>
      </c>
      <c r="M3264" t="s">
        <v>2486</v>
      </c>
      <c r="N3264" t="s">
        <v>156</v>
      </c>
      <c r="O3264" s="27" t="str">
        <f>HYPERLINK("https://www.ncbi.nlm.nih.gov/nuccore/NZ_LJGW01000019.1?report=graph&amp;from=8677&amp;to=9254", "TTA_codon")</f>
        <v>TTA_codon</v>
      </c>
    </row>
    <row r="3265" spans="1:15" x14ac:dyDescent="0.15">
      <c r="A3265" t="s">
        <v>21</v>
      </c>
      <c r="B3265" t="s">
        <v>2648</v>
      </c>
    </row>
    <row r="3266" spans="1:15" x14ac:dyDescent="0.15">
      <c r="A3266" t="s">
        <v>21</v>
      </c>
      <c r="B3266">
        <v>1001324</v>
      </c>
      <c r="C3266">
        <v>359871</v>
      </c>
      <c r="F3266" s="7">
        <v>1</v>
      </c>
      <c r="G3266" s="7">
        <v>988</v>
      </c>
      <c r="H3266" s="8">
        <v>985</v>
      </c>
      <c r="J3266" t="s">
        <v>23</v>
      </c>
      <c r="K3266" s="7">
        <v>1359</v>
      </c>
      <c r="L3266" s="9">
        <v>1</v>
      </c>
      <c r="M3266" t="s">
        <v>2649</v>
      </c>
      <c r="N3266" t="s">
        <v>91</v>
      </c>
      <c r="O3266" s="27" t="str">
        <f>HYPERLINK("https://www.ncbi.nlm.nih.gov/nuccore/NZ_KQ948312.1?report=graph&amp;from=306782&amp;to=306786", "TTA_codon")</f>
        <v>TTA_codon</v>
      </c>
    </row>
    <row r="3267" spans="1:15" x14ac:dyDescent="0.15">
      <c r="A3267" t="s">
        <v>21</v>
      </c>
      <c r="B3267">
        <v>1001324</v>
      </c>
      <c r="C3267">
        <v>364700</v>
      </c>
      <c r="F3267" s="7">
        <v>1</v>
      </c>
      <c r="G3267" s="7">
        <v>988</v>
      </c>
      <c r="H3267" s="8">
        <v>988</v>
      </c>
      <c r="J3267" t="s">
        <v>23</v>
      </c>
      <c r="K3267" s="7">
        <v>1359</v>
      </c>
      <c r="L3267" s="9">
        <v>1</v>
      </c>
      <c r="M3267" t="s">
        <v>2186</v>
      </c>
      <c r="N3267" t="s">
        <v>110</v>
      </c>
      <c r="O3267" s="27" t="str">
        <f>HYPERLINK("https://www.ncbi.nlm.nih.gov/nuccore/NZ_MUME01000202.1?report=graph&amp;from=30346&amp;to=30350", "TTA_codon")</f>
        <v>TTA_codon</v>
      </c>
    </row>
    <row r="3268" spans="1:15" x14ac:dyDescent="0.15">
      <c r="A3268" t="s">
        <v>21</v>
      </c>
      <c r="B3268" t="s">
        <v>2650</v>
      </c>
    </row>
    <row r="3269" spans="1:15" x14ac:dyDescent="0.15">
      <c r="A3269" t="s">
        <v>21</v>
      </c>
      <c r="B3269">
        <v>1000253</v>
      </c>
      <c r="C3269">
        <v>347668</v>
      </c>
      <c r="F3269" s="7">
        <v>1</v>
      </c>
      <c r="G3269" s="7">
        <v>85</v>
      </c>
      <c r="H3269" s="8">
        <v>49</v>
      </c>
      <c r="J3269" t="s">
        <v>23</v>
      </c>
      <c r="K3269" s="7">
        <v>450</v>
      </c>
      <c r="L3269" s="9">
        <v>-1</v>
      </c>
      <c r="M3269" t="s">
        <v>55</v>
      </c>
      <c r="N3269" t="s">
        <v>56</v>
      </c>
      <c r="O3269" s="27" t="str">
        <f>HYPERLINK("https://www.ncbi.nlm.nih.gov/nuccore/NC_010572.1?report=graph&amp;from=5217134&amp;to=5217138", "TTA_codon")</f>
        <v>TTA_codon</v>
      </c>
    </row>
    <row r="3270" spans="1:15" x14ac:dyDescent="0.15">
      <c r="A3270" t="s">
        <v>21</v>
      </c>
      <c r="B3270">
        <v>1000253</v>
      </c>
      <c r="C3270">
        <v>353299</v>
      </c>
      <c r="F3270" s="7">
        <v>1</v>
      </c>
      <c r="G3270" s="7">
        <v>85</v>
      </c>
      <c r="H3270" s="8">
        <v>40</v>
      </c>
      <c r="J3270" t="s">
        <v>23</v>
      </c>
      <c r="K3270" s="7">
        <v>588</v>
      </c>
      <c r="L3270" s="9">
        <v>-1</v>
      </c>
      <c r="M3270" t="s">
        <v>2651</v>
      </c>
      <c r="N3270" t="s">
        <v>169</v>
      </c>
      <c r="O3270" s="27" t="str">
        <f>HYPERLINK("https://www.ncbi.nlm.nih.gov/nuccore/NZ_JNWJ01000025.1?report=graph&amp;from=140095&amp;to=140099", "TTA_codon")</f>
        <v>TTA_codon</v>
      </c>
    </row>
    <row r="3271" spans="1:15" x14ac:dyDescent="0.15">
      <c r="A3271" t="s">
        <v>21</v>
      </c>
      <c r="B3271">
        <v>1000253</v>
      </c>
      <c r="C3271">
        <v>357575</v>
      </c>
      <c r="F3271" s="7">
        <v>2</v>
      </c>
      <c r="G3271" s="7" t="s">
        <v>738</v>
      </c>
      <c r="H3271" s="8" t="s">
        <v>738</v>
      </c>
      <c r="J3271" t="s">
        <v>23</v>
      </c>
      <c r="K3271" s="7">
        <v>426</v>
      </c>
      <c r="L3271" s="9">
        <v>-1</v>
      </c>
      <c r="M3271" t="s">
        <v>814</v>
      </c>
      <c r="N3271" t="s">
        <v>378</v>
      </c>
      <c r="O3271" s="27" t="str">
        <f>HYPERLINK("https://www.ncbi.nlm.nih.gov/nuccore/NZ_LFXA01000002.1?report=graph&amp;from=1277188&amp;to=1277201", "TTA_codon")</f>
        <v>TTA_codon</v>
      </c>
    </row>
    <row r="3272" spans="1:15" x14ac:dyDescent="0.15">
      <c r="A3272" t="s">
        <v>21</v>
      </c>
      <c r="B3272">
        <v>1000253</v>
      </c>
      <c r="C3272">
        <v>365059</v>
      </c>
      <c r="F3272" s="7">
        <v>1</v>
      </c>
      <c r="G3272" s="7">
        <v>85</v>
      </c>
      <c r="H3272" s="8">
        <v>82</v>
      </c>
      <c r="J3272" t="s">
        <v>23</v>
      </c>
      <c r="K3272" s="7">
        <v>420</v>
      </c>
      <c r="L3272" s="9">
        <v>-1</v>
      </c>
      <c r="M3272" t="s">
        <v>111</v>
      </c>
      <c r="N3272" t="s">
        <v>112</v>
      </c>
      <c r="O3272" s="27" t="str">
        <f>HYPERLINK("https://www.ncbi.nlm.nih.gov/nuccore/NZ_CP021744.1?report=graph&amp;from=7336714&amp;to=7336718", "TTA_codon")</f>
        <v>TTA_codon</v>
      </c>
    </row>
    <row r="3273" spans="1:15" x14ac:dyDescent="0.15">
      <c r="A3273" t="s">
        <v>21</v>
      </c>
      <c r="B3273" t="s">
        <v>2652</v>
      </c>
    </row>
    <row r="3274" spans="1:15" x14ac:dyDescent="0.15">
      <c r="A3274" t="s">
        <v>21</v>
      </c>
      <c r="B3274">
        <v>1000555</v>
      </c>
      <c r="C3274">
        <v>349804</v>
      </c>
      <c r="F3274" s="7">
        <v>1</v>
      </c>
      <c r="G3274" s="7">
        <v>739</v>
      </c>
      <c r="H3274" s="8">
        <v>544</v>
      </c>
      <c r="J3274" t="s">
        <v>23</v>
      </c>
      <c r="K3274" s="7">
        <v>885</v>
      </c>
      <c r="L3274" s="9">
        <v>1</v>
      </c>
      <c r="M3274" t="s">
        <v>420</v>
      </c>
      <c r="N3274" t="s">
        <v>266</v>
      </c>
      <c r="O3274" s="27" t="str">
        <f>HYPERLINK("https://www.ncbi.nlm.nih.gov/nuccore/NC_017585.1?report=graph&amp;from=123509&amp;to=123513", "TTA_codon")</f>
        <v>TTA_codon</v>
      </c>
    </row>
    <row r="3275" spans="1:15" x14ac:dyDescent="0.15">
      <c r="A3275" t="s">
        <v>21</v>
      </c>
      <c r="B3275">
        <v>1000555</v>
      </c>
      <c r="C3275">
        <v>355195</v>
      </c>
      <c r="F3275" s="7">
        <v>2</v>
      </c>
      <c r="G3275" s="7" t="s">
        <v>2653</v>
      </c>
      <c r="H3275" s="8" t="s">
        <v>2653</v>
      </c>
      <c r="J3275" t="s">
        <v>23</v>
      </c>
      <c r="K3275" s="7">
        <v>1107</v>
      </c>
      <c r="L3275" s="9">
        <v>1</v>
      </c>
      <c r="M3275" t="s">
        <v>2654</v>
      </c>
      <c r="N3275" t="s">
        <v>433</v>
      </c>
      <c r="O3275" s="27" t="str">
        <f>HYPERLINK("https://www.ncbi.nlm.nih.gov/nuccore/NZ_JOBF01000001.1?report=graph&amp;from=193655&amp;to=194040", "TTA_codon")</f>
        <v>TTA_codon</v>
      </c>
    </row>
    <row r="3276" spans="1:15" x14ac:dyDescent="0.15">
      <c r="A3276" t="s">
        <v>195</v>
      </c>
      <c r="B3276" t="s">
        <v>2655</v>
      </c>
    </row>
    <row r="3277" spans="1:15" x14ac:dyDescent="0.15">
      <c r="A3277" t="s">
        <v>195</v>
      </c>
      <c r="B3277">
        <v>1000049</v>
      </c>
      <c r="C3277">
        <v>346237</v>
      </c>
      <c r="F3277" s="7">
        <v>1</v>
      </c>
      <c r="G3277" s="7">
        <v>1483</v>
      </c>
      <c r="H3277" s="8">
        <v>457</v>
      </c>
      <c r="J3277" t="s">
        <v>23</v>
      </c>
      <c r="K3277" s="7">
        <v>2445</v>
      </c>
      <c r="L3277" s="9">
        <v>-1</v>
      </c>
      <c r="M3277" t="s">
        <v>1866</v>
      </c>
      <c r="N3277" t="s">
        <v>68</v>
      </c>
      <c r="O3277" s="27" t="str">
        <f>HYPERLINK("https://www.ncbi.nlm.nih.gov/nuccore/NZ_BARG01000018.1?report=graph&amp;from=252780&amp;to=252784", "TTA_codon")</f>
        <v>TTA_codon</v>
      </c>
    </row>
    <row r="3278" spans="1:15" x14ac:dyDescent="0.15">
      <c r="A3278" t="s">
        <v>21</v>
      </c>
      <c r="B3278">
        <v>1000049</v>
      </c>
      <c r="C3278">
        <v>356362</v>
      </c>
      <c r="F3278" s="7">
        <v>1</v>
      </c>
      <c r="G3278" s="7">
        <v>1606</v>
      </c>
      <c r="H3278" s="8">
        <v>1516</v>
      </c>
      <c r="J3278" t="s">
        <v>23</v>
      </c>
      <c r="K3278" s="7">
        <v>3945</v>
      </c>
      <c r="L3278" s="9">
        <v>-1</v>
      </c>
      <c r="M3278" t="s">
        <v>1435</v>
      </c>
      <c r="N3278" t="s">
        <v>354</v>
      </c>
      <c r="O3278" s="27" t="str">
        <f>HYPERLINK("https://www.ncbi.nlm.nih.gov/nuccore/NZ_JQJU01000005.1?report=graph&amp;from=202010&amp;to=202014", "TTA_codon")</f>
        <v>TTA_codon</v>
      </c>
    </row>
    <row r="3279" spans="1:15" x14ac:dyDescent="0.15">
      <c r="A3279" t="s">
        <v>21</v>
      </c>
      <c r="B3279">
        <v>1000049</v>
      </c>
      <c r="C3279">
        <v>366381</v>
      </c>
      <c r="F3279" s="7">
        <v>1</v>
      </c>
      <c r="G3279" s="7">
        <v>1393</v>
      </c>
      <c r="H3279" s="8">
        <v>1315</v>
      </c>
      <c r="J3279" t="s">
        <v>23</v>
      </c>
      <c r="K3279" s="7">
        <v>3909</v>
      </c>
      <c r="L3279" s="9">
        <v>-1</v>
      </c>
      <c r="M3279" t="s">
        <v>2656</v>
      </c>
      <c r="N3279" t="s">
        <v>375</v>
      </c>
      <c r="O3279" s="27" t="str">
        <f>HYPERLINK("https://www.ncbi.nlm.nih.gov/nuccore/NZ_FONG01000001.1?report=graph&amp;from=281332&amp;to=281336", "TTA_codon")</f>
        <v>TTA_codon</v>
      </c>
    </row>
    <row r="3280" spans="1:15" x14ac:dyDescent="0.15">
      <c r="A3280" t="s">
        <v>195</v>
      </c>
      <c r="B3280" t="s">
        <v>2657</v>
      </c>
    </row>
    <row r="3281" spans="1:15" x14ac:dyDescent="0.15">
      <c r="A3281" t="s">
        <v>195</v>
      </c>
      <c r="B3281">
        <v>1000628</v>
      </c>
      <c r="C3281">
        <v>346115</v>
      </c>
      <c r="F3281" s="7">
        <v>2</v>
      </c>
      <c r="G3281" s="7" t="s">
        <v>2658</v>
      </c>
      <c r="H3281" s="8" t="s">
        <v>2659</v>
      </c>
      <c r="J3281" t="s">
        <v>23</v>
      </c>
      <c r="K3281" s="7">
        <v>852</v>
      </c>
      <c r="L3281" s="9">
        <v>-1</v>
      </c>
      <c r="M3281" t="s">
        <v>479</v>
      </c>
      <c r="N3281" t="s">
        <v>64</v>
      </c>
      <c r="O3281" s="27" t="str">
        <f>HYPERLINK("https://www.ncbi.nlm.nih.gov/nuccore/NZ_AEYX01000001.1?report=graph&amp;from=162561&amp;to=162877", "TTA_codon")</f>
        <v>TTA_codon</v>
      </c>
    </row>
    <row r="3282" spans="1:15" x14ac:dyDescent="0.15">
      <c r="A3282" t="s">
        <v>21</v>
      </c>
      <c r="B3282">
        <v>1000628</v>
      </c>
      <c r="C3282">
        <v>350437</v>
      </c>
      <c r="F3282" s="7">
        <v>1</v>
      </c>
      <c r="G3282" s="7">
        <v>64</v>
      </c>
      <c r="H3282" s="8">
        <v>64</v>
      </c>
      <c r="J3282" t="s">
        <v>23</v>
      </c>
      <c r="K3282" s="7">
        <v>837</v>
      </c>
      <c r="L3282" s="9">
        <v>-1</v>
      </c>
      <c r="M3282" t="s">
        <v>35</v>
      </c>
      <c r="N3282" t="s">
        <v>36</v>
      </c>
      <c r="O3282" s="27" t="str">
        <f>HYPERLINK("https://www.ncbi.nlm.nih.gov/nuccore/NZ_JH725387.1?report=graph&amp;from=2396914&amp;to=2396918", "TTA_codon")</f>
        <v>TTA_codon</v>
      </c>
    </row>
    <row r="3283" spans="1:15" x14ac:dyDescent="0.15">
      <c r="A3283" t="s">
        <v>21</v>
      </c>
      <c r="B3283">
        <v>1000628</v>
      </c>
      <c r="C3283">
        <v>356145</v>
      </c>
      <c r="F3283" s="7">
        <v>1</v>
      </c>
      <c r="G3283" s="7">
        <v>64</v>
      </c>
      <c r="H3283" s="8">
        <v>64</v>
      </c>
      <c r="J3283" t="s">
        <v>23</v>
      </c>
      <c r="K3283" s="7">
        <v>816</v>
      </c>
      <c r="L3283" s="9">
        <v>-1</v>
      </c>
      <c r="M3283" t="s">
        <v>2660</v>
      </c>
      <c r="N3283" t="s">
        <v>146</v>
      </c>
      <c r="O3283" s="27" t="str">
        <f>HYPERLINK("https://www.ncbi.nlm.nih.gov/nuccore/NZ_JOFH01000010.1?report=graph&amp;from=31430&amp;to=31434", "TTA_codon")</f>
        <v>TTA_codon</v>
      </c>
    </row>
    <row r="3284" spans="1:15" x14ac:dyDescent="0.15">
      <c r="A3284" t="s">
        <v>21</v>
      </c>
      <c r="B3284">
        <v>1000628</v>
      </c>
      <c r="C3284">
        <v>357852</v>
      </c>
      <c r="F3284" s="7">
        <v>1</v>
      </c>
      <c r="G3284" s="7">
        <v>64</v>
      </c>
      <c r="H3284" s="8">
        <v>64</v>
      </c>
      <c r="J3284" t="s">
        <v>23</v>
      </c>
      <c r="K3284" s="7">
        <v>825</v>
      </c>
      <c r="L3284" s="9">
        <v>-1</v>
      </c>
      <c r="M3284" t="s">
        <v>2661</v>
      </c>
      <c r="N3284" t="s">
        <v>83</v>
      </c>
      <c r="O3284" s="27" t="str">
        <f>HYPERLINK("https://www.ncbi.nlm.nih.gov/nuccore/NZ_DF968533.1?report=graph&amp;from=26244&amp;to=26248", "TTA_codon")</f>
        <v>TTA_codon</v>
      </c>
    </row>
    <row r="3285" spans="1:15" x14ac:dyDescent="0.15">
      <c r="A3285" t="s">
        <v>21</v>
      </c>
      <c r="B3285">
        <v>1000628</v>
      </c>
      <c r="C3285">
        <v>362097</v>
      </c>
      <c r="F3285" s="7">
        <v>2</v>
      </c>
      <c r="G3285" s="7" t="s">
        <v>1300</v>
      </c>
      <c r="H3285" s="8" t="s">
        <v>1300</v>
      </c>
      <c r="J3285" t="s">
        <v>23</v>
      </c>
      <c r="K3285" s="7">
        <v>846</v>
      </c>
      <c r="L3285" s="9">
        <v>-1</v>
      </c>
      <c r="M3285" t="s">
        <v>2662</v>
      </c>
      <c r="N3285" t="s">
        <v>187</v>
      </c>
      <c r="O3285" s="27" t="str">
        <f>HYPERLINK("https://www.ncbi.nlm.nih.gov/nuccore/NZ_MAXF01000154.1?report=graph&amp;from=8505&amp;to=8518", "TTA_codon")</f>
        <v>TTA_codon</v>
      </c>
    </row>
    <row r="3286" spans="1:15" x14ac:dyDescent="0.15">
      <c r="A3286" t="s">
        <v>21</v>
      </c>
      <c r="B3286" t="s">
        <v>2663</v>
      </c>
    </row>
    <row r="3287" spans="1:15" x14ac:dyDescent="0.15">
      <c r="A3287" t="s">
        <v>21</v>
      </c>
      <c r="B3287">
        <v>1001536</v>
      </c>
      <c r="C3287">
        <v>366901</v>
      </c>
      <c r="F3287" s="7">
        <v>1</v>
      </c>
      <c r="G3287" s="7">
        <v>244</v>
      </c>
      <c r="H3287" s="8">
        <v>244</v>
      </c>
      <c r="J3287" t="s">
        <v>23</v>
      </c>
      <c r="K3287" s="7">
        <v>468</v>
      </c>
      <c r="L3287" s="9">
        <v>1</v>
      </c>
      <c r="M3287" t="s">
        <v>2312</v>
      </c>
      <c r="N3287" t="s">
        <v>2313</v>
      </c>
      <c r="O3287" s="27" t="str">
        <f>HYPERLINK("https://www.ncbi.nlm.nih.gov/nuccore/KY092482.1?report=graph&amp;from=19826&amp;to=19830", "TTA_codon")</f>
        <v>TTA_codon</v>
      </c>
    </row>
    <row r="3288" spans="1:15" x14ac:dyDescent="0.15">
      <c r="A3288" t="s">
        <v>21</v>
      </c>
      <c r="B3288">
        <v>1001536</v>
      </c>
      <c r="C3288">
        <v>367284</v>
      </c>
      <c r="F3288" s="7">
        <v>1</v>
      </c>
      <c r="G3288" s="7">
        <v>244</v>
      </c>
      <c r="H3288" s="8">
        <v>244</v>
      </c>
      <c r="J3288" t="s">
        <v>23</v>
      </c>
      <c r="K3288" s="7">
        <v>468</v>
      </c>
      <c r="L3288" s="9">
        <v>1</v>
      </c>
      <c r="M3288" t="s">
        <v>2314</v>
      </c>
      <c r="N3288" t="s">
        <v>2315</v>
      </c>
      <c r="O3288" s="27" t="str">
        <f>HYPERLINK("https://www.ncbi.nlm.nih.gov/nuccore/NC_047794.1?report=graph&amp;from=19817&amp;to=19821", "TTA_codon")</f>
        <v>TTA_codon</v>
      </c>
    </row>
    <row r="3289" spans="1:15" x14ac:dyDescent="0.15">
      <c r="A3289" t="s">
        <v>21</v>
      </c>
      <c r="B3289" t="s">
        <v>2664</v>
      </c>
    </row>
    <row r="3290" spans="1:15" x14ac:dyDescent="0.15">
      <c r="A3290" t="s">
        <v>21</v>
      </c>
      <c r="B3290">
        <v>1001380</v>
      </c>
      <c r="C3290">
        <v>361645</v>
      </c>
      <c r="F3290" s="7">
        <v>1</v>
      </c>
      <c r="G3290" s="7">
        <v>283</v>
      </c>
      <c r="H3290" s="8">
        <v>283</v>
      </c>
      <c r="J3290" t="s">
        <v>23</v>
      </c>
      <c r="K3290" s="7">
        <v>1278</v>
      </c>
      <c r="L3290" s="9">
        <v>1</v>
      </c>
      <c r="M3290" t="s">
        <v>37</v>
      </c>
      <c r="N3290" t="s">
        <v>38</v>
      </c>
      <c r="O3290" s="27" t="str">
        <f>HYPERLINK("https://www.ncbi.nlm.nih.gov/nuccore/NZ_CP011533.1?report=graph&amp;from=9429296&amp;to=9429300", "TTA_codon")</f>
        <v>TTA_codon</v>
      </c>
    </row>
    <row r="3291" spans="1:15" x14ac:dyDescent="0.15">
      <c r="A3291" t="s">
        <v>21</v>
      </c>
      <c r="B3291">
        <v>1001380</v>
      </c>
      <c r="C3291">
        <v>361646</v>
      </c>
      <c r="F3291" s="7">
        <v>1</v>
      </c>
      <c r="G3291" s="7">
        <v>283</v>
      </c>
      <c r="H3291" s="8">
        <v>283</v>
      </c>
      <c r="J3291" t="s">
        <v>23</v>
      </c>
      <c r="K3291" s="7">
        <v>1272</v>
      </c>
      <c r="L3291" s="9">
        <v>1</v>
      </c>
      <c r="M3291" t="s">
        <v>37</v>
      </c>
      <c r="N3291" t="s">
        <v>38</v>
      </c>
      <c r="O3291" s="27" t="str">
        <f>HYPERLINK("https://www.ncbi.nlm.nih.gov/nuccore/NZ_CP011533.1?report=graph&amp;from=9606038&amp;to=9606042", "TTA_codon")</f>
        <v>TTA_codon</v>
      </c>
    </row>
    <row r="3292" spans="1:15" x14ac:dyDescent="0.15">
      <c r="A3292" t="s">
        <v>195</v>
      </c>
      <c r="B3292" t="s">
        <v>2665</v>
      </c>
    </row>
    <row r="3293" spans="1:15" x14ac:dyDescent="0.15">
      <c r="A3293" t="s">
        <v>195</v>
      </c>
      <c r="B3293">
        <v>1000057</v>
      </c>
      <c r="C3293">
        <v>346281</v>
      </c>
      <c r="F3293" s="7">
        <v>1</v>
      </c>
      <c r="G3293" s="7">
        <v>163</v>
      </c>
      <c r="H3293" s="8">
        <v>58</v>
      </c>
      <c r="J3293" t="s">
        <v>23</v>
      </c>
      <c r="K3293" s="7">
        <v>1017</v>
      </c>
      <c r="L3293" s="9">
        <v>-1</v>
      </c>
      <c r="M3293" t="s">
        <v>1728</v>
      </c>
      <c r="N3293" t="s">
        <v>436</v>
      </c>
      <c r="O3293" s="27" t="str">
        <f>HYPERLINK("https://www.ncbi.nlm.nih.gov/nuccore/NZ_AUBE01000004.1?report=graph&amp;from=229868&amp;to=229872", "TTA_codon")</f>
        <v>TTA_codon</v>
      </c>
    </row>
    <row r="3294" spans="1:15" x14ac:dyDescent="0.15">
      <c r="A3294" t="s">
        <v>195</v>
      </c>
      <c r="B3294">
        <v>1000057</v>
      </c>
      <c r="C3294">
        <v>346997</v>
      </c>
      <c r="F3294" s="7">
        <v>1</v>
      </c>
      <c r="G3294" s="7">
        <v>163</v>
      </c>
      <c r="H3294" s="8">
        <v>58</v>
      </c>
      <c r="J3294" t="s">
        <v>23</v>
      </c>
      <c r="K3294" s="7">
        <v>1032</v>
      </c>
      <c r="L3294" s="9">
        <v>-1</v>
      </c>
      <c r="M3294" t="s">
        <v>254</v>
      </c>
      <c r="N3294" t="s">
        <v>255</v>
      </c>
      <c r="O3294" s="27" t="str">
        <f>HYPERLINK("https://www.ncbi.nlm.nih.gov/nuccore/NZ_CP018047.1?report=graph&amp;from=2478207&amp;to=2478211", "TTA_codon")</f>
        <v>TTA_codon</v>
      </c>
    </row>
    <row r="3295" spans="1:15" x14ac:dyDescent="0.15">
      <c r="A3295" t="s">
        <v>195</v>
      </c>
      <c r="B3295">
        <v>1000057</v>
      </c>
      <c r="C3295">
        <v>347142</v>
      </c>
      <c r="F3295" s="7">
        <v>1</v>
      </c>
      <c r="G3295" s="7">
        <v>304</v>
      </c>
      <c r="H3295" s="8">
        <v>232</v>
      </c>
      <c r="J3295" t="s">
        <v>23</v>
      </c>
      <c r="K3295" s="7">
        <v>1167</v>
      </c>
      <c r="L3295" s="9">
        <v>-1</v>
      </c>
      <c r="M3295" t="s">
        <v>213</v>
      </c>
      <c r="N3295" t="s">
        <v>214</v>
      </c>
      <c r="O3295" s="27" t="str">
        <f>HYPERLINK("https://www.ncbi.nlm.nih.gov/nuccore/NZ_FNST01000002.1?report=graph&amp;from=7020759&amp;to=7020763", "TTA_codon")</f>
        <v>TTA_codon</v>
      </c>
    </row>
    <row r="3296" spans="1:15" x14ac:dyDescent="0.15">
      <c r="A3296" t="s">
        <v>21</v>
      </c>
      <c r="B3296">
        <v>1000057</v>
      </c>
      <c r="C3296">
        <v>352868</v>
      </c>
      <c r="F3296" s="7">
        <v>1</v>
      </c>
      <c r="G3296" s="7">
        <v>163</v>
      </c>
      <c r="H3296" s="8">
        <v>58</v>
      </c>
      <c r="J3296" t="s">
        <v>23</v>
      </c>
      <c r="K3296" s="7">
        <v>1044</v>
      </c>
      <c r="L3296" s="9">
        <v>-1</v>
      </c>
      <c r="M3296" t="s">
        <v>2666</v>
      </c>
      <c r="N3296" t="s">
        <v>306</v>
      </c>
      <c r="O3296" s="27" t="str">
        <f>HYPERLINK("https://www.ncbi.nlm.nih.gov/nuccore/NZ_JNYL01000060.1?report=graph&amp;from=17492&amp;to=17496", "TTA_codon")</f>
        <v>TTA_codon</v>
      </c>
    </row>
    <row r="3297" spans="1:15" x14ac:dyDescent="0.15">
      <c r="A3297" t="s">
        <v>21</v>
      </c>
      <c r="B3297">
        <v>1000057</v>
      </c>
      <c r="C3297">
        <v>353726</v>
      </c>
      <c r="F3297" s="7">
        <v>1</v>
      </c>
      <c r="G3297" s="7">
        <v>163</v>
      </c>
      <c r="H3297" s="8">
        <v>58</v>
      </c>
      <c r="J3297" t="s">
        <v>23</v>
      </c>
      <c r="K3297" s="7">
        <v>1044</v>
      </c>
      <c r="L3297" s="9">
        <v>-1</v>
      </c>
      <c r="M3297" t="s">
        <v>2667</v>
      </c>
      <c r="N3297" t="s">
        <v>246</v>
      </c>
      <c r="O3297" s="27" t="str">
        <f>HYPERLINK("https://www.ncbi.nlm.nih.gov/nuccore/NZ_JNYR01000034.1?report=graph&amp;from=48796&amp;to=48800", "TTA_codon")</f>
        <v>TTA_codon</v>
      </c>
    </row>
    <row r="3298" spans="1:15" x14ac:dyDescent="0.15">
      <c r="A3298" t="s">
        <v>21</v>
      </c>
      <c r="B3298">
        <v>1000057</v>
      </c>
      <c r="C3298">
        <v>356499</v>
      </c>
      <c r="F3298" s="7">
        <v>1</v>
      </c>
      <c r="G3298" s="7">
        <v>529</v>
      </c>
      <c r="H3298" s="8">
        <v>373</v>
      </c>
      <c r="J3298" t="s">
        <v>23</v>
      </c>
      <c r="K3298" s="7">
        <v>1116</v>
      </c>
      <c r="L3298" s="9">
        <v>-1</v>
      </c>
      <c r="M3298" t="s">
        <v>508</v>
      </c>
      <c r="N3298" t="s">
        <v>509</v>
      </c>
      <c r="O3298" s="27" t="str">
        <f>HYPERLINK("https://www.ncbi.nlm.nih.gov/nuccore/NZ_CP009438.1?report=graph&amp;from=755892&amp;to=755896", "TTA_codon")</f>
        <v>TTA_codon</v>
      </c>
    </row>
    <row r="3299" spans="1:15" x14ac:dyDescent="0.15">
      <c r="A3299" t="s">
        <v>21</v>
      </c>
      <c r="B3299">
        <v>1000057</v>
      </c>
      <c r="C3299">
        <v>358076</v>
      </c>
      <c r="F3299" s="7">
        <v>2</v>
      </c>
      <c r="G3299" s="7" t="s">
        <v>2668</v>
      </c>
      <c r="H3299" s="8" t="s">
        <v>2669</v>
      </c>
      <c r="J3299" t="s">
        <v>23</v>
      </c>
      <c r="K3299" s="7">
        <v>1137</v>
      </c>
      <c r="L3299" s="9">
        <v>-1</v>
      </c>
      <c r="M3299" t="s">
        <v>2670</v>
      </c>
      <c r="N3299" t="s">
        <v>119</v>
      </c>
      <c r="O3299" s="27" t="str">
        <f>HYPERLINK("https://www.ncbi.nlm.nih.gov/nuccore/NZ_LIPP01000312.1?report=graph&amp;from=17045&amp;to=17133", "TTA_codon")</f>
        <v>TTA_codon</v>
      </c>
    </row>
    <row r="3300" spans="1:15" x14ac:dyDescent="0.15">
      <c r="A3300" t="s">
        <v>21</v>
      </c>
      <c r="B3300">
        <v>1000057</v>
      </c>
      <c r="C3300">
        <v>359027</v>
      </c>
      <c r="F3300" s="7">
        <v>1</v>
      </c>
      <c r="G3300" s="7">
        <v>454</v>
      </c>
      <c r="H3300" s="8">
        <v>286</v>
      </c>
      <c r="J3300" t="s">
        <v>23</v>
      </c>
      <c r="K3300" s="7">
        <v>1134</v>
      </c>
      <c r="L3300" s="9">
        <v>-1</v>
      </c>
      <c r="M3300" t="s">
        <v>450</v>
      </c>
      <c r="N3300" t="s">
        <v>451</v>
      </c>
      <c r="O3300" s="27" t="str">
        <f>HYPERLINK("https://www.ncbi.nlm.nih.gov/nuccore/NZ_LIQZ01000115.1?report=graph&amp;from=32394&amp;to=32398", "TTA_codon")</f>
        <v>TTA_codon</v>
      </c>
    </row>
    <row r="3301" spans="1:15" x14ac:dyDescent="0.15">
      <c r="A3301" t="s">
        <v>21</v>
      </c>
      <c r="B3301">
        <v>1000057</v>
      </c>
      <c r="C3301">
        <v>361918</v>
      </c>
      <c r="F3301" s="7">
        <v>2</v>
      </c>
      <c r="G3301" s="7" t="s">
        <v>2671</v>
      </c>
      <c r="H3301" s="8" t="s">
        <v>2672</v>
      </c>
      <c r="J3301" t="s">
        <v>23</v>
      </c>
      <c r="K3301" s="7">
        <v>1239</v>
      </c>
      <c r="L3301" s="9">
        <v>-1</v>
      </c>
      <c r="M3301" t="s">
        <v>1132</v>
      </c>
      <c r="N3301" t="s">
        <v>187</v>
      </c>
      <c r="O3301" s="27" t="str">
        <f>HYPERLINK("https://www.ncbi.nlm.nih.gov/nuccore/NZ_MAXF01000133.1?report=graph&amp;from=9472&amp;to=9491", "TTA_codon")</f>
        <v>TTA_codon</v>
      </c>
    </row>
    <row r="3302" spans="1:15" x14ac:dyDescent="0.15">
      <c r="A3302" t="s">
        <v>21</v>
      </c>
      <c r="B3302">
        <v>1000057</v>
      </c>
      <c r="C3302">
        <v>363589</v>
      </c>
      <c r="F3302" s="7">
        <v>1</v>
      </c>
      <c r="G3302" s="7">
        <v>304</v>
      </c>
      <c r="H3302" s="8">
        <v>232</v>
      </c>
      <c r="J3302" t="s">
        <v>23</v>
      </c>
      <c r="K3302" s="7">
        <v>1167</v>
      </c>
      <c r="L3302" s="9">
        <v>-1</v>
      </c>
      <c r="M3302" t="s">
        <v>101</v>
      </c>
      <c r="N3302" t="s">
        <v>102</v>
      </c>
      <c r="O3302" s="27" t="str">
        <f>HYPERLINK("https://www.ncbi.nlm.nih.gov/nuccore/NZ_CP019458.1?report=graph&amp;from=9363825&amp;to=9363829", "TTA_codon")</f>
        <v>TTA_codon</v>
      </c>
    </row>
    <row r="3303" spans="1:15" x14ac:dyDescent="0.15">
      <c r="A3303" t="s">
        <v>21</v>
      </c>
      <c r="B3303" t="s">
        <v>2673</v>
      </c>
    </row>
    <row r="3304" spans="1:15" x14ac:dyDescent="0.15">
      <c r="A3304" t="s">
        <v>21</v>
      </c>
      <c r="B3304">
        <v>1000573</v>
      </c>
      <c r="C3304">
        <v>350014</v>
      </c>
      <c r="F3304" s="7">
        <v>3</v>
      </c>
      <c r="G3304" s="7" t="s">
        <v>2674</v>
      </c>
      <c r="H3304" s="8" t="s">
        <v>2675</v>
      </c>
      <c r="J3304" t="s">
        <v>23</v>
      </c>
      <c r="K3304" s="7">
        <v>2721</v>
      </c>
      <c r="L3304" s="9">
        <v>-1</v>
      </c>
      <c r="M3304" t="s">
        <v>1796</v>
      </c>
      <c r="N3304" t="s">
        <v>249</v>
      </c>
      <c r="O3304" s="27" t="str">
        <f>HYPERLINK("https://www.ncbi.nlm.nih.gov/nuccore/NZ_AHBF01000018.1?report=graph&amp;from=172838&amp;to=173799", "TTA_codon")</f>
        <v>TTA_codon</v>
      </c>
    </row>
    <row r="3305" spans="1:15" x14ac:dyDescent="0.15">
      <c r="A3305" t="s">
        <v>21</v>
      </c>
      <c r="B3305">
        <v>1000573</v>
      </c>
      <c r="C3305">
        <v>355661</v>
      </c>
      <c r="F3305" s="7">
        <v>1</v>
      </c>
      <c r="G3305" s="7">
        <v>1183</v>
      </c>
      <c r="H3305" s="8">
        <v>940</v>
      </c>
      <c r="J3305" t="s">
        <v>23</v>
      </c>
      <c r="K3305" s="7">
        <v>2661</v>
      </c>
      <c r="L3305" s="9">
        <v>-1</v>
      </c>
      <c r="M3305" t="s">
        <v>1094</v>
      </c>
      <c r="N3305" t="s">
        <v>278</v>
      </c>
      <c r="O3305" s="27" t="str">
        <f>HYPERLINK("https://www.ncbi.nlm.nih.gov/nuccore/NZ_JOID01000017.1?report=graph&amp;from=56808&amp;to=56812", "TTA_codon")</f>
        <v>TTA_codon</v>
      </c>
    </row>
    <row r="3306" spans="1:15" x14ac:dyDescent="0.15">
      <c r="A3306" t="s">
        <v>21</v>
      </c>
      <c r="B3306" t="s">
        <v>2676</v>
      </c>
    </row>
    <row r="3307" spans="1:15" x14ac:dyDescent="0.15">
      <c r="A3307" t="s">
        <v>21</v>
      </c>
      <c r="B3307">
        <v>1000204</v>
      </c>
      <c r="C3307">
        <v>347367</v>
      </c>
      <c r="F3307" s="7">
        <v>1</v>
      </c>
      <c r="G3307" s="7">
        <v>514</v>
      </c>
      <c r="H3307" s="8">
        <v>493</v>
      </c>
      <c r="J3307" t="s">
        <v>23</v>
      </c>
      <c r="K3307" s="7">
        <v>1296</v>
      </c>
      <c r="L3307" s="9">
        <v>1</v>
      </c>
      <c r="M3307" t="s">
        <v>217</v>
      </c>
      <c r="N3307" t="s">
        <v>218</v>
      </c>
      <c r="O3307" s="27" t="str">
        <f>HYPERLINK("https://www.ncbi.nlm.nih.gov/nuccore/NC_021985.1?report=graph&amp;from=3271619&amp;to=3271623", "TTA_codon")</f>
        <v>TTA_codon</v>
      </c>
    </row>
    <row r="3308" spans="1:15" x14ac:dyDescent="0.15">
      <c r="A3308" t="s">
        <v>21</v>
      </c>
      <c r="B3308">
        <v>1000204</v>
      </c>
      <c r="C3308">
        <v>350774</v>
      </c>
      <c r="F3308" s="7">
        <v>1</v>
      </c>
      <c r="G3308" s="7">
        <v>514</v>
      </c>
      <c r="H3308" s="8">
        <v>511</v>
      </c>
      <c r="J3308" t="s">
        <v>23</v>
      </c>
      <c r="K3308" s="7">
        <v>1311</v>
      </c>
      <c r="L3308" s="9">
        <v>1</v>
      </c>
      <c r="M3308" t="s">
        <v>2677</v>
      </c>
      <c r="N3308" t="s">
        <v>51</v>
      </c>
      <c r="O3308" s="27" t="str">
        <f>HYPERLINK("https://www.ncbi.nlm.nih.gov/nuccore/NZ_AEJB01000535.1?report=graph&amp;from=10276&amp;to=10280", "TTA_codon")</f>
        <v>TTA_codon</v>
      </c>
    </row>
    <row r="3309" spans="1:15" x14ac:dyDescent="0.15">
      <c r="A3309" t="s">
        <v>21</v>
      </c>
      <c r="B3309">
        <v>1000204</v>
      </c>
      <c r="C3309">
        <v>351810</v>
      </c>
      <c r="F3309" s="7">
        <v>1</v>
      </c>
      <c r="G3309" s="7">
        <v>514</v>
      </c>
      <c r="H3309" s="8">
        <v>484</v>
      </c>
      <c r="J3309" t="s">
        <v>23</v>
      </c>
      <c r="K3309" s="7">
        <v>1287</v>
      </c>
      <c r="L3309" s="9">
        <v>1</v>
      </c>
      <c r="M3309" t="s">
        <v>2678</v>
      </c>
      <c r="N3309" t="s">
        <v>68</v>
      </c>
      <c r="O3309" s="27" t="str">
        <f>HYPERLINK("https://www.ncbi.nlm.nih.gov/nuccore/NZ_BARG01000002.1?report=graph&amp;from=67442&amp;to=67446", "TTA_codon")</f>
        <v>TTA_codon</v>
      </c>
    </row>
    <row r="3310" spans="1:15" x14ac:dyDescent="0.15">
      <c r="A3310" t="s">
        <v>21</v>
      </c>
      <c r="B3310">
        <v>1000204</v>
      </c>
      <c r="C3310">
        <v>356526</v>
      </c>
      <c r="F3310" s="7">
        <v>1</v>
      </c>
      <c r="G3310" s="7">
        <v>514</v>
      </c>
      <c r="H3310" s="8">
        <v>496</v>
      </c>
      <c r="J3310" t="s">
        <v>23</v>
      </c>
      <c r="K3310" s="7">
        <v>1323</v>
      </c>
      <c r="L3310" s="9">
        <v>1</v>
      </c>
      <c r="M3310" t="s">
        <v>508</v>
      </c>
      <c r="N3310" t="s">
        <v>509</v>
      </c>
      <c r="O3310" s="27" t="str">
        <f>HYPERLINK("https://www.ncbi.nlm.nih.gov/nuccore/NZ_CP009438.1?report=graph&amp;from=2802265&amp;to=2802269", "TTA_codon")</f>
        <v>TTA_codon</v>
      </c>
    </row>
    <row r="3311" spans="1:15" x14ac:dyDescent="0.15">
      <c r="A3311" t="s">
        <v>21</v>
      </c>
      <c r="B3311">
        <v>1000204</v>
      </c>
      <c r="C3311">
        <v>359076</v>
      </c>
      <c r="F3311" s="7">
        <v>1</v>
      </c>
      <c r="G3311" s="7">
        <v>514</v>
      </c>
      <c r="H3311" s="8">
        <v>511</v>
      </c>
      <c r="J3311" t="s">
        <v>23</v>
      </c>
      <c r="K3311" s="7">
        <v>1308</v>
      </c>
      <c r="L3311" s="9">
        <v>1</v>
      </c>
      <c r="M3311" t="s">
        <v>2679</v>
      </c>
      <c r="N3311" t="s">
        <v>451</v>
      </c>
      <c r="O3311" s="27" t="str">
        <f>HYPERLINK("https://www.ncbi.nlm.nih.gov/nuccore/NZ_LIQZ01000045.1?report=graph&amp;from=23601&amp;to=23605", "TTA_codon")</f>
        <v>TTA_codon</v>
      </c>
    </row>
    <row r="3312" spans="1:15" x14ac:dyDescent="0.15">
      <c r="A3312" t="s">
        <v>21</v>
      </c>
      <c r="B3312">
        <v>1000204</v>
      </c>
      <c r="C3312">
        <v>360090</v>
      </c>
      <c r="F3312" s="7">
        <v>1</v>
      </c>
      <c r="G3312" s="7">
        <v>514</v>
      </c>
      <c r="H3312" s="8">
        <v>511</v>
      </c>
      <c r="J3312" t="s">
        <v>23</v>
      </c>
      <c r="K3312" s="7">
        <v>1311</v>
      </c>
      <c r="L3312" s="9">
        <v>1</v>
      </c>
      <c r="M3312" t="s">
        <v>312</v>
      </c>
      <c r="N3312" t="s">
        <v>125</v>
      </c>
      <c r="O3312" s="27" t="str">
        <f>HYPERLINK("https://www.ncbi.nlm.nih.gov/nuccore/NZ_KQ948456.1?report=graph&amp;from=439075&amp;to=439079", "TTA_codon")</f>
        <v>TTA_codon</v>
      </c>
    </row>
    <row r="3313" spans="1:15" x14ac:dyDescent="0.15">
      <c r="A3313" t="s">
        <v>21</v>
      </c>
      <c r="B3313" t="s">
        <v>2680</v>
      </c>
    </row>
    <row r="3314" spans="1:15" x14ac:dyDescent="0.15">
      <c r="A3314" t="s">
        <v>21</v>
      </c>
      <c r="B3314">
        <v>1001198</v>
      </c>
      <c r="C3314">
        <v>356863</v>
      </c>
      <c r="F3314" s="7">
        <v>1</v>
      </c>
      <c r="G3314" s="7">
        <v>415</v>
      </c>
      <c r="H3314" s="8">
        <v>382</v>
      </c>
      <c r="J3314" t="s">
        <v>23</v>
      </c>
      <c r="K3314" s="7">
        <v>1197</v>
      </c>
      <c r="L3314" s="9">
        <v>-1</v>
      </c>
      <c r="M3314" t="s">
        <v>78</v>
      </c>
      <c r="N3314" t="s">
        <v>79</v>
      </c>
      <c r="O3314" s="27" t="str">
        <f>HYPERLINK("https://www.ncbi.nlm.nih.gov/nuccore/NZ_CP009313.1?report=graph&amp;from=2419276&amp;to=2419280", "TTA_codon")</f>
        <v>TTA_codon</v>
      </c>
    </row>
    <row r="3315" spans="1:15" x14ac:dyDescent="0.15">
      <c r="A3315" t="s">
        <v>21</v>
      </c>
      <c r="B3315">
        <v>1001198</v>
      </c>
      <c r="C3315">
        <v>362828</v>
      </c>
      <c r="F3315" s="7">
        <v>1</v>
      </c>
      <c r="G3315" s="7">
        <v>274</v>
      </c>
      <c r="H3315" s="8">
        <v>262</v>
      </c>
      <c r="J3315" t="s">
        <v>23</v>
      </c>
      <c r="K3315" s="7">
        <v>1227</v>
      </c>
      <c r="L3315" s="9">
        <v>-1</v>
      </c>
      <c r="M3315" t="s">
        <v>2681</v>
      </c>
      <c r="N3315" t="s">
        <v>156</v>
      </c>
      <c r="O3315" s="27" t="str">
        <f>HYPERLINK("https://www.ncbi.nlm.nih.gov/nuccore/NZ_LJGW01000042.1?report=graph&amp;from=16977&amp;to=16981", "TTA_codon")</f>
        <v>TTA_codon</v>
      </c>
    </row>
    <row r="3316" spans="1:15" x14ac:dyDescent="0.15">
      <c r="A3316" t="s">
        <v>21</v>
      </c>
      <c r="B3316">
        <v>1001198</v>
      </c>
      <c r="C3316">
        <v>365229</v>
      </c>
      <c r="F3316" s="7">
        <v>1</v>
      </c>
      <c r="G3316" s="7">
        <v>550</v>
      </c>
      <c r="H3316" s="8">
        <v>535</v>
      </c>
      <c r="J3316" t="s">
        <v>23</v>
      </c>
      <c r="K3316" s="7">
        <v>1227</v>
      </c>
      <c r="L3316" s="9">
        <v>-1</v>
      </c>
      <c r="M3316" t="s">
        <v>2682</v>
      </c>
      <c r="N3316" t="s">
        <v>347</v>
      </c>
      <c r="O3316" s="27" t="str">
        <f>HYPERLINK("https://www.ncbi.nlm.nih.gov/nuccore/NZ_FNFF01000043.1?report=graph&amp;from=962&amp;to=966", "TTA_codon")</f>
        <v>TTA_codon</v>
      </c>
    </row>
    <row r="3317" spans="1:15" x14ac:dyDescent="0.15">
      <c r="A3317" t="s">
        <v>21</v>
      </c>
      <c r="B3317" t="s">
        <v>2683</v>
      </c>
    </row>
    <row r="3318" spans="1:15" x14ac:dyDescent="0.15">
      <c r="A3318" t="s">
        <v>21</v>
      </c>
      <c r="B3318">
        <v>1000502</v>
      </c>
      <c r="C3318">
        <v>349353</v>
      </c>
      <c r="F3318" s="7">
        <v>1</v>
      </c>
      <c r="G3318" s="7">
        <v>61</v>
      </c>
      <c r="H3318" s="8">
        <v>61</v>
      </c>
      <c r="J3318" t="s">
        <v>23</v>
      </c>
      <c r="K3318" s="7">
        <v>1803</v>
      </c>
      <c r="L3318" s="9">
        <v>-1</v>
      </c>
      <c r="M3318" t="s">
        <v>458</v>
      </c>
      <c r="N3318" t="s">
        <v>315</v>
      </c>
      <c r="O3318" s="27" t="str">
        <f>HYPERLINK("https://www.ncbi.nlm.nih.gov/nuccore/NC_003888.3?report=graph&amp;from=7372620&amp;to=7372624", "TTA_codon")</f>
        <v>TTA_codon</v>
      </c>
    </row>
    <row r="3319" spans="1:15" x14ac:dyDescent="0.15">
      <c r="A3319" t="s">
        <v>21</v>
      </c>
      <c r="B3319">
        <v>1000502</v>
      </c>
      <c r="C3319">
        <v>351433</v>
      </c>
      <c r="F3319" s="7">
        <v>1</v>
      </c>
      <c r="G3319" s="7">
        <v>61</v>
      </c>
      <c r="H3319" s="8">
        <v>61</v>
      </c>
      <c r="J3319" t="s">
        <v>23</v>
      </c>
      <c r="K3319" s="7">
        <v>1803</v>
      </c>
      <c r="L3319" s="9">
        <v>-1</v>
      </c>
      <c r="M3319" t="s">
        <v>65</v>
      </c>
      <c r="N3319" t="s">
        <v>66</v>
      </c>
      <c r="O3319" s="27" t="str">
        <f>HYPERLINK("https://www.ncbi.nlm.nih.gov/nuccore/NC_020504.1?report=graph&amp;from=6871690&amp;to=6871694", "TTA_codon")</f>
        <v>TTA_codon</v>
      </c>
    </row>
    <row r="3320" spans="1:15" x14ac:dyDescent="0.15">
      <c r="A3320" t="s">
        <v>21</v>
      </c>
      <c r="B3320" t="s">
        <v>2684</v>
      </c>
    </row>
    <row r="3321" spans="1:15" x14ac:dyDescent="0.15">
      <c r="A3321" t="s">
        <v>21</v>
      </c>
      <c r="B3321">
        <v>1001445</v>
      </c>
      <c r="C3321">
        <v>363612</v>
      </c>
      <c r="F3321" s="7">
        <v>1</v>
      </c>
      <c r="G3321" s="7">
        <v>175</v>
      </c>
      <c r="H3321" s="8">
        <v>139</v>
      </c>
      <c r="J3321" t="s">
        <v>23</v>
      </c>
      <c r="K3321" s="7">
        <v>2388</v>
      </c>
      <c r="L3321" s="9">
        <v>1</v>
      </c>
      <c r="M3321" t="s">
        <v>101</v>
      </c>
      <c r="N3321" t="s">
        <v>102</v>
      </c>
      <c r="O3321" s="27" t="str">
        <f>HYPERLINK("https://www.ncbi.nlm.nih.gov/nuccore/NZ_CP019458.1?report=graph&amp;from=8334653&amp;to=8334657", "TTA_codon")</f>
        <v>TTA_codon</v>
      </c>
    </row>
    <row r="3322" spans="1:15" x14ac:dyDescent="0.15">
      <c r="A3322" t="s">
        <v>21</v>
      </c>
      <c r="B3322">
        <v>1001445</v>
      </c>
      <c r="C3322">
        <v>365583</v>
      </c>
      <c r="F3322" s="7">
        <v>1</v>
      </c>
      <c r="G3322" s="7">
        <v>175</v>
      </c>
      <c r="H3322" s="8">
        <v>139</v>
      </c>
      <c r="J3322" t="s">
        <v>23</v>
      </c>
      <c r="K3322" s="7">
        <v>2388</v>
      </c>
      <c r="L3322" s="9">
        <v>1</v>
      </c>
      <c r="M3322" t="s">
        <v>213</v>
      </c>
      <c r="N3322" t="s">
        <v>214</v>
      </c>
      <c r="O3322" s="27" t="str">
        <f>HYPERLINK("https://www.ncbi.nlm.nih.gov/nuccore/NZ_FNST01000002.1?report=graph&amp;from=5715193&amp;to=5715197", "TTA_codon")</f>
        <v>TTA_codon</v>
      </c>
    </row>
    <row r="3323" spans="1:15" x14ac:dyDescent="0.15">
      <c r="A3323" t="s">
        <v>21</v>
      </c>
      <c r="B3323">
        <v>1001445</v>
      </c>
      <c r="C3323">
        <v>366386</v>
      </c>
      <c r="F3323" s="7">
        <v>1</v>
      </c>
      <c r="G3323" s="7">
        <v>157</v>
      </c>
      <c r="H3323" s="8">
        <v>157</v>
      </c>
      <c r="J3323" t="s">
        <v>23</v>
      </c>
      <c r="K3323" s="7">
        <v>2448</v>
      </c>
      <c r="L3323" s="9">
        <v>1</v>
      </c>
      <c r="M3323" t="s">
        <v>2656</v>
      </c>
      <c r="N3323" t="s">
        <v>375</v>
      </c>
      <c r="O3323" s="27" t="str">
        <f>HYPERLINK("https://www.ncbi.nlm.nih.gov/nuccore/NZ_FONG01000001.1?report=graph&amp;from=195571&amp;to=195575", "TTA_codon")</f>
        <v>TTA_codon</v>
      </c>
    </row>
    <row r="3324" spans="1:15" x14ac:dyDescent="0.15">
      <c r="A3324" t="s">
        <v>21</v>
      </c>
      <c r="B3324" t="s">
        <v>2685</v>
      </c>
    </row>
    <row r="3325" spans="1:15" x14ac:dyDescent="0.15">
      <c r="A3325" t="s">
        <v>21</v>
      </c>
      <c r="B3325">
        <v>1000004</v>
      </c>
      <c r="C3325">
        <v>331773</v>
      </c>
      <c r="F3325" s="7">
        <v>1</v>
      </c>
      <c r="G3325" s="7">
        <v>55</v>
      </c>
      <c r="H3325" s="8">
        <v>46</v>
      </c>
      <c r="J3325" t="s">
        <v>23</v>
      </c>
      <c r="K3325" s="7">
        <v>747</v>
      </c>
      <c r="L3325" s="9">
        <v>-1</v>
      </c>
      <c r="M3325" t="s">
        <v>121</v>
      </c>
      <c r="N3325" t="s">
        <v>122</v>
      </c>
      <c r="O3325" s="27" t="str">
        <f>HYPERLINK("https://www.ncbi.nlm.nih.gov/nuccore/NZ_CP016279.1?report=graph&amp;from=5852559&amp;to=5852563", "TTA_codon")</f>
        <v>TTA_codon</v>
      </c>
    </row>
    <row r="3326" spans="1:15" x14ac:dyDescent="0.15">
      <c r="A3326" t="s">
        <v>21</v>
      </c>
      <c r="B3326">
        <v>1000004</v>
      </c>
      <c r="C3326">
        <v>340880</v>
      </c>
      <c r="F3326" s="7">
        <v>1</v>
      </c>
      <c r="G3326" s="7">
        <v>145</v>
      </c>
      <c r="H3326" s="8">
        <v>145</v>
      </c>
      <c r="J3326" t="s">
        <v>23</v>
      </c>
      <c r="K3326" s="7">
        <v>759</v>
      </c>
      <c r="L3326" s="9">
        <v>-1</v>
      </c>
      <c r="M3326" t="s">
        <v>213</v>
      </c>
      <c r="N3326" t="s">
        <v>214</v>
      </c>
      <c r="O3326" s="27" t="str">
        <f>HYPERLINK("https://www.ncbi.nlm.nih.gov/nuccore/NZ_FNST01000002.1?report=graph&amp;from=10016384&amp;to=10016388", "TTA_codon")</f>
        <v>TTA_codon</v>
      </c>
    </row>
    <row r="3327" spans="1:15" x14ac:dyDescent="0.15">
      <c r="A3327" t="s">
        <v>21</v>
      </c>
      <c r="B3327" t="s">
        <v>2686</v>
      </c>
    </row>
    <row r="3328" spans="1:15" x14ac:dyDescent="0.15">
      <c r="A3328" t="s">
        <v>21</v>
      </c>
      <c r="B3328">
        <v>1000265</v>
      </c>
      <c r="C3328">
        <v>347750</v>
      </c>
      <c r="F3328" s="7">
        <v>1</v>
      </c>
      <c r="G3328" s="7">
        <v>331</v>
      </c>
      <c r="H3328" s="8">
        <v>310</v>
      </c>
      <c r="J3328" t="s">
        <v>23</v>
      </c>
      <c r="K3328" s="7">
        <v>516</v>
      </c>
      <c r="L3328" s="9">
        <v>1</v>
      </c>
      <c r="M3328" t="s">
        <v>57</v>
      </c>
      <c r="N3328" t="s">
        <v>58</v>
      </c>
      <c r="O3328" s="27" t="str">
        <f>HYPERLINK("https://www.ncbi.nlm.nih.gov/nuccore/NC_013929.1?report=graph&amp;from=1713690&amp;to=1713694", "TTA_codon")</f>
        <v>TTA_codon</v>
      </c>
    </row>
    <row r="3329" spans="1:16" x14ac:dyDescent="0.15">
      <c r="A3329" t="s">
        <v>21</v>
      </c>
      <c r="B3329">
        <v>1000265</v>
      </c>
      <c r="C3329">
        <v>348496</v>
      </c>
      <c r="F3329" s="7">
        <v>1</v>
      </c>
      <c r="G3329" s="7">
        <v>331</v>
      </c>
      <c r="H3329" s="8">
        <v>310</v>
      </c>
      <c r="J3329" t="s">
        <v>23</v>
      </c>
      <c r="K3329" s="7">
        <v>525</v>
      </c>
      <c r="L3329" s="9">
        <v>1</v>
      </c>
      <c r="M3329" t="s">
        <v>61</v>
      </c>
      <c r="N3329" t="s">
        <v>62</v>
      </c>
      <c r="O3329" s="27" t="str">
        <f>HYPERLINK("https://www.ncbi.nlm.nih.gov/nuccore/NZ_DS999641.1?report=graph&amp;from=1163272&amp;to=1163276", "TTA_codon")</f>
        <v>TTA_codon</v>
      </c>
    </row>
    <row r="3330" spans="1:16" x14ac:dyDescent="0.15">
      <c r="A3330" t="s">
        <v>21</v>
      </c>
      <c r="B3330">
        <v>1000265</v>
      </c>
      <c r="C3330">
        <v>352385</v>
      </c>
      <c r="F3330" s="7">
        <v>1</v>
      </c>
      <c r="G3330" s="7">
        <v>259</v>
      </c>
      <c r="H3330" s="8">
        <v>247</v>
      </c>
      <c r="J3330" t="s">
        <v>23</v>
      </c>
      <c r="K3330" s="7">
        <v>516</v>
      </c>
      <c r="L3330" s="9">
        <v>1</v>
      </c>
      <c r="M3330" t="s">
        <v>30</v>
      </c>
      <c r="N3330" t="s">
        <v>31</v>
      </c>
      <c r="O3330" s="27" t="str">
        <f>HYPERLINK("https://www.ncbi.nlm.nih.gov/nuccore/NZ_KB913030.1?report=graph&amp;from=703118&amp;to=703122", "TTA_codon")</f>
        <v>TTA_codon</v>
      </c>
    </row>
    <row r="3331" spans="1:16" x14ac:dyDescent="0.15">
      <c r="A3331" t="s">
        <v>21</v>
      </c>
      <c r="B3331">
        <v>1000265</v>
      </c>
      <c r="C3331">
        <v>355868</v>
      </c>
      <c r="F3331" s="7">
        <v>1</v>
      </c>
      <c r="G3331" s="7">
        <v>439</v>
      </c>
      <c r="H3331" s="8">
        <v>421</v>
      </c>
      <c r="J3331" t="s">
        <v>23</v>
      </c>
      <c r="K3331" s="7">
        <v>537</v>
      </c>
      <c r="L3331" s="9">
        <v>1</v>
      </c>
      <c r="M3331" t="s">
        <v>2687</v>
      </c>
      <c r="N3331" t="s">
        <v>384</v>
      </c>
      <c r="O3331" s="27" t="str">
        <f>HYPERLINK("https://www.ncbi.nlm.nih.gov/nuccore/NZ_JOAK01000018.1?report=graph&amp;from=91271&amp;to=91275", "TTA_codon")</f>
        <v>TTA_codon</v>
      </c>
    </row>
    <row r="3332" spans="1:16" x14ac:dyDescent="0.15">
      <c r="A3332" t="s">
        <v>21</v>
      </c>
      <c r="B3332">
        <v>1000265</v>
      </c>
      <c r="C3332">
        <v>358329</v>
      </c>
      <c r="F3332" s="7">
        <v>1</v>
      </c>
      <c r="G3332" s="7">
        <v>331</v>
      </c>
      <c r="H3332" s="8">
        <v>319</v>
      </c>
      <c r="J3332" t="s">
        <v>23</v>
      </c>
      <c r="K3332" s="7">
        <v>525</v>
      </c>
      <c r="L3332" s="9">
        <v>1</v>
      </c>
      <c r="M3332" t="s">
        <v>2688</v>
      </c>
      <c r="N3332" t="s">
        <v>85</v>
      </c>
      <c r="O3332" s="27" t="str">
        <f>HYPERLINK("https://www.ncbi.nlm.nih.gov/nuccore/NZ_LIQX01000150.1?report=graph&amp;from=22163&amp;to=22167", "TTA_codon")</f>
        <v>TTA_codon</v>
      </c>
    </row>
    <row r="3333" spans="1:16" x14ac:dyDescent="0.15">
      <c r="A3333" t="s">
        <v>21</v>
      </c>
      <c r="B3333">
        <v>1000265</v>
      </c>
      <c r="C3333">
        <v>358780</v>
      </c>
      <c r="F3333" s="7">
        <v>1</v>
      </c>
      <c r="G3333" s="7">
        <v>331</v>
      </c>
      <c r="H3333" s="8">
        <v>310</v>
      </c>
      <c r="J3333" t="s">
        <v>23</v>
      </c>
      <c r="K3333" s="7">
        <v>513</v>
      </c>
      <c r="L3333" s="9">
        <v>1</v>
      </c>
      <c r="M3333" t="s">
        <v>2689</v>
      </c>
      <c r="N3333" t="s">
        <v>87</v>
      </c>
      <c r="O3333" s="27" t="str">
        <f>HYPERLINK("https://www.ncbi.nlm.nih.gov/nuccore/NZ_LIQS01000218.1?report=graph&amp;from=12248&amp;to=12252", "TTA_codon")</f>
        <v>TTA_codon</v>
      </c>
    </row>
    <row r="3334" spans="1:16" x14ac:dyDescent="0.15">
      <c r="A3334" t="s">
        <v>21</v>
      </c>
      <c r="B3334">
        <v>1000265</v>
      </c>
      <c r="C3334">
        <v>360025</v>
      </c>
      <c r="F3334" s="7">
        <v>1</v>
      </c>
      <c r="G3334" s="7">
        <v>331</v>
      </c>
      <c r="H3334" s="8">
        <v>310</v>
      </c>
      <c r="J3334" t="s">
        <v>23</v>
      </c>
      <c r="K3334" s="7">
        <v>516</v>
      </c>
      <c r="L3334" s="9">
        <v>1</v>
      </c>
      <c r="M3334" t="s">
        <v>1563</v>
      </c>
      <c r="N3334" t="s">
        <v>125</v>
      </c>
      <c r="O3334" s="27" t="str">
        <f>HYPERLINK("https://www.ncbi.nlm.nih.gov/nuccore/NZ_KQ948451.1?report=graph&amp;from=850547&amp;to=850551", "TTA_codon")</f>
        <v>TTA_codon</v>
      </c>
    </row>
    <row r="3335" spans="1:16" x14ac:dyDescent="0.15">
      <c r="A3335" t="s">
        <v>21</v>
      </c>
      <c r="B3335" t="s">
        <v>2690</v>
      </c>
    </row>
    <row r="3336" spans="1:16" x14ac:dyDescent="0.15">
      <c r="A3336" t="s">
        <v>21</v>
      </c>
      <c r="B3336">
        <v>1001468</v>
      </c>
      <c r="C3336">
        <v>363833</v>
      </c>
      <c r="F3336" s="7">
        <v>1</v>
      </c>
      <c r="G3336" s="7">
        <v>121</v>
      </c>
      <c r="H3336" s="8">
        <v>121</v>
      </c>
      <c r="J3336" t="s">
        <v>23</v>
      </c>
      <c r="K3336" s="7">
        <v>666</v>
      </c>
      <c r="L3336" s="9">
        <v>-1</v>
      </c>
      <c r="M3336" t="s">
        <v>101</v>
      </c>
      <c r="N3336" t="s">
        <v>102</v>
      </c>
      <c r="O3336" s="27" t="str">
        <f>HYPERLINK("https://www.ncbi.nlm.nih.gov/nuccore/NZ_CP019458.1?report=graph&amp;from=8402681&amp;to=8402685", "TTA_codon")</f>
        <v>TTA_codon</v>
      </c>
    </row>
    <row r="3337" spans="1:16" x14ac:dyDescent="0.15">
      <c r="A3337" t="s">
        <v>21</v>
      </c>
      <c r="B3337">
        <v>1001468</v>
      </c>
      <c r="C3337">
        <v>365802</v>
      </c>
      <c r="F3337" s="7">
        <v>1</v>
      </c>
      <c r="G3337" s="7">
        <v>121</v>
      </c>
      <c r="H3337" s="8">
        <v>121</v>
      </c>
      <c r="J3337" t="s">
        <v>23</v>
      </c>
      <c r="K3337" s="7">
        <v>666</v>
      </c>
      <c r="L3337" s="9">
        <v>-1</v>
      </c>
      <c r="M3337" t="s">
        <v>213</v>
      </c>
      <c r="N3337" t="s">
        <v>214</v>
      </c>
      <c r="O3337" s="27" t="str">
        <f>HYPERLINK("https://www.ncbi.nlm.nih.gov/nuccore/NZ_FNST01000002.1?report=graph&amp;from=5797298&amp;to=5797302", "TTA_codon")</f>
        <v>TTA_codon</v>
      </c>
    </row>
    <row r="3338" spans="1:16" x14ac:dyDescent="0.15">
      <c r="A3338" t="s">
        <v>195</v>
      </c>
      <c r="B3338" t="s">
        <v>2691</v>
      </c>
    </row>
    <row r="3339" spans="1:16" x14ac:dyDescent="0.15">
      <c r="A3339" t="s">
        <v>195</v>
      </c>
      <c r="B3339">
        <v>1000441</v>
      </c>
      <c r="C3339">
        <v>346073</v>
      </c>
      <c r="F3339" s="7">
        <v>2</v>
      </c>
      <c r="G3339" s="7" t="s">
        <v>2692</v>
      </c>
      <c r="H3339" s="8" t="s">
        <v>2693</v>
      </c>
      <c r="J3339" t="s">
        <v>23</v>
      </c>
      <c r="K3339" s="7">
        <v>4368</v>
      </c>
      <c r="L3339" s="9">
        <v>1</v>
      </c>
      <c r="M3339" t="s">
        <v>59</v>
      </c>
      <c r="N3339" t="s">
        <v>60</v>
      </c>
      <c r="O3339" s="27" t="str">
        <f>HYPERLINK("https://www.ncbi.nlm.nih.gov/nuccore/NC_016582.1?report=graph&amp;from=2891909&amp;to=2893218", "TTA_codon")</f>
        <v>TTA_codon</v>
      </c>
    </row>
    <row r="3340" spans="1:16" x14ac:dyDescent="0.15">
      <c r="A3340" t="s">
        <v>21</v>
      </c>
      <c r="B3340">
        <v>1000441</v>
      </c>
      <c r="C3340">
        <v>348748</v>
      </c>
      <c r="F3340" s="7">
        <v>2</v>
      </c>
      <c r="G3340" s="7" t="s">
        <v>2694</v>
      </c>
      <c r="H3340" s="8" t="s">
        <v>2695</v>
      </c>
      <c r="J3340" t="s">
        <v>23</v>
      </c>
      <c r="K3340" s="7">
        <v>4341</v>
      </c>
      <c r="L3340" s="9">
        <v>1</v>
      </c>
      <c r="M3340" t="s">
        <v>211</v>
      </c>
      <c r="N3340" t="s">
        <v>212</v>
      </c>
      <c r="O3340" s="27" t="str">
        <f>HYPERLINK("https://www.ncbi.nlm.nih.gov/nuccore/NZ_GG657754.1?report=graph&amp;from=894735&amp;to=894832", "TTA_codon")</f>
        <v>TTA_codon</v>
      </c>
    </row>
    <row r="3341" spans="1:16" x14ac:dyDescent="0.15">
      <c r="A3341" t="s">
        <v>21</v>
      </c>
      <c r="B3341">
        <v>1000441</v>
      </c>
      <c r="C3341">
        <v>351216</v>
      </c>
      <c r="F3341" s="7">
        <v>1</v>
      </c>
      <c r="G3341" s="7">
        <v>1501</v>
      </c>
      <c r="H3341" s="8">
        <v>922</v>
      </c>
      <c r="J3341" t="s">
        <v>23</v>
      </c>
      <c r="K3341" s="7">
        <v>3858</v>
      </c>
      <c r="L3341" s="9">
        <v>1</v>
      </c>
      <c r="M3341" t="s">
        <v>65</v>
      </c>
      <c r="N3341" t="s">
        <v>66</v>
      </c>
      <c r="O3341" s="27" t="str">
        <f>HYPERLINK("https://www.ncbi.nlm.nih.gov/nuccore/NC_020504.1?report=graph&amp;from=5395602&amp;to=5395606", "TTA_codon")</f>
        <v>TTA_codon</v>
      </c>
    </row>
    <row r="3342" spans="1:16" x14ac:dyDescent="0.15">
      <c r="A3342" t="s">
        <v>21</v>
      </c>
      <c r="B3342">
        <v>1000441</v>
      </c>
      <c r="C3342">
        <v>354826</v>
      </c>
      <c r="F3342" s="7">
        <v>1</v>
      </c>
      <c r="G3342" s="7">
        <v>1558</v>
      </c>
      <c r="H3342" s="8">
        <v>1063</v>
      </c>
      <c r="J3342" t="s">
        <v>23</v>
      </c>
      <c r="K3342" s="7">
        <v>3951</v>
      </c>
      <c r="L3342" s="9">
        <v>1</v>
      </c>
      <c r="M3342" t="s">
        <v>2324</v>
      </c>
      <c r="N3342" t="s">
        <v>25</v>
      </c>
      <c r="O3342" s="27" t="str">
        <f>HYPERLINK("https://www.ncbi.nlm.nih.gov/nuccore/NZ_JOFU01000023.1?report=graph&amp;from=47550&amp;to=47554", "TTA_codon")</f>
        <v>TTA_codon</v>
      </c>
    </row>
    <row r="3343" spans="1:16" x14ac:dyDescent="0.15">
      <c r="A3343" t="s">
        <v>21</v>
      </c>
      <c r="B3343">
        <v>1000441</v>
      </c>
      <c r="C3343">
        <v>360058</v>
      </c>
      <c r="F3343" s="7">
        <v>2</v>
      </c>
      <c r="G3343" s="7" t="s">
        <v>2696</v>
      </c>
      <c r="H3343" s="8" t="s">
        <v>2697</v>
      </c>
      <c r="J3343" t="s">
        <v>23</v>
      </c>
      <c r="K3343" s="7">
        <v>3876</v>
      </c>
      <c r="L3343" s="9">
        <v>1</v>
      </c>
      <c r="M3343" t="s">
        <v>2330</v>
      </c>
      <c r="N3343" t="s">
        <v>125</v>
      </c>
      <c r="O3343" s="27" t="str">
        <f>HYPERLINK("https://www.ncbi.nlm.nih.gov/nuccore/NZ_KQ948458.1?report=graph&amp;from=143263&amp;to=144041", "TTA_codon")</f>
        <v>TTA_codon</v>
      </c>
    </row>
    <row r="3344" spans="1:16" s="39" customFormat="1" x14ac:dyDescent="0.15">
      <c r="A3344" s="34" t="s">
        <v>195</v>
      </c>
      <c r="B3344" s="34" t="s">
        <v>2698</v>
      </c>
      <c r="C3344" s="34"/>
      <c r="D3344" s="34"/>
      <c r="E3344" s="34"/>
      <c r="F3344" s="35"/>
      <c r="G3344" s="35"/>
      <c r="H3344" s="36"/>
      <c r="I3344" s="34"/>
      <c r="J3344" s="34"/>
      <c r="K3344" s="35"/>
      <c r="L3344" s="37"/>
      <c r="M3344" s="34"/>
      <c r="N3344" s="34"/>
      <c r="O3344" s="38"/>
      <c r="P3344" s="35"/>
    </row>
    <row r="3345" spans="1:18" x14ac:dyDescent="0.15">
      <c r="A3345" t="s">
        <v>195</v>
      </c>
      <c r="B3345">
        <v>1000079</v>
      </c>
      <c r="C3345">
        <v>346461</v>
      </c>
      <c r="F3345" s="7">
        <v>1</v>
      </c>
      <c r="G3345" s="7">
        <v>826</v>
      </c>
      <c r="H3345" s="8">
        <v>670</v>
      </c>
      <c r="J3345" t="s">
        <v>23</v>
      </c>
      <c r="K3345" s="7">
        <v>1365</v>
      </c>
      <c r="L3345" s="9">
        <v>-1</v>
      </c>
      <c r="M3345" t="s">
        <v>2699</v>
      </c>
      <c r="N3345" t="s">
        <v>198</v>
      </c>
      <c r="O3345" s="27" t="str">
        <f>HYPERLINK("https://www.ncbi.nlm.nih.gov/nuccore/NZ_JOFL01000038.1?report=graph&amp;from=33826&amp;to=33830", "TTA_codon")</f>
        <v>TTA_codon</v>
      </c>
      <c r="P3345" s="7">
        <v>95</v>
      </c>
      <c r="Q3345" t="s">
        <v>2700</v>
      </c>
      <c r="R3345" t="s">
        <v>2227</v>
      </c>
    </row>
    <row r="3346" spans="1:18" x14ac:dyDescent="0.15">
      <c r="A3346" t="s">
        <v>195</v>
      </c>
      <c r="B3346">
        <v>1000079</v>
      </c>
      <c r="C3346">
        <v>346849</v>
      </c>
      <c r="F3346" s="7">
        <v>1</v>
      </c>
      <c r="G3346" s="7">
        <v>826</v>
      </c>
      <c r="H3346" s="8">
        <v>667</v>
      </c>
      <c r="J3346" t="s">
        <v>23</v>
      </c>
      <c r="K3346" s="7">
        <v>1173</v>
      </c>
      <c r="L3346" s="9">
        <v>-1</v>
      </c>
      <c r="M3346" t="s">
        <v>200</v>
      </c>
      <c r="N3346" t="s">
        <v>201</v>
      </c>
      <c r="O3346" s="27" t="str">
        <f>HYPERLINK("https://www.ncbi.nlm.nih.gov/nuccore/NZ_CP016559.1?report=graph&amp;from=4565858&amp;to=4565862", "TTA_codon")</f>
        <v>TTA_codon</v>
      </c>
      <c r="P3346" s="7">
        <v>10</v>
      </c>
      <c r="Q3346" t="s">
        <v>2701</v>
      </c>
      <c r="R3346" t="s">
        <v>2227</v>
      </c>
    </row>
    <row r="3347" spans="1:18" x14ac:dyDescent="0.15">
      <c r="A3347" t="s">
        <v>21</v>
      </c>
      <c r="B3347">
        <v>1000079</v>
      </c>
      <c r="C3347">
        <v>347248</v>
      </c>
      <c r="F3347" s="7">
        <v>1</v>
      </c>
      <c r="G3347" s="7">
        <v>826</v>
      </c>
      <c r="H3347" s="8">
        <v>673</v>
      </c>
      <c r="J3347" t="s">
        <v>23</v>
      </c>
      <c r="K3347" s="7">
        <v>1266</v>
      </c>
      <c r="L3347" s="9">
        <v>-1</v>
      </c>
      <c r="M3347" t="s">
        <v>53</v>
      </c>
      <c r="N3347" s="40" t="s">
        <v>54</v>
      </c>
      <c r="O3347" s="27" t="str">
        <f>HYPERLINK("https://www.ncbi.nlm.nih.gov/nuccore/NC_003155.5?report=graph&amp;from=6374254&amp;to=6374258", "TTA_codon")</f>
        <v>TTA_codon</v>
      </c>
      <c r="P3347" s="7">
        <v>5</v>
      </c>
      <c r="Q3347" t="s">
        <v>2702</v>
      </c>
      <c r="R3347" t="s">
        <v>2227</v>
      </c>
    </row>
    <row r="3348" spans="1:18" x14ac:dyDescent="0.15">
      <c r="A3348" t="s">
        <v>21</v>
      </c>
      <c r="B3348">
        <v>1000079</v>
      </c>
      <c r="C3348">
        <v>347616</v>
      </c>
      <c r="F3348" s="7">
        <v>1</v>
      </c>
      <c r="G3348" s="7">
        <v>826</v>
      </c>
      <c r="H3348" s="8">
        <v>670</v>
      </c>
      <c r="J3348" t="s">
        <v>23</v>
      </c>
      <c r="K3348" s="7">
        <v>1203</v>
      </c>
      <c r="L3348" s="9">
        <v>-1</v>
      </c>
      <c r="M3348" t="s">
        <v>55</v>
      </c>
      <c r="N3348" s="41" t="s">
        <v>56</v>
      </c>
      <c r="O3348" s="27" t="str">
        <f>HYPERLINK("https://www.ncbi.nlm.nih.gov/nuccore/NC_010572.1?report=graph&amp;from=5573170&amp;to=5573174", "TTA_codon")</f>
        <v>TTA_codon</v>
      </c>
      <c r="P3348" s="7">
        <v>59</v>
      </c>
      <c r="Q3348" t="s">
        <v>2703</v>
      </c>
      <c r="R3348" t="s">
        <v>2227</v>
      </c>
    </row>
    <row r="3349" spans="1:18" x14ac:dyDescent="0.15">
      <c r="A3349" t="s">
        <v>21</v>
      </c>
      <c r="B3349">
        <v>1000079</v>
      </c>
      <c r="C3349">
        <v>347757</v>
      </c>
      <c r="F3349" s="7">
        <v>1</v>
      </c>
      <c r="G3349" s="7">
        <v>826</v>
      </c>
      <c r="H3349" s="8">
        <v>673</v>
      </c>
      <c r="J3349" t="s">
        <v>23</v>
      </c>
      <c r="K3349" s="7">
        <v>1209</v>
      </c>
      <c r="L3349" s="9">
        <v>-1</v>
      </c>
      <c r="M3349" t="s">
        <v>57</v>
      </c>
      <c r="N3349" t="s">
        <v>58</v>
      </c>
      <c r="O3349" s="27" t="str">
        <f>HYPERLINK("https://www.ncbi.nlm.nih.gov/nuccore/NC_013929.1?report=graph&amp;from=6436390&amp;to=6436394", "TTA_codon")</f>
        <v>TTA_codon</v>
      </c>
      <c r="P3349" s="7">
        <v>4</v>
      </c>
      <c r="Q3349" t="s">
        <v>2704</v>
      </c>
      <c r="R3349" t="s">
        <v>2227</v>
      </c>
    </row>
    <row r="3350" spans="1:18" x14ac:dyDescent="0.15">
      <c r="A3350" t="s">
        <v>21</v>
      </c>
      <c r="B3350">
        <v>1000079</v>
      </c>
      <c r="C3350">
        <v>348022</v>
      </c>
      <c r="F3350" s="7">
        <v>1</v>
      </c>
      <c r="G3350" s="7">
        <v>826</v>
      </c>
      <c r="H3350" s="8">
        <v>670</v>
      </c>
      <c r="J3350" t="s">
        <v>23</v>
      </c>
      <c r="K3350" s="7">
        <v>1302</v>
      </c>
      <c r="L3350" s="9">
        <v>-1</v>
      </c>
      <c r="M3350" t="s">
        <v>59</v>
      </c>
      <c r="N3350" t="s">
        <v>60</v>
      </c>
      <c r="O3350" s="27" t="str">
        <f>HYPERLINK("https://www.ncbi.nlm.nih.gov/nuccore/NC_016582.1?report=graph&amp;from=8274484&amp;to=8274488", "TTA_codon")</f>
        <v>TTA_codon</v>
      </c>
      <c r="P3350" s="7">
        <v>58</v>
      </c>
      <c r="Q3350" t="s">
        <v>2705</v>
      </c>
      <c r="R3350" t="s">
        <v>2227</v>
      </c>
    </row>
    <row r="3351" spans="1:18" x14ac:dyDescent="0.15">
      <c r="A3351" t="s">
        <v>21</v>
      </c>
      <c r="B3351">
        <v>1000079</v>
      </c>
      <c r="C3351">
        <v>348500</v>
      </c>
      <c r="F3351" s="7">
        <v>1</v>
      </c>
      <c r="G3351" s="7">
        <v>826</v>
      </c>
      <c r="H3351" s="8">
        <v>673</v>
      </c>
      <c r="J3351" t="s">
        <v>23</v>
      </c>
      <c r="K3351" s="7">
        <v>1272</v>
      </c>
      <c r="L3351" s="9">
        <v>-1</v>
      </c>
      <c r="M3351" t="s">
        <v>61</v>
      </c>
      <c r="N3351" t="s">
        <v>62</v>
      </c>
      <c r="O3351" s="27" t="str">
        <f>HYPERLINK("https://www.ncbi.nlm.nih.gov/nuccore/NZ_DS999641.1?report=graph&amp;from=4982214&amp;to=4982218", "TTA_codon")</f>
        <v>TTA_codon</v>
      </c>
      <c r="P3351" s="7">
        <v>42</v>
      </c>
      <c r="Q3351" t="s">
        <v>2706</v>
      </c>
      <c r="R3351" t="s">
        <v>2227</v>
      </c>
    </row>
    <row r="3352" spans="1:18" x14ac:dyDescent="0.15">
      <c r="A3352" t="s">
        <v>21</v>
      </c>
      <c r="B3352">
        <v>1000079</v>
      </c>
      <c r="C3352">
        <v>348750</v>
      </c>
      <c r="F3352" s="7">
        <v>1</v>
      </c>
      <c r="G3352" s="7">
        <v>826</v>
      </c>
      <c r="H3352" s="8">
        <v>670</v>
      </c>
      <c r="J3352" t="s">
        <v>23</v>
      </c>
      <c r="K3352" s="7">
        <v>1314</v>
      </c>
      <c r="L3352" s="9">
        <v>-1</v>
      </c>
      <c r="M3352" t="s">
        <v>211</v>
      </c>
      <c r="N3352" t="s">
        <v>212</v>
      </c>
      <c r="O3352" s="27" t="str">
        <f>HYPERLINK("https://www.ncbi.nlm.nih.gov/nuccore/NZ_GG657754.1?report=graph&amp;from=6659846&amp;to=6659850", "TTA_codon")</f>
        <v>TTA_codon</v>
      </c>
      <c r="P3352" s="7">
        <v>61</v>
      </c>
      <c r="Q3352" t="s">
        <v>2707</v>
      </c>
      <c r="R3352" t="s">
        <v>2227</v>
      </c>
    </row>
    <row r="3353" spans="1:18" x14ac:dyDescent="0.15">
      <c r="A3353" t="s">
        <v>21</v>
      </c>
      <c r="B3353">
        <v>1000079</v>
      </c>
      <c r="C3353">
        <v>349590</v>
      </c>
      <c r="F3353" s="7">
        <v>1</v>
      </c>
      <c r="G3353" s="7">
        <v>826</v>
      </c>
      <c r="H3353" s="8">
        <v>673</v>
      </c>
      <c r="J3353" t="s">
        <v>23</v>
      </c>
      <c r="K3353" s="7">
        <v>1215</v>
      </c>
      <c r="L3353" s="9">
        <v>-1</v>
      </c>
      <c r="M3353" t="s">
        <v>2708</v>
      </c>
      <c r="N3353" t="s">
        <v>335</v>
      </c>
      <c r="O3353" s="27" t="str">
        <f>HYPERLINK("https://www.ncbi.nlm.nih.gov/nuccore/NZ_AGBF01000019.1?report=graph&amp;from=61484&amp;to=61488", "TTA_codon")</f>
        <v>TTA_codon</v>
      </c>
      <c r="P3353" s="7">
        <v>46</v>
      </c>
      <c r="Q3353" t="s">
        <v>2709</v>
      </c>
      <c r="R3353" t="s">
        <v>2227</v>
      </c>
    </row>
    <row r="3354" spans="1:18" x14ac:dyDescent="0.15">
      <c r="A3354" t="s">
        <v>21</v>
      </c>
      <c r="B3354">
        <v>1000079</v>
      </c>
      <c r="C3354">
        <v>350254</v>
      </c>
      <c r="F3354" s="7">
        <v>1</v>
      </c>
      <c r="G3354" s="7">
        <v>826</v>
      </c>
      <c r="H3354" s="8">
        <v>679</v>
      </c>
      <c r="J3354" t="s">
        <v>23</v>
      </c>
      <c r="K3354" s="7">
        <v>1269</v>
      </c>
      <c r="L3354" s="9">
        <v>-1</v>
      </c>
      <c r="M3354" t="s">
        <v>35</v>
      </c>
      <c r="N3354" t="s">
        <v>36</v>
      </c>
      <c r="O3354" s="27" t="str">
        <f>HYPERLINK("https://www.ncbi.nlm.nih.gov/nuccore/NZ_JH725387.1?report=graph&amp;from=4393369&amp;to=4393373", "TTA_codon")</f>
        <v>TTA_codon</v>
      </c>
      <c r="P3354" s="7">
        <v>56</v>
      </c>
      <c r="Q3354" t="s">
        <v>2710</v>
      </c>
      <c r="R3354" t="s">
        <v>2227</v>
      </c>
    </row>
    <row r="3355" spans="1:18" x14ac:dyDescent="0.15">
      <c r="A3355" t="s">
        <v>21</v>
      </c>
      <c r="B3355">
        <v>1000079</v>
      </c>
      <c r="C3355">
        <v>350497</v>
      </c>
      <c r="F3355" s="7">
        <v>1</v>
      </c>
      <c r="G3355" s="7">
        <v>826</v>
      </c>
      <c r="H3355" s="8">
        <v>667</v>
      </c>
      <c r="J3355" t="s">
        <v>23</v>
      </c>
      <c r="K3355" s="7">
        <v>1167</v>
      </c>
      <c r="L3355" s="9">
        <v>-1</v>
      </c>
      <c r="M3355" t="s">
        <v>2711</v>
      </c>
      <c r="N3355" t="s">
        <v>134</v>
      </c>
      <c r="O3355" s="27" t="str">
        <f>HYPERLINK("https://www.ncbi.nlm.nih.gov/nuccore/NZ_AJSZ01000646.1?report=graph&amp;from=7666&amp;to=7670", "TTA_codon")</f>
        <v>TTA_codon</v>
      </c>
      <c r="P3355" s="7">
        <v>38</v>
      </c>
      <c r="Q3355" t="s">
        <v>2712</v>
      </c>
      <c r="R3355" t="s">
        <v>2227</v>
      </c>
    </row>
    <row r="3356" spans="1:18" x14ac:dyDescent="0.15">
      <c r="A3356" t="s">
        <v>21</v>
      </c>
      <c r="B3356">
        <v>1000079</v>
      </c>
      <c r="C3356">
        <v>351195</v>
      </c>
      <c r="F3356" s="7">
        <v>1</v>
      </c>
      <c r="G3356" s="7">
        <v>826</v>
      </c>
      <c r="H3356" s="8">
        <v>673</v>
      </c>
      <c r="J3356" t="s">
        <v>23</v>
      </c>
      <c r="K3356" s="7">
        <v>1209</v>
      </c>
      <c r="L3356" s="9">
        <v>-1</v>
      </c>
      <c r="M3356" t="s">
        <v>65</v>
      </c>
      <c r="N3356" t="s">
        <v>66</v>
      </c>
      <c r="O3356" s="27" t="str">
        <f>HYPERLINK("https://www.ncbi.nlm.nih.gov/nuccore/NC_020504.1?report=graph&amp;from=6099186&amp;to=6099190", "TTA_codon")</f>
        <v>TTA_codon</v>
      </c>
      <c r="P3356" s="7">
        <v>13</v>
      </c>
      <c r="Q3356" t="s">
        <v>2713</v>
      </c>
      <c r="R3356" t="s">
        <v>2227</v>
      </c>
    </row>
    <row r="3357" spans="1:18" x14ac:dyDescent="0.15">
      <c r="A3357" t="s">
        <v>21</v>
      </c>
      <c r="B3357">
        <v>1000079</v>
      </c>
      <c r="C3357">
        <v>352064</v>
      </c>
      <c r="F3357" s="7">
        <v>1</v>
      </c>
      <c r="G3357" s="7">
        <v>826</v>
      </c>
      <c r="H3357" s="8">
        <v>661</v>
      </c>
      <c r="J3357" t="s">
        <v>23</v>
      </c>
      <c r="K3357" s="7">
        <v>1239</v>
      </c>
      <c r="L3357" s="9">
        <v>-1</v>
      </c>
      <c r="M3357" t="s">
        <v>2714</v>
      </c>
      <c r="N3357" s="41" t="s">
        <v>70</v>
      </c>
      <c r="O3357" s="27" t="str">
        <f>HYPERLINK("https://www.ncbi.nlm.nih.gov/nuccore/NZ_KB904659.1?report=graph&amp;from=50838&amp;to=50842", "TTA_codon")</f>
        <v>TTA_codon</v>
      </c>
      <c r="P3357" s="7">
        <v>78</v>
      </c>
      <c r="Q3357" t="s">
        <v>2715</v>
      </c>
      <c r="R3357" t="s">
        <v>2227</v>
      </c>
    </row>
    <row r="3358" spans="1:18" x14ac:dyDescent="0.15">
      <c r="A3358" t="s">
        <v>21</v>
      </c>
      <c r="B3358">
        <v>1000079</v>
      </c>
      <c r="C3358">
        <v>352869</v>
      </c>
      <c r="F3358" s="7">
        <v>1</v>
      </c>
      <c r="G3358" s="7">
        <v>826</v>
      </c>
      <c r="H3358" s="8">
        <v>679</v>
      </c>
      <c r="J3358" t="s">
        <v>23</v>
      </c>
      <c r="K3358" s="7">
        <v>1488</v>
      </c>
      <c r="L3358" s="9">
        <v>-1</v>
      </c>
      <c r="M3358" t="s">
        <v>2716</v>
      </c>
      <c r="N3358" s="41" t="s">
        <v>306</v>
      </c>
      <c r="O3358" s="27" t="str">
        <f>HYPERLINK("https://www.ncbi.nlm.nih.gov/nuccore/NZ_KL571058.1?report=graph&amp;from=3241&amp;to=3245", "TTA_codon")</f>
        <v>TTA_codon</v>
      </c>
      <c r="P3358" s="7">
        <v>72</v>
      </c>
      <c r="Q3358" t="s">
        <v>2717</v>
      </c>
      <c r="R3358" t="s">
        <v>2227</v>
      </c>
    </row>
    <row r="3359" spans="1:18" x14ac:dyDescent="0.15">
      <c r="A3359" t="s">
        <v>21</v>
      </c>
      <c r="B3359">
        <v>1000079</v>
      </c>
      <c r="C3359">
        <v>353562</v>
      </c>
      <c r="F3359" s="7">
        <v>1</v>
      </c>
      <c r="G3359" s="7">
        <v>826</v>
      </c>
      <c r="H3359" s="8">
        <v>670</v>
      </c>
      <c r="J3359" t="s">
        <v>23</v>
      </c>
      <c r="K3359" s="7">
        <v>1218</v>
      </c>
      <c r="L3359" s="9">
        <v>-1</v>
      </c>
      <c r="M3359" t="s">
        <v>546</v>
      </c>
      <c r="N3359" t="s">
        <v>140</v>
      </c>
      <c r="O3359" s="27" t="str">
        <f>HYPERLINK("https://www.ncbi.nlm.nih.gov/nuccore/NZ_JNXG01000003.1?report=graph&amp;from=280127&amp;to=280131", "TTA_codon")</f>
        <v>TTA_codon</v>
      </c>
      <c r="P3359" s="7">
        <v>4</v>
      </c>
      <c r="Q3359" t="s">
        <v>2718</v>
      </c>
      <c r="R3359" t="s">
        <v>2227</v>
      </c>
    </row>
    <row r="3360" spans="1:18" x14ac:dyDescent="0.15">
      <c r="A3360" t="s">
        <v>21</v>
      </c>
      <c r="B3360">
        <v>1000079</v>
      </c>
      <c r="C3360">
        <v>355261</v>
      </c>
      <c r="F3360" s="7">
        <v>1</v>
      </c>
      <c r="G3360" s="7">
        <v>826</v>
      </c>
      <c r="H3360" s="8">
        <v>673</v>
      </c>
      <c r="J3360" t="s">
        <v>23</v>
      </c>
      <c r="K3360" s="7">
        <v>1260</v>
      </c>
      <c r="L3360" s="9">
        <v>-1</v>
      </c>
      <c r="M3360" t="s">
        <v>524</v>
      </c>
      <c r="N3360" t="s">
        <v>295</v>
      </c>
      <c r="O3360" s="27" t="str">
        <f>HYPERLINK("https://www.ncbi.nlm.nih.gov/nuccore/NZ_JODL01000017.1?report=graph&amp;from=56686&amp;to=56690", "TTA_codon")</f>
        <v>TTA_codon</v>
      </c>
      <c r="P3360" s="7">
        <v>71</v>
      </c>
      <c r="Q3360" t="s">
        <v>2719</v>
      </c>
      <c r="R3360" t="s">
        <v>2227</v>
      </c>
    </row>
    <row r="3361" spans="1:18" x14ac:dyDescent="0.15">
      <c r="A3361" t="s">
        <v>21</v>
      </c>
      <c r="B3361">
        <v>1000079</v>
      </c>
      <c r="C3361">
        <v>355604</v>
      </c>
      <c r="F3361" s="7">
        <v>1</v>
      </c>
      <c r="G3361" s="7">
        <v>826</v>
      </c>
      <c r="H3361" s="8">
        <v>670</v>
      </c>
      <c r="J3361" t="s">
        <v>23</v>
      </c>
      <c r="K3361" s="7">
        <v>1302</v>
      </c>
      <c r="L3361" s="9">
        <v>-1</v>
      </c>
      <c r="M3361" t="s">
        <v>1335</v>
      </c>
      <c r="N3361" t="s">
        <v>278</v>
      </c>
      <c r="O3361" s="27" t="str">
        <f>HYPERLINK("https://www.ncbi.nlm.nih.gov/nuccore/NZ_JOID01000002.1?report=graph&amp;from=48758&amp;to=48762", "TTA_codon")</f>
        <v>TTA_codon</v>
      </c>
      <c r="P3361" s="7">
        <v>49</v>
      </c>
      <c r="Q3361" t="s">
        <v>2720</v>
      </c>
      <c r="R3361" t="s">
        <v>2227</v>
      </c>
    </row>
    <row r="3362" spans="1:18" x14ac:dyDescent="0.15">
      <c r="A3362" t="s">
        <v>21</v>
      </c>
      <c r="B3362">
        <v>1000079</v>
      </c>
      <c r="C3362">
        <v>356011</v>
      </c>
      <c r="F3362" s="7">
        <v>1</v>
      </c>
      <c r="G3362" s="7">
        <v>826</v>
      </c>
      <c r="H3362" s="8">
        <v>673</v>
      </c>
      <c r="J3362" t="s">
        <v>23</v>
      </c>
      <c r="K3362" s="7">
        <v>1197</v>
      </c>
      <c r="L3362" s="9">
        <v>-1</v>
      </c>
      <c r="M3362" t="s">
        <v>2721</v>
      </c>
      <c r="N3362" t="s">
        <v>146</v>
      </c>
      <c r="O3362" s="27" t="str">
        <f>HYPERLINK("https://www.ncbi.nlm.nih.gov/nuccore/NZ_JOFH01000020.1?report=graph&amp;from=18720&amp;to=18724", "TTA_codon")</f>
        <v>TTA_codon</v>
      </c>
      <c r="P3362" s="7">
        <v>25</v>
      </c>
      <c r="Q3362" t="s">
        <v>2722</v>
      </c>
      <c r="R3362" t="s">
        <v>2227</v>
      </c>
    </row>
    <row r="3363" spans="1:18" x14ac:dyDescent="0.15">
      <c r="A3363" t="s">
        <v>21</v>
      </c>
      <c r="B3363">
        <v>1000079</v>
      </c>
      <c r="C3363">
        <v>356165</v>
      </c>
      <c r="F3363" s="7">
        <v>1</v>
      </c>
      <c r="G3363" s="7">
        <v>826</v>
      </c>
      <c r="H3363" s="8">
        <v>673</v>
      </c>
      <c r="J3363" t="s">
        <v>23</v>
      </c>
      <c r="K3363" s="7">
        <v>1221</v>
      </c>
      <c r="L3363" s="9">
        <v>-1</v>
      </c>
      <c r="M3363" t="s">
        <v>1561</v>
      </c>
      <c r="N3363" t="s">
        <v>77</v>
      </c>
      <c r="O3363" s="27" t="str">
        <f>HYPERLINK("https://www.ncbi.nlm.nih.gov/nuccore/NZ_JNXD01000001.1?report=graph&amp;from=79677&amp;to=79681", "TTA_codon")</f>
        <v>TTA_codon</v>
      </c>
      <c r="P3363" s="7">
        <v>14</v>
      </c>
      <c r="Q3363" t="s">
        <v>2723</v>
      </c>
      <c r="R3363" t="s">
        <v>2227</v>
      </c>
    </row>
    <row r="3364" spans="1:18" x14ac:dyDescent="0.15">
      <c r="A3364" t="s">
        <v>21</v>
      </c>
      <c r="B3364">
        <v>1000079</v>
      </c>
      <c r="C3364">
        <v>357380</v>
      </c>
      <c r="F3364" s="7">
        <v>1</v>
      </c>
      <c r="G3364" s="7">
        <v>826</v>
      </c>
      <c r="H3364" s="8">
        <v>673</v>
      </c>
      <c r="J3364" t="s">
        <v>23</v>
      </c>
      <c r="K3364" s="7">
        <v>1263</v>
      </c>
      <c r="L3364" s="9">
        <v>-1</v>
      </c>
      <c r="M3364" t="s">
        <v>80</v>
      </c>
      <c r="N3364" t="s">
        <v>81</v>
      </c>
      <c r="O3364" s="27" t="str">
        <f>HYPERLINK("https://www.ncbi.nlm.nih.gov/nuccore/NZ_LN831790.1?report=graph&amp;from=5229712&amp;to=5229716", "TTA_codon")</f>
        <v>TTA_codon</v>
      </c>
      <c r="P3364" s="7">
        <v>21</v>
      </c>
      <c r="Q3364" t="s">
        <v>2724</v>
      </c>
      <c r="R3364" t="s">
        <v>2227</v>
      </c>
    </row>
    <row r="3365" spans="1:18" x14ac:dyDescent="0.15">
      <c r="A3365" t="s">
        <v>21</v>
      </c>
      <c r="B3365">
        <v>1000079</v>
      </c>
      <c r="C3365">
        <v>357536</v>
      </c>
      <c r="F3365" s="7">
        <v>1</v>
      </c>
      <c r="G3365" s="7">
        <v>826</v>
      </c>
      <c r="H3365" s="8">
        <v>670</v>
      </c>
      <c r="J3365" t="s">
        <v>23</v>
      </c>
      <c r="K3365" s="7">
        <v>1329</v>
      </c>
      <c r="L3365" s="9">
        <v>-1</v>
      </c>
      <c r="M3365" t="s">
        <v>492</v>
      </c>
      <c r="N3365" t="s">
        <v>378</v>
      </c>
      <c r="O3365" s="27" t="str">
        <f>HYPERLINK("https://www.ncbi.nlm.nih.gov/nuccore/NZ_LFXA01000018.1?report=graph&amp;from=619595&amp;to=619599", "TTA_codon")</f>
        <v>TTA_codon</v>
      </c>
      <c r="P3365" s="7">
        <v>7</v>
      </c>
      <c r="Q3365" t="s">
        <v>2725</v>
      </c>
      <c r="R3365" t="s">
        <v>2227</v>
      </c>
    </row>
    <row r="3366" spans="1:18" x14ac:dyDescent="0.15">
      <c r="A3366" t="s">
        <v>21</v>
      </c>
      <c r="B3366">
        <v>1000079</v>
      </c>
      <c r="C3366">
        <v>357684</v>
      </c>
      <c r="F3366" s="7">
        <v>1</v>
      </c>
      <c r="G3366" s="7">
        <v>826</v>
      </c>
      <c r="H3366" s="8">
        <v>673</v>
      </c>
      <c r="J3366" t="s">
        <v>23</v>
      </c>
      <c r="K3366" s="7">
        <v>1275</v>
      </c>
      <c r="L3366" s="9">
        <v>-1</v>
      </c>
      <c r="M3366" t="s">
        <v>2726</v>
      </c>
      <c r="N3366" t="s">
        <v>83</v>
      </c>
      <c r="O3366" s="27" t="str">
        <f>HYPERLINK("https://www.ncbi.nlm.nih.gov/nuccore/NZ_DF968322.1?report=graph&amp;from=56776&amp;to=56780", "TTA_codon")</f>
        <v>TTA_codon</v>
      </c>
      <c r="P3366" s="7">
        <v>6</v>
      </c>
      <c r="Q3366" t="s">
        <v>2727</v>
      </c>
      <c r="R3366" t="s">
        <v>2227</v>
      </c>
    </row>
    <row r="3367" spans="1:18" x14ac:dyDescent="0.15">
      <c r="A3367" t="s">
        <v>21</v>
      </c>
      <c r="B3367">
        <v>1000079</v>
      </c>
      <c r="C3367">
        <v>357925</v>
      </c>
      <c r="F3367" s="7">
        <v>1</v>
      </c>
      <c r="G3367" s="7">
        <v>826</v>
      </c>
      <c r="H3367" s="8">
        <v>667</v>
      </c>
      <c r="J3367" t="s">
        <v>23</v>
      </c>
      <c r="K3367" s="7">
        <v>1197</v>
      </c>
      <c r="L3367" s="9">
        <v>-1</v>
      </c>
      <c r="M3367" t="s">
        <v>261</v>
      </c>
      <c r="N3367" t="s">
        <v>262</v>
      </c>
      <c r="O3367" s="27" t="str">
        <f>HYPERLINK("https://www.ncbi.nlm.nih.gov/nuccore/NZ_CP011340.1?report=graph&amp;from=5526459&amp;to=5526463", "TTA_codon")</f>
        <v>TTA_codon</v>
      </c>
      <c r="P3367" s="7">
        <v>30</v>
      </c>
      <c r="Q3367" t="s">
        <v>2728</v>
      </c>
      <c r="R3367" t="s">
        <v>2227</v>
      </c>
    </row>
    <row r="3368" spans="1:18" x14ac:dyDescent="0.15">
      <c r="A3368" t="s">
        <v>21</v>
      </c>
      <c r="B3368">
        <v>1000079</v>
      </c>
      <c r="C3368">
        <v>359028</v>
      </c>
      <c r="F3368" s="7">
        <v>1</v>
      </c>
      <c r="G3368" s="7">
        <v>826</v>
      </c>
      <c r="H3368" s="8">
        <v>673</v>
      </c>
      <c r="J3368" t="s">
        <v>23</v>
      </c>
      <c r="K3368" s="7">
        <v>1215</v>
      </c>
      <c r="L3368" s="9">
        <v>-1</v>
      </c>
      <c r="M3368" t="s">
        <v>2729</v>
      </c>
      <c r="N3368" t="s">
        <v>451</v>
      </c>
      <c r="O3368" s="27" t="str">
        <f>HYPERLINK("https://www.ncbi.nlm.nih.gov/nuccore/NZ_LIQZ01000539.1?report=graph&amp;from=2057&amp;to=2061", "TTA_codon")</f>
        <v>TTA_codon</v>
      </c>
      <c r="P3368" s="7">
        <v>28</v>
      </c>
      <c r="Q3368" t="s">
        <v>2730</v>
      </c>
      <c r="R3368" t="s">
        <v>2227</v>
      </c>
    </row>
    <row r="3369" spans="1:18" x14ac:dyDescent="0.15">
      <c r="A3369" t="s">
        <v>21</v>
      </c>
      <c r="B3369">
        <v>1000079</v>
      </c>
      <c r="C3369">
        <v>361565</v>
      </c>
      <c r="F3369" s="7">
        <v>1</v>
      </c>
      <c r="G3369" s="7">
        <v>826</v>
      </c>
      <c r="H3369" s="8">
        <v>679</v>
      </c>
      <c r="J3369" t="s">
        <v>23</v>
      </c>
      <c r="K3369" s="7">
        <v>1254</v>
      </c>
      <c r="L3369" s="9">
        <v>-1</v>
      </c>
      <c r="M3369" t="s">
        <v>37</v>
      </c>
      <c r="N3369" s="41" t="s">
        <v>38</v>
      </c>
      <c r="O3369" s="27" t="str">
        <f>HYPERLINK("https://www.ncbi.nlm.nih.gov/nuccore/NZ_CP011533.1?report=graph&amp;from=5952583&amp;to=5952587", "TTA_codon")</f>
        <v>TTA_codon</v>
      </c>
      <c r="P3369" s="7">
        <v>63</v>
      </c>
      <c r="Q3369" t="s">
        <v>2731</v>
      </c>
      <c r="R3369" t="s">
        <v>2227</v>
      </c>
    </row>
    <row r="3370" spans="1:18" x14ac:dyDescent="0.15">
      <c r="A3370" t="s">
        <v>21</v>
      </c>
      <c r="B3370">
        <v>1000079</v>
      </c>
      <c r="C3370">
        <v>362204</v>
      </c>
      <c r="F3370" s="7">
        <v>1</v>
      </c>
      <c r="G3370" s="7">
        <v>826</v>
      </c>
      <c r="H3370" s="8">
        <v>679</v>
      </c>
      <c r="J3370" t="s">
        <v>23</v>
      </c>
      <c r="K3370" s="7">
        <v>1266</v>
      </c>
      <c r="L3370" s="9">
        <v>-1</v>
      </c>
      <c r="M3370" t="s">
        <v>39</v>
      </c>
      <c r="N3370" t="s">
        <v>40</v>
      </c>
      <c r="O3370" s="27" t="str">
        <f>HYPERLINK("https://www.ncbi.nlm.nih.gov/nuccore/NZ_CP017157.1?report=graph&amp;from=1233222&amp;to=1233226", "TTA_codon")</f>
        <v>TTA_codon</v>
      </c>
      <c r="P3370" s="7">
        <v>62</v>
      </c>
      <c r="Q3370" t="s">
        <v>2732</v>
      </c>
      <c r="R3370" t="s">
        <v>2227</v>
      </c>
    </row>
    <row r="3371" spans="1:18" x14ac:dyDescent="0.15">
      <c r="A3371" t="s">
        <v>21</v>
      </c>
      <c r="B3371">
        <v>1000079</v>
      </c>
      <c r="C3371">
        <v>362430</v>
      </c>
      <c r="F3371" s="7">
        <v>1</v>
      </c>
      <c r="G3371" s="7">
        <v>826</v>
      </c>
      <c r="H3371" s="8">
        <v>673</v>
      </c>
      <c r="J3371" t="s">
        <v>23</v>
      </c>
      <c r="K3371" s="7">
        <v>1206</v>
      </c>
      <c r="L3371" s="9">
        <v>-1</v>
      </c>
      <c r="M3371" t="s">
        <v>32</v>
      </c>
      <c r="N3371" t="s">
        <v>33</v>
      </c>
      <c r="O3371" s="27" t="str">
        <f>HYPERLINK("https://www.ncbi.nlm.nih.gov/nuccore/NZ_CP017248.1?report=graph&amp;from=6161682&amp;to=6161686", "TTA_codon")</f>
        <v>TTA_codon</v>
      </c>
      <c r="P3371" s="7">
        <v>31</v>
      </c>
      <c r="Q3371" t="s">
        <v>2733</v>
      </c>
      <c r="R3371" t="s">
        <v>2227</v>
      </c>
    </row>
    <row r="3372" spans="1:18" x14ac:dyDescent="0.15">
      <c r="A3372" t="s">
        <v>21</v>
      </c>
      <c r="B3372">
        <v>1000079</v>
      </c>
      <c r="C3372">
        <v>362987</v>
      </c>
      <c r="F3372" s="7">
        <v>1</v>
      </c>
      <c r="G3372" s="7">
        <v>826</v>
      </c>
      <c r="H3372" s="8">
        <v>766</v>
      </c>
      <c r="J3372" t="s">
        <v>23</v>
      </c>
      <c r="K3372" s="7">
        <v>1413</v>
      </c>
      <c r="L3372" s="9">
        <v>-1</v>
      </c>
      <c r="M3372" t="s">
        <v>2734</v>
      </c>
      <c r="N3372" s="41" t="s">
        <v>1726</v>
      </c>
      <c r="O3372" s="27" t="str">
        <f>HYPERLINK("https://www.ncbi.nlm.nih.gov/nuccore/NZ_MLCF01000115.1?report=graph&amp;from=10417&amp;to=10421", "TTA_codon")</f>
        <v>TTA_codon</v>
      </c>
      <c r="P3372" s="7">
        <v>102</v>
      </c>
      <c r="Q3372" t="s">
        <v>2735</v>
      </c>
      <c r="R3372" t="s">
        <v>2227</v>
      </c>
    </row>
    <row r="3373" spans="1:18" x14ac:dyDescent="0.15">
      <c r="A3373" t="s">
        <v>21</v>
      </c>
      <c r="B3373">
        <v>1000079</v>
      </c>
      <c r="C3373">
        <v>363443</v>
      </c>
      <c r="F3373" s="7">
        <v>1</v>
      </c>
      <c r="G3373" s="7">
        <v>826</v>
      </c>
      <c r="H3373" s="8">
        <v>673</v>
      </c>
      <c r="J3373" t="s">
        <v>23</v>
      </c>
      <c r="K3373" s="7">
        <v>1218</v>
      </c>
      <c r="L3373" s="9">
        <v>-1</v>
      </c>
      <c r="M3373" t="s">
        <v>157</v>
      </c>
      <c r="N3373" t="s">
        <v>158</v>
      </c>
      <c r="O3373" s="27" t="str">
        <f>HYPERLINK("https://www.ncbi.nlm.nih.gov/nuccore/NZ_CP015588.1?report=graph&amp;from=5525328&amp;to=5525332", "TTA_codon")</f>
        <v>TTA_codon</v>
      </c>
      <c r="P3373" s="7">
        <v>36</v>
      </c>
      <c r="Q3373" t="s">
        <v>2736</v>
      </c>
      <c r="R3373" t="s">
        <v>2227</v>
      </c>
    </row>
    <row r="3374" spans="1:18" x14ac:dyDescent="0.15">
      <c r="A3374" t="s">
        <v>21</v>
      </c>
      <c r="B3374">
        <v>1000079</v>
      </c>
      <c r="C3374">
        <v>363922</v>
      </c>
      <c r="F3374" s="7">
        <v>1</v>
      </c>
      <c r="G3374" s="7">
        <v>826</v>
      </c>
      <c r="H3374" s="8">
        <v>673</v>
      </c>
      <c r="J3374" t="s">
        <v>23</v>
      </c>
      <c r="K3374" s="7">
        <v>1254</v>
      </c>
      <c r="L3374" s="9">
        <v>-1</v>
      </c>
      <c r="M3374" t="s">
        <v>2737</v>
      </c>
      <c r="N3374" t="s">
        <v>104</v>
      </c>
      <c r="O3374" s="27" t="str">
        <f>HYPERLINK("https://www.ncbi.nlm.nih.gov/nuccore/NZ_MVFC01000047.1?report=graph&amp;from=24496&amp;to=24500", "TTA_codon")</f>
        <v>TTA_codon</v>
      </c>
      <c r="P3374" s="7">
        <v>54</v>
      </c>
      <c r="Q3374" t="s">
        <v>2738</v>
      </c>
      <c r="R3374" t="s">
        <v>2227</v>
      </c>
    </row>
    <row r="3375" spans="1:18" x14ac:dyDescent="0.15">
      <c r="A3375" t="s">
        <v>21</v>
      </c>
      <c r="B3375">
        <v>1000079</v>
      </c>
      <c r="C3375">
        <v>364108</v>
      </c>
      <c r="F3375" s="7">
        <v>1</v>
      </c>
      <c r="G3375" s="7">
        <v>826</v>
      </c>
      <c r="H3375" s="8">
        <v>670</v>
      </c>
      <c r="J3375" t="s">
        <v>23</v>
      </c>
      <c r="K3375" s="7">
        <v>1203</v>
      </c>
      <c r="L3375" s="9">
        <v>-1</v>
      </c>
      <c r="M3375" t="s">
        <v>254</v>
      </c>
      <c r="N3375" t="s">
        <v>255</v>
      </c>
      <c r="O3375" s="27" t="str">
        <f>HYPERLINK("https://www.ncbi.nlm.nih.gov/nuccore/NZ_CP018047.1?report=graph&amp;from=5292072&amp;to=5292076", "TTA_codon")</f>
        <v>TTA_codon</v>
      </c>
      <c r="P3375" s="7">
        <v>23</v>
      </c>
      <c r="Q3375" t="s">
        <v>2739</v>
      </c>
      <c r="R3375" t="s">
        <v>2227</v>
      </c>
    </row>
    <row r="3376" spans="1:18" x14ac:dyDescent="0.15">
      <c r="A3376" t="s">
        <v>21</v>
      </c>
      <c r="B3376">
        <v>1000079</v>
      </c>
      <c r="C3376">
        <v>364990</v>
      </c>
      <c r="F3376" s="7">
        <v>1</v>
      </c>
      <c r="G3376" s="7">
        <v>826</v>
      </c>
      <c r="H3376" s="8">
        <v>670</v>
      </c>
      <c r="J3376" t="s">
        <v>23</v>
      </c>
      <c r="K3376" s="7">
        <v>1365</v>
      </c>
      <c r="L3376" s="9">
        <v>-1</v>
      </c>
      <c r="M3376" t="s">
        <v>111</v>
      </c>
      <c r="N3376" t="s">
        <v>112</v>
      </c>
      <c r="O3376" s="27" t="str">
        <f>HYPERLINK("https://www.ncbi.nlm.nih.gov/nuccore/NZ_CP021744.1?report=graph&amp;from=5017448&amp;to=5017452", "TTA_codon")</f>
        <v>TTA_codon</v>
      </c>
      <c r="P3376" s="7">
        <v>91</v>
      </c>
      <c r="Q3376" t="s">
        <v>2740</v>
      </c>
      <c r="R3376" t="s">
        <v>2227</v>
      </c>
    </row>
    <row r="3377" spans="1:18" x14ac:dyDescent="0.15">
      <c r="A3377" t="s">
        <v>21</v>
      </c>
      <c r="B3377">
        <v>1000079</v>
      </c>
      <c r="C3377">
        <v>365213</v>
      </c>
      <c r="F3377" s="7">
        <v>1</v>
      </c>
      <c r="G3377" s="7">
        <v>826</v>
      </c>
      <c r="H3377" s="8">
        <v>667</v>
      </c>
      <c r="J3377" t="s">
        <v>23</v>
      </c>
      <c r="K3377" s="7">
        <v>1338</v>
      </c>
      <c r="L3377" s="9">
        <v>-1</v>
      </c>
      <c r="M3377" t="s">
        <v>2480</v>
      </c>
      <c r="N3377" t="s">
        <v>347</v>
      </c>
      <c r="O3377" s="27" t="str">
        <f>HYPERLINK("https://www.ncbi.nlm.nih.gov/nuccore/NZ_FNFF01000015.1?report=graph&amp;from=29092&amp;to=29096", "TTA_codon")</f>
        <v>TTA_codon</v>
      </c>
      <c r="P3377" s="7">
        <v>18</v>
      </c>
      <c r="Q3377" t="s">
        <v>2741</v>
      </c>
      <c r="R3377" t="s">
        <v>2227</v>
      </c>
    </row>
    <row r="3378" spans="1:18" x14ac:dyDescent="0.15">
      <c r="A3378" t="s">
        <v>21</v>
      </c>
      <c r="B3378">
        <v>1000079</v>
      </c>
      <c r="C3378">
        <v>365420</v>
      </c>
      <c r="F3378" s="7">
        <v>1</v>
      </c>
      <c r="G3378" s="7">
        <v>826</v>
      </c>
      <c r="H3378" s="8">
        <v>715</v>
      </c>
      <c r="J3378" t="s">
        <v>23</v>
      </c>
      <c r="K3378" s="7">
        <v>1362</v>
      </c>
      <c r="L3378" s="9">
        <v>-1</v>
      </c>
      <c r="M3378" t="s">
        <v>2742</v>
      </c>
      <c r="N3378" s="41" t="s">
        <v>45</v>
      </c>
      <c r="O3378" s="27" t="str">
        <f>HYPERLINK("https://www.ncbi.nlm.nih.gov/nuccore/NZ_FNIE01000007.1?report=graph&amp;from=170871&amp;to=170875", "TTA_codon")</f>
        <v>TTA_codon</v>
      </c>
      <c r="P3378" s="7">
        <v>60</v>
      </c>
      <c r="Q3378" t="s">
        <v>2743</v>
      </c>
      <c r="R3378" t="s">
        <v>2227</v>
      </c>
    </row>
    <row r="3379" spans="1:18" x14ac:dyDescent="0.15">
      <c r="A3379" t="s">
        <v>21</v>
      </c>
      <c r="B3379">
        <v>1000079</v>
      </c>
      <c r="C3379">
        <v>365917</v>
      </c>
      <c r="F3379" s="7">
        <v>1</v>
      </c>
      <c r="G3379" s="7">
        <v>826</v>
      </c>
      <c r="H3379" s="8">
        <v>715</v>
      </c>
      <c r="J3379" t="s">
        <v>23</v>
      </c>
      <c r="K3379" s="7">
        <v>1275</v>
      </c>
      <c r="L3379" s="9">
        <v>-1</v>
      </c>
      <c r="M3379" t="s">
        <v>2216</v>
      </c>
      <c r="N3379" t="s">
        <v>115</v>
      </c>
      <c r="O3379" s="27" t="str">
        <f>HYPERLINK("https://www.ncbi.nlm.nih.gov/nuccore/NZ_FODD01000007.1?report=graph&amp;from=209253&amp;to=209257", "TTA_codon")</f>
        <v>TTA_codon</v>
      </c>
      <c r="P3379" s="7">
        <v>64</v>
      </c>
      <c r="Q3379" t="s">
        <v>2744</v>
      </c>
      <c r="R3379" t="s">
        <v>2227</v>
      </c>
    </row>
    <row r="3380" spans="1:18" x14ac:dyDescent="0.15">
      <c r="A3380" t="s">
        <v>21</v>
      </c>
      <c r="B3380">
        <v>1000079</v>
      </c>
      <c r="C3380">
        <v>366069</v>
      </c>
      <c r="F3380" s="7">
        <v>1</v>
      </c>
      <c r="G3380" s="7">
        <v>826</v>
      </c>
      <c r="H3380" s="8">
        <v>673</v>
      </c>
      <c r="J3380" t="s">
        <v>23</v>
      </c>
      <c r="K3380" s="7">
        <v>1257</v>
      </c>
      <c r="L3380" s="9">
        <v>-1</v>
      </c>
      <c r="M3380" t="s">
        <v>1542</v>
      </c>
      <c r="N3380" s="41" t="s">
        <v>257</v>
      </c>
      <c r="O3380" s="27" t="str">
        <f>HYPERLINK("https://www.ncbi.nlm.nih.gov/nuccore/NZ_FOET01000001.1?report=graph&amp;from=154970&amp;to=154974", "TTA_codon")</f>
        <v>TTA_codon</v>
      </c>
      <c r="P3380" s="7">
        <v>75</v>
      </c>
      <c r="Q3380" t="s">
        <v>2745</v>
      </c>
      <c r="R3380" t="s">
        <v>2227</v>
      </c>
    </row>
    <row r="3381" spans="1:18" x14ac:dyDescent="0.15">
      <c r="A3381" t="s">
        <v>21</v>
      </c>
      <c r="B3381">
        <v>1000079</v>
      </c>
      <c r="C3381">
        <v>366544</v>
      </c>
      <c r="F3381" s="7">
        <v>1</v>
      </c>
      <c r="G3381" s="7">
        <v>826</v>
      </c>
      <c r="H3381" s="8">
        <v>643</v>
      </c>
      <c r="J3381" t="s">
        <v>23</v>
      </c>
      <c r="K3381" s="7">
        <v>1236</v>
      </c>
      <c r="L3381" s="9">
        <v>-1</v>
      </c>
      <c r="M3381" t="s">
        <v>2746</v>
      </c>
      <c r="N3381" t="s">
        <v>180</v>
      </c>
      <c r="O3381" s="27" t="str">
        <f>HYPERLINK("https://www.ncbi.nlm.nih.gov/nuccore/NZ_FRBI01000002.1?report=graph&amp;from=185236&amp;to=185240", "TTA_codon")</f>
        <v>TTA_codon</v>
      </c>
      <c r="P3381" s="7">
        <v>85</v>
      </c>
      <c r="Q3381" t="s">
        <v>2747</v>
      </c>
      <c r="R3381" t="s">
        <v>2227</v>
      </c>
    </row>
    <row r="3382" spans="1:18" x14ac:dyDescent="0.15">
      <c r="A3382" t="s">
        <v>21</v>
      </c>
      <c r="B3382">
        <v>1000079</v>
      </c>
      <c r="C3382">
        <v>366762</v>
      </c>
      <c r="F3382" s="7">
        <v>1</v>
      </c>
      <c r="G3382" s="7">
        <v>826</v>
      </c>
      <c r="H3382" s="8">
        <v>796</v>
      </c>
      <c r="J3382" t="s">
        <v>23</v>
      </c>
      <c r="K3382" s="7">
        <v>1479</v>
      </c>
      <c r="L3382" s="9">
        <v>-1</v>
      </c>
      <c r="M3382" t="s">
        <v>2748</v>
      </c>
      <c r="N3382" s="41" t="s">
        <v>209</v>
      </c>
      <c r="O3382" s="27" t="str">
        <f>HYPERLINK("https://www.ncbi.nlm.nih.gov/nuccore/NZ_FZOF01000012.1?report=graph&amp;from=135889&amp;to=135893", "TTA_codon")</f>
        <v>TTA_codon</v>
      </c>
      <c r="P3382" s="7">
        <v>137</v>
      </c>
      <c r="Q3382" t="s">
        <v>2749</v>
      </c>
      <c r="R3382" t="s">
        <v>2227</v>
      </c>
    </row>
    <row r="3383" spans="1:18" x14ac:dyDescent="0.15">
      <c r="A3383" t="s">
        <v>195</v>
      </c>
      <c r="B3383" t="s">
        <v>2750</v>
      </c>
    </row>
    <row r="3384" spans="1:18" x14ac:dyDescent="0.15">
      <c r="A3384" t="s">
        <v>195</v>
      </c>
      <c r="B3384">
        <v>1000122</v>
      </c>
      <c r="C3384">
        <v>346853</v>
      </c>
      <c r="F3384" s="7">
        <v>1</v>
      </c>
      <c r="G3384" s="7">
        <v>268</v>
      </c>
      <c r="H3384" s="8">
        <v>268</v>
      </c>
      <c r="J3384" t="s">
        <v>23</v>
      </c>
      <c r="K3384" s="7">
        <v>876</v>
      </c>
      <c r="L3384" s="9">
        <v>1</v>
      </c>
      <c r="M3384" t="s">
        <v>286</v>
      </c>
      <c r="N3384" t="s">
        <v>201</v>
      </c>
      <c r="O3384" s="27" t="str">
        <f>HYPERLINK("https://www.ncbi.nlm.nih.gov/nuccore/NZ_CP016560.1?report=graph&amp;from=125933&amp;to=125937", "TTA_codon")</f>
        <v>TTA_codon</v>
      </c>
    </row>
    <row r="3385" spans="1:18" x14ac:dyDescent="0.15">
      <c r="A3385" t="s">
        <v>21</v>
      </c>
      <c r="B3385">
        <v>1000122</v>
      </c>
      <c r="C3385">
        <v>358198</v>
      </c>
      <c r="F3385" s="7">
        <v>2</v>
      </c>
      <c r="G3385" s="7" t="s">
        <v>2751</v>
      </c>
      <c r="H3385" s="8" t="s">
        <v>2752</v>
      </c>
      <c r="J3385" t="s">
        <v>23</v>
      </c>
      <c r="K3385" s="7">
        <v>774</v>
      </c>
      <c r="L3385" s="9">
        <v>1</v>
      </c>
      <c r="M3385" t="s">
        <v>2753</v>
      </c>
      <c r="N3385" t="s">
        <v>119</v>
      </c>
      <c r="O3385" s="27" t="str">
        <f>HYPERLINK("https://www.ncbi.nlm.nih.gov/nuccore/NZ_LIPP01000040.1?report=graph&amp;from=28799&amp;to=28818", "TTA_codon")</f>
        <v>TTA_codon</v>
      </c>
    </row>
    <row r="3386" spans="1:18" x14ac:dyDescent="0.15">
      <c r="A3386" t="s">
        <v>21</v>
      </c>
      <c r="B3386" t="s">
        <v>2754</v>
      </c>
    </row>
    <row r="3387" spans="1:18" x14ac:dyDescent="0.15">
      <c r="A3387" t="s">
        <v>21</v>
      </c>
      <c r="B3387">
        <v>1001163</v>
      </c>
      <c r="C3387">
        <v>356361</v>
      </c>
      <c r="F3387" s="7">
        <v>1</v>
      </c>
      <c r="G3387" s="7">
        <v>220</v>
      </c>
      <c r="H3387" s="8">
        <v>220</v>
      </c>
      <c r="J3387" t="s">
        <v>23</v>
      </c>
      <c r="K3387" s="7">
        <v>1398</v>
      </c>
      <c r="L3387" s="9">
        <v>1</v>
      </c>
      <c r="M3387" t="s">
        <v>491</v>
      </c>
      <c r="N3387" t="s">
        <v>354</v>
      </c>
      <c r="O3387" s="27" t="str">
        <f>HYPERLINK("https://www.ncbi.nlm.nih.gov/nuccore/NZ_JQJU01000031.1?report=graph&amp;from=17253&amp;to=17257", "TTA_codon")</f>
        <v>TTA_codon</v>
      </c>
    </row>
    <row r="3388" spans="1:18" x14ac:dyDescent="0.15">
      <c r="A3388" t="s">
        <v>21</v>
      </c>
      <c r="B3388">
        <v>1001163</v>
      </c>
      <c r="C3388">
        <v>364824</v>
      </c>
      <c r="F3388" s="7">
        <v>1</v>
      </c>
      <c r="G3388" s="7">
        <v>220</v>
      </c>
      <c r="H3388" s="8">
        <v>220</v>
      </c>
      <c r="J3388" t="s">
        <v>23</v>
      </c>
      <c r="K3388" s="7">
        <v>1380</v>
      </c>
      <c r="L3388" s="9">
        <v>1</v>
      </c>
      <c r="M3388" t="s">
        <v>126</v>
      </c>
      <c r="N3388" t="s">
        <v>127</v>
      </c>
      <c r="O3388" s="27" t="str">
        <f>HYPERLINK("https://www.ncbi.nlm.nih.gov/nuccore/NZ_CP021748.1?report=graph&amp;from=5016498&amp;to=5016502", "TTA_codon")</f>
        <v>TTA_codon</v>
      </c>
    </row>
    <row r="3389" spans="1:18" x14ac:dyDescent="0.15">
      <c r="A3389" t="s">
        <v>21</v>
      </c>
      <c r="B3389" t="s">
        <v>2755</v>
      </c>
    </row>
    <row r="3390" spans="1:18" x14ac:dyDescent="0.15">
      <c r="A3390" t="s">
        <v>21</v>
      </c>
      <c r="B3390">
        <v>1000859</v>
      </c>
      <c r="C3390">
        <v>352563</v>
      </c>
      <c r="F3390" s="7">
        <v>1</v>
      </c>
      <c r="G3390" s="7">
        <v>124</v>
      </c>
      <c r="H3390" s="8">
        <v>124</v>
      </c>
      <c r="J3390" t="s">
        <v>23</v>
      </c>
      <c r="K3390" s="7">
        <v>1035</v>
      </c>
      <c r="L3390" s="9">
        <v>-1</v>
      </c>
      <c r="M3390" t="s">
        <v>1728</v>
      </c>
      <c r="N3390" t="s">
        <v>436</v>
      </c>
      <c r="O3390" s="27" t="str">
        <f>HYPERLINK("https://www.ncbi.nlm.nih.gov/nuccore/NZ_AUBE01000004.1?report=graph&amp;from=252869&amp;to=252873", "TTA_codon")</f>
        <v>TTA_codon</v>
      </c>
    </row>
    <row r="3391" spans="1:18" x14ac:dyDescent="0.15">
      <c r="A3391" t="s">
        <v>21</v>
      </c>
      <c r="B3391">
        <v>1000859</v>
      </c>
      <c r="C3391">
        <v>363078</v>
      </c>
      <c r="F3391" s="7">
        <v>1</v>
      </c>
      <c r="G3391" s="7">
        <v>112</v>
      </c>
      <c r="H3391" s="8">
        <v>91</v>
      </c>
      <c r="J3391" t="s">
        <v>23</v>
      </c>
      <c r="K3391" s="7">
        <v>1008</v>
      </c>
      <c r="L3391" s="9">
        <v>-1</v>
      </c>
      <c r="M3391" t="s">
        <v>900</v>
      </c>
      <c r="N3391" t="s">
        <v>401</v>
      </c>
      <c r="O3391" s="27" t="str">
        <f>HYPERLINK("https://www.ncbi.nlm.nih.gov/nuccore/NZ_LFBV01000007.1?report=graph&amp;from=355756&amp;to=355760", "TTA_codon")</f>
        <v>TTA_codon</v>
      </c>
    </row>
    <row r="3392" spans="1:18" x14ac:dyDescent="0.15">
      <c r="A3392" t="s">
        <v>21</v>
      </c>
      <c r="B3392" t="s">
        <v>2756</v>
      </c>
    </row>
    <row r="3393" spans="1:15" x14ac:dyDescent="0.15">
      <c r="A3393" t="s">
        <v>21</v>
      </c>
      <c r="B3393">
        <v>1001414</v>
      </c>
      <c r="C3393">
        <v>350415</v>
      </c>
      <c r="F3393" s="7">
        <v>2</v>
      </c>
      <c r="G3393" s="7" t="s">
        <v>2757</v>
      </c>
      <c r="H3393" s="8" t="s">
        <v>2757</v>
      </c>
      <c r="J3393" t="s">
        <v>23</v>
      </c>
      <c r="K3393" s="7">
        <v>1269</v>
      </c>
      <c r="L3393" s="9">
        <v>-1</v>
      </c>
      <c r="M3393" t="s">
        <v>2758</v>
      </c>
      <c r="N3393" t="s">
        <v>36</v>
      </c>
      <c r="O3393" s="27" t="str">
        <f>HYPERLINK("https://www.ncbi.nlm.nih.gov/nuccore/NZ_JH725390.1?report=graph&amp;from=132254&amp;to=133026", "TTA_codon")</f>
        <v>TTA_codon</v>
      </c>
    </row>
    <row r="3394" spans="1:15" x14ac:dyDescent="0.15">
      <c r="A3394" t="s">
        <v>21</v>
      </c>
      <c r="B3394">
        <v>1001414</v>
      </c>
      <c r="C3394">
        <v>362283</v>
      </c>
      <c r="F3394" s="7">
        <v>1</v>
      </c>
      <c r="G3394" s="7">
        <v>70</v>
      </c>
      <c r="H3394" s="8">
        <v>70</v>
      </c>
      <c r="J3394" t="s">
        <v>23</v>
      </c>
      <c r="K3394" s="7">
        <v>1263</v>
      </c>
      <c r="L3394" s="9">
        <v>-1</v>
      </c>
      <c r="M3394" t="s">
        <v>39</v>
      </c>
      <c r="N3394" t="s">
        <v>40</v>
      </c>
      <c r="O3394" s="27" t="str">
        <f>HYPERLINK("https://www.ncbi.nlm.nih.gov/nuccore/NZ_CP017157.1?report=graph&amp;from=5075848&amp;to=5075852", "TTA_codon")</f>
        <v>TTA_codon</v>
      </c>
    </row>
    <row r="3395" spans="1:15" x14ac:dyDescent="0.15">
      <c r="A3395" t="s">
        <v>21</v>
      </c>
      <c r="B3395" t="s">
        <v>2759</v>
      </c>
    </row>
    <row r="3396" spans="1:15" x14ac:dyDescent="0.15">
      <c r="A3396" t="s">
        <v>21</v>
      </c>
      <c r="B3396">
        <v>1000425</v>
      </c>
      <c r="C3396">
        <v>348673</v>
      </c>
      <c r="F3396" s="7">
        <v>1</v>
      </c>
      <c r="G3396" s="7">
        <v>46</v>
      </c>
      <c r="H3396" s="8">
        <v>46</v>
      </c>
      <c r="J3396" t="s">
        <v>23</v>
      </c>
      <c r="K3396" s="7">
        <v>756</v>
      </c>
      <c r="L3396" s="9">
        <v>1</v>
      </c>
      <c r="M3396" t="s">
        <v>61</v>
      </c>
      <c r="N3396" t="s">
        <v>62</v>
      </c>
      <c r="O3396" s="27" t="str">
        <f>HYPERLINK("https://www.ncbi.nlm.nih.gov/nuccore/NZ_DS999641.1?report=graph&amp;from=210429&amp;to=210433", "TTA_codon")</f>
        <v>TTA_codon</v>
      </c>
    </row>
    <row r="3397" spans="1:15" x14ac:dyDescent="0.15">
      <c r="A3397" t="s">
        <v>21</v>
      </c>
      <c r="B3397">
        <v>1000425</v>
      </c>
      <c r="C3397">
        <v>366125</v>
      </c>
      <c r="F3397" s="7">
        <v>1</v>
      </c>
      <c r="G3397" s="7">
        <v>46</v>
      </c>
      <c r="H3397" s="8">
        <v>46</v>
      </c>
      <c r="J3397" t="s">
        <v>23</v>
      </c>
      <c r="K3397" s="7">
        <v>756</v>
      </c>
      <c r="L3397" s="9">
        <v>1</v>
      </c>
      <c r="M3397" t="s">
        <v>2760</v>
      </c>
      <c r="N3397" t="s">
        <v>257</v>
      </c>
      <c r="O3397" s="27" t="str">
        <f>HYPERLINK("https://www.ncbi.nlm.nih.gov/nuccore/NZ_FOET01000017.1?report=graph&amp;from=82726&amp;to=82730", "TTA_codon")</f>
        <v>TTA_codon</v>
      </c>
    </row>
    <row r="3398" spans="1:15" x14ac:dyDescent="0.15">
      <c r="A3398" t="s">
        <v>21</v>
      </c>
      <c r="B3398" t="s">
        <v>2761</v>
      </c>
    </row>
    <row r="3399" spans="1:15" x14ac:dyDescent="0.15">
      <c r="A3399" t="s">
        <v>21</v>
      </c>
      <c r="B3399">
        <v>1000820</v>
      </c>
      <c r="C3399">
        <v>352244</v>
      </c>
      <c r="F3399" s="7">
        <v>1</v>
      </c>
      <c r="G3399" s="7">
        <v>1588</v>
      </c>
      <c r="H3399" s="8">
        <v>1411</v>
      </c>
      <c r="J3399" t="s">
        <v>23</v>
      </c>
      <c r="K3399" s="7">
        <v>1539</v>
      </c>
      <c r="L3399" s="9">
        <v>1</v>
      </c>
      <c r="M3399" t="s">
        <v>2762</v>
      </c>
      <c r="N3399" t="s">
        <v>70</v>
      </c>
      <c r="O3399" s="27" t="str">
        <f>HYPERLINK("https://www.ncbi.nlm.nih.gov/nuccore/NZ_KB904653.1?report=graph&amp;from=113344&amp;to=113348", "TTA_codon")</f>
        <v>TTA_codon</v>
      </c>
    </row>
    <row r="3400" spans="1:15" x14ac:dyDescent="0.15">
      <c r="A3400" t="s">
        <v>21</v>
      </c>
      <c r="B3400">
        <v>1000820</v>
      </c>
      <c r="C3400">
        <v>360515</v>
      </c>
      <c r="F3400" s="7">
        <v>1</v>
      </c>
      <c r="G3400" s="7">
        <v>1585</v>
      </c>
      <c r="H3400" s="8">
        <v>1507</v>
      </c>
      <c r="J3400" t="s">
        <v>23</v>
      </c>
      <c r="K3400" s="7">
        <v>1638</v>
      </c>
      <c r="L3400" s="9">
        <v>1</v>
      </c>
      <c r="M3400" t="s">
        <v>121</v>
      </c>
      <c r="N3400" t="s">
        <v>122</v>
      </c>
      <c r="O3400" s="27" t="str">
        <f>HYPERLINK("https://www.ncbi.nlm.nih.gov/nuccore/NZ_CP016279.1?report=graph&amp;from=5532452&amp;to=5532456", "TTA_codon")</f>
        <v>TTA_codon</v>
      </c>
    </row>
    <row r="3401" spans="1:15" x14ac:dyDescent="0.15">
      <c r="A3401" t="s">
        <v>21</v>
      </c>
      <c r="B3401">
        <v>1000820</v>
      </c>
      <c r="C3401">
        <v>360608</v>
      </c>
      <c r="F3401" s="7">
        <v>1</v>
      </c>
      <c r="G3401" s="7">
        <v>1588</v>
      </c>
      <c r="H3401" s="8">
        <v>1435</v>
      </c>
      <c r="J3401" t="s">
        <v>23</v>
      </c>
      <c r="K3401" s="7">
        <v>1563</v>
      </c>
      <c r="L3401" s="9">
        <v>1</v>
      </c>
      <c r="M3401" t="s">
        <v>121</v>
      </c>
      <c r="N3401" t="s">
        <v>122</v>
      </c>
      <c r="O3401" s="27" t="str">
        <f>HYPERLINK("https://www.ncbi.nlm.nih.gov/nuccore/NZ_CP016279.1?report=graph&amp;from=8593532&amp;to=8593536", "TTA_codon")</f>
        <v>TTA_codon</v>
      </c>
    </row>
    <row r="3402" spans="1:15" x14ac:dyDescent="0.15">
      <c r="A3402" t="s">
        <v>21</v>
      </c>
      <c r="B3402" t="s">
        <v>2763</v>
      </c>
    </row>
    <row r="3403" spans="1:15" x14ac:dyDescent="0.15">
      <c r="A3403" t="s">
        <v>21</v>
      </c>
      <c r="B3403">
        <v>1001153</v>
      </c>
      <c r="C3403">
        <v>356245</v>
      </c>
      <c r="F3403" s="7">
        <v>2</v>
      </c>
      <c r="G3403" s="7" t="s">
        <v>2764</v>
      </c>
      <c r="H3403" s="8" t="s">
        <v>2764</v>
      </c>
      <c r="J3403" t="s">
        <v>23</v>
      </c>
      <c r="K3403" s="7">
        <v>729</v>
      </c>
      <c r="L3403" s="9">
        <v>1</v>
      </c>
      <c r="M3403" t="s">
        <v>2765</v>
      </c>
      <c r="N3403" t="s">
        <v>77</v>
      </c>
      <c r="O3403" s="27" t="str">
        <f>HYPERLINK("https://www.ncbi.nlm.nih.gov/nuccore/NZ_JNXD01000019.1?report=graph&amp;from=22894&amp;to=22940", "TTA_codon")</f>
        <v>TTA_codon</v>
      </c>
    </row>
    <row r="3404" spans="1:15" x14ac:dyDescent="0.15">
      <c r="A3404" t="s">
        <v>21</v>
      </c>
      <c r="B3404">
        <v>1001153</v>
      </c>
      <c r="C3404">
        <v>357779</v>
      </c>
      <c r="F3404" s="7">
        <v>2</v>
      </c>
      <c r="G3404" s="7" t="s">
        <v>2764</v>
      </c>
      <c r="H3404" s="8" t="s">
        <v>2764</v>
      </c>
      <c r="J3404" t="s">
        <v>23</v>
      </c>
      <c r="K3404" s="7">
        <v>738</v>
      </c>
      <c r="L3404" s="9">
        <v>1</v>
      </c>
      <c r="M3404" t="s">
        <v>2185</v>
      </c>
      <c r="N3404" t="s">
        <v>83</v>
      </c>
      <c r="O3404" s="27" t="str">
        <f>HYPERLINK("https://www.ncbi.nlm.nih.gov/nuccore/NZ_DF968231.1?report=graph&amp;from=51269&amp;to=51315", "TTA_codon")</f>
        <v>TTA_codon</v>
      </c>
    </row>
    <row r="3405" spans="1:15" x14ac:dyDescent="0.15">
      <c r="A3405" t="s">
        <v>21</v>
      </c>
      <c r="B3405" t="s">
        <v>2766</v>
      </c>
    </row>
    <row r="3406" spans="1:15" x14ac:dyDescent="0.15">
      <c r="A3406" t="s">
        <v>21</v>
      </c>
      <c r="B3406">
        <v>1001369</v>
      </c>
      <c r="C3406">
        <v>348534</v>
      </c>
      <c r="F3406" s="7">
        <v>1</v>
      </c>
      <c r="G3406" s="7">
        <v>3121</v>
      </c>
      <c r="H3406" s="8">
        <v>2308</v>
      </c>
      <c r="J3406" t="s">
        <v>23</v>
      </c>
      <c r="K3406" s="7">
        <v>3792</v>
      </c>
      <c r="L3406" s="9">
        <v>-1</v>
      </c>
      <c r="M3406" t="s">
        <v>61</v>
      </c>
      <c r="N3406" t="s">
        <v>62</v>
      </c>
      <c r="O3406" s="27" t="str">
        <f>HYPERLINK("https://www.ncbi.nlm.nih.gov/nuccore/NZ_DS999641.1?report=graph&amp;from=5526837&amp;to=5526841", "TTA_codon")</f>
        <v>TTA_codon</v>
      </c>
    </row>
    <row r="3407" spans="1:15" x14ac:dyDescent="0.15">
      <c r="A3407" t="s">
        <v>21</v>
      </c>
      <c r="B3407">
        <v>1001369</v>
      </c>
      <c r="C3407">
        <v>361382</v>
      </c>
      <c r="F3407" s="7">
        <v>1</v>
      </c>
      <c r="G3407" s="7">
        <v>2890</v>
      </c>
      <c r="H3407" s="8">
        <v>2749</v>
      </c>
      <c r="J3407" t="s">
        <v>23</v>
      </c>
      <c r="K3407" s="7">
        <v>3909</v>
      </c>
      <c r="L3407" s="9">
        <v>-1</v>
      </c>
      <c r="M3407" t="s">
        <v>286</v>
      </c>
      <c r="N3407" t="s">
        <v>201</v>
      </c>
      <c r="O3407" s="27" t="str">
        <f>HYPERLINK("https://www.ncbi.nlm.nih.gov/nuccore/NZ_CP016560.1?report=graph&amp;from=451460&amp;to=451464", "TTA_codon")</f>
        <v>TTA_codon</v>
      </c>
    </row>
    <row r="3408" spans="1:15" x14ac:dyDescent="0.15">
      <c r="A3408" t="s">
        <v>21</v>
      </c>
      <c r="B3408">
        <v>1001369</v>
      </c>
      <c r="C3408">
        <v>365423</v>
      </c>
      <c r="F3408" s="7">
        <v>1</v>
      </c>
      <c r="G3408" s="7">
        <v>2782</v>
      </c>
      <c r="H3408" s="8">
        <v>2536</v>
      </c>
      <c r="J3408" t="s">
        <v>23</v>
      </c>
      <c r="K3408" s="7">
        <v>3825</v>
      </c>
      <c r="L3408" s="9">
        <v>-1</v>
      </c>
      <c r="M3408" t="s">
        <v>2767</v>
      </c>
      <c r="N3408" t="s">
        <v>45</v>
      </c>
      <c r="O3408" s="27" t="str">
        <f>HYPERLINK("https://www.ncbi.nlm.nih.gov/nuccore/NZ_FNIE01000019.1?report=graph&amp;from=87225&amp;to=87229", "TTA_codon")</f>
        <v>TTA_codon</v>
      </c>
    </row>
    <row r="3409" spans="1:15" x14ac:dyDescent="0.15">
      <c r="A3409" t="s">
        <v>21</v>
      </c>
      <c r="B3409" t="s">
        <v>2768</v>
      </c>
    </row>
    <row r="3410" spans="1:15" x14ac:dyDescent="0.15">
      <c r="A3410" t="s">
        <v>21</v>
      </c>
      <c r="B3410">
        <v>1000495</v>
      </c>
      <c r="C3410">
        <v>349316</v>
      </c>
      <c r="F3410" s="7">
        <v>1</v>
      </c>
      <c r="G3410" s="7">
        <v>523</v>
      </c>
      <c r="H3410" s="8">
        <v>493</v>
      </c>
      <c r="J3410" t="s">
        <v>23</v>
      </c>
      <c r="K3410" s="7">
        <v>945</v>
      </c>
      <c r="L3410" s="9">
        <v>-1</v>
      </c>
      <c r="M3410" t="s">
        <v>458</v>
      </c>
      <c r="N3410" t="s">
        <v>315</v>
      </c>
      <c r="O3410" s="27" t="str">
        <f>HYPERLINK("https://www.ncbi.nlm.nih.gov/nuccore/NC_003888.3?report=graph&amp;from=8630891&amp;to=8630895", "TTA_codon")</f>
        <v>TTA_codon</v>
      </c>
    </row>
    <row r="3411" spans="1:15" x14ac:dyDescent="0.15">
      <c r="A3411" t="s">
        <v>21</v>
      </c>
      <c r="B3411">
        <v>1000495</v>
      </c>
      <c r="C3411">
        <v>349317</v>
      </c>
      <c r="F3411" s="7">
        <v>1</v>
      </c>
      <c r="G3411" s="7">
        <v>466</v>
      </c>
      <c r="H3411" s="8">
        <v>460</v>
      </c>
      <c r="J3411" t="s">
        <v>23</v>
      </c>
      <c r="K3411" s="7">
        <v>822</v>
      </c>
      <c r="L3411" s="9">
        <v>-1</v>
      </c>
      <c r="M3411" t="s">
        <v>458</v>
      </c>
      <c r="N3411" t="s">
        <v>315</v>
      </c>
      <c r="O3411" s="27" t="str">
        <f>HYPERLINK("https://www.ncbi.nlm.nih.gov/nuccore/NC_003888.3?report=graph&amp;from=7870057&amp;to=7870061", "TTA_codon")</f>
        <v>TTA_codon</v>
      </c>
    </row>
    <row r="3412" spans="1:15" x14ac:dyDescent="0.15">
      <c r="A3412" t="s">
        <v>21</v>
      </c>
      <c r="B3412">
        <v>1000495</v>
      </c>
      <c r="C3412">
        <v>351768</v>
      </c>
      <c r="F3412" s="7">
        <v>2</v>
      </c>
      <c r="G3412" s="7" t="s">
        <v>2769</v>
      </c>
      <c r="H3412" s="8" t="s">
        <v>2770</v>
      </c>
      <c r="J3412" t="s">
        <v>23</v>
      </c>
      <c r="K3412" s="7">
        <v>723</v>
      </c>
      <c r="L3412" s="9">
        <v>-1</v>
      </c>
      <c r="M3412" t="s">
        <v>2771</v>
      </c>
      <c r="N3412" t="s">
        <v>68</v>
      </c>
      <c r="O3412" s="27" t="str">
        <f>HYPERLINK("https://www.ncbi.nlm.nih.gov/nuccore/NZ_BARG01000053.1?report=graph&amp;from=102392&amp;to=102708", "TTA_codon")</f>
        <v>TTA_codon</v>
      </c>
    </row>
    <row r="3413" spans="1:15" x14ac:dyDescent="0.15">
      <c r="A3413" t="s">
        <v>21</v>
      </c>
      <c r="B3413">
        <v>1000495</v>
      </c>
      <c r="C3413">
        <v>356356</v>
      </c>
      <c r="F3413" s="7">
        <v>1</v>
      </c>
      <c r="G3413" s="7">
        <v>523</v>
      </c>
      <c r="H3413" s="8">
        <v>412</v>
      </c>
      <c r="J3413" t="s">
        <v>23</v>
      </c>
      <c r="K3413" s="7">
        <v>741</v>
      </c>
      <c r="L3413" s="9">
        <v>-1</v>
      </c>
      <c r="M3413" t="s">
        <v>2772</v>
      </c>
      <c r="N3413" t="s">
        <v>354</v>
      </c>
      <c r="O3413" s="27" t="str">
        <f>HYPERLINK("https://www.ncbi.nlm.nih.gov/nuccore/NZ_JQJU01000018.1?report=graph&amp;from=30064&amp;to=30068", "TTA_codon")</f>
        <v>TTA_codon</v>
      </c>
    </row>
    <row r="3414" spans="1:15" x14ac:dyDescent="0.15">
      <c r="A3414" t="s">
        <v>21</v>
      </c>
      <c r="B3414">
        <v>1000495</v>
      </c>
      <c r="C3414">
        <v>357136</v>
      </c>
      <c r="F3414" s="7">
        <v>1</v>
      </c>
      <c r="G3414" s="7">
        <v>523</v>
      </c>
      <c r="H3414" s="8">
        <v>412</v>
      </c>
      <c r="J3414" t="s">
        <v>23</v>
      </c>
      <c r="K3414" s="7">
        <v>741</v>
      </c>
      <c r="L3414" s="9">
        <v>-1</v>
      </c>
      <c r="M3414" t="s">
        <v>2600</v>
      </c>
      <c r="N3414" t="s">
        <v>206</v>
      </c>
      <c r="O3414" s="27" t="str">
        <f>HYPERLINK("https://www.ncbi.nlm.nih.gov/nuccore/NZ_CP010408.1?report=graph&amp;from=172518&amp;to=172522", "TTA_codon")</f>
        <v>TTA_codon</v>
      </c>
    </row>
    <row r="3415" spans="1:15" x14ac:dyDescent="0.15">
      <c r="A3415" t="s">
        <v>21</v>
      </c>
      <c r="B3415">
        <v>1000495</v>
      </c>
      <c r="C3415">
        <v>359036</v>
      </c>
      <c r="F3415" s="7">
        <v>1</v>
      </c>
      <c r="G3415" s="7">
        <v>466</v>
      </c>
      <c r="H3415" s="8">
        <v>460</v>
      </c>
      <c r="J3415" t="s">
        <v>23</v>
      </c>
      <c r="K3415" s="7">
        <v>822</v>
      </c>
      <c r="L3415" s="9">
        <v>-1</v>
      </c>
      <c r="M3415" t="s">
        <v>2773</v>
      </c>
      <c r="N3415" t="s">
        <v>451</v>
      </c>
      <c r="O3415" s="27" t="str">
        <f>HYPERLINK("https://www.ncbi.nlm.nih.gov/nuccore/NZ_LIQZ01000031.1?report=graph&amp;from=10586&amp;to=10590", "TTA_codon")</f>
        <v>TTA_codon</v>
      </c>
    </row>
    <row r="3416" spans="1:15" x14ac:dyDescent="0.15">
      <c r="A3416" t="s">
        <v>21</v>
      </c>
      <c r="B3416">
        <v>1000495</v>
      </c>
      <c r="C3416">
        <v>359037</v>
      </c>
      <c r="F3416" s="7">
        <v>1</v>
      </c>
      <c r="G3416" s="7">
        <v>523</v>
      </c>
      <c r="H3416" s="8">
        <v>412</v>
      </c>
      <c r="J3416" t="s">
        <v>23</v>
      </c>
      <c r="K3416" s="7">
        <v>741</v>
      </c>
      <c r="L3416" s="9">
        <v>-1</v>
      </c>
      <c r="M3416" t="s">
        <v>2774</v>
      </c>
      <c r="N3416" t="s">
        <v>451</v>
      </c>
      <c r="O3416" s="27" t="str">
        <f>HYPERLINK("https://www.ncbi.nlm.nih.gov/nuccore/NZ_LIQZ01000089.1?report=graph&amp;from=399&amp;to=403", "TTA_codon")</f>
        <v>TTA_codon</v>
      </c>
    </row>
    <row r="3417" spans="1:15" x14ac:dyDescent="0.15">
      <c r="A3417" t="s">
        <v>21</v>
      </c>
      <c r="B3417">
        <v>1000495</v>
      </c>
      <c r="C3417">
        <v>363446</v>
      </c>
      <c r="F3417" s="7">
        <v>1</v>
      </c>
      <c r="G3417" s="7">
        <v>523</v>
      </c>
      <c r="H3417" s="8">
        <v>415</v>
      </c>
      <c r="J3417" t="s">
        <v>23</v>
      </c>
      <c r="K3417" s="7">
        <v>744</v>
      </c>
      <c r="L3417" s="9">
        <v>-1</v>
      </c>
      <c r="M3417" t="s">
        <v>157</v>
      </c>
      <c r="N3417" t="s">
        <v>158</v>
      </c>
      <c r="O3417" s="27" t="str">
        <f>HYPERLINK("https://www.ncbi.nlm.nih.gov/nuccore/NZ_CP015588.1?report=graph&amp;from=1771457&amp;to=1771461", "TTA_codon")</f>
        <v>TTA_codon</v>
      </c>
    </row>
    <row r="3418" spans="1:15" x14ac:dyDescent="0.15">
      <c r="A3418" t="s">
        <v>21</v>
      </c>
      <c r="B3418">
        <v>1000495</v>
      </c>
      <c r="C3418">
        <v>365926</v>
      </c>
      <c r="F3418" s="7">
        <v>1</v>
      </c>
      <c r="G3418" s="7">
        <v>466</v>
      </c>
      <c r="H3418" s="8">
        <v>460</v>
      </c>
      <c r="J3418" t="s">
        <v>23</v>
      </c>
      <c r="K3418" s="7">
        <v>822</v>
      </c>
      <c r="L3418" s="9">
        <v>-1</v>
      </c>
      <c r="M3418" t="s">
        <v>2775</v>
      </c>
      <c r="N3418" t="s">
        <v>115</v>
      </c>
      <c r="O3418" s="27" t="str">
        <f>HYPERLINK("https://www.ncbi.nlm.nih.gov/nuccore/NZ_FODD01000058.1?report=graph&amp;from=17551&amp;to=17555", "TTA_codon")</f>
        <v>TTA_codon</v>
      </c>
    </row>
    <row r="3419" spans="1:15" x14ac:dyDescent="0.15">
      <c r="A3419" t="s">
        <v>21</v>
      </c>
      <c r="B3419" t="s">
        <v>2776</v>
      </c>
    </row>
    <row r="3420" spans="1:15" x14ac:dyDescent="0.15">
      <c r="A3420" t="s">
        <v>21</v>
      </c>
      <c r="B3420">
        <v>1001558</v>
      </c>
      <c r="C3420">
        <v>367064</v>
      </c>
      <c r="F3420" s="7">
        <v>1</v>
      </c>
      <c r="G3420" s="7">
        <v>277</v>
      </c>
      <c r="H3420" s="8">
        <v>277</v>
      </c>
      <c r="J3420" t="s">
        <v>23</v>
      </c>
      <c r="K3420" s="7">
        <v>336</v>
      </c>
      <c r="L3420" s="9">
        <v>1</v>
      </c>
      <c r="M3420" t="s">
        <v>228</v>
      </c>
      <c r="N3420" t="s">
        <v>229</v>
      </c>
      <c r="O3420" s="27" t="str">
        <f>HYPERLINK("https://www.ncbi.nlm.nih.gov/nuccore/MN428060.1?report=graph&amp;from=61921&amp;to=61925", "TTA_codon")</f>
        <v>TTA_codon</v>
      </c>
    </row>
    <row r="3421" spans="1:15" x14ac:dyDescent="0.15">
      <c r="A3421" t="s">
        <v>21</v>
      </c>
      <c r="B3421">
        <v>1001558</v>
      </c>
      <c r="C3421">
        <v>367195</v>
      </c>
      <c r="F3421" s="7">
        <v>1</v>
      </c>
      <c r="G3421" s="7">
        <v>277</v>
      </c>
      <c r="H3421" s="8">
        <v>277</v>
      </c>
      <c r="J3421" t="s">
        <v>23</v>
      </c>
      <c r="K3421" s="7">
        <v>336</v>
      </c>
      <c r="L3421" s="9">
        <v>1</v>
      </c>
      <c r="M3421" t="s">
        <v>236</v>
      </c>
      <c r="N3421" t="s">
        <v>237</v>
      </c>
      <c r="O3421" s="27" t="str">
        <f>HYPERLINK("https://www.ncbi.nlm.nih.gov/nuccore/MW291014.1?report=graph&amp;from=61828&amp;to=61832", "TTA_codon")</f>
        <v>TTA_codon</v>
      </c>
    </row>
    <row r="3422" spans="1:15" x14ac:dyDescent="0.15">
      <c r="A3422" t="s">
        <v>21</v>
      </c>
      <c r="B3422">
        <v>1001558</v>
      </c>
      <c r="C3422">
        <v>367357</v>
      </c>
      <c r="F3422" s="7">
        <v>1</v>
      </c>
      <c r="G3422" s="7">
        <v>277</v>
      </c>
      <c r="H3422" s="8">
        <v>277</v>
      </c>
      <c r="J3422" t="s">
        <v>23</v>
      </c>
      <c r="K3422" s="7">
        <v>336</v>
      </c>
      <c r="L3422" s="9">
        <v>1</v>
      </c>
      <c r="M3422" t="s">
        <v>240</v>
      </c>
      <c r="N3422" t="s">
        <v>241</v>
      </c>
      <c r="O3422" s="27" t="str">
        <f>HYPERLINK("https://www.ncbi.nlm.nih.gov/nuccore/NC_048724.1?report=graph&amp;from=62326&amp;to=62330", "TTA_codon")</f>
        <v>TTA_codon</v>
      </c>
    </row>
    <row r="3423" spans="1:15" x14ac:dyDescent="0.15">
      <c r="A3423" t="s">
        <v>21</v>
      </c>
      <c r="B3423" t="s">
        <v>2777</v>
      </c>
    </row>
    <row r="3424" spans="1:15" x14ac:dyDescent="0.15">
      <c r="A3424" t="s">
        <v>21</v>
      </c>
      <c r="B3424">
        <v>1000840</v>
      </c>
      <c r="C3424">
        <v>352420</v>
      </c>
      <c r="F3424" s="7">
        <v>1</v>
      </c>
      <c r="G3424" s="7">
        <v>631</v>
      </c>
      <c r="H3424" s="8">
        <v>619</v>
      </c>
      <c r="J3424" t="s">
        <v>23</v>
      </c>
      <c r="K3424" s="7">
        <v>921</v>
      </c>
      <c r="L3424" s="9">
        <v>1</v>
      </c>
      <c r="M3424" t="s">
        <v>30</v>
      </c>
      <c r="N3424" t="s">
        <v>31</v>
      </c>
      <c r="O3424" s="27" t="str">
        <f>HYPERLINK("https://www.ncbi.nlm.nih.gov/nuccore/NZ_KB913030.1?report=graph&amp;from=4960926&amp;to=4960930", "TTA_codon")</f>
        <v>TTA_codon</v>
      </c>
    </row>
    <row r="3425" spans="1:15" x14ac:dyDescent="0.15">
      <c r="A3425" t="s">
        <v>21</v>
      </c>
      <c r="B3425">
        <v>1000840</v>
      </c>
      <c r="C3425">
        <v>364301</v>
      </c>
      <c r="F3425" s="7">
        <v>1</v>
      </c>
      <c r="G3425" s="7">
        <v>568</v>
      </c>
      <c r="H3425" s="8">
        <v>559</v>
      </c>
      <c r="J3425" t="s">
        <v>23</v>
      </c>
      <c r="K3425" s="7">
        <v>918</v>
      </c>
      <c r="L3425" s="9">
        <v>1</v>
      </c>
      <c r="M3425" t="s">
        <v>105</v>
      </c>
      <c r="N3425" t="s">
        <v>106</v>
      </c>
      <c r="O3425" s="27" t="str">
        <f>HYPERLINK("https://www.ncbi.nlm.nih.gov/nuccore/NZ_CP020042.1?report=graph&amp;from=5182992&amp;to=5182996", "TTA_codon")</f>
        <v>TTA_codon</v>
      </c>
    </row>
    <row r="3426" spans="1:15" x14ac:dyDescent="0.15">
      <c r="A3426" t="s">
        <v>21</v>
      </c>
      <c r="B3426" t="s">
        <v>2778</v>
      </c>
    </row>
    <row r="3427" spans="1:15" x14ac:dyDescent="0.15">
      <c r="A3427" t="s">
        <v>21</v>
      </c>
      <c r="B3427">
        <v>1000499</v>
      </c>
      <c r="C3427">
        <v>349332</v>
      </c>
      <c r="F3427" s="7">
        <v>1</v>
      </c>
      <c r="G3427" s="7">
        <v>478</v>
      </c>
      <c r="H3427" s="8">
        <v>466</v>
      </c>
      <c r="J3427" t="s">
        <v>23</v>
      </c>
      <c r="K3427" s="7">
        <v>639</v>
      </c>
      <c r="L3427" s="9">
        <v>-1</v>
      </c>
      <c r="M3427" t="s">
        <v>458</v>
      </c>
      <c r="N3427" t="s">
        <v>315</v>
      </c>
      <c r="O3427" s="27" t="str">
        <f>HYPERLINK("https://www.ncbi.nlm.nih.gov/nuccore/NC_003888.3?report=graph&amp;from=6438391&amp;to=6438395", "TTA_codon")</f>
        <v>TTA_codon</v>
      </c>
    </row>
    <row r="3428" spans="1:15" x14ac:dyDescent="0.15">
      <c r="A3428" t="s">
        <v>21</v>
      </c>
      <c r="B3428">
        <v>1000499</v>
      </c>
      <c r="C3428">
        <v>358123</v>
      </c>
      <c r="F3428" s="7">
        <v>1</v>
      </c>
      <c r="G3428" s="7">
        <v>562</v>
      </c>
      <c r="H3428" s="8">
        <v>511</v>
      </c>
      <c r="J3428" t="s">
        <v>23</v>
      </c>
      <c r="K3428" s="7">
        <v>606</v>
      </c>
      <c r="L3428" s="9">
        <v>-1</v>
      </c>
      <c r="M3428" t="s">
        <v>2779</v>
      </c>
      <c r="N3428" t="s">
        <v>119</v>
      </c>
      <c r="O3428" s="27" t="str">
        <f>HYPERLINK("https://www.ncbi.nlm.nih.gov/nuccore/NZ_LIPP01000038.1?report=graph&amp;from=21359&amp;to=21363", "TTA_codon")</f>
        <v>TTA_codon</v>
      </c>
    </row>
    <row r="3429" spans="1:15" x14ac:dyDescent="0.15">
      <c r="A3429" t="s">
        <v>21</v>
      </c>
      <c r="B3429">
        <v>1000499</v>
      </c>
      <c r="C3429">
        <v>359851</v>
      </c>
      <c r="F3429" s="7">
        <v>1</v>
      </c>
      <c r="G3429" s="7">
        <v>562</v>
      </c>
      <c r="H3429" s="8">
        <v>511</v>
      </c>
      <c r="J3429" t="s">
        <v>23</v>
      </c>
      <c r="K3429" s="7">
        <v>609</v>
      </c>
      <c r="L3429" s="9">
        <v>-1</v>
      </c>
      <c r="M3429" t="s">
        <v>2780</v>
      </c>
      <c r="N3429" t="s">
        <v>91</v>
      </c>
      <c r="O3429" s="27" t="str">
        <f>HYPERLINK("https://www.ncbi.nlm.nih.gov/nuccore/NZ_KQ948321.1?report=graph&amp;from=146684&amp;to=146688", "TTA_codon")</f>
        <v>TTA_codon</v>
      </c>
    </row>
    <row r="3430" spans="1:15" x14ac:dyDescent="0.15">
      <c r="A3430" t="s">
        <v>21</v>
      </c>
      <c r="B3430" t="s">
        <v>2781</v>
      </c>
    </row>
    <row r="3431" spans="1:15" x14ac:dyDescent="0.15">
      <c r="A3431" t="s">
        <v>21</v>
      </c>
      <c r="B3431">
        <v>1000177</v>
      </c>
      <c r="C3431">
        <v>347272</v>
      </c>
      <c r="F3431" s="7">
        <v>1</v>
      </c>
      <c r="G3431" s="7">
        <v>88</v>
      </c>
      <c r="H3431" s="8">
        <v>88</v>
      </c>
      <c r="J3431" t="s">
        <v>23</v>
      </c>
      <c r="K3431" s="7">
        <v>1440</v>
      </c>
      <c r="L3431" s="9">
        <v>1</v>
      </c>
      <c r="M3431" t="s">
        <v>53</v>
      </c>
      <c r="N3431" t="s">
        <v>54</v>
      </c>
      <c r="O3431" s="27" t="str">
        <f>HYPERLINK("https://www.ncbi.nlm.nih.gov/nuccore/NC_003155.5?report=graph&amp;from=3747862&amp;to=3747866", "TTA_codon")</f>
        <v>TTA_codon</v>
      </c>
    </row>
    <row r="3432" spans="1:15" x14ac:dyDescent="0.15">
      <c r="A3432" t="s">
        <v>21</v>
      </c>
      <c r="B3432">
        <v>1000177</v>
      </c>
      <c r="C3432">
        <v>347352</v>
      </c>
      <c r="F3432" s="7">
        <v>1</v>
      </c>
      <c r="G3432" s="7">
        <v>79</v>
      </c>
      <c r="H3432" s="8">
        <v>76</v>
      </c>
      <c r="J3432" t="s">
        <v>23</v>
      </c>
      <c r="K3432" s="7">
        <v>1437</v>
      </c>
      <c r="L3432" s="9">
        <v>1</v>
      </c>
      <c r="M3432" t="s">
        <v>217</v>
      </c>
      <c r="N3432" t="s">
        <v>218</v>
      </c>
      <c r="O3432" s="27" t="str">
        <f>HYPERLINK("https://www.ncbi.nlm.nih.gov/nuccore/NC_021985.1?report=graph&amp;from=6865885&amp;to=6865889", "TTA_codon")</f>
        <v>TTA_codon</v>
      </c>
    </row>
    <row r="3433" spans="1:15" x14ac:dyDescent="0.15">
      <c r="A3433" t="s">
        <v>21</v>
      </c>
      <c r="B3433">
        <v>1000177</v>
      </c>
      <c r="C3433">
        <v>352083</v>
      </c>
      <c r="F3433" s="7">
        <v>1</v>
      </c>
      <c r="G3433" s="7">
        <v>76</v>
      </c>
      <c r="H3433" s="8">
        <v>43</v>
      </c>
      <c r="J3433" t="s">
        <v>23</v>
      </c>
      <c r="K3433" s="7">
        <v>1437</v>
      </c>
      <c r="L3433" s="9">
        <v>1</v>
      </c>
      <c r="M3433" t="s">
        <v>2782</v>
      </c>
      <c r="N3433" t="s">
        <v>70</v>
      </c>
      <c r="O3433" s="27" t="str">
        <f>HYPERLINK("https://www.ncbi.nlm.nih.gov/nuccore/NZ_KB904690.1?report=graph&amp;from=28406&amp;to=28410", "TTA_codon")</f>
        <v>TTA_codon</v>
      </c>
    </row>
    <row r="3434" spans="1:15" x14ac:dyDescent="0.15">
      <c r="A3434" t="s">
        <v>21</v>
      </c>
      <c r="B3434">
        <v>1000177</v>
      </c>
      <c r="C3434">
        <v>357396</v>
      </c>
      <c r="F3434" s="7">
        <v>1</v>
      </c>
      <c r="G3434" s="7">
        <v>76</v>
      </c>
      <c r="H3434" s="8">
        <v>52</v>
      </c>
      <c r="J3434" t="s">
        <v>23</v>
      </c>
      <c r="K3434" s="7">
        <v>1455</v>
      </c>
      <c r="L3434" s="9">
        <v>1</v>
      </c>
      <c r="M3434" t="s">
        <v>80</v>
      </c>
      <c r="N3434" t="s">
        <v>81</v>
      </c>
      <c r="O3434" s="27" t="str">
        <f>HYPERLINK("https://www.ncbi.nlm.nih.gov/nuccore/NZ_LN831790.1?report=graph&amp;from=350432&amp;to=350436", "TTA_codon")</f>
        <v>TTA_codon</v>
      </c>
    </row>
    <row r="3435" spans="1:15" x14ac:dyDescent="0.15">
      <c r="A3435" t="s">
        <v>21</v>
      </c>
      <c r="B3435" t="s">
        <v>2783</v>
      </c>
    </row>
    <row r="3436" spans="1:15" x14ac:dyDescent="0.15">
      <c r="A3436" t="s">
        <v>21</v>
      </c>
      <c r="B3436">
        <v>1000647</v>
      </c>
      <c r="C3436">
        <v>350528</v>
      </c>
      <c r="F3436" s="7">
        <v>1</v>
      </c>
      <c r="G3436" s="7">
        <v>64</v>
      </c>
      <c r="H3436" s="8">
        <v>64</v>
      </c>
      <c r="J3436" t="s">
        <v>23</v>
      </c>
      <c r="K3436" s="7">
        <v>1008</v>
      </c>
      <c r="L3436" s="9">
        <v>-1</v>
      </c>
      <c r="M3436" t="s">
        <v>2784</v>
      </c>
      <c r="N3436" t="s">
        <v>134</v>
      </c>
      <c r="O3436" s="27" t="str">
        <f>HYPERLINK("https://www.ncbi.nlm.nih.gov/nuccore/NZ_AJSZ01000079.1?report=graph&amp;from=27790&amp;to=27794", "TTA_codon")</f>
        <v>TTA_codon</v>
      </c>
    </row>
    <row r="3437" spans="1:15" x14ac:dyDescent="0.15">
      <c r="A3437" t="s">
        <v>21</v>
      </c>
      <c r="B3437">
        <v>1000647</v>
      </c>
      <c r="C3437">
        <v>361384</v>
      </c>
      <c r="F3437" s="7">
        <v>1</v>
      </c>
      <c r="G3437" s="7">
        <v>64</v>
      </c>
      <c r="H3437" s="8">
        <v>64</v>
      </c>
      <c r="J3437" t="s">
        <v>23</v>
      </c>
      <c r="K3437" s="7">
        <v>1008</v>
      </c>
      <c r="L3437" s="9">
        <v>-1</v>
      </c>
      <c r="M3437" t="s">
        <v>200</v>
      </c>
      <c r="N3437" t="s">
        <v>201</v>
      </c>
      <c r="O3437" s="27" t="str">
        <f>HYPERLINK("https://www.ncbi.nlm.nih.gov/nuccore/NZ_CP016559.1?report=graph&amp;from=447185&amp;to=447189", "TTA_codon")</f>
        <v>TTA_codon</v>
      </c>
    </row>
    <row r="3438" spans="1:15" x14ac:dyDescent="0.15">
      <c r="A3438" t="s">
        <v>21</v>
      </c>
      <c r="B3438" t="s">
        <v>2785</v>
      </c>
    </row>
    <row r="3439" spans="1:15" x14ac:dyDescent="0.15">
      <c r="A3439" t="s">
        <v>21</v>
      </c>
      <c r="B3439">
        <v>1000183</v>
      </c>
      <c r="C3439">
        <v>347293</v>
      </c>
      <c r="F3439" s="7">
        <v>1</v>
      </c>
      <c r="G3439" s="7">
        <v>514</v>
      </c>
      <c r="H3439" s="8">
        <v>511</v>
      </c>
      <c r="J3439" t="s">
        <v>23</v>
      </c>
      <c r="K3439" s="7">
        <v>1311</v>
      </c>
      <c r="L3439" s="9">
        <v>-1</v>
      </c>
      <c r="M3439" t="s">
        <v>53</v>
      </c>
      <c r="N3439" t="s">
        <v>54</v>
      </c>
      <c r="O3439" s="27" t="str">
        <f>HYPERLINK("https://www.ncbi.nlm.nih.gov/nuccore/NC_003155.5?report=graph&amp;from=6520402&amp;to=6520406", "TTA_codon")</f>
        <v>TTA_codon</v>
      </c>
    </row>
    <row r="3440" spans="1:15" x14ac:dyDescent="0.15">
      <c r="A3440" t="s">
        <v>21</v>
      </c>
      <c r="B3440">
        <v>1000183</v>
      </c>
      <c r="C3440">
        <v>347808</v>
      </c>
      <c r="F3440" s="7">
        <v>1</v>
      </c>
      <c r="G3440" s="7">
        <v>514</v>
      </c>
      <c r="H3440" s="8">
        <v>511</v>
      </c>
      <c r="J3440" t="s">
        <v>23</v>
      </c>
      <c r="K3440" s="7">
        <v>1311</v>
      </c>
      <c r="L3440" s="9">
        <v>-1</v>
      </c>
      <c r="M3440" t="s">
        <v>57</v>
      </c>
      <c r="N3440" t="s">
        <v>58</v>
      </c>
      <c r="O3440" s="27" t="str">
        <f>HYPERLINK("https://www.ncbi.nlm.nih.gov/nuccore/NC_013929.1?report=graph&amp;from=6609981&amp;to=6609985", "TTA_codon")</f>
        <v>TTA_codon</v>
      </c>
    </row>
    <row r="3441" spans="1:15" x14ac:dyDescent="0.15">
      <c r="A3441" t="s">
        <v>21</v>
      </c>
      <c r="B3441">
        <v>1000183</v>
      </c>
      <c r="C3441">
        <v>349614</v>
      </c>
      <c r="F3441" s="7">
        <v>1</v>
      </c>
      <c r="G3441" s="7">
        <v>514</v>
      </c>
      <c r="H3441" s="8">
        <v>514</v>
      </c>
      <c r="J3441" t="s">
        <v>23</v>
      </c>
      <c r="K3441" s="7">
        <v>1317</v>
      </c>
      <c r="L3441" s="9">
        <v>-1</v>
      </c>
      <c r="M3441" t="s">
        <v>2786</v>
      </c>
      <c r="N3441" t="s">
        <v>335</v>
      </c>
      <c r="O3441" s="27" t="str">
        <f>HYPERLINK("https://www.ncbi.nlm.nih.gov/nuccore/NZ_AGBF01000276.1?report=graph&amp;from=3601&amp;to=3605", "TTA_codon")</f>
        <v>TTA_codon</v>
      </c>
    </row>
    <row r="3442" spans="1:15" x14ac:dyDescent="0.15">
      <c r="A3442" t="s">
        <v>21</v>
      </c>
      <c r="B3442">
        <v>1000183</v>
      </c>
      <c r="C3442">
        <v>349993</v>
      </c>
      <c r="F3442" s="7">
        <v>1</v>
      </c>
      <c r="G3442" s="7">
        <v>514</v>
      </c>
      <c r="H3442" s="8">
        <v>472</v>
      </c>
      <c r="J3442" t="s">
        <v>23</v>
      </c>
      <c r="K3442" s="7">
        <v>1254</v>
      </c>
      <c r="L3442" s="9">
        <v>-1</v>
      </c>
      <c r="M3442" t="s">
        <v>2787</v>
      </c>
      <c r="N3442" t="s">
        <v>249</v>
      </c>
      <c r="O3442" s="27" t="str">
        <f>HYPERLINK("https://www.ncbi.nlm.nih.gov/nuccore/NZ_AHBF01000044.1?report=graph&amp;from=16063&amp;to=16067", "TTA_codon")</f>
        <v>TTA_codon</v>
      </c>
    </row>
    <row r="3443" spans="1:15" x14ac:dyDescent="0.15">
      <c r="A3443" t="s">
        <v>21</v>
      </c>
      <c r="B3443">
        <v>1000183</v>
      </c>
      <c r="C3443">
        <v>351245</v>
      </c>
      <c r="F3443" s="7">
        <v>1</v>
      </c>
      <c r="G3443" s="7">
        <v>514</v>
      </c>
      <c r="H3443" s="8">
        <v>514</v>
      </c>
      <c r="J3443" t="s">
        <v>23</v>
      </c>
      <c r="K3443" s="7">
        <v>1320</v>
      </c>
      <c r="L3443" s="9">
        <v>-1</v>
      </c>
      <c r="M3443" t="s">
        <v>65</v>
      </c>
      <c r="N3443" t="s">
        <v>66</v>
      </c>
      <c r="O3443" s="27" t="str">
        <f>HYPERLINK("https://www.ncbi.nlm.nih.gov/nuccore/NC_020504.1?report=graph&amp;from=6256499&amp;to=6256503", "TTA_codon")</f>
        <v>TTA_codon</v>
      </c>
    </row>
    <row r="3444" spans="1:15" x14ac:dyDescent="0.15">
      <c r="A3444" t="s">
        <v>21</v>
      </c>
      <c r="B3444">
        <v>1000183</v>
      </c>
      <c r="C3444">
        <v>354589</v>
      </c>
      <c r="F3444" s="7">
        <v>1</v>
      </c>
      <c r="G3444" s="7">
        <v>514</v>
      </c>
      <c r="H3444" s="8">
        <v>484</v>
      </c>
      <c r="J3444" t="s">
        <v>23</v>
      </c>
      <c r="K3444" s="7">
        <v>1287</v>
      </c>
      <c r="L3444" s="9">
        <v>-1</v>
      </c>
      <c r="M3444" t="s">
        <v>2788</v>
      </c>
      <c r="N3444" t="s">
        <v>272</v>
      </c>
      <c r="O3444" s="27" t="str">
        <f>HYPERLINK("https://www.ncbi.nlm.nih.gov/nuccore/NZ_JOEY01000031.1?report=graph&amp;from=28699&amp;to=28703", "TTA_codon")</f>
        <v>TTA_codon</v>
      </c>
    </row>
    <row r="3445" spans="1:15" x14ac:dyDescent="0.15">
      <c r="A3445" t="s">
        <v>21</v>
      </c>
      <c r="B3445">
        <v>1000183</v>
      </c>
      <c r="C3445">
        <v>356038</v>
      </c>
      <c r="F3445" s="7">
        <v>1</v>
      </c>
      <c r="G3445" s="7">
        <v>514</v>
      </c>
      <c r="H3445" s="8">
        <v>514</v>
      </c>
      <c r="J3445" t="s">
        <v>23</v>
      </c>
      <c r="K3445" s="7">
        <v>1320</v>
      </c>
      <c r="L3445" s="9">
        <v>-1</v>
      </c>
      <c r="M3445" t="s">
        <v>2721</v>
      </c>
      <c r="N3445" t="s">
        <v>146</v>
      </c>
      <c r="O3445" s="27" t="str">
        <f>HYPERLINK("https://www.ncbi.nlm.nih.gov/nuccore/NZ_JOFH01000020.1?report=graph&amp;from=181578&amp;to=181582", "TTA_codon")</f>
        <v>TTA_codon</v>
      </c>
    </row>
    <row r="3446" spans="1:15" x14ac:dyDescent="0.15">
      <c r="A3446" t="s">
        <v>21</v>
      </c>
      <c r="B3446">
        <v>1000183</v>
      </c>
      <c r="C3446">
        <v>358386</v>
      </c>
      <c r="F3446" s="7">
        <v>1</v>
      </c>
      <c r="G3446" s="7">
        <v>514</v>
      </c>
      <c r="H3446" s="8">
        <v>511</v>
      </c>
      <c r="J3446" t="s">
        <v>23</v>
      </c>
      <c r="K3446" s="7">
        <v>1311</v>
      </c>
      <c r="L3446" s="9">
        <v>-1</v>
      </c>
      <c r="M3446" t="s">
        <v>2789</v>
      </c>
      <c r="N3446" t="s">
        <v>85</v>
      </c>
      <c r="O3446" s="27" t="str">
        <f>HYPERLINK("https://www.ncbi.nlm.nih.gov/nuccore/NZ_LIQX01000873.1?report=graph&amp;from=6755&amp;to=6759", "TTA_codon")</f>
        <v>TTA_codon</v>
      </c>
    </row>
    <row r="3447" spans="1:15" x14ac:dyDescent="0.15">
      <c r="A3447" t="s">
        <v>21</v>
      </c>
      <c r="B3447">
        <v>1000183</v>
      </c>
      <c r="C3447">
        <v>358830</v>
      </c>
      <c r="F3447" s="7">
        <v>1</v>
      </c>
      <c r="G3447" s="7">
        <v>514</v>
      </c>
      <c r="H3447" s="8">
        <v>511</v>
      </c>
      <c r="J3447" t="s">
        <v>23</v>
      </c>
      <c r="K3447" s="7">
        <v>1311</v>
      </c>
      <c r="L3447" s="9">
        <v>-1</v>
      </c>
      <c r="M3447" t="s">
        <v>2790</v>
      </c>
      <c r="N3447" t="s">
        <v>87</v>
      </c>
      <c r="O3447" s="27" t="str">
        <f>HYPERLINK("https://www.ncbi.nlm.nih.gov/nuccore/NZ_LIQS01000190.1?report=graph&amp;from=6226&amp;to=6230", "TTA_codon")</f>
        <v>TTA_codon</v>
      </c>
    </row>
    <row r="3448" spans="1:15" x14ac:dyDescent="0.15">
      <c r="A3448" t="s">
        <v>21</v>
      </c>
      <c r="B3448">
        <v>1000183</v>
      </c>
      <c r="C3448">
        <v>362472</v>
      </c>
      <c r="F3448" s="7">
        <v>1</v>
      </c>
      <c r="G3448" s="7">
        <v>514</v>
      </c>
      <c r="H3448" s="8">
        <v>472</v>
      </c>
      <c r="J3448" t="s">
        <v>23</v>
      </c>
      <c r="K3448" s="7">
        <v>1260</v>
      </c>
      <c r="L3448" s="9">
        <v>-1</v>
      </c>
      <c r="M3448" t="s">
        <v>32</v>
      </c>
      <c r="N3448" t="s">
        <v>33</v>
      </c>
      <c r="O3448" s="27" t="str">
        <f>HYPERLINK("https://www.ncbi.nlm.nih.gov/nuccore/NZ_CP017248.1?report=graph&amp;from=6422115&amp;to=6422119", "TTA_codon")</f>
        <v>TTA_codon</v>
      </c>
    </row>
    <row r="3449" spans="1:15" x14ac:dyDescent="0.15">
      <c r="A3449" t="s">
        <v>21</v>
      </c>
      <c r="B3449">
        <v>1000183</v>
      </c>
      <c r="C3449">
        <v>364562</v>
      </c>
      <c r="F3449" s="7">
        <v>1</v>
      </c>
      <c r="G3449" s="7">
        <v>514</v>
      </c>
      <c r="H3449" s="8">
        <v>493</v>
      </c>
      <c r="J3449" t="s">
        <v>23</v>
      </c>
      <c r="K3449" s="7">
        <v>1305</v>
      </c>
      <c r="L3449" s="9">
        <v>-1</v>
      </c>
      <c r="M3449" t="s">
        <v>2791</v>
      </c>
      <c r="N3449" t="s">
        <v>108</v>
      </c>
      <c r="O3449" s="27" t="str">
        <f>HYPERLINK("https://www.ncbi.nlm.nih.gov/nuccore/NZ_MUMD01000073.1?report=graph&amp;from=10040&amp;to=10044", "TTA_codon")</f>
        <v>TTA_codon</v>
      </c>
    </row>
    <row r="3450" spans="1:15" x14ac:dyDescent="0.15">
      <c r="A3450" t="s">
        <v>21</v>
      </c>
      <c r="B3450" t="s">
        <v>2792</v>
      </c>
    </row>
    <row r="3451" spans="1:15" x14ac:dyDescent="0.15">
      <c r="A3451" t="s">
        <v>21</v>
      </c>
      <c r="B3451">
        <v>1000865</v>
      </c>
      <c r="C3451">
        <v>352589</v>
      </c>
      <c r="F3451" s="7">
        <v>1</v>
      </c>
      <c r="G3451" s="7">
        <v>316</v>
      </c>
      <c r="H3451" s="8">
        <v>307</v>
      </c>
      <c r="J3451" t="s">
        <v>23</v>
      </c>
      <c r="K3451" s="7">
        <v>2613</v>
      </c>
      <c r="L3451" s="9">
        <v>1</v>
      </c>
      <c r="M3451" t="s">
        <v>686</v>
      </c>
      <c r="N3451" t="s">
        <v>436</v>
      </c>
      <c r="O3451" s="27" t="str">
        <f>HYPERLINK("https://www.ncbi.nlm.nih.gov/nuccore/NZ_KE386846.1?report=graph&amp;from=149742&amp;to=149746", "TTA_codon")</f>
        <v>TTA_codon</v>
      </c>
    </row>
    <row r="3452" spans="1:15" x14ac:dyDescent="0.15">
      <c r="A3452" t="s">
        <v>21</v>
      </c>
      <c r="B3452">
        <v>1000865</v>
      </c>
      <c r="C3452">
        <v>356653</v>
      </c>
      <c r="F3452" s="7">
        <v>1</v>
      </c>
      <c r="G3452" s="7">
        <v>268</v>
      </c>
      <c r="H3452" s="8">
        <v>268</v>
      </c>
      <c r="J3452" t="s">
        <v>23</v>
      </c>
      <c r="K3452" s="7">
        <v>2667</v>
      </c>
      <c r="L3452" s="9">
        <v>1</v>
      </c>
      <c r="M3452" t="s">
        <v>147</v>
      </c>
      <c r="N3452" t="s">
        <v>148</v>
      </c>
      <c r="O3452" s="27" t="str">
        <f>HYPERLINK("https://www.ncbi.nlm.nih.gov/nuccore/NZ_CP021080.1?report=graph&amp;from=6435615&amp;to=6435619", "TTA_codon")</f>
        <v>TTA_codon</v>
      </c>
    </row>
    <row r="3453" spans="1:15" x14ac:dyDescent="0.15">
      <c r="A3453" t="s">
        <v>21</v>
      </c>
      <c r="B3453" t="s">
        <v>2793</v>
      </c>
    </row>
    <row r="3454" spans="1:15" x14ac:dyDescent="0.15">
      <c r="A3454" t="s">
        <v>21</v>
      </c>
      <c r="B3454">
        <v>1001538</v>
      </c>
      <c r="C3454">
        <v>366906</v>
      </c>
      <c r="F3454" s="7">
        <v>1</v>
      </c>
      <c r="G3454" s="7">
        <v>199</v>
      </c>
      <c r="H3454" s="8">
        <v>199</v>
      </c>
      <c r="J3454" t="s">
        <v>23</v>
      </c>
      <c r="K3454" s="7">
        <v>258</v>
      </c>
      <c r="L3454" s="9">
        <v>1</v>
      </c>
      <c r="M3454" t="s">
        <v>2794</v>
      </c>
      <c r="N3454" t="s">
        <v>2795</v>
      </c>
      <c r="O3454" s="27" t="str">
        <f>HYPERLINK("https://www.ncbi.nlm.nih.gov/nuccore/MF358541.1?report=graph&amp;from=122291&amp;to=122295", "TTA_codon")</f>
        <v>TTA_codon</v>
      </c>
    </row>
    <row r="3455" spans="1:15" x14ac:dyDescent="0.15">
      <c r="A3455" t="s">
        <v>21</v>
      </c>
      <c r="B3455">
        <v>1001538</v>
      </c>
      <c r="C3455">
        <v>366908</v>
      </c>
      <c r="F3455" s="7">
        <v>1</v>
      </c>
      <c r="G3455" s="7">
        <v>199</v>
      </c>
      <c r="H3455" s="8">
        <v>199</v>
      </c>
      <c r="J3455" t="s">
        <v>23</v>
      </c>
      <c r="K3455" s="7">
        <v>258</v>
      </c>
      <c r="L3455" s="9">
        <v>1</v>
      </c>
      <c r="M3455" t="s">
        <v>2794</v>
      </c>
      <c r="N3455" t="s">
        <v>2795</v>
      </c>
      <c r="O3455" s="27" t="str">
        <f>HYPERLINK("https://www.ncbi.nlm.nih.gov/nuccore/MF358541.1?report=graph&amp;from=753&amp;to=757", "TTA_codon")</f>
        <v>TTA_codon</v>
      </c>
    </row>
    <row r="3456" spans="1:15" x14ac:dyDescent="0.15">
      <c r="A3456" t="s">
        <v>21</v>
      </c>
      <c r="B3456">
        <v>1001538</v>
      </c>
      <c r="C3456">
        <v>367265</v>
      </c>
      <c r="F3456" s="7">
        <v>1</v>
      </c>
      <c r="G3456" s="7">
        <v>199</v>
      </c>
      <c r="H3456" s="8">
        <v>199</v>
      </c>
      <c r="J3456" t="s">
        <v>23</v>
      </c>
      <c r="K3456" s="7">
        <v>258</v>
      </c>
      <c r="L3456" s="9">
        <v>1</v>
      </c>
      <c r="M3456" t="s">
        <v>2796</v>
      </c>
      <c r="N3456" t="s">
        <v>2797</v>
      </c>
      <c r="O3456" s="27" t="str">
        <f>HYPERLINK("https://www.ncbi.nlm.nih.gov/nuccore/NC_029098.1?report=graph&amp;from=122825&amp;to=122829", "TTA_codon")</f>
        <v>TTA_codon</v>
      </c>
    </row>
    <row r="3457" spans="1:15" x14ac:dyDescent="0.15">
      <c r="A3457" t="s">
        <v>21</v>
      </c>
      <c r="B3457">
        <v>1001538</v>
      </c>
      <c r="C3457">
        <v>367266</v>
      </c>
      <c r="F3457" s="7">
        <v>1</v>
      </c>
      <c r="G3457" s="7">
        <v>199</v>
      </c>
      <c r="H3457" s="8">
        <v>199</v>
      </c>
      <c r="J3457" t="s">
        <v>23</v>
      </c>
      <c r="K3457" s="7">
        <v>258</v>
      </c>
      <c r="L3457" s="9">
        <v>1</v>
      </c>
      <c r="M3457" t="s">
        <v>2796</v>
      </c>
      <c r="N3457" t="s">
        <v>2797</v>
      </c>
      <c r="O3457" s="27" t="str">
        <f>HYPERLINK("https://www.ncbi.nlm.nih.gov/nuccore/NC_029098.1?report=graph&amp;from=732&amp;to=736", "TTA_codon")</f>
        <v>TTA_codon</v>
      </c>
    </row>
    <row r="3458" spans="1:15" x14ac:dyDescent="0.15">
      <c r="A3458" t="s">
        <v>21</v>
      </c>
      <c r="B3458" t="s">
        <v>2798</v>
      </c>
    </row>
    <row r="3459" spans="1:15" x14ac:dyDescent="0.15">
      <c r="A3459" t="s">
        <v>21</v>
      </c>
      <c r="B3459">
        <v>1001535</v>
      </c>
      <c r="C3459">
        <v>366900</v>
      </c>
      <c r="F3459" s="7">
        <v>1</v>
      </c>
      <c r="G3459" s="7">
        <v>313</v>
      </c>
      <c r="H3459" s="8">
        <v>313</v>
      </c>
      <c r="J3459" t="s">
        <v>23</v>
      </c>
      <c r="K3459" s="7">
        <v>1116</v>
      </c>
      <c r="L3459" s="9">
        <v>1</v>
      </c>
      <c r="M3459" t="s">
        <v>2312</v>
      </c>
      <c r="N3459" t="s">
        <v>2313</v>
      </c>
      <c r="O3459" s="27" t="str">
        <f>HYPERLINK("https://www.ncbi.nlm.nih.gov/nuccore/KY092482.1?report=graph&amp;from=14637&amp;to=14641", "TTA_codon")</f>
        <v>TTA_codon</v>
      </c>
    </row>
    <row r="3460" spans="1:15" x14ac:dyDescent="0.15">
      <c r="A3460" t="s">
        <v>21</v>
      </c>
      <c r="B3460">
        <v>1001535</v>
      </c>
      <c r="C3460">
        <v>367285</v>
      </c>
      <c r="F3460" s="7">
        <v>1</v>
      </c>
      <c r="G3460" s="7">
        <v>313</v>
      </c>
      <c r="H3460" s="8">
        <v>313</v>
      </c>
      <c r="J3460" t="s">
        <v>23</v>
      </c>
      <c r="K3460" s="7">
        <v>1116</v>
      </c>
      <c r="L3460" s="9">
        <v>1</v>
      </c>
      <c r="M3460" t="s">
        <v>2314</v>
      </c>
      <c r="N3460" t="s">
        <v>2315</v>
      </c>
      <c r="O3460" s="27" t="str">
        <f>HYPERLINK("https://www.ncbi.nlm.nih.gov/nuccore/NC_047794.1?report=graph&amp;from=14631&amp;to=14635", "TTA_codon")</f>
        <v>TTA_codon</v>
      </c>
    </row>
    <row r="3461" spans="1:15" x14ac:dyDescent="0.15">
      <c r="A3461" t="s">
        <v>21</v>
      </c>
      <c r="B3461" t="s">
        <v>2799</v>
      </c>
    </row>
    <row r="3462" spans="1:15" x14ac:dyDescent="0.15">
      <c r="A3462" t="s">
        <v>21</v>
      </c>
      <c r="B3462">
        <v>1001244</v>
      </c>
      <c r="C3462">
        <v>356181</v>
      </c>
      <c r="F3462" s="7">
        <v>1</v>
      </c>
      <c r="G3462" s="7">
        <v>127</v>
      </c>
      <c r="H3462" s="8">
        <v>127</v>
      </c>
      <c r="J3462" t="s">
        <v>23</v>
      </c>
      <c r="K3462" s="7">
        <v>1767</v>
      </c>
      <c r="L3462" s="9">
        <v>1</v>
      </c>
      <c r="M3462" t="s">
        <v>2800</v>
      </c>
      <c r="N3462" t="s">
        <v>77</v>
      </c>
      <c r="O3462" s="27" t="str">
        <f>HYPERLINK("https://www.ncbi.nlm.nih.gov/nuccore/NZ_JNXD01000020.1?report=graph&amp;from=85354&amp;to=85358", "TTA_codon")</f>
        <v>TTA_codon</v>
      </c>
    </row>
    <row r="3463" spans="1:15" x14ac:dyDescent="0.15">
      <c r="A3463" t="s">
        <v>21</v>
      </c>
      <c r="B3463">
        <v>1001244</v>
      </c>
      <c r="C3463">
        <v>357708</v>
      </c>
      <c r="F3463" s="7">
        <v>1</v>
      </c>
      <c r="G3463" s="7">
        <v>127</v>
      </c>
      <c r="H3463" s="8">
        <v>73</v>
      </c>
      <c r="J3463" t="s">
        <v>23</v>
      </c>
      <c r="K3463" s="7">
        <v>1725</v>
      </c>
      <c r="L3463" s="9">
        <v>1</v>
      </c>
      <c r="M3463" t="s">
        <v>2661</v>
      </c>
      <c r="N3463" t="s">
        <v>83</v>
      </c>
      <c r="O3463" s="27" t="str">
        <f>HYPERLINK("https://www.ncbi.nlm.nih.gov/nuccore/NZ_DF968533.1?report=graph&amp;from=85326&amp;to=85330", "TTA_codon")</f>
        <v>TTA_codon</v>
      </c>
    </row>
    <row r="3464" spans="1:15" x14ac:dyDescent="0.15">
      <c r="A3464" t="s">
        <v>21</v>
      </c>
      <c r="B3464">
        <v>1001244</v>
      </c>
      <c r="C3464">
        <v>361125</v>
      </c>
      <c r="F3464" s="7">
        <v>1</v>
      </c>
      <c r="G3464" s="7">
        <v>127</v>
      </c>
      <c r="H3464" s="8">
        <v>88</v>
      </c>
      <c r="J3464" t="s">
        <v>23</v>
      </c>
      <c r="K3464" s="7">
        <v>1716</v>
      </c>
      <c r="L3464" s="9">
        <v>1</v>
      </c>
      <c r="M3464" t="s">
        <v>98</v>
      </c>
      <c r="N3464" t="s">
        <v>99</v>
      </c>
      <c r="O3464" s="27" t="str">
        <f>HYPERLINK("https://www.ncbi.nlm.nih.gov/nuccore/NZ_CP016438.1?report=graph&amp;from=5891215&amp;to=5891219", "TTA_codon")</f>
        <v>TTA_codon</v>
      </c>
    </row>
    <row r="3465" spans="1:15" x14ac:dyDescent="0.15">
      <c r="A3465" t="s">
        <v>21</v>
      </c>
      <c r="B3465" t="s">
        <v>2801</v>
      </c>
    </row>
    <row r="3466" spans="1:15" x14ac:dyDescent="0.15">
      <c r="A3466" t="s">
        <v>21</v>
      </c>
      <c r="B3466">
        <v>1000590</v>
      </c>
      <c r="C3466">
        <v>350236</v>
      </c>
      <c r="F3466" s="7">
        <v>1</v>
      </c>
      <c r="G3466" s="7">
        <v>559</v>
      </c>
      <c r="H3466" s="8">
        <v>559</v>
      </c>
      <c r="J3466" t="s">
        <v>23</v>
      </c>
      <c r="K3466" s="7">
        <v>825</v>
      </c>
      <c r="L3466" s="9">
        <v>1</v>
      </c>
      <c r="M3466" t="s">
        <v>35</v>
      </c>
      <c r="N3466" t="s">
        <v>36</v>
      </c>
      <c r="O3466" s="27" t="str">
        <f>HYPERLINK("https://www.ncbi.nlm.nih.gov/nuccore/NZ_JH725387.1?report=graph&amp;from=2311228&amp;to=2311232", "TTA_codon")</f>
        <v>TTA_codon</v>
      </c>
    </row>
    <row r="3467" spans="1:15" x14ac:dyDescent="0.15">
      <c r="A3467" t="s">
        <v>21</v>
      </c>
      <c r="B3467">
        <v>1000590</v>
      </c>
      <c r="C3467">
        <v>363071</v>
      </c>
      <c r="F3467" s="7">
        <v>1</v>
      </c>
      <c r="G3467" s="7">
        <v>559</v>
      </c>
      <c r="H3467" s="8">
        <v>559</v>
      </c>
      <c r="J3467" t="s">
        <v>23</v>
      </c>
      <c r="K3467" s="7">
        <v>828</v>
      </c>
      <c r="L3467" s="9">
        <v>1</v>
      </c>
      <c r="M3467" t="s">
        <v>705</v>
      </c>
      <c r="N3467" t="s">
        <v>401</v>
      </c>
      <c r="O3467" s="27" t="str">
        <f>HYPERLINK("https://www.ncbi.nlm.nih.gov/nuccore/NZ_LFBV01000008.1?report=graph&amp;from=53900&amp;to=53904", "TTA_codon")</f>
        <v>TTA_codon</v>
      </c>
    </row>
    <row r="3468" spans="1:15" x14ac:dyDescent="0.15">
      <c r="A3468" t="s">
        <v>21</v>
      </c>
      <c r="B3468" t="s">
        <v>2802</v>
      </c>
    </row>
    <row r="3469" spans="1:15" x14ac:dyDescent="0.15">
      <c r="A3469" t="s">
        <v>21</v>
      </c>
      <c r="B3469">
        <v>1000777</v>
      </c>
      <c r="C3469">
        <v>351794</v>
      </c>
      <c r="F3469" s="7">
        <v>1</v>
      </c>
      <c r="G3469" s="7">
        <v>61</v>
      </c>
      <c r="H3469" s="8">
        <v>61</v>
      </c>
      <c r="J3469" t="s">
        <v>23</v>
      </c>
      <c r="K3469" s="7">
        <v>1257</v>
      </c>
      <c r="L3469" s="9">
        <v>1</v>
      </c>
      <c r="M3469" t="s">
        <v>1125</v>
      </c>
      <c r="N3469" t="s">
        <v>68</v>
      </c>
      <c r="O3469" s="27" t="str">
        <f>HYPERLINK("https://www.ncbi.nlm.nih.gov/nuccore/NZ_BARG01000124.1?report=graph&amp;from=15854&amp;to=15858", "TTA_codon")</f>
        <v>TTA_codon</v>
      </c>
    </row>
    <row r="3470" spans="1:15" x14ac:dyDescent="0.15">
      <c r="A3470" t="s">
        <v>21</v>
      </c>
      <c r="B3470">
        <v>1000777</v>
      </c>
      <c r="C3470">
        <v>361136</v>
      </c>
      <c r="F3470" s="7">
        <v>1</v>
      </c>
      <c r="G3470" s="7">
        <v>61</v>
      </c>
      <c r="H3470" s="8">
        <v>61</v>
      </c>
      <c r="J3470" t="s">
        <v>23</v>
      </c>
      <c r="K3470" s="7">
        <v>1257</v>
      </c>
      <c r="L3470" s="9">
        <v>1</v>
      </c>
      <c r="M3470" t="s">
        <v>98</v>
      </c>
      <c r="N3470" t="s">
        <v>99</v>
      </c>
      <c r="O3470" s="27" t="str">
        <f>HYPERLINK("https://www.ncbi.nlm.nih.gov/nuccore/NZ_CP016438.1?report=graph&amp;from=5422075&amp;to=5422079", "TTA_codon")</f>
        <v>TTA_codon</v>
      </c>
    </row>
    <row r="3471" spans="1:15" x14ac:dyDescent="0.15">
      <c r="A3471" t="s">
        <v>21</v>
      </c>
      <c r="B3471">
        <v>1000777</v>
      </c>
      <c r="C3471">
        <v>363265</v>
      </c>
      <c r="F3471" s="7">
        <v>1</v>
      </c>
      <c r="G3471" s="7">
        <v>61</v>
      </c>
      <c r="H3471" s="8">
        <v>61</v>
      </c>
      <c r="J3471" t="s">
        <v>23</v>
      </c>
      <c r="K3471" s="7">
        <v>1257</v>
      </c>
      <c r="L3471" s="9">
        <v>1</v>
      </c>
      <c r="M3471" t="s">
        <v>2803</v>
      </c>
      <c r="N3471" t="s">
        <v>28</v>
      </c>
      <c r="O3471" s="27" t="str">
        <f>HYPERLINK("https://www.ncbi.nlm.nih.gov/nuccore/NZ_JUJA01000146.1?report=graph&amp;from=27071&amp;to=27075", "TTA_codon")</f>
        <v>TTA_codon</v>
      </c>
    </row>
    <row r="3472" spans="1:15" x14ac:dyDescent="0.15">
      <c r="A3472" t="s">
        <v>21</v>
      </c>
      <c r="B3472">
        <v>1000777</v>
      </c>
      <c r="C3472">
        <v>366394</v>
      </c>
      <c r="F3472" s="7">
        <v>1</v>
      </c>
      <c r="G3472" s="7">
        <v>154</v>
      </c>
      <c r="H3472" s="8">
        <v>154</v>
      </c>
      <c r="J3472" t="s">
        <v>23</v>
      </c>
      <c r="K3472" s="7">
        <v>1254</v>
      </c>
      <c r="L3472" s="9">
        <v>1</v>
      </c>
      <c r="M3472" t="s">
        <v>374</v>
      </c>
      <c r="N3472" t="s">
        <v>375</v>
      </c>
      <c r="O3472" s="27" t="str">
        <f>HYPERLINK("https://www.ncbi.nlm.nih.gov/nuccore/NZ_FONG01000025.1?report=graph&amp;from=34998&amp;to=35002", "TTA_codon")</f>
        <v>TTA_codon</v>
      </c>
    </row>
    <row r="3473" spans="1:15" x14ac:dyDescent="0.15">
      <c r="A3473" t="s">
        <v>21</v>
      </c>
      <c r="B3473" t="s">
        <v>2804</v>
      </c>
    </row>
    <row r="3474" spans="1:15" x14ac:dyDescent="0.15">
      <c r="A3474" t="s">
        <v>21</v>
      </c>
      <c r="B3474">
        <v>1000464</v>
      </c>
      <c r="C3474">
        <v>348883</v>
      </c>
      <c r="F3474" s="7">
        <v>1</v>
      </c>
      <c r="G3474" s="7">
        <v>148</v>
      </c>
      <c r="H3474" s="8">
        <v>133</v>
      </c>
      <c r="J3474" t="s">
        <v>23</v>
      </c>
      <c r="K3474" s="7">
        <v>1458</v>
      </c>
      <c r="L3474" s="9">
        <v>-1</v>
      </c>
      <c r="M3474" t="s">
        <v>211</v>
      </c>
      <c r="N3474" t="s">
        <v>212</v>
      </c>
      <c r="O3474" s="27" t="str">
        <f>HYPERLINK("https://www.ncbi.nlm.nih.gov/nuccore/NZ_GG657754.1?report=graph&amp;from=1641344&amp;to=1641348", "TTA_codon")</f>
        <v>TTA_codon</v>
      </c>
    </row>
    <row r="3475" spans="1:15" x14ac:dyDescent="0.15">
      <c r="A3475" t="s">
        <v>21</v>
      </c>
      <c r="B3475">
        <v>1000464</v>
      </c>
      <c r="C3475">
        <v>362705</v>
      </c>
      <c r="F3475" s="7">
        <v>1</v>
      </c>
      <c r="G3475" s="7">
        <v>148</v>
      </c>
      <c r="H3475" s="8">
        <v>148</v>
      </c>
      <c r="J3475" t="s">
        <v>23</v>
      </c>
      <c r="K3475" s="7">
        <v>1443</v>
      </c>
      <c r="L3475" s="9">
        <v>-1</v>
      </c>
      <c r="M3475" t="s">
        <v>2805</v>
      </c>
      <c r="N3475" t="s">
        <v>985</v>
      </c>
      <c r="O3475" s="27" t="str">
        <f>HYPERLINK("https://www.ncbi.nlm.nih.gov/nuccore/NZ_LJGU01000114.1?report=graph&amp;from=265121&amp;to=265125", "TTA_codon")</f>
        <v>TTA_codon</v>
      </c>
    </row>
    <row r="3476" spans="1:15" x14ac:dyDescent="0.15">
      <c r="A3476" t="s">
        <v>21</v>
      </c>
      <c r="B3476" t="s">
        <v>2806</v>
      </c>
    </row>
    <row r="3477" spans="1:15" x14ac:dyDescent="0.15">
      <c r="A3477" t="s">
        <v>21</v>
      </c>
      <c r="B3477">
        <v>1000193</v>
      </c>
      <c r="C3477">
        <v>347330</v>
      </c>
      <c r="F3477" s="7">
        <v>1</v>
      </c>
      <c r="G3477" s="7">
        <v>175</v>
      </c>
      <c r="H3477" s="8">
        <v>175</v>
      </c>
      <c r="J3477" t="s">
        <v>23</v>
      </c>
      <c r="K3477" s="7">
        <v>864</v>
      </c>
      <c r="L3477" s="9">
        <v>-1</v>
      </c>
      <c r="M3477" t="s">
        <v>53</v>
      </c>
      <c r="N3477" t="s">
        <v>54</v>
      </c>
      <c r="O3477" s="27" t="str">
        <f>HYPERLINK("https://www.ncbi.nlm.nih.gov/nuccore/NC_003155.5?report=graph&amp;from=254712&amp;to=254716", "TTA_codon")</f>
        <v>TTA_codon</v>
      </c>
    </row>
    <row r="3478" spans="1:15" x14ac:dyDescent="0.15">
      <c r="A3478" t="s">
        <v>21</v>
      </c>
      <c r="B3478">
        <v>1000193</v>
      </c>
      <c r="C3478">
        <v>359117</v>
      </c>
      <c r="F3478" s="7">
        <v>1</v>
      </c>
      <c r="G3478" s="7">
        <v>175</v>
      </c>
      <c r="H3478" s="8">
        <v>175</v>
      </c>
      <c r="J3478" t="s">
        <v>23</v>
      </c>
      <c r="K3478" s="7">
        <v>864</v>
      </c>
      <c r="L3478" s="9">
        <v>-1</v>
      </c>
      <c r="M3478" t="s">
        <v>2807</v>
      </c>
      <c r="N3478" t="s">
        <v>451</v>
      </c>
      <c r="O3478" s="27" t="str">
        <f>HYPERLINK("https://www.ncbi.nlm.nih.gov/nuccore/NZ_LIQZ01000072.1?report=graph&amp;from=3778&amp;to=3782", "TTA_codon")</f>
        <v>TTA_codon</v>
      </c>
    </row>
    <row r="3479" spans="1:15" x14ac:dyDescent="0.15">
      <c r="A3479" t="s">
        <v>21</v>
      </c>
      <c r="B3479" t="s">
        <v>2808</v>
      </c>
    </row>
    <row r="3480" spans="1:15" x14ac:dyDescent="0.15">
      <c r="A3480" t="s">
        <v>21</v>
      </c>
      <c r="B3480">
        <v>1001289</v>
      </c>
      <c r="C3480">
        <v>353375</v>
      </c>
      <c r="F3480" s="7">
        <v>1</v>
      </c>
      <c r="G3480" s="7">
        <v>88</v>
      </c>
      <c r="H3480" s="8">
        <v>64</v>
      </c>
      <c r="J3480" t="s">
        <v>23</v>
      </c>
      <c r="K3480" s="7">
        <v>1869</v>
      </c>
      <c r="L3480" s="9">
        <v>-1</v>
      </c>
      <c r="M3480" t="s">
        <v>2209</v>
      </c>
      <c r="N3480" t="s">
        <v>169</v>
      </c>
      <c r="O3480" s="27" t="str">
        <f>HYPERLINK("https://www.ncbi.nlm.nih.gov/nuccore/NZ_JNWJ01000010.1?report=graph&amp;from=188507&amp;to=188511", "TTA_codon")</f>
        <v>TTA_codon</v>
      </c>
    </row>
    <row r="3481" spans="1:15" x14ac:dyDescent="0.15">
      <c r="A3481" t="s">
        <v>21</v>
      </c>
      <c r="B3481">
        <v>1001289</v>
      </c>
      <c r="C3481">
        <v>357836</v>
      </c>
      <c r="F3481" s="7">
        <v>1</v>
      </c>
      <c r="G3481" s="7">
        <v>151</v>
      </c>
      <c r="H3481" s="8">
        <v>112</v>
      </c>
      <c r="J3481" t="s">
        <v>23</v>
      </c>
      <c r="K3481" s="7">
        <v>1860</v>
      </c>
      <c r="L3481" s="9">
        <v>-1</v>
      </c>
      <c r="M3481" t="s">
        <v>2809</v>
      </c>
      <c r="N3481" t="s">
        <v>83</v>
      </c>
      <c r="O3481" s="27" t="str">
        <f>HYPERLINK("https://www.ncbi.nlm.nih.gov/nuccore/NZ_DF968309.1?report=graph&amp;from=7622&amp;to=7626", "TTA_codon")</f>
        <v>TTA_codon</v>
      </c>
    </row>
    <row r="3482" spans="1:15" x14ac:dyDescent="0.15">
      <c r="A3482" t="s">
        <v>21</v>
      </c>
      <c r="B3482">
        <v>1001289</v>
      </c>
      <c r="C3482">
        <v>358541</v>
      </c>
      <c r="F3482" s="7">
        <v>1</v>
      </c>
      <c r="G3482" s="7">
        <v>46</v>
      </c>
      <c r="H3482" s="8">
        <v>46</v>
      </c>
      <c r="J3482" t="s">
        <v>23</v>
      </c>
      <c r="K3482" s="7">
        <v>1911</v>
      </c>
      <c r="L3482" s="9">
        <v>-1</v>
      </c>
      <c r="M3482" t="s">
        <v>2810</v>
      </c>
      <c r="N3482" t="s">
        <v>85</v>
      </c>
      <c r="O3482" s="27" t="str">
        <f>HYPERLINK("https://www.ncbi.nlm.nih.gov/nuccore/NZ_LIQX01000051.1?report=graph&amp;from=29877&amp;to=29881", "TTA_codon")</f>
        <v>TTA_codon</v>
      </c>
    </row>
    <row r="3483" spans="1:15" x14ac:dyDescent="0.15">
      <c r="A3483" t="s">
        <v>21</v>
      </c>
      <c r="B3483">
        <v>1001289</v>
      </c>
      <c r="C3483">
        <v>358644</v>
      </c>
      <c r="F3483" s="7">
        <v>1</v>
      </c>
      <c r="G3483" s="7">
        <v>70</v>
      </c>
      <c r="H3483" s="8">
        <v>70</v>
      </c>
      <c r="J3483" t="s">
        <v>23</v>
      </c>
      <c r="K3483" s="7">
        <v>1935</v>
      </c>
      <c r="L3483" s="9">
        <v>-1</v>
      </c>
      <c r="M3483" t="s">
        <v>2811</v>
      </c>
      <c r="N3483" t="s">
        <v>299</v>
      </c>
      <c r="O3483" s="27" t="str">
        <f>HYPERLINK("https://www.ncbi.nlm.nih.gov/nuccore/NZ_LIQY01000143.1?report=graph&amp;from=4223&amp;to=4227", "TTA_codon")</f>
        <v>TTA_codon</v>
      </c>
    </row>
    <row r="3484" spans="1:15" x14ac:dyDescent="0.15">
      <c r="A3484" t="s">
        <v>21</v>
      </c>
      <c r="B3484" t="s">
        <v>2812</v>
      </c>
    </row>
    <row r="3485" spans="1:15" x14ac:dyDescent="0.15">
      <c r="A3485" t="s">
        <v>21</v>
      </c>
      <c r="B3485">
        <v>1001539</v>
      </c>
      <c r="C3485">
        <v>366911</v>
      </c>
      <c r="F3485" s="7">
        <v>1</v>
      </c>
      <c r="G3485" s="7">
        <v>40</v>
      </c>
      <c r="H3485" s="8">
        <v>40</v>
      </c>
      <c r="J3485" t="s">
        <v>23</v>
      </c>
      <c r="K3485" s="7">
        <v>246</v>
      </c>
      <c r="L3485" s="9">
        <v>1</v>
      </c>
      <c r="M3485" t="s">
        <v>2813</v>
      </c>
      <c r="N3485" t="s">
        <v>2814</v>
      </c>
      <c r="O3485" s="27" t="str">
        <f>HYPERLINK("https://www.ncbi.nlm.nih.gov/nuccore/MF358542.1?report=graph&amp;from=107855&amp;to=107859", "TTA_codon")</f>
        <v>TTA_codon</v>
      </c>
    </row>
    <row r="3486" spans="1:15" x14ac:dyDescent="0.15">
      <c r="A3486" t="s">
        <v>21</v>
      </c>
      <c r="B3486">
        <v>1001539</v>
      </c>
      <c r="C3486">
        <v>367296</v>
      </c>
      <c r="F3486" s="7">
        <v>1</v>
      </c>
      <c r="G3486" s="7">
        <v>40</v>
      </c>
      <c r="H3486" s="8">
        <v>40</v>
      </c>
      <c r="J3486" t="s">
        <v>23</v>
      </c>
      <c r="K3486" s="7">
        <v>246</v>
      </c>
      <c r="L3486" s="9">
        <v>1</v>
      </c>
      <c r="M3486" t="s">
        <v>2815</v>
      </c>
      <c r="N3486" t="s">
        <v>2816</v>
      </c>
      <c r="O3486" s="27" t="str">
        <f>HYPERLINK("https://www.ncbi.nlm.nih.gov/nuccore/NC_042011.1?report=graph&amp;from=106989&amp;to=106993", "TTA_codon")</f>
        <v>TTA_codon</v>
      </c>
    </row>
    <row r="3487" spans="1:15" x14ac:dyDescent="0.15">
      <c r="A3487" t="s">
        <v>195</v>
      </c>
      <c r="B3487" t="s">
        <v>2817</v>
      </c>
    </row>
    <row r="3488" spans="1:15" x14ac:dyDescent="0.15">
      <c r="A3488" t="s">
        <v>195</v>
      </c>
      <c r="B3488">
        <v>1000096</v>
      </c>
      <c r="C3488">
        <v>346633</v>
      </c>
      <c r="F3488" s="7">
        <v>1</v>
      </c>
      <c r="G3488" s="7">
        <v>931</v>
      </c>
      <c r="H3488" s="8">
        <v>745</v>
      </c>
      <c r="J3488" t="s">
        <v>23</v>
      </c>
      <c r="K3488" s="7">
        <v>1221</v>
      </c>
      <c r="L3488" s="9">
        <v>-1</v>
      </c>
      <c r="M3488" t="s">
        <v>261</v>
      </c>
      <c r="N3488" t="s">
        <v>262</v>
      </c>
      <c r="O3488" s="27" t="str">
        <f>HYPERLINK("https://www.ncbi.nlm.nih.gov/nuccore/NZ_CP011340.1?report=graph&amp;from=4663520&amp;to=4663524", "TTA_codon")</f>
        <v>TTA_codon</v>
      </c>
    </row>
    <row r="3489" spans="1:15" x14ac:dyDescent="0.15">
      <c r="A3489" t="s">
        <v>21</v>
      </c>
      <c r="B3489">
        <v>1000096</v>
      </c>
      <c r="C3489">
        <v>349288</v>
      </c>
      <c r="F3489" s="7">
        <v>1</v>
      </c>
      <c r="G3489" s="7">
        <v>931</v>
      </c>
      <c r="H3489" s="8">
        <v>601</v>
      </c>
      <c r="J3489" t="s">
        <v>23</v>
      </c>
      <c r="K3489" s="7">
        <v>1152</v>
      </c>
      <c r="L3489" s="9">
        <v>-1</v>
      </c>
      <c r="M3489" t="s">
        <v>458</v>
      </c>
      <c r="N3489" t="s">
        <v>315</v>
      </c>
      <c r="O3489" s="27" t="str">
        <f>HYPERLINK("https://www.ncbi.nlm.nih.gov/nuccore/NC_003888.3?report=graph&amp;from=4559159&amp;to=4559163", "TTA_codon")</f>
        <v>TTA_codon</v>
      </c>
    </row>
    <row r="3490" spans="1:15" x14ac:dyDescent="0.15">
      <c r="A3490" t="s">
        <v>21</v>
      </c>
      <c r="B3490">
        <v>1000096</v>
      </c>
      <c r="C3490">
        <v>349905</v>
      </c>
      <c r="F3490" s="7">
        <v>1</v>
      </c>
      <c r="G3490" s="7">
        <v>931</v>
      </c>
      <c r="H3490" s="8">
        <v>700</v>
      </c>
      <c r="J3490" t="s">
        <v>23</v>
      </c>
      <c r="K3490" s="7">
        <v>1170</v>
      </c>
      <c r="L3490" s="9">
        <v>-1</v>
      </c>
      <c r="M3490" t="s">
        <v>2818</v>
      </c>
      <c r="N3490" t="s">
        <v>249</v>
      </c>
      <c r="O3490" s="27" t="str">
        <f>HYPERLINK("https://www.ncbi.nlm.nih.gov/nuccore/NZ_AHBF01000060.1?report=graph&amp;from=39679&amp;to=39683", "TTA_codon")</f>
        <v>TTA_codon</v>
      </c>
    </row>
    <row r="3491" spans="1:15" x14ac:dyDescent="0.15">
      <c r="A3491" t="s">
        <v>21</v>
      </c>
      <c r="B3491">
        <v>1000096</v>
      </c>
      <c r="C3491">
        <v>364528</v>
      </c>
      <c r="F3491" s="7">
        <v>1</v>
      </c>
      <c r="G3491" s="7">
        <v>931</v>
      </c>
      <c r="H3491" s="8">
        <v>625</v>
      </c>
      <c r="J3491" t="s">
        <v>23</v>
      </c>
      <c r="K3491" s="7">
        <v>1110</v>
      </c>
      <c r="L3491" s="9">
        <v>-1</v>
      </c>
      <c r="M3491" t="s">
        <v>2819</v>
      </c>
      <c r="N3491" t="s">
        <v>108</v>
      </c>
      <c r="O3491" s="27" t="str">
        <f>HYPERLINK("https://www.ncbi.nlm.nih.gov/nuccore/NZ_MUMD01000028.1?report=graph&amp;from=21941&amp;to=21945", "TTA_codon")</f>
        <v>TTA_codon</v>
      </c>
    </row>
    <row r="3492" spans="1:15" x14ac:dyDescent="0.15">
      <c r="A3492" t="s">
        <v>21</v>
      </c>
      <c r="B3492" t="s">
        <v>2820</v>
      </c>
    </row>
    <row r="3493" spans="1:15" x14ac:dyDescent="0.15">
      <c r="A3493" t="s">
        <v>21</v>
      </c>
      <c r="B3493">
        <v>1000884</v>
      </c>
      <c r="C3493">
        <v>352781</v>
      </c>
      <c r="F3493" s="7">
        <v>1</v>
      </c>
      <c r="G3493" s="7">
        <v>448</v>
      </c>
      <c r="H3493" s="8">
        <v>442</v>
      </c>
      <c r="J3493" t="s">
        <v>23</v>
      </c>
      <c r="K3493" s="7">
        <v>588</v>
      </c>
      <c r="L3493" s="9">
        <v>-1</v>
      </c>
      <c r="M3493" t="s">
        <v>472</v>
      </c>
      <c r="N3493" t="s">
        <v>473</v>
      </c>
      <c r="O3493" s="27" t="str">
        <f>HYPERLINK("https://www.ncbi.nlm.nih.gov/nuccore/NZ_ASHX02000001.1?report=graph&amp;from=1809499&amp;to=1809503", "TTA_codon")</f>
        <v>TTA_codon</v>
      </c>
    </row>
    <row r="3494" spans="1:15" x14ac:dyDescent="0.15">
      <c r="A3494" t="s">
        <v>21</v>
      </c>
      <c r="B3494">
        <v>1000884</v>
      </c>
      <c r="C3494">
        <v>361386</v>
      </c>
      <c r="F3494" s="7">
        <v>1</v>
      </c>
      <c r="G3494" s="7">
        <v>448</v>
      </c>
      <c r="H3494" s="8">
        <v>445</v>
      </c>
      <c r="J3494" t="s">
        <v>23</v>
      </c>
      <c r="K3494" s="7">
        <v>594</v>
      </c>
      <c r="L3494" s="9">
        <v>-1</v>
      </c>
      <c r="M3494" t="s">
        <v>200</v>
      </c>
      <c r="N3494" t="s">
        <v>201</v>
      </c>
      <c r="O3494" s="27" t="str">
        <f>HYPERLINK("https://www.ncbi.nlm.nih.gov/nuccore/NZ_CP016559.1?report=graph&amp;from=6240157&amp;to=6240161", "TTA_codon")</f>
        <v>TTA_codon</v>
      </c>
    </row>
    <row r="3495" spans="1:15" x14ac:dyDescent="0.15">
      <c r="A3495" t="s">
        <v>21</v>
      </c>
      <c r="B3495" t="s">
        <v>2821</v>
      </c>
    </row>
    <row r="3496" spans="1:15" x14ac:dyDescent="0.15">
      <c r="A3496" t="s">
        <v>21</v>
      </c>
      <c r="B3496">
        <v>1001543</v>
      </c>
      <c r="C3496">
        <v>366948</v>
      </c>
      <c r="F3496" s="7">
        <v>1</v>
      </c>
      <c r="G3496" s="7">
        <v>133</v>
      </c>
      <c r="H3496" s="8">
        <v>130</v>
      </c>
      <c r="J3496" t="s">
        <v>23</v>
      </c>
      <c r="K3496" s="7">
        <v>288</v>
      </c>
      <c r="L3496" s="9">
        <v>1</v>
      </c>
      <c r="M3496" t="s">
        <v>220</v>
      </c>
      <c r="N3496" t="s">
        <v>221</v>
      </c>
      <c r="O3496" s="27" t="str">
        <f>HYPERLINK("https://www.ncbi.nlm.nih.gov/nuccore/MH576964.1?report=graph&amp;from=56258&amp;to=56262", "TTA_codon")</f>
        <v>TTA_codon</v>
      </c>
    </row>
    <row r="3497" spans="1:15" x14ac:dyDescent="0.15">
      <c r="A3497" t="s">
        <v>21</v>
      </c>
      <c r="B3497">
        <v>1001543</v>
      </c>
      <c r="C3497">
        <v>367027</v>
      </c>
      <c r="F3497" s="7">
        <v>1</v>
      </c>
      <c r="G3497" s="7">
        <v>133</v>
      </c>
      <c r="H3497" s="8">
        <v>130</v>
      </c>
      <c r="J3497" t="s">
        <v>23</v>
      </c>
      <c r="K3497" s="7">
        <v>288</v>
      </c>
      <c r="L3497" s="9">
        <v>1</v>
      </c>
      <c r="M3497" t="s">
        <v>226</v>
      </c>
      <c r="N3497" t="s">
        <v>227</v>
      </c>
      <c r="O3497" s="27" t="str">
        <f>HYPERLINK("https://www.ncbi.nlm.nih.gov/nuccore/MK801722.1?report=graph&amp;from=54139&amp;to=54143", "TTA_codon")</f>
        <v>TTA_codon</v>
      </c>
    </row>
    <row r="3498" spans="1:15" x14ac:dyDescent="0.15">
      <c r="A3498" t="s">
        <v>21</v>
      </c>
      <c r="B3498">
        <v>1001543</v>
      </c>
      <c r="C3498">
        <v>367101</v>
      </c>
      <c r="F3498" s="7">
        <v>1</v>
      </c>
      <c r="G3498" s="7">
        <v>133</v>
      </c>
      <c r="H3498" s="8">
        <v>130</v>
      </c>
      <c r="J3498" t="s">
        <v>23</v>
      </c>
      <c r="K3498" s="7">
        <v>288</v>
      </c>
      <c r="L3498" s="9">
        <v>1</v>
      </c>
      <c r="M3498" t="s">
        <v>232</v>
      </c>
      <c r="N3498" t="s">
        <v>233</v>
      </c>
      <c r="O3498" s="27" t="str">
        <f>HYPERLINK("https://www.ncbi.nlm.nih.gov/nuccore/MN369757.1?report=graph&amp;from=56411&amp;to=56415", "TTA_codon")</f>
        <v>TTA_codon</v>
      </c>
    </row>
    <row r="3499" spans="1:15" x14ac:dyDescent="0.15">
      <c r="A3499" t="s">
        <v>21</v>
      </c>
      <c r="B3499">
        <v>1001543</v>
      </c>
      <c r="C3499">
        <v>367118</v>
      </c>
      <c r="F3499" s="7">
        <v>1</v>
      </c>
      <c r="G3499" s="7">
        <v>133</v>
      </c>
      <c r="H3499" s="8">
        <v>133</v>
      </c>
      <c r="J3499" t="s">
        <v>23</v>
      </c>
      <c r="K3499" s="7">
        <v>291</v>
      </c>
      <c r="L3499" s="9">
        <v>1</v>
      </c>
      <c r="M3499" t="s">
        <v>234</v>
      </c>
      <c r="N3499" t="s">
        <v>235</v>
      </c>
      <c r="O3499" s="27" t="str">
        <f>HYPERLINK("https://www.ncbi.nlm.nih.gov/nuccore/MN369750.1?report=graph&amp;from=55876&amp;to=55880", "TTA_codon")</f>
        <v>TTA_codon</v>
      </c>
    </row>
    <row r="3500" spans="1:15" x14ac:dyDescent="0.15">
      <c r="A3500" t="s">
        <v>21</v>
      </c>
      <c r="B3500">
        <v>1001543</v>
      </c>
      <c r="C3500">
        <v>367151</v>
      </c>
      <c r="F3500" s="7">
        <v>1</v>
      </c>
      <c r="G3500" s="7">
        <v>268</v>
      </c>
      <c r="H3500" s="8">
        <v>265</v>
      </c>
      <c r="J3500" t="s">
        <v>23</v>
      </c>
      <c r="K3500" s="7">
        <v>282</v>
      </c>
      <c r="L3500" s="9">
        <v>1</v>
      </c>
      <c r="M3500" t="s">
        <v>2822</v>
      </c>
      <c r="N3500" t="s">
        <v>2823</v>
      </c>
      <c r="O3500" s="27" t="str">
        <f>HYPERLINK("https://www.ncbi.nlm.nih.gov/nuccore/MT310865.1?report=graph&amp;from=55852&amp;to=55856", "TTA_codon")</f>
        <v>TTA_codon</v>
      </c>
    </row>
    <row r="3501" spans="1:15" x14ac:dyDescent="0.15">
      <c r="A3501" t="s">
        <v>21</v>
      </c>
      <c r="B3501">
        <v>1001543</v>
      </c>
      <c r="C3501">
        <v>367230</v>
      </c>
      <c r="F3501" s="7">
        <v>1</v>
      </c>
      <c r="G3501" s="7">
        <v>133</v>
      </c>
      <c r="H3501" s="8">
        <v>133</v>
      </c>
      <c r="J3501" t="s">
        <v>23</v>
      </c>
      <c r="K3501" s="7">
        <v>291</v>
      </c>
      <c r="L3501" s="9">
        <v>1</v>
      </c>
      <c r="M3501" t="s">
        <v>238</v>
      </c>
      <c r="N3501" t="s">
        <v>239</v>
      </c>
      <c r="O3501" s="27" t="str">
        <f>HYPERLINK("https://www.ncbi.nlm.nih.gov/nuccore/MW507134.1?report=graph&amp;from=56256&amp;to=56260", "TTA_codon")</f>
        <v>TTA_codon</v>
      </c>
    </row>
    <row r="3502" spans="1:15" x14ac:dyDescent="0.15">
      <c r="A3502" t="s">
        <v>21</v>
      </c>
      <c r="B3502" t="s">
        <v>2824</v>
      </c>
    </row>
    <row r="3503" spans="1:15" x14ac:dyDescent="0.15">
      <c r="A3503" t="s">
        <v>21</v>
      </c>
      <c r="B3503">
        <v>1000371</v>
      </c>
      <c r="C3503">
        <v>348247</v>
      </c>
      <c r="F3503" s="7">
        <v>1</v>
      </c>
      <c r="G3503" s="7">
        <v>1003</v>
      </c>
      <c r="H3503" s="8">
        <v>775</v>
      </c>
      <c r="J3503" t="s">
        <v>23</v>
      </c>
      <c r="K3503" s="7">
        <v>3162</v>
      </c>
      <c r="L3503" s="9">
        <v>1</v>
      </c>
      <c r="M3503" t="s">
        <v>59</v>
      </c>
      <c r="N3503" t="s">
        <v>60</v>
      </c>
      <c r="O3503" s="27" t="str">
        <f>HYPERLINK("https://www.ncbi.nlm.nih.gov/nuccore/NC_016582.1?report=graph&amp;from=3837082&amp;to=3837086", "TTA_codon")</f>
        <v>TTA_codon</v>
      </c>
    </row>
    <row r="3504" spans="1:15" x14ac:dyDescent="0.15">
      <c r="A3504" t="s">
        <v>21</v>
      </c>
      <c r="B3504">
        <v>1000371</v>
      </c>
      <c r="C3504">
        <v>350617</v>
      </c>
      <c r="F3504" s="7">
        <v>1</v>
      </c>
      <c r="G3504" s="7">
        <v>1135</v>
      </c>
      <c r="H3504" s="8">
        <v>928</v>
      </c>
      <c r="J3504" t="s">
        <v>23</v>
      </c>
      <c r="K3504" s="7">
        <v>3270</v>
      </c>
      <c r="L3504" s="9">
        <v>1</v>
      </c>
      <c r="M3504" t="s">
        <v>2825</v>
      </c>
      <c r="N3504" t="s">
        <v>134</v>
      </c>
      <c r="O3504" s="27" t="str">
        <f>HYPERLINK("https://www.ncbi.nlm.nih.gov/nuccore/NZ_AJSZ01000425.1?report=graph&amp;from=1128&amp;to=1132", "TTA_codon")</f>
        <v>TTA_codon</v>
      </c>
    </row>
    <row r="3505" spans="1:15" x14ac:dyDescent="0.15">
      <c r="A3505" t="s">
        <v>21</v>
      </c>
      <c r="B3505">
        <v>1000371</v>
      </c>
      <c r="C3505">
        <v>351108</v>
      </c>
      <c r="F3505" s="7">
        <v>1</v>
      </c>
      <c r="G3505" s="7">
        <v>1267</v>
      </c>
      <c r="H3505" s="8">
        <v>1087</v>
      </c>
      <c r="J3505" t="s">
        <v>23</v>
      </c>
      <c r="K3505" s="7">
        <v>3372</v>
      </c>
      <c r="L3505" s="9">
        <v>1</v>
      </c>
      <c r="M3505" t="s">
        <v>2826</v>
      </c>
      <c r="N3505" t="s">
        <v>136</v>
      </c>
      <c r="O3505" s="27" t="str">
        <f>HYPERLINK("https://www.ncbi.nlm.nih.gov/nuccore/NZ_AORZ01000106.1?report=graph&amp;from=11167&amp;to=11171", "TTA_codon")</f>
        <v>TTA_codon</v>
      </c>
    </row>
    <row r="3506" spans="1:15" x14ac:dyDescent="0.15">
      <c r="A3506" t="s">
        <v>21</v>
      </c>
      <c r="B3506" t="s">
        <v>2827</v>
      </c>
    </row>
    <row r="3507" spans="1:15" x14ac:dyDescent="0.15">
      <c r="A3507" t="s">
        <v>21</v>
      </c>
      <c r="B3507">
        <v>1001241</v>
      </c>
      <c r="C3507">
        <v>357612</v>
      </c>
      <c r="F3507" s="7">
        <v>1</v>
      </c>
      <c r="G3507" s="7">
        <v>589</v>
      </c>
      <c r="H3507" s="8">
        <v>559</v>
      </c>
      <c r="J3507" t="s">
        <v>23</v>
      </c>
      <c r="K3507" s="7">
        <v>2904</v>
      </c>
      <c r="L3507" s="9">
        <v>1</v>
      </c>
      <c r="M3507" t="s">
        <v>814</v>
      </c>
      <c r="N3507" t="s">
        <v>378</v>
      </c>
      <c r="O3507" s="27" t="str">
        <f>HYPERLINK("https://www.ncbi.nlm.nih.gov/nuccore/NZ_LFXA01000002.1?report=graph&amp;from=451109&amp;to=451113", "TTA_codon")</f>
        <v>TTA_codon</v>
      </c>
    </row>
    <row r="3508" spans="1:15" x14ac:dyDescent="0.15">
      <c r="A3508" t="s">
        <v>21</v>
      </c>
      <c r="B3508">
        <v>1001241</v>
      </c>
      <c r="C3508">
        <v>360771</v>
      </c>
      <c r="F3508" s="7">
        <v>2</v>
      </c>
      <c r="G3508" s="7" t="s">
        <v>2828</v>
      </c>
      <c r="H3508" s="8" t="s">
        <v>2829</v>
      </c>
      <c r="J3508" t="s">
        <v>23</v>
      </c>
      <c r="K3508" s="7">
        <v>2415</v>
      </c>
      <c r="L3508" s="9">
        <v>1</v>
      </c>
      <c r="M3508" t="s">
        <v>94</v>
      </c>
      <c r="N3508" t="s">
        <v>95</v>
      </c>
      <c r="O3508" s="27" t="str">
        <f>HYPERLINK("https://www.ncbi.nlm.nih.gov/nuccore/NZ_JYIJ01000019.1?report=graph&amp;from=170463&amp;to=170794", "TTA_codon")</f>
        <v>TTA_codon</v>
      </c>
    </row>
    <row r="3509" spans="1:15" x14ac:dyDescent="0.15">
      <c r="A3509" t="s">
        <v>21</v>
      </c>
      <c r="B3509" t="s">
        <v>2830</v>
      </c>
    </row>
    <row r="3510" spans="1:15" x14ac:dyDescent="0.15">
      <c r="A3510" t="s">
        <v>21</v>
      </c>
      <c r="B3510">
        <v>1001029</v>
      </c>
      <c r="C3510">
        <v>354608</v>
      </c>
      <c r="F3510" s="7">
        <v>1</v>
      </c>
      <c r="G3510" s="7">
        <v>52</v>
      </c>
      <c r="H3510" s="8">
        <v>52</v>
      </c>
      <c r="J3510" t="s">
        <v>23</v>
      </c>
      <c r="K3510" s="7">
        <v>1521</v>
      </c>
      <c r="L3510" s="9">
        <v>-1</v>
      </c>
      <c r="M3510" t="s">
        <v>865</v>
      </c>
      <c r="N3510" t="s">
        <v>272</v>
      </c>
      <c r="O3510" s="27" t="str">
        <f>HYPERLINK("https://www.ncbi.nlm.nih.gov/nuccore/NZ_JOEY01000002.1?report=graph&amp;from=154962&amp;to=154966", "TTA_codon")</f>
        <v>TTA_codon</v>
      </c>
    </row>
    <row r="3511" spans="1:15" x14ac:dyDescent="0.15">
      <c r="A3511" t="s">
        <v>21</v>
      </c>
      <c r="B3511">
        <v>1001029</v>
      </c>
      <c r="C3511">
        <v>357745</v>
      </c>
      <c r="F3511" s="7">
        <v>1</v>
      </c>
      <c r="G3511" s="7">
        <v>52</v>
      </c>
      <c r="H3511" s="8">
        <v>49</v>
      </c>
      <c r="J3511" t="s">
        <v>23</v>
      </c>
      <c r="K3511" s="7">
        <v>1503</v>
      </c>
      <c r="L3511" s="9">
        <v>-1</v>
      </c>
      <c r="M3511" t="s">
        <v>2831</v>
      </c>
      <c r="N3511" t="s">
        <v>83</v>
      </c>
      <c r="O3511" s="27" t="str">
        <f>HYPERLINK("https://www.ncbi.nlm.nih.gov/nuccore/NZ_DF968249.1?report=graph&amp;from=27733&amp;to=27737", "TTA_codon")</f>
        <v>TTA_codon</v>
      </c>
    </row>
    <row r="3512" spans="1:15" x14ac:dyDescent="0.15">
      <c r="A3512" t="s">
        <v>21</v>
      </c>
      <c r="B3512">
        <v>1001029</v>
      </c>
      <c r="C3512">
        <v>359866</v>
      </c>
      <c r="F3512" s="7">
        <v>1</v>
      </c>
      <c r="G3512" s="7">
        <v>52</v>
      </c>
      <c r="H3512" s="8">
        <v>52</v>
      </c>
      <c r="J3512" t="s">
        <v>23</v>
      </c>
      <c r="K3512" s="7">
        <v>1500</v>
      </c>
      <c r="L3512" s="9">
        <v>-1</v>
      </c>
      <c r="M3512" t="s">
        <v>417</v>
      </c>
      <c r="N3512" t="s">
        <v>91</v>
      </c>
      <c r="O3512" s="27" t="str">
        <f>HYPERLINK("https://www.ncbi.nlm.nih.gov/nuccore/NZ_KQ948309.1?report=graph&amp;from=406771&amp;to=406775", "TTA_codon")</f>
        <v>TTA_codon</v>
      </c>
    </row>
    <row r="3513" spans="1:15" x14ac:dyDescent="0.15">
      <c r="A3513" t="s">
        <v>21</v>
      </c>
      <c r="B3513" t="s">
        <v>2832</v>
      </c>
    </row>
    <row r="3514" spans="1:15" x14ac:dyDescent="0.15">
      <c r="A3514" t="s">
        <v>21</v>
      </c>
      <c r="B3514">
        <v>1001133</v>
      </c>
      <c r="C3514">
        <v>355974</v>
      </c>
      <c r="F3514" s="7">
        <v>1</v>
      </c>
      <c r="G3514" s="7">
        <v>40</v>
      </c>
      <c r="H3514" s="8">
        <v>40</v>
      </c>
      <c r="J3514" t="s">
        <v>23</v>
      </c>
      <c r="K3514" s="7">
        <v>711</v>
      </c>
      <c r="L3514" s="9">
        <v>-1</v>
      </c>
      <c r="M3514" t="s">
        <v>2833</v>
      </c>
      <c r="N3514" t="s">
        <v>384</v>
      </c>
      <c r="O3514" s="27" t="str">
        <f>HYPERLINK("https://www.ncbi.nlm.nih.gov/nuccore/NZ_JOAK01000049.1?report=graph&amp;from=27589&amp;to=27593", "TTA_codon")</f>
        <v>TTA_codon</v>
      </c>
    </row>
    <row r="3515" spans="1:15" x14ac:dyDescent="0.15">
      <c r="A3515" t="s">
        <v>21</v>
      </c>
      <c r="B3515">
        <v>1001133</v>
      </c>
      <c r="C3515">
        <v>357210</v>
      </c>
      <c r="F3515" s="7">
        <v>1</v>
      </c>
      <c r="G3515" s="7">
        <v>40</v>
      </c>
      <c r="H3515" s="8">
        <v>40</v>
      </c>
      <c r="J3515" t="s">
        <v>23</v>
      </c>
      <c r="K3515" s="7">
        <v>711</v>
      </c>
      <c r="L3515" s="9">
        <v>-1</v>
      </c>
      <c r="M3515" t="s">
        <v>205</v>
      </c>
      <c r="N3515" t="s">
        <v>206</v>
      </c>
      <c r="O3515" s="27" t="str">
        <f>HYPERLINK("https://www.ncbi.nlm.nih.gov/nuccore/NZ_CP010407.1?report=graph&amp;from=130684&amp;to=130688", "TTA_codon")</f>
        <v>TTA_codon</v>
      </c>
    </row>
    <row r="3516" spans="1:15" x14ac:dyDescent="0.15">
      <c r="A3516" t="s">
        <v>21</v>
      </c>
      <c r="B3516">
        <v>1001133</v>
      </c>
      <c r="C3516">
        <v>364406</v>
      </c>
      <c r="F3516" s="7">
        <v>1</v>
      </c>
      <c r="G3516" s="7">
        <v>40</v>
      </c>
      <c r="H3516" s="8">
        <v>40</v>
      </c>
      <c r="J3516" t="s">
        <v>23</v>
      </c>
      <c r="K3516" s="7">
        <v>711</v>
      </c>
      <c r="L3516" s="9">
        <v>-1</v>
      </c>
      <c r="M3516" t="s">
        <v>105</v>
      </c>
      <c r="N3516" t="s">
        <v>106</v>
      </c>
      <c r="O3516" s="27" t="str">
        <f>HYPERLINK("https://www.ncbi.nlm.nih.gov/nuccore/NZ_CP020042.1?report=graph&amp;from=202022&amp;to=202026", "TTA_codon")</f>
        <v>TTA_codon</v>
      </c>
    </row>
    <row r="3517" spans="1:15" x14ac:dyDescent="0.15">
      <c r="A3517" t="s">
        <v>21</v>
      </c>
      <c r="B3517" t="s">
        <v>2834</v>
      </c>
    </row>
    <row r="3518" spans="1:15" x14ac:dyDescent="0.15">
      <c r="A3518" t="s">
        <v>21</v>
      </c>
      <c r="B3518">
        <v>1001489</v>
      </c>
      <c r="C3518">
        <v>364813</v>
      </c>
      <c r="F3518" s="7">
        <v>2</v>
      </c>
      <c r="G3518" s="7" t="s">
        <v>2835</v>
      </c>
      <c r="H3518" s="8" t="s">
        <v>2836</v>
      </c>
      <c r="J3518" t="s">
        <v>23</v>
      </c>
      <c r="K3518" s="7">
        <v>1002</v>
      </c>
      <c r="L3518" s="9">
        <v>1</v>
      </c>
      <c r="M3518" t="s">
        <v>2837</v>
      </c>
      <c r="N3518" t="s">
        <v>127</v>
      </c>
      <c r="O3518" s="27" t="str">
        <f>HYPERLINK("https://www.ncbi.nlm.nih.gov/nuccore/NZ_CP023977.1?report=graph&amp;from=47654&amp;to=48573", "TTA_codon")</f>
        <v>TTA_codon</v>
      </c>
    </row>
    <row r="3519" spans="1:15" x14ac:dyDescent="0.15">
      <c r="A3519" t="s">
        <v>21</v>
      </c>
      <c r="B3519">
        <v>1001489</v>
      </c>
      <c r="C3519">
        <v>365571</v>
      </c>
      <c r="F3519" s="7">
        <v>1</v>
      </c>
      <c r="G3519" s="7">
        <v>49</v>
      </c>
      <c r="H3519" s="8">
        <v>49</v>
      </c>
      <c r="J3519" t="s">
        <v>23</v>
      </c>
      <c r="K3519" s="7">
        <v>1011</v>
      </c>
      <c r="L3519" s="9">
        <v>1</v>
      </c>
      <c r="M3519" t="s">
        <v>2024</v>
      </c>
      <c r="N3519" t="s">
        <v>214</v>
      </c>
      <c r="O3519" s="27" t="str">
        <f>HYPERLINK("https://www.ncbi.nlm.nih.gov/nuccore/NZ_FNST01000001.1?report=graph&amp;from=449977&amp;to=449981", "TTA_codon")</f>
        <v>TTA_codon</v>
      </c>
    </row>
    <row r="3520" spans="1:15" x14ac:dyDescent="0.15">
      <c r="A3520" t="s">
        <v>21</v>
      </c>
      <c r="B3520" t="s">
        <v>2838</v>
      </c>
    </row>
    <row r="3521" spans="1:15" x14ac:dyDescent="0.15">
      <c r="A3521" t="s">
        <v>21</v>
      </c>
      <c r="B3521">
        <v>1000434</v>
      </c>
      <c r="C3521">
        <v>348713</v>
      </c>
      <c r="F3521" s="7">
        <v>1</v>
      </c>
      <c r="G3521" s="7">
        <v>139</v>
      </c>
      <c r="H3521" s="8">
        <v>139</v>
      </c>
      <c r="J3521" t="s">
        <v>23</v>
      </c>
      <c r="K3521" s="7">
        <v>507</v>
      </c>
      <c r="L3521" s="9">
        <v>1</v>
      </c>
      <c r="M3521" t="s">
        <v>211</v>
      </c>
      <c r="N3521" t="s">
        <v>212</v>
      </c>
      <c r="O3521" s="27" t="str">
        <f>HYPERLINK("https://www.ncbi.nlm.nih.gov/nuccore/NZ_GG657754.1?report=graph&amp;from=6400028&amp;to=6400032", "TTA_codon")</f>
        <v>TTA_codon</v>
      </c>
    </row>
    <row r="3522" spans="1:15" x14ac:dyDescent="0.15">
      <c r="A3522" t="s">
        <v>21</v>
      </c>
      <c r="B3522">
        <v>1000434</v>
      </c>
      <c r="C3522">
        <v>366194</v>
      </c>
      <c r="F3522" s="7">
        <v>1</v>
      </c>
      <c r="G3522" s="7">
        <v>67</v>
      </c>
      <c r="H3522" s="8">
        <v>34</v>
      </c>
      <c r="J3522" t="s">
        <v>23</v>
      </c>
      <c r="K3522" s="7">
        <v>501</v>
      </c>
      <c r="L3522" s="9">
        <v>1</v>
      </c>
      <c r="M3522" t="s">
        <v>2839</v>
      </c>
      <c r="N3522" t="s">
        <v>178</v>
      </c>
      <c r="O3522" s="27" t="str">
        <f>HYPERLINK("https://www.ncbi.nlm.nih.gov/nuccore/NZ_FOGO01000004.1?report=graph&amp;from=501186&amp;to=501190", "TTA_codon")</f>
        <v>TTA_codon</v>
      </c>
    </row>
    <row r="3523" spans="1:15" x14ac:dyDescent="0.15">
      <c r="A3523" t="s">
        <v>195</v>
      </c>
      <c r="B3523" t="s">
        <v>2840</v>
      </c>
    </row>
    <row r="3524" spans="1:15" x14ac:dyDescent="0.15">
      <c r="A3524" t="s">
        <v>195</v>
      </c>
      <c r="B3524">
        <v>1000026</v>
      </c>
      <c r="C3524">
        <v>346122</v>
      </c>
      <c r="F3524" s="7">
        <v>1</v>
      </c>
      <c r="G3524" s="7">
        <v>1177</v>
      </c>
      <c r="H3524" s="8">
        <v>928</v>
      </c>
      <c r="J3524" t="s">
        <v>23</v>
      </c>
      <c r="K3524" s="7">
        <v>1344</v>
      </c>
      <c r="L3524" s="9">
        <v>1</v>
      </c>
      <c r="M3524" t="s">
        <v>658</v>
      </c>
      <c r="N3524" t="s">
        <v>64</v>
      </c>
      <c r="O3524" s="27" t="str">
        <f>HYPERLINK("https://www.ncbi.nlm.nih.gov/nuccore/NZ_AEYX01000042.1?report=graph&amp;from=366709&amp;to=366713", "TTA_codon")</f>
        <v>TTA_codon</v>
      </c>
    </row>
    <row r="3525" spans="1:15" x14ac:dyDescent="0.15">
      <c r="A3525" t="s">
        <v>21</v>
      </c>
      <c r="B3525">
        <v>1000026</v>
      </c>
      <c r="C3525">
        <v>351999</v>
      </c>
      <c r="F3525" s="7">
        <v>1</v>
      </c>
      <c r="G3525" s="7">
        <v>1177</v>
      </c>
      <c r="H3525" s="8">
        <v>1138</v>
      </c>
      <c r="J3525" t="s">
        <v>23</v>
      </c>
      <c r="K3525" s="7">
        <v>1524</v>
      </c>
      <c r="L3525" s="9">
        <v>1</v>
      </c>
      <c r="M3525" t="s">
        <v>440</v>
      </c>
      <c r="N3525" t="s">
        <v>68</v>
      </c>
      <c r="O3525" s="27" t="str">
        <f>HYPERLINK("https://www.ncbi.nlm.nih.gov/nuccore/NZ_BARG01000050.1?report=graph&amp;from=38414&amp;to=38418", "TTA_codon")</f>
        <v>TTA_codon</v>
      </c>
    </row>
    <row r="3526" spans="1:15" x14ac:dyDescent="0.15">
      <c r="A3526" t="s">
        <v>21</v>
      </c>
      <c r="B3526">
        <v>1000026</v>
      </c>
      <c r="C3526">
        <v>353493</v>
      </c>
      <c r="F3526" s="7">
        <v>1</v>
      </c>
      <c r="G3526" s="7">
        <v>1177</v>
      </c>
      <c r="H3526" s="8">
        <v>925</v>
      </c>
      <c r="J3526" t="s">
        <v>23</v>
      </c>
      <c r="K3526" s="7">
        <v>1314</v>
      </c>
      <c r="L3526" s="9">
        <v>1</v>
      </c>
      <c r="M3526" t="s">
        <v>449</v>
      </c>
      <c r="N3526" t="s">
        <v>169</v>
      </c>
      <c r="O3526" s="27" t="str">
        <f>HYPERLINK("https://www.ncbi.nlm.nih.gov/nuccore/NZ_JNWJ01000022.1?report=graph&amp;from=97284&amp;to=97288", "TTA_codon")</f>
        <v>TTA_codon</v>
      </c>
    </row>
    <row r="3527" spans="1:15" x14ac:dyDescent="0.15">
      <c r="A3527" t="s">
        <v>21</v>
      </c>
      <c r="B3527">
        <v>1000026</v>
      </c>
      <c r="C3527">
        <v>357783</v>
      </c>
      <c r="F3527" s="7">
        <v>1</v>
      </c>
      <c r="G3527" s="7">
        <v>1177</v>
      </c>
      <c r="H3527" s="8">
        <v>952</v>
      </c>
      <c r="J3527" t="s">
        <v>23</v>
      </c>
      <c r="K3527" s="7">
        <v>1338</v>
      </c>
      <c r="L3527" s="9">
        <v>1</v>
      </c>
      <c r="M3527" t="s">
        <v>2841</v>
      </c>
      <c r="N3527" t="s">
        <v>83</v>
      </c>
      <c r="O3527" s="27" t="str">
        <f>HYPERLINK("https://www.ncbi.nlm.nih.gov/nuccore/NZ_DF968269.1?report=graph&amp;from=3928&amp;to=3932", "TTA_codon")</f>
        <v>TTA_codon</v>
      </c>
    </row>
    <row r="3528" spans="1:15" x14ac:dyDescent="0.15">
      <c r="A3528" t="s">
        <v>21</v>
      </c>
      <c r="B3528">
        <v>1000026</v>
      </c>
      <c r="C3528">
        <v>359138</v>
      </c>
      <c r="F3528" s="7">
        <v>1</v>
      </c>
      <c r="G3528" s="7">
        <v>1177</v>
      </c>
      <c r="H3528" s="8">
        <v>988</v>
      </c>
      <c r="J3528" t="s">
        <v>23</v>
      </c>
      <c r="K3528" s="7">
        <v>1377</v>
      </c>
      <c r="L3528" s="9">
        <v>1</v>
      </c>
      <c r="M3528" t="s">
        <v>2842</v>
      </c>
      <c r="N3528" t="s">
        <v>451</v>
      </c>
      <c r="O3528" s="27" t="str">
        <f>HYPERLINK("https://www.ncbi.nlm.nih.gov/nuccore/NZ_LIQZ01000278.1?report=graph&amp;from=7917&amp;to=7921", "TTA_codon")</f>
        <v>TTA_codon</v>
      </c>
    </row>
    <row r="3529" spans="1:15" x14ac:dyDescent="0.15">
      <c r="A3529" t="s">
        <v>21</v>
      </c>
      <c r="B3529">
        <v>1000026</v>
      </c>
      <c r="C3529">
        <v>359908</v>
      </c>
      <c r="F3529" s="7">
        <v>1</v>
      </c>
      <c r="G3529" s="7">
        <v>1177</v>
      </c>
      <c r="H3529" s="8">
        <v>967</v>
      </c>
      <c r="J3529" t="s">
        <v>23</v>
      </c>
      <c r="K3529" s="7">
        <v>1350</v>
      </c>
      <c r="L3529" s="9">
        <v>1</v>
      </c>
      <c r="M3529" t="s">
        <v>1665</v>
      </c>
      <c r="N3529" t="s">
        <v>91</v>
      </c>
      <c r="O3529" s="27" t="str">
        <f>HYPERLINK("https://www.ncbi.nlm.nih.gov/nuccore/NZ_KQ948304.1?report=graph&amp;from=457990&amp;to=457994", "TTA_codon")</f>
        <v>TTA_codon</v>
      </c>
    </row>
    <row r="3530" spans="1:15" x14ac:dyDescent="0.15">
      <c r="A3530" t="s">
        <v>21</v>
      </c>
      <c r="B3530">
        <v>1000026</v>
      </c>
      <c r="C3530">
        <v>361290</v>
      </c>
      <c r="F3530" s="7">
        <v>1</v>
      </c>
      <c r="G3530" s="7">
        <v>1177</v>
      </c>
      <c r="H3530" s="8">
        <v>967</v>
      </c>
      <c r="J3530" t="s">
        <v>23</v>
      </c>
      <c r="K3530" s="7">
        <v>1350</v>
      </c>
      <c r="L3530" s="9">
        <v>1</v>
      </c>
      <c r="M3530" t="s">
        <v>98</v>
      </c>
      <c r="N3530" t="s">
        <v>99</v>
      </c>
      <c r="O3530" s="27" t="str">
        <f>HYPERLINK("https://www.ncbi.nlm.nih.gov/nuccore/NZ_CP016438.1?report=graph&amp;from=7871252&amp;to=7871256", "TTA_codon")</f>
        <v>TTA_codon</v>
      </c>
    </row>
    <row r="3531" spans="1:15" x14ac:dyDescent="0.15">
      <c r="A3531" t="s">
        <v>21</v>
      </c>
      <c r="B3531" t="s">
        <v>2843</v>
      </c>
    </row>
    <row r="3532" spans="1:15" x14ac:dyDescent="0.15">
      <c r="A3532" t="s">
        <v>21</v>
      </c>
      <c r="B3532">
        <v>1000402</v>
      </c>
      <c r="C3532">
        <v>348506</v>
      </c>
      <c r="F3532" s="7">
        <v>1</v>
      </c>
      <c r="G3532" s="7">
        <v>88</v>
      </c>
      <c r="H3532" s="8">
        <v>61</v>
      </c>
      <c r="J3532" t="s">
        <v>23</v>
      </c>
      <c r="K3532" s="7">
        <v>1602</v>
      </c>
      <c r="L3532" s="9">
        <v>1</v>
      </c>
      <c r="M3532" t="s">
        <v>61</v>
      </c>
      <c r="N3532" t="s">
        <v>62</v>
      </c>
      <c r="O3532" s="27" t="str">
        <f>HYPERLINK("https://www.ncbi.nlm.nih.gov/nuccore/NZ_DS999641.1?report=graph&amp;from=2634107&amp;to=2634111", "TTA_codon")</f>
        <v>TTA_codon</v>
      </c>
    </row>
    <row r="3533" spans="1:15" x14ac:dyDescent="0.15">
      <c r="A3533" t="s">
        <v>21</v>
      </c>
      <c r="B3533">
        <v>1000402</v>
      </c>
      <c r="C3533">
        <v>348507</v>
      </c>
      <c r="F3533" s="7">
        <v>1</v>
      </c>
      <c r="G3533" s="7">
        <v>88</v>
      </c>
      <c r="H3533" s="8">
        <v>61</v>
      </c>
      <c r="J3533" t="s">
        <v>23</v>
      </c>
      <c r="K3533" s="7">
        <v>1602</v>
      </c>
      <c r="L3533" s="9">
        <v>1</v>
      </c>
      <c r="M3533" t="s">
        <v>61</v>
      </c>
      <c r="N3533" t="s">
        <v>62</v>
      </c>
      <c r="O3533" s="27" t="str">
        <f>HYPERLINK("https://www.ncbi.nlm.nih.gov/nuccore/NZ_DS999641.1?report=graph&amp;from=5088997&amp;to=5089001", "TTA_codon")</f>
        <v>TTA_codon</v>
      </c>
    </row>
    <row r="3534" spans="1:15" x14ac:dyDescent="0.15">
      <c r="A3534" t="s">
        <v>21</v>
      </c>
      <c r="B3534">
        <v>1000402</v>
      </c>
      <c r="C3534">
        <v>351823</v>
      </c>
      <c r="F3534" s="7">
        <v>1</v>
      </c>
      <c r="G3534" s="7">
        <v>70</v>
      </c>
      <c r="H3534" s="8">
        <v>49</v>
      </c>
      <c r="J3534" t="s">
        <v>23</v>
      </c>
      <c r="K3534" s="7">
        <v>1191</v>
      </c>
      <c r="L3534" s="9">
        <v>1</v>
      </c>
      <c r="M3534" t="s">
        <v>2844</v>
      </c>
      <c r="N3534" t="s">
        <v>68</v>
      </c>
      <c r="O3534" s="27" t="str">
        <f>HYPERLINK("https://www.ncbi.nlm.nih.gov/nuccore/NZ_BARG01000151.1?report=graph&amp;from=3670&amp;to=3674", "TTA_codon")</f>
        <v>TTA_codon</v>
      </c>
    </row>
    <row r="3535" spans="1:15" x14ac:dyDescent="0.15">
      <c r="A3535" t="s">
        <v>21</v>
      </c>
      <c r="B3535">
        <v>1000402</v>
      </c>
      <c r="C3535">
        <v>353255</v>
      </c>
      <c r="F3535" s="7">
        <v>1</v>
      </c>
      <c r="G3535" s="7">
        <v>70</v>
      </c>
      <c r="H3535" s="8">
        <v>70</v>
      </c>
      <c r="J3535" t="s">
        <v>23</v>
      </c>
      <c r="K3535" s="7">
        <v>1212</v>
      </c>
      <c r="L3535" s="9">
        <v>1</v>
      </c>
      <c r="M3535" t="s">
        <v>2845</v>
      </c>
      <c r="N3535" t="s">
        <v>169</v>
      </c>
      <c r="O3535" s="27" t="str">
        <f>HYPERLINK("https://www.ncbi.nlm.nih.gov/nuccore/NZ_JNWJ01000120.1?report=graph&amp;from=2770&amp;to=2774", "TTA_codon")</f>
        <v>TTA_codon</v>
      </c>
    </row>
    <row r="3536" spans="1:15" x14ac:dyDescent="0.15">
      <c r="A3536" t="s">
        <v>21</v>
      </c>
      <c r="B3536">
        <v>1000402</v>
      </c>
      <c r="C3536">
        <v>360095</v>
      </c>
      <c r="F3536" s="7">
        <v>2</v>
      </c>
      <c r="G3536" s="7" t="s">
        <v>2846</v>
      </c>
      <c r="H3536" s="8" t="s">
        <v>2847</v>
      </c>
      <c r="J3536" t="s">
        <v>23</v>
      </c>
      <c r="K3536" s="7">
        <v>1179</v>
      </c>
      <c r="L3536" s="9">
        <v>1</v>
      </c>
      <c r="M3536" t="s">
        <v>1013</v>
      </c>
      <c r="N3536" t="s">
        <v>125</v>
      </c>
      <c r="O3536" s="27" t="str">
        <f>HYPERLINK("https://www.ncbi.nlm.nih.gov/nuccore/NZ_KQ948483.1?report=graph&amp;from=43614&amp;to=43627", "TTA_codon")</f>
        <v>TTA_codon</v>
      </c>
    </row>
    <row r="3537" spans="1:15" x14ac:dyDescent="0.15">
      <c r="A3537" t="s">
        <v>21</v>
      </c>
      <c r="B3537" t="s">
        <v>2848</v>
      </c>
    </row>
    <row r="3538" spans="1:15" x14ac:dyDescent="0.15">
      <c r="A3538" t="s">
        <v>21</v>
      </c>
      <c r="B3538">
        <v>1000561</v>
      </c>
      <c r="C3538">
        <v>349911</v>
      </c>
      <c r="F3538" s="7">
        <v>1</v>
      </c>
      <c r="G3538" s="7">
        <v>499</v>
      </c>
      <c r="H3538" s="8">
        <v>499</v>
      </c>
      <c r="J3538" t="s">
        <v>23</v>
      </c>
      <c r="K3538" s="7">
        <v>678</v>
      </c>
      <c r="L3538" s="9">
        <v>1</v>
      </c>
      <c r="M3538" t="s">
        <v>439</v>
      </c>
      <c r="N3538" t="s">
        <v>249</v>
      </c>
      <c r="O3538" s="27" t="str">
        <f>HYPERLINK("https://www.ncbi.nlm.nih.gov/nuccore/NZ_AHBF01000011.1?report=graph&amp;from=108739&amp;to=108743", "TTA_codon")</f>
        <v>TTA_codon</v>
      </c>
    </row>
    <row r="3539" spans="1:15" x14ac:dyDescent="0.15">
      <c r="A3539" t="s">
        <v>21</v>
      </c>
      <c r="B3539">
        <v>1000561</v>
      </c>
      <c r="C3539">
        <v>354009</v>
      </c>
      <c r="F3539" s="7">
        <v>1</v>
      </c>
      <c r="G3539" s="7">
        <v>364</v>
      </c>
      <c r="H3539" s="8">
        <v>349</v>
      </c>
      <c r="J3539" t="s">
        <v>23</v>
      </c>
      <c r="K3539" s="7">
        <v>705</v>
      </c>
      <c r="L3539" s="9">
        <v>1</v>
      </c>
      <c r="M3539" t="s">
        <v>1887</v>
      </c>
      <c r="N3539" t="s">
        <v>270</v>
      </c>
      <c r="O3539" s="27" t="str">
        <f>HYPERLINK("https://www.ncbi.nlm.nih.gov/nuccore/NZ_JOBH01000008.1?report=graph&amp;from=133788&amp;to=133792", "TTA_codon")</f>
        <v>TTA_codon</v>
      </c>
    </row>
    <row r="3540" spans="1:15" x14ac:dyDescent="0.15">
      <c r="A3540" t="s">
        <v>21</v>
      </c>
      <c r="B3540" t="s">
        <v>2849</v>
      </c>
    </row>
    <row r="3541" spans="1:15" x14ac:dyDescent="0.15">
      <c r="A3541" t="s">
        <v>21</v>
      </c>
      <c r="B3541">
        <v>1001554</v>
      </c>
      <c r="C3541">
        <v>366991</v>
      </c>
      <c r="F3541" s="7">
        <v>1</v>
      </c>
      <c r="G3541" s="7">
        <v>76</v>
      </c>
      <c r="H3541" s="8">
        <v>76</v>
      </c>
      <c r="J3541" t="s">
        <v>23</v>
      </c>
      <c r="K3541" s="7">
        <v>378</v>
      </c>
      <c r="L3541" s="9">
        <v>1</v>
      </c>
      <c r="M3541" t="s">
        <v>222</v>
      </c>
      <c r="N3541" t="s">
        <v>223</v>
      </c>
      <c r="O3541" s="27" t="str">
        <f>HYPERLINK("https://www.ncbi.nlm.nih.gov/nuccore/MK359332.1?report=graph&amp;from=78374&amp;to=78378", "TTA_codon")</f>
        <v>TTA_codon</v>
      </c>
    </row>
    <row r="3542" spans="1:15" x14ac:dyDescent="0.15">
      <c r="A3542" t="s">
        <v>21</v>
      </c>
      <c r="B3542">
        <v>1001554</v>
      </c>
      <c r="C3542">
        <v>367008</v>
      </c>
      <c r="F3542" s="7">
        <v>1</v>
      </c>
      <c r="G3542" s="7">
        <v>76</v>
      </c>
      <c r="H3542" s="8">
        <v>76</v>
      </c>
      <c r="J3542" t="s">
        <v>23</v>
      </c>
      <c r="K3542" s="7">
        <v>378</v>
      </c>
      <c r="L3542" s="9">
        <v>1</v>
      </c>
      <c r="M3542" t="s">
        <v>224</v>
      </c>
      <c r="N3542" t="s">
        <v>225</v>
      </c>
      <c r="O3542" s="27" t="str">
        <f>HYPERLINK("https://www.ncbi.nlm.nih.gov/nuccore/MK359351.1?report=graph&amp;from=78260&amp;to=78264", "TTA_codon")</f>
        <v>TTA_codon</v>
      </c>
    </row>
    <row r="3543" spans="1:15" x14ac:dyDescent="0.15">
      <c r="A3543" t="s">
        <v>21</v>
      </c>
      <c r="B3543">
        <v>1001554</v>
      </c>
      <c r="C3543">
        <v>367380</v>
      </c>
      <c r="F3543" s="7">
        <v>1</v>
      </c>
      <c r="G3543" s="7">
        <v>76</v>
      </c>
      <c r="H3543" s="8">
        <v>76</v>
      </c>
      <c r="J3543" t="s">
        <v>23</v>
      </c>
      <c r="K3543" s="7">
        <v>378</v>
      </c>
      <c r="L3543" s="9">
        <v>1</v>
      </c>
      <c r="M3543" t="s">
        <v>242</v>
      </c>
      <c r="N3543" t="s">
        <v>243</v>
      </c>
      <c r="O3543" s="27" t="str">
        <f>HYPERLINK("https://www.ncbi.nlm.nih.gov/nuccore/NC_048730.1?report=graph&amp;from=78351&amp;to=78355", "TTA_codon")</f>
        <v>TTA_codon</v>
      </c>
    </row>
    <row r="3544" spans="1:15" x14ac:dyDescent="0.15">
      <c r="A3544" t="s">
        <v>195</v>
      </c>
      <c r="B3544" t="s">
        <v>2850</v>
      </c>
    </row>
    <row r="3545" spans="1:15" x14ac:dyDescent="0.15">
      <c r="A3545" t="s">
        <v>195</v>
      </c>
      <c r="B3545">
        <v>1000071</v>
      </c>
      <c r="C3545">
        <v>346400</v>
      </c>
      <c r="F3545" s="7">
        <v>1</v>
      </c>
      <c r="G3545" s="7">
        <v>688</v>
      </c>
      <c r="H3545" s="8">
        <v>652</v>
      </c>
      <c r="J3545" t="s">
        <v>23</v>
      </c>
      <c r="K3545" s="7">
        <v>852</v>
      </c>
      <c r="L3545" s="9">
        <v>1</v>
      </c>
      <c r="M3545" t="s">
        <v>945</v>
      </c>
      <c r="N3545" t="s">
        <v>142</v>
      </c>
      <c r="O3545" s="27" t="str">
        <f>HYPERLINK("https://www.ncbi.nlm.nih.gov/nuccore/NZ_JOEI01000016.1?report=graph&amp;from=142359&amp;to=142363", "TTA_codon")</f>
        <v>TTA_codon</v>
      </c>
    </row>
    <row r="3546" spans="1:15" x14ac:dyDescent="0.15">
      <c r="A3546" t="s">
        <v>195</v>
      </c>
      <c r="B3546">
        <v>1000071</v>
      </c>
      <c r="C3546">
        <v>346848</v>
      </c>
      <c r="F3546" s="7">
        <v>1</v>
      </c>
      <c r="G3546" s="7">
        <v>688</v>
      </c>
      <c r="H3546" s="8">
        <v>655</v>
      </c>
      <c r="J3546" t="s">
        <v>23</v>
      </c>
      <c r="K3546" s="7">
        <v>873</v>
      </c>
      <c r="L3546" s="9">
        <v>1</v>
      </c>
      <c r="M3546" t="s">
        <v>200</v>
      </c>
      <c r="N3546" t="s">
        <v>201</v>
      </c>
      <c r="O3546" s="27" t="str">
        <f>HYPERLINK("https://www.ncbi.nlm.nih.gov/nuccore/NZ_CP016559.1?report=graph&amp;from=3901140&amp;to=3901144", "TTA_codon")</f>
        <v>TTA_codon</v>
      </c>
    </row>
    <row r="3547" spans="1:15" x14ac:dyDescent="0.15">
      <c r="A3547" t="s">
        <v>21</v>
      </c>
      <c r="B3547" t="s">
        <v>2851</v>
      </c>
    </row>
    <row r="3548" spans="1:15" x14ac:dyDescent="0.15">
      <c r="A3548" t="s">
        <v>21</v>
      </c>
      <c r="B3548">
        <v>1000209</v>
      </c>
      <c r="C3548">
        <v>347383</v>
      </c>
      <c r="F3548" s="7">
        <v>1</v>
      </c>
      <c r="G3548" s="7">
        <v>226</v>
      </c>
      <c r="H3548" s="8">
        <v>226</v>
      </c>
      <c r="J3548" t="s">
        <v>23</v>
      </c>
      <c r="K3548" s="7">
        <v>1308</v>
      </c>
      <c r="L3548" s="9">
        <v>-1</v>
      </c>
      <c r="M3548" t="s">
        <v>217</v>
      </c>
      <c r="N3548" t="s">
        <v>218</v>
      </c>
      <c r="O3548" s="27" t="str">
        <f>HYPERLINK("https://www.ncbi.nlm.nih.gov/nuccore/NC_021985.1?report=graph&amp;from=6479584&amp;to=6479588", "TTA_codon")</f>
        <v>TTA_codon</v>
      </c>
    </row>
    <row r="3549" spans="1:15" x14ac:dyDescent="0.15">
      <c r="A3549" t="s">
        <v>21</v>
      </c>
      <c r="B3549">
        <v>1000209</v>
      </c>
      <c r="C3549">
        <v>360397</v>
      </c>
      <c r="F3549" s="7">
        <v>1</v>
      </c>
      <c r="G3549" s="7">
        <v>226</v>
      </c>
      <c r="H3549" s="8">
        <v>226</v>
      </c>
      <c r="J3549" t="s">
        <v>23</v>
      </c>
      <c r="K3549" s="7">
        <v>1233</v>
      </c>
      <c r="L3549" s="9">
        <v>-1</v>
      </c>
      <c r="M3549" t="s">
        <v>121</v>
      </c>
      <c r="N3549" t="s">
        <v>122</v>
      </c>
      <c r="O3549" s="27" t="str">
        <f>HYPERLINK("https://www.ncbi.nlm.nih.gov/nuccore/NZ_CP016279.1?report=graph&amp;from=2683322&amp;to=2683326", "TTA_codon")</f>
        <v>TTA_codon</v>
      </c>
    </row>
    <row r="3550" spans="1:15" x14ac:dyDescent="0.15">
      <c r="A3550" t="s">
        <v>21</v>
      </c>
      <c r="B3550" t="s">
        <v>2852</v>
      </c>
    </row>
    <row r="3551" spans="1:15" x14ac:dyDescent="0.15">
      <c r="A3551" t="s">
        <v>21</v>
      </c>
      <c r="B3551">
        <v>1001293</v>
      </c>
      <c r="C3551">
        <v>351016</v>
      </c>
      <c r="F3551" s="7">
        <v>2</v>
      </c>
      <c r="G3551" s="7" t="s">
        <v>2853</v>
      </c>
      <c r="H3551" s="8" t="s">
        <v>2854</v>
      </c>
      <c r="J3551" t="s">
        <v>23</v>
      </c>
      <c r="K3551" s="7">
        <v>1032</v>
      </c>
      <c r="L3551" s="9">
        <v>1</v>
      </c>
      <c r="M3551" t="s">
        <v>2855</v>
      </c>
      <c r="N3551" t="s">
        <v>136</v>
      </c>
      <c r="O3551" s="27" t="str">
        <f>HYPERLINK("https://www.ncbi.nlm.nih.gov/nuccore/NZ_AORZ01000014.1?report=graph&amp;from=53764&amp;to=53837", "TTA_codon")</f>
        <v>TTA_codon</v>
      </c>
    </row>
    <row r="3552" spans="1:15" x14ac:dyDescent="0.15">
      <c r="A3552" t="s">
        <v>21</v>
      </c>
      <c r="B3552">
        <v>1001293</v>
      </c>
      <c r="C3552">
        <v>358783</v>
      </c>
      <c r="F3552" s="7">
        <v>1</v>
      </c>
      <c r="G3552" s="7">
        <v>274</v>
      </c>
      <c r="H3552" s="8">
        <v>193</v>
      </c>
      <c r="J3552" t="s">
        <v>23</v>
      </c>
      <c r="K3552" s="7">
        <v>1131</v>
      </c>
      <c r="L3552" s="9">
        <v>1</v>
      </c>
      <c r="M3552" t="s">
        <v>2856</v>
      </c>
      <c r="N3552" t="s">
        <v>87</v>
      </c>
      <c r="O3552" s="27" t="str">
        <f>HYPERLINK("https://www.ncbi.nlm.nih.gov/nuccore/NZ_LIQS01000172.1?report=graph&amp;from=11492&amp;to=11496", "TTA_codon")</f>
        <v>TTA_codon</v>
      </c>
    </row>
    <row r="3553" spans="1:15" x14ac:dyDescent="0.15">
      <c r="A3553" t="s">
        <v>21</v>
      </c>
      <c r="B3553">
        <v>1001293</v>
      </c>
      <c r="C3553">
        <v>364655</v>
      </c>
      <c r="F3553" s="7">
        <v>1</v>
      </c>
      <c r="G3553" s="7">
        <v>253</v>
      </c>
      <c r="H3553" s="8">
        <v>223</v>
      </c>
      <c r="J3553" t="s">
        <v>23</v>
      </c>
      <c r="K3553" s="7">
        <v>1188</v>
      </c>
      <c r="L3553" s="9">
        <v>1</v>
      </c>
      <c r="M3553" t="s">
        <v>2857</v>
      </c>
      <c r="N3553" t="s">
        <v>110</v>
      </c>
      <c r="O3553" s="27" t="str">
        <f>HYPERLINK("https://www.ncbi.nlm.nih.gov/nuccore/NZ_MUME01000078.1?report=graph&amp;from=6141&amp;to=6145", "TTA_codon")</f>
        <v>TTA_codon</v>
      </c>
    </row>
    <row r="3554" spans="1:15" x14ac:dyDescent="0.15">
      <c r="A3554" t="s">
        <v>21</v>
      </c>
      <c r="B3554" t="s">
        <v>2858</v>
      </c>
    </row>
    <row r="3555" spans="1:15" x14ac:dyDescent="0.15">
      <c r="A3555" t="s">
        <v>21</v>
      </c>
      <c r="B3555">
        <v>1001465</v>
      </c>
      <c r="C3555">
        <v>363804</v>
      </c>
      <c r="F3555" s="7">
        <v>1</v>
      </c>
      <c r="G3555" s="7">
        <v>112</v>
      </c>
      <c r="H3555" s="8">
        <v>103</v>
      </c>
      <c r="J3555" t="s">
        <v>23</v>
      </c>
      <c r="K3555" s="7">
        <v>507</v>
      </c>
      <c r="L3555" s="9">
        <v>1</v>
      </c>
      <c r="M3555" t="s">
        <v>101</v>
      </c>
      <c r="N3555" t="s">
        <v>102</v>
      </c>
      <c r="O3555" s="27" t="str">
        <f>HYPERLINK("https://www.ncbi.nlm.nih.gov/nuccore/NZ_CP019458.1?report=graph&amp;from=8757650&amp;to=8757654", "TTA_codon")</f>
        <v>TTA_codon</v>
      </c>
    </row>
    <row r="3556" spans="1:15" x14ac:dyDescent="0.15">
      <c r="A3556" t="s">
        <v>21</v>
      </c>
      <c r="B3556">
        <v>1001465</v>
      </c>
      <c r="C3556">
        <v>365147</v>
      </c>
      <c r="F3556" s="7">
        <v>1</v>
      </c>
      <c r="G3556" s="7">
        <v>172</v>
      </c>
      <c r="H3556" s="8">
        <v>172</v>
      </c>
      <c r="J3556" t="s">
        <v>23</v>
      </c>
      <c r="K3556" s="7">
        <v>516</v>
      </c>
      <c r="L3556" s="9">
        <v>1</v>
      </c>
      <c r="M3556" t="s">
        <v>111</v>
      </c>
      <c r="N3556" t="s">
        <v>112</v>
      </c>
      <c r="O3556" s="27" t="str">
        <f>HYPERLINK("https://www.ncbi.nlm.nih.gov/nuccore/NZ_CP021744.1?report=graph&amp;from=6210943&amp;to=6210947", "TTA_codon")</f>
        <v>TTA_codon</v>
      </c>
    </row>
    <row r="3557" spans="1:15" x14ac:dyDescent="0.15">
      <c r="A3557" t="s">
        <v>21</v>
      </c>
      <c r="B3557" t="s">
        <v>2859</v>
      </c>
    </row>
    <row r="3558" spans="1:15" x14ac:dyDescent="0.15">
      <c r="A3558" t="s">
        <v>21</v>
      </c>
      <c r="B3558">
        <v>1000506</v>
      </c>
      <c r="C3558">
        <v>349386</v>
      </c>
      <c r="F3558" s="7">
        <v>1</v>
      </c>
      <c r="G3558" s="7">
        <v>664</v>
      </c>
      <c r="H3558" s="8">
        <v>664</v>
      </c>
      <c r="J3558" t="s">
        <v>23</v>
      </c>
      <c r="K3558" s="7">
        <v>1830</v>
      </c>
      <c r="L3558" s="9">
        <v>-1</v>
      </c>
      <c r="M3558" t="s">
        <v>458</v>
      </c>
      <c r="N3558" t="s">
        <v>315</v>
      </c>
      <c r="O3558" s="27" t="str">
        <f>HYPERLINK("https://www.ncbi.nlm.nih.gov/nuccore/NC_003888.3?report=graph&amp;from=2722277&amp;to=2722281", "TTA_codon")</f>
        <v>TTA_codon</v>
      </c>
    </row>
    <row r="3559" spans="1:15" x14ac:dyDescent="0.15">
      <c r="A3559" t="s">
        <v>21</v>
      </c>
      <c r="B3559">
        <v>1000506</v>
      </c>
      <c r="C3559">
        <v>366032</v>
      </c>
      <c r="F3559" s="7">
        <v>1</v>
      </c>
      <c r="G3559" s="7">
        <v>514</v>
      </c>
      <c r="H3559" s="8">
        <v>514</v>
      </c>
      <c r="J3559" t="s">
        <v>23</v>
      </c>
      <c r="K3559" s="7">
        <v>1830</v>
      </c>
      <c r="L3559" s="9">
        <v>-1</v>
      </c>
      <c r="M3559" t="s">
        <v>2860</v>
      </c>
      <c r="N3559" t="s">
        <v>115</v>
      </c>
      <c r="O3559" s="27" t="str">
        <f>HYPERLINK("https://www.ncbi.nlm.nih.gov/nuccore/NZ_FODD01000009.1?report=graph&amp;from=180219&amp;to=180223", "TTA_codon")</f>
        <v>TTA_codon</v>
      </c>
    </row>
    <row r="3560" spans="1:15" x14ac:dyDescent="0.15">
      <c r="A3560" t="s">
        <v>21</v>
      </c>
      <c r="B3560" t="s">
        <v>2861</v>
      </c>
    </row>
    <row r="3561" spans="1:15" x14ac:dyDescent="0.15">
      <c r="A3561" t="s">
        <v>21</v>
      </c>
      <c r="B3561">
        <v>1000990</v>
      </c>
      <c r="C3561">
        <v>354062</v>
      </c>
      <c r="F3561" s="7">
        <v>1</v>
      </c>
      <c r="G3561" s="7">
        <v>214</v>
      </c>
      <c r="H3561" s="8">
        <v>214</v>
      </c>
      <c r="J3561" t="s">
        <v>23</v>
      </c>
      <c r="K3561" s="7">
        <v>3846</v>
      </c>
      <c r="L3561" s="9">
        <v>1</v>
      </c>
      <c r="M3561" t="s">
        <v>1043</v>
      </c>
      <c r="N3561" t="s">
        <v>270</v>
      </c>
      <c r="O3561" s="27" t="str">
        <f>HYPERLINK("https://www.ncbi.nlm.nih.gov/nuccore/NZ_JOBH01000003.1?report=graph&amp;from=156436&amp;to=156440", "TTA_codon")</f>
        <v>TTA_codon</v>
      </c>
    </row>
    <row r="3562" spans="1:15" x14ac:dyDescent="0.15">
      <c r="A3562" t="s">
        <v>21</v>
      </c>
      <c r="B3562">
        <v>1000990</v>
      </c>
      <c r="C3562">
        <v>363309</v>
      </c>
      <c r="F3562" s="7">
        <v>2</v>
      </c>
      <c r="G3562" s="7" t="s">
        <v>2862</v>
      </c>
      <c r="H3562" s="8" t="s">
        <v>2863</v>
      </c>
      <c r="J3562" t="s">
        <v>23</v>
      </c>
      <c r="K3562" s="7">
        <v>3681</v>
      </c>
      <c r="L3562" s="9">
        <v>1</v>
      </c>
      <c r="M3562" t="s">
        <v>521</v>
      </c>
      <c r="N3562" t="s">
        <v>28</v>
      </c>
      <c r="O3562" s="27" t="str">
        <f>HYPERLINK("https://www.ncbi.nlm.nih.gov/nuccore/NZ_JUJA01000155.1?report=graph&amp;from=66384&amp;to=66898", "TTA_codon")</f>
        <v>TTA_codon</v>
      </c>
    </row>
    <row r="3563" spans="1:15" x14ac:dyDescent="0.15">
      <c r="A3563" t="s">
        <v>21</v>
      </c>
      <c r="B3563" t="s">
        <v>2864</v>
      </c>
    </row>
    <row r="3564" spans="1:15" x14ac:dyDescent="0.15">
      <c r="A3564" t="s">
        <v>21</v>
      </c>
      <c r="B3564">
        <v>1000812</v>
      </c>
      <c r="C3564">
        <v>352086</v>
      </c>
      <c r="F3564" s="7">
        <v>1</v>
      </c>
      <c r="G3564" s="7">
        <v>328</v>
      </c>
      <c r="H3564" s="8">
        <v>328</v>
      </c>
      <c r="J3564" t="s">
        <v>23</v>
      </c>
      <c r="K3564" s="7">
        <v>2925</v>
      </c>
      <c r="L3564" s="9">
        <v>1</v>
      </c>
      <c r="M3564" t="s">
        <v>882</v>
      </c>
      <c r="N3564" t="s">
        <v>70</v>
      </c>
      <c r="O3564" s="27" t="str">
        <f>HYPERLINK("https://www.ncbi.nlm.nih.gov/nuccore/NZ_KB904661.1?report=graph&amp;from=29794&amp;to=29798", "TTA_codon")</f>
        <v>TTA_codon</v>
      </c>
    </row>
    <row r="3565" spans="1:15" x14ac:dyDescent="0.15">
      <c r="A3565" t="s">
        <v>21</v>
      </c>
      <c r="B3565">
        <v>1000812</v>
      </c>
      <c r="C3565">
        <v>354568</v>
      </c>
      <c r="F3565" s="7">
        <v>1</v>
      </c>
      <c r="G3565" s="7">
        <v>229</v>
      </c>
      <c r="H3565" s="8">
        <v>229</v>
      </c>
      <c r="J3565" t="s">
        <v>23</v>
      </c>
      <c r="K3565" s="7">
        <v>2919</v>
      </c>
      <c r="L3565" s="9">
        <v>1</v>
      </c>
      <c r="M3565" t="s">
        <v>948</v>
      </c>
      <c r="N3565" t="s">
        <v>272</v>
      </c>
      <c r="O3565" s="27" t="str">
        <f>HYPERLINK("https://www.ncbi.nlm.nih.gov/nuccore/NZ_JOEY01000007.1?report=graph&amp;from=72161&amp;to=72165", "TTA_codon")</f>
        <v>TTA_codon</v>
      </c>
    </row>
    <row r="3566" spans="1:15" x14ac:dyDescent="0.15">
      <c r="A3566" t="s">
        <v>195</v>
      </c>
      <c r="B3566" t="s">
        <v>2865</v>
      </c>
    </row>
    <row r="3567" spans="1:15" x14ac:dyDescent="0.15">
      <c r="A3567" t="s">
        <v>195</v>
      </c>
      <c r="B3567">
        <v>1000116</v>
      </c>
      <c r="C3567">
        <v>346767</v>
      </c>
      <c r="F3567" s="7">
        <v>1</v>
      </c>
      <c r="G3567" s="7">
        <v>376</v>
      </c>
      <c r="H3567" s="8">
        <v>367</v>
      </c>
      <c r="J3567" t="s">
        <v>23</v>
      </c>
      <c r="K3567" s="7">
        <v>1626</v>
      </c>
      <c r="L3567" s="9">
        <v>1</v>
      </c>
      <c r="M3567" t="s">
        <v>1014</v>
      </c>
      <c r="N3567" t="s">
        <v>125</v>
      </c>
      <c r="O3567" s="27" t="str">
        <f>HYPERLINK("https://www.ncbi.nlm.nih.gov/nuccore/NZ_KQ948484.1?report=graph&amp;from=28428&amp;to=28432", "TTA_codon")</f>
        <v>TTA_codon</v>
      </c>
    </row>
    <row r="3568" spans="1:15" x14ac:dyDescent="0.15">
      <c r="A3568" t="s">
        <v>21</v>
      </c>
      <c r="B3568">
        <v>1000116</v>
      </c>
      <c r="C3568">
        <v>361180</v>
      </c>
      <c r="F3568" s="7">
        <v>1</v>
      </c>
      <c r="G3568" s="7">
        <v>388</v>
      </c>
      <c r="H3568" s="8">
        <v>388</v>
      </c>
      <c r="J3568" t="s">
        <v>23</v>
      </c>
      <c r="K3568" s="7">
        <v>1518</v>
      </c>
      <c r="L3568" s="9">
        <v>1</v>
      </c>
      <c r="M3568" t="s">
        <v>98</v>
      </c>
      <c r="N3568" t="s">
        <v>99</v>
      </c>
      <c r="O3568" s="27" t="str">
        <f>HYPERLINK("https://www.ncbi.nlm.nih.gov/nuccore/NZ_CP016438.1?report=graph&amp;from=6120111&amp;to=6120115", "TTA_codon")</f>
        <v>TTA_codon</v>
      </c>
    </row>
    <row r="3569" spans="1:15" x14ac:dyDescent="0.15">
      <c r="A3569" t="s">
        <v>21</v>
      </c>
      <c r="B3569" t="s">
        <v>2866</v>
      </c>
    </row>
    <row r="3570" spans="1:15" x14ac:dyDescent="0.15">
      <c r="A3570" t="s">
        <v>21</v>
      </c>
      <c r="B3570">
        <v>1000470</v>
      </c>
      <c r="C3570">
        <v>348986</v>
      </c>
      <c r="F3570" s="7">
        <v>2</v>
      </c>
      <c r="G3570" s="7" t="s">
        <v>2867</v>
      </c>
      <c r="H3570" s="8" t="s">
        <v>2868</v>
      </c>
      <c r="J3570" t="s">
        <v>23</v>
      </c>
      <c r="K3570" s="7">
        <v>1602</v>
      </c>
      <c r="L3570" s="9">
        <v>-1</v>
      </c>
      <c r="M3570" t="s">
        <v>211</v>
      </c>
      <c r="N3570" t="s">
        <v>212</v>
      </c>
      <c r="O3570" s="27" t="str">
        <f>HYPERLINK("https://www.ncbi.nlm.nih.gov/nuccore/NZ_GG657754.1?report=graph&amp;from=1355806&amp;to=1355825", "TTA_codon")</f>
        <v>TTA_codon</v>
      </c>
    </row>
    <row r="3571" spans="1:15" x14ac:dyDescent="0.15">
      <c r="A3571" t="s">
        <v>21</v>
      </c>
      <c r="B3571">
        <v>1000470</v>
      </c>
      <c r="C3571">
        <v>349723</v>
      </c>
      <c r="F3571" s="7">
        <v>1</v>
      </c>
      <c r="G3571" s="7">
        <v>70</v>
      </c>
      <c r="H3571" s="8">
        <v>58</v>
      </c>
      <c r="J3571" t="s">
        <v>23</v>
      </c>
      <c r="K3571" s="7">
        <v>1605</v>
      </c>
      <c r="L3571" s="9">
        <v>-1</v>
      </c>
      <c r="M3571" t="s">
        <v>2869</v>
      </c>
      <c r="N3571" t="s">
        <v>335</v>
      </c>
      <c r="O3571" s="27" t="str">
        <f>HYPERLINK("https://www.ncbi.nlm.nih.gov/nuccore/NZ_AGBF01000310.1?report=graph&amp;from=1638&amp;to=1642", "TTA_codon")</f>
        <v>TTA_codon</v>
      </c>
    </row>
    <row r="3572" spans="1:15" x14ac:dyDescent="0.15">
      <c r="A3572" t="s">
        <v>21</v>
      </c>
      <c r="B3572" t="s">
        <v>2870</v>
      </c>
    </row>
    <row r="3573" spans="1:15" x14ac:dyDescent="0.15">
      <c r="A3573" t="s">
        <v>21</v>
      </c>
      <c r="B3573">
        <v>1000352</v>
      </c>
      <c r="C3573">
        <v>348166</v>
      </c>
      <c r="F3573" s="7">
        <v>1</v>
      </c>
      <c r="G3573" s="7">
        <v>340</v>
      </c>
      <c r="H3573" s="8">
        <v>316</v>
      </c>
      <c r="J3573" t="s">
        <v>23</v>
      </c>
      <c r="K3573" s="7">
        <v>1386</v>
      </c>
      <c r="L3573" s="9">
        <v>1</v>
      </c>
      <c r="M3573" t="s">
        <v>59</v>
      </c>
      <c r="N3573" t="s">
        <v>60</v>
      </c>
      <c r="O3573" s="27" t="str">
        <f>HYPERLINK("https://www.ncbi.nlm.nih.gov/nuccore/NC_016582.1?report=graph&amp;from=779223&amp;to=779227", "TTA_codon")</f>
        <v>TTA_codon</v>
      </c>
    </row>
    <row r="3574" spans="1:15" x14ac:dyDescent="0.15">
      <c r="A3574" t="s">
        <v>21</v>
      </c>
      <c r="B3574">
        <v>1000352</v>
      </c>
      <c r="C3574">
        <v>350472</v>
      </c>
      <c r="F3574" s="7">
        <v>1</v>
      </c>
      <c r="G3574" s="7">
        <v>181</v>
      </c>
      <c r="H3574" s="8">
        <v>157</v>
      </c>
      <c r="J3574" t="s">
        <v>23</v>
      </c>
      <c r="K3574" s="7">
        <v>1386</v>
      </c>
      <c r="L3574" s="9">
        <v>1</v>
      </c>
      <c r="M3574" t="s">
        <v>2871</v>
      </c>
      <c r="N3574" t="s">
        <v>134</v>
      </c>
      <c r="O3574" s="27" t="str">
        <f>HYPERLINK("https://www.ncbi.nlm.nih.gov/nuccore/NZ_AJSZ01000063.1?report=graph&amp;from=5079&amp;to=5083", "TTA_codon")</f>
        <v>TTA_codon</v>
      </c>
    </row>
    <row r="3575" spans="1:15" x14ac:dyDescent="0.15">
      <c r="A3575" t="s">
        <v>21</v>
      </c>
      <c r="B3575">
        <v>1000352</v>
      </c>
      <c r="C3575">
        <v>355664</v>
      </c>
      <c r="F3575" s="7">
        <v>1</v>
      </c>
      <c r="G3575" s="7">
        <v>196</v>
      </c>
      <c r="H3575" s="8">
        <v>109</v>
      </c>
      <c r="J3575" t="s">
        <v>23</v>
      </c>
      <c r="K3575" s="7">
        <v>1320</v>
      </c>
      <c r="L3575" s="9">
        <v>1</v>
      </c>
      <c r="M3575" t="s">
        <v>1493</v>
      </c>
      <c r="N3575" t="s">
        <v>278</v>
      </c>
      <c r="O3575" s="27" t="str">
        <f>HYPERLINK("https://www.ncbi.nlm.nih.gov/nuccore/NZ_JOID01000021.1?report=graph&amp;from=93374&amp;to=93378", "TTA_codon")</f>
        <v>TTA_codon</v>
      </c>
    </row>
    <row r="3576" spans="1:15" x14ac:dyDescent="0.15">
      <c r="A3576" t="s">
        <v>21</v>
      </c>
      <c r="B3576">
        <v>1000352</v>
      </c>
      <c r="C3576">
        <v>356989</v>
      </c>
      <c r="F3576" s="7">
        <v>1</v>
      </c>
      <c r="G3576" s="7">
        <v>340</v>
      </c>
      <c r="H3576" s="8">
        <v>316</v>
      </c>
      <c r="J3576" t="s">
        <v>23</v>
      </c>
      <c r="K3576" s="7">
        <v>1383</v>
      </c>
      <c r="L3576" s="9">
        <v>1</v>
      </c>
      <c r="M3576" t="s">
        <v>162</v>
      </c>
      <c r="N3576" t="s">
        <v>163</v>
      </c>
      <c r="O3576" s="27" t="str">
        <f>HYPERLINK("https://www.ncbi.nlm.nih.gov/nuccore/NZ_CP010519.1?report=graph&amp;from=2354221&amp;to=2354225", "TTA_codon")</f>
        <v>TTA_codon</v>
      </c>
    </row>
    <row r="3577" spans="1:15" x14ac:dyDescent="0.15">
      <c r="A3577" t="s">
        <v>21</v>
      </c>
      <c r="B3577">
        <v>1000352</v>
      </c>
      <c r="C3577">
        <v>361065</v>
      </c>
      <c r="F3577" s="7">
        <v>1</v>
      </c>
      <c r="G3577" s="7">
        <v>196</v>
      </c>
      <c r="H3577" s="8">
        <v>196</v>
      </c>
      <c r="J3577" t="s">
        <v>23</v>
      </c>
      <c r="K3577" s="7">
        <v>1407</v>
      </c>
      <c r="L3577" s="9">
        <v>1</v>
      </c>
      <c r="M3577" t="s">
        <v>98</v>
      </c>
      <c r="N3577" t="s">
        <v>99</v>
      </c>
      <c r="O3577" s="27" t="str">
        <f>HYPERLINK("https://www.ncbi.nlm.nih.gov/nuccore/NZ_CP016438.1?report=graph&amp;from=1098577&amp;to=1098581", "TTA_codon")</f>
        <v>TTA_codon</v>
      </c>
    </row>
    <row r="3578" spans="1:15" x14ac:dyDescent="0.15">
      <c r="A3578" t="s">
        <v>21</v>
      </c>
      <c r="B3578">
        <v>1000352</v>
      </c>
      <c r="C3578">
        <v>361987</v>
      </c>
      <c r="F3578" s="7">
        <v>1</v>
      </c>
      <c r="G3578" s="7">
        <v>196</v>
      </c>
      <c r="H3578" s="8">
        <v>109</v>
      </c>
      <c r="J3578" t="s">
        <v>23</v>
      </c>
      <c r="K3578" s="7">
        <v>1317</v>
      </c>
      <c r="L3578" s="9">
        <v>1</v>
      </c>
      <c r="M3578" t="s">
        <v>973</v>
      </c>
      <c r="N3578" t="s">
        <v>187</v>
      </c>
      <c r="O3578" s="27" t="str">
        <f>HYPERLINK("https://www.ncbi.nlm.nih.gov/nuccore/NZ_MAXF01000199.1?report=graph&amp;from=6308&amp;to=6312", "TTA_codon")</f>
        <v>TTA_codon</v>
      </c>
    </row>
    <row r="3579" spans="1:15" x14ac:dyDescent="0.15">
      <c r="A3579" t="s">
        <v>21</v>
      </c>
      <c r="B3579">
        <v>1000352</v>
      </c>
      <c r="C3579">
        <v>363668</v>
      </c>
      <c r="F3579" s="7">
        <v>1</v>
      </c>
      <c r="G3579" s="7">
        <v>355</v>
      </c>
      <c r="H3579" s="8">
        <v>331</v>
      </c>
      <c r="J3579" t="s">
        <v>23</v>
      </c>
      <c r="K3579" s="7">
        <v>1380</v>
      </c>
      <c r="L3579" s="9">
        <v>1</v>
      </c>
      <c r="M3579" t="s">
        <v>101</v>
      </c>
      <c r="N3579" t="s">
        <v>102</v>
      </c>
      <c r="O3579" s="27" t="str">
        <f>HYPERLINK("https://www.ncbi.nlm.nih.gov/nuccore/NZ_CP019458.1?report=graph&amp;from=2546225&amp;to=2546229", "TTA_codon")</f>
        <v>TTA_codon</v>
      </c>
    </row>
    <row r="3580" spans="1:15" x14ac:dyDescent="0.15">
      <c r="A3580" t="s">
        <v>21</v>
      </c>
      <c r="B3580">
        <v>1000352</v>
      </c>
      <c r="C3580">
        <v>364850</v>
      </c>
      <c r="F3580" s="7">
        <v>1</v>
      </c>
      <c r="G3580" s="7">
        <v>196</v>
      </c>
      <c r="H3580" s="8">
        <v>172</v>
      </c>
      <c r="J3580" t="s">
        <v>23</v>
      </c>
      <c r="K3580" s="7">
        <v>1377</v>
      </c>
      <c r="L3580" s="9">
        <v>1</v>
      </c>
      <c r="M3580" t="s">
        <v>126</v>
      </c>
      <c r="N3580" t="s">
        <v>127</v>
      </c>
      <c r="O3580" s="27" t="str">
        <f>HYPERLINK("https://www.ncbi.nlm.nih.gov/nuccore/NZ_CP021748.1?report=graph&amp;from=1970231&amp;to=1970235", "TTA_codon")</f>
        <v>TTA_codon</v>
      </c>
    </row>
    <row r="3581" spans="1:15" x14ac:dyDescent="0.15">
      <c r="A3581" t="s">
        <v>21</v>
      </c>
      <c r="B3581">
        <v>1000352</v>
      </c>
      <c r="C3581">
        <v>366102</v>
      </c>
      <c r="F3581" s="7">
        <v>1</v>
      </c>
      <c r="G3581" s="7">
        <v>85</v>
      </c>
      <c r="H3581" s="8">
        <v>61</v>
      </c>
      <c r="J3581" t="s">
        <v>23</v>
      </c>
      <c r="K3581" s="7">
        <v>1401</v>
      </c>
      <c r="L3581" s="9">
        <v>1</v>
      </c>
      <c r="M3581" t="s">
        <v>2872</v>
      </c>
      <c r="N3581" t="s">
        <v>257</v>
      </c>
      <c r="O3581" s="27" t="str">
        <f>HYPERLINK("https://www.ncbi.nlm.nih.gov/nuccore/NZ_FOET01000022.1?report=graph&amp;from=35010&amp;to=35014", "TTA_codon")</f>
        <v>TTA_codon</v>
      </c>
    </row>
    <row r="3582" spans="1:15" x14ac:dyDescent="0.15">
      <c r="A3582" t="s">
        <v>21</v>
      </c>
      <c r="B3582" t="s">
        <v>2873</v>
      </c>
    </row>
    <row r="3583" spans="1:15" x14ac:dyDescent="0.15">
      <c r="A3583" t="s">
        <v>21</v>
      </c>
      <c r="B3583">
        <v>1001022</v>
      </c>
      <c r="C3583">
        <v>354468</v>
      </c>
      <c r="F3583" s="7">
        <v>1</v>
      </c>
      <c r="G3583" s="7">
        <v>199</v>
      </c>
      <c r="H3583" s="8">
        <v>199</v>
      </c>
      <c r="J3583" t="s">
        <v>23</v>
      </c>
      <c r="K3583" s="7">
        <v>2394</v>
      </c>
      <c r="L3583" s="9">
        <v>1</v>
      </c>
      <c r="M3583" t="s">
        <v>2874</v>
      </c>
      <c r="N3583" t="s">
        <v>142</v>
      </c>
      <c r="O3583" s="27" t="str">
        <f>HYPERLINK("https://www.ncbi.nlm.nih.gov/nuccore/NZ_JOEI01000029.1?report=graph&amp;from=77573&amp;to=77577", "TTA_codon")</f>
        <v>TTA_codon</v>
      </c>
    </row>
    <row r="3584" spans="1:15" x14ac:dyDescent="0.15">
      <c r="A3584" t="s">
        <v>21</v>
      </c>
      <c r="B3584">
        <v>1001022</v>
      </c>
      <c r="C3584">
        <v>360273</v>
      </c>
      <c r="F3584" s="7">
        <v>1</v>
      </c>
      <c r="G3584" s="7">
        <v>199</v>
      </c>
      <c r="H3584" s="8">
        <v>199</v>
      </c>
      <c r="J3584" t="s">
        <v>23</v>
      </c>
      <c r="K3584" s="7">
        <v>390</v>
      </c>
      <c r="L3584" s="9">
        <v>1</v>
      </c>
      <c r="M3584" t="s">
        <v>1563</v>
      </c>
      <c r="N3584" t="s">
        <v>125</v>
      </c>
      <c r="O3584" s="27" t="str">
        <f>HYPERLINK("https://www.ncbi.nlm.nih.gov/nuccore/NZ_KQ948451.1?report=graph&amp;from=389738&amp;to=389742", "TTA_codon")</f>
        <v>TTA_codon</v>
      </c>
    </row>
    <row r="3585" spans="1:15" x14ac:dyDescent="0.15">
      <c r="A3585" t="s">
        <v>21</v>
      </c>
      <c r="B3585">
        <v>1001022</v>
      </c>
      <c r="C3585">
        <v>360455</v>
      </c>
      <c r="F3585" s="7">
        <v>1</v>
      </c>
      <c r="G3585" s="7">
        <v>199</v>
      </c>
      <c r="H3585" s="8">
        <v>193</v>
      </c>
      <c r="J3585" t="s">
        <v>23</v>
      </c>
      <c r="K3585" s="7">
        <v>2289</v>
      </c>
      <c r="L3585" s="9">
        <v>1</v>
      </c>
      <c r="M3585" t="s">
        <v>121</v>
      </c>
      <c r="N3585" t="s">
        <v>122</v>
      </c>
      <c r="O3585" s="27" t="str">
        <f>HYPERLINK("https://www.ncbi.nlm.nih.gov/nuccore/NZ_CP016279.1?report=graph&amp;from=7134086&amp;to=7134090", "TTA_codon")</f>
        <v>TTA_codon</v>
      </c>
    </row>
    <row r="3586" spans="1:15" x14ac:dyDescent="0.15">
      <c r="A3586" t="s">
        <v>21</v>
      </c>
      <c r="B3586">
        <v>1001022</v>
      </c>
      <c r="C3586">
        <v>360474</v>
      </c>
      <c r="F3586" s="7">
        <v>1</v>
      </c>
      <c r="G3586" s="7">
        <v>268</v>
      </c>
      <c r="H3586" s="8">
        <v>229</v>
      </c>
      <c r="J3586" t="s">
        <v>23</v>
      </c>
      <c r="K3586" s="7">
        <v>2391</v>
      </c>
      <c r="L3586" s="9">
        <v>1</v>
      </c>
      <c r="M3586" t="s">
        <v>121</v>
      </c>
      <c r="N3586" t="s">
        <v>122</v>
      </c>
      <c r="O3586" s="27" t="str">
        <f>HYPERLINK("https://www.ncbi.nlm.nih.gov/nuccore/NZ_CP016279.1?report=graph&amp;from=6630534&amp;to=6630538", "TTA_codon")</f>
        <v>TTA_codon</v>
      </c>
    </row>
    <row r="3587" spans="1:15" x14ac:dyDescent="0.15">
      <c r="A3587" t="s">
        <v>21</v>
      </c>
      <c r="B3587" t="s">
        <v>2875</v>
      </c>
    </row>
    <row r="3588" spans="1:15" x14ac:dyDescent="0.15">
      <c r="A3588" t="s">
        <v>21</v>
      </c>
      <c r="B3588">
        <v>1000339</v>
      </c>
      <c r="C3588">
        <v>348089</v>
      </c>
      <c r="F3588" s="7">
        <v>2</v>
      </c>
      <c r="G3588" s="7" t="s">
        <v>2876</v>
      </c>
      <c r="H3588" s="8" t="s">
        <v>2876</v>
      </c>
      <c r="J3588" t="s">
        <v>23</v>
      </c>
      <c r="K3588" s="7">
        <v>285</v>
      </c>
      <c r="L3588" s="9">
        <v>1</v>
      </c>
      <c r="M3588" t="s">
        <v>59</v>
      </c>
      <c r="N3588" t="s">
        <v>60</v>
      </c>
      <c r="O3588" s="27" t="str">
        <f>HYPERLINK("https://www.ncbi.nlm.nih.gov/nuccore/NC_016582.1?report=graph&amp;from=10337465&amp;to=10337685", "TTA_codon")</f>
        <v>TTA_codon</v>
      </c>
    </row>
    <row r="3589" spans="1:15" x14ac:dyDescent="0.15">
      <c r="A3589" t="s">
        <v>21</v>
      </c>
      <c r="B3589">
        <v>1000339</v>
      </c>
      <c r="C3589">
        <v>360076</v>
      </c>
      <c r="F3589" s="7">
        <v>2</v>
      </c>
      <c r="G3589" s="7" t="s">
        <v>2876</v>
      </c>
      <c r="H3589" s="8" t="s">
        <v>2876</v>
      </c>
      <c r="J3589" t="s">
        <v>23</v>
      </c>
      <c r="K3589" s="7">
        <v>285</v>
      </c>
      <c r="L3589" s="9">
        <v>1</v>
      </c>
      <c r="M3589" t="s">
        <v>2877</v>
      </c>
      <c r="N3589" t="s">
        <v>125</v>
      </c>
      <c r="O3589" s="27" t="str">
        <f>HYPERLINK("https://www.ncbi.nlm.nih.gov/nuccore/NZ_KQ948477.1?report=graph&amp;from=19496&amp;to=19716", "TTA_codon")</f>
        <v>TTA_codon</v>
      </c>
    </row>
    <row r="3590" spans="1:15" x14ac:dyDescent="0.15">
      <c r="A3590" t="s">
        <v>21</v>
      </c>
      <c r="B3590" t="s">
        <v>2878</v>
      </c>
    </row>
    <row r="3591" spans="1:15" x14ac:dyDescent="0.15">
      <c r="A3591" t="s">
        <v>21</v>
      </c>
      <c r="B3591">
        <v>1000665</v>
      </c>
      <c r="C3591">
        <v>350710</v>
      </c>
      <c r="F3591" s="7">
        <v>1</v>
      </c>
      <c r="G3591" s="7">
        <v>304</v>
      </c>
      <c r="H3591" s="8">
        <v>298</v>
      </c>
      <c r="J3591" t="s">
        <v>23</v>
      </c>
      <c r="K3591" s="7">
        <v>8133</v>
      </c>
      <c r="L3591" s="9">
        <v>-1</v>
      </c>
      <c r="M3591" t="s">
        <v>2879</v>
      </c>
      <c r="N3591" t="s">
        <v>51</v>
      </c>
      <c r="O3591" s="27" t="str">
        <f>HYPERLINK("https://www.ncbi.nlm.nih.gov/nuccore/NZ_AEJB01000104.1?report=graph&amp;from=24708&amp;to=24712", "TTA_codon")</f>
        <v>TTA_codon</v>
      </c>
    </row>
    <row r="3592" spans="1:15" x14ac:dyDescent="0.15">
      <c r="A3592" t="s">
        <v>21</v>
      </c>
      <c r="B3592">
        <v>1000665</v>
      </c>
      <c r="C3592">
        <v>360108</v>
      </c>
      <c r="F3592" s="7">
        <v>1</v>
      </c>
      <c r="G3592" s="7">
        <v>391</v>
      </c>
      <c r="H3592" s="8">
        <v>391</v>
      </c>
      <c r="J3592" t="s">
        <v>23</v>
      </c>
      <c r="K3592" s="7">
        <v>7995</v>
      </c>
      <c r="L3592" s="9">
        <v>-1</v>
      </c>
      <c r="M3592" t="s">
        <v>1012</v>
      </c>
      <c r="N3592" t="s">
        <v>125</v>
      </c>
      <c r="O3592" s="27" t="str">
        <f>HYPERLINK("https://www.ncbi.nlm.nih.gov/nuccore/NZ_KQ948474.1?report=graph&amp;from=69019&amp;to=69023", "TTA_codon")</f>
        <v>TTA_codon</v>
      </c>
    </row>
    <row r="3593" spans="1:15" x14ac:dyDescent="0.15">
      <c r="A3593" t="s">
        <v>21</v>
      </c>
      <c r="B3593" t="s">
        <v>2880</v>
      </c>
    </row>
    <row r="3594" spans="1:15" x14ac:dyDescent="0.15">
      <c r="A3594" t="s">
        <v>21</v>
      </c>
      <c r="B3594">
        <v>1000461</v>
      </c>
      <c r="C3594">
        <v>348855</v>
      </c>
      <c r="F3594" s="7">
        <v>1</v>
      </c>
      <c r="G3594" s="7">
        <v>886</v>
      </c>
      <c r="H3594" s="8">
        <v>778</v>
      </c>
      <c r="J3594" t="s">
        <v>23</v>
      </c>
      <c r="K3594" s="7">
        <v>1476</v>
      </c>
      <c r="L3594" s="9">
        <v>-1</v>
      </c>
      <c r="M3594" t="s">
        <v>211</v>
      </c>
      <c r="N3594" t="s">
        <v>212</v>
      </c>
      <c r="O3594" s="27" t="str">
        <f>HYPERLINK("https://www.ncbi.nlm.nih.gov/nuccore/NZ_GG657754.1?report=graph&amp;from=7429300&amp;to=7429304", "TTA_codon")</f>
        <v>TTA_codon</v>
      </c>
    </row>
    <row r="3595" spans="1:15" x14ac:dyDescent="0.15">
      <c r="A3595" t="s">
        <v>21</v>
      </c>
      <c r="B3595">
        <v>1000461</v>
      </c>
      <c r="C3595">
        <v>349598</v>
      </c>
      <c r="F3595" s="7">
        <v>1</v>
      </c>
      <c r="G3595" s="7">
        <v>646</v>
      </c>
      <c r="H3595" s="8">
        <v>487</v>
      </c>
      <c r="J3595" t="s">
        <v>23</v>
      </c>
      <c r="K3595" s="7">
        <v>1326</v>
      </c>
      <c r="L3595" s="9">
        <v>-1</v>
      </c>
      <c r="M3595" t="s">
        <v>2881</v>
      </c>
      <c r="N3595" t="s">
        <v>335</v>
      </c>
      <c r="O3595" s="27" t="str">
        <f>HYPERLINK("https://www.ncbi.nlm.nih.gov/nuccore/NZ_AGBF01000012.1?report=graph&amp;from=19398&amp;to=19402", "TTA_codon")</f>
        <v>TTA_codon</v>
      </c>
    </row>
    <row r="3596" spans="1:15" x14ac:dyDescent="0.15">
      <c r="A3596" t="s">
        <v>21</v>
      </c>
      <c r="B3596">
        <v>1000461</v>
      </c>
      <c r="C3596">
        <v>366769</v>
      </c>
      <c r="F3596" s="7">
        <v>1</v>
      </c>
      <c r="G3596" s="7">
        <v>775</v>
      </c>
      <c r="H3596" s="8">
        <v>760</v>
      </c>
      <c r="J3596" t="s">
        <v>23</v>
      </c>
      <c r="K3596" s="7">
        <v>1725</v>
      </c>
      <c r="L3596" s="9">
        <v>-1</v>
      </c>
      <c r="M3596" t="s">
        <v>2535</v>
      </c>
      <c r="N3596" t="s">
        <v>209</v>
      </c>
      <c r="O3596" s="27" t="str">
        <f>HYPERLINK("https://www.ncbi.nlm.nih.gov/nuccore/NZ_FZOF01000021.1?report=graph&amp;from=135606&amp;to=135610", "TTA_codon")</f>
        <v>TTA_codon</v>
      </c>
    </row>
    <row r="3597" spans="1:15" x14ac:dyDescent="0.15">
      <c r="A3597" t="s">
        <v>21</v>
      </c>
      <c r="B3597" t="s">
        <v>2882</v>
      </c>
    </row>
    <row r="3598" spans="1:15" x14ac:dyDescent="0.15">
      <c r="A3598" t="s">
        <v>21</v>
      </c>
      <c r="B3598">
        <v>1000758</v>
      </c>
      <c r="C3598">
        <v>351536</v>
      </c>
      <c r="F3598" s="7">
        <v>1</v>
      </c>
      <c r="G3598" s="7">
        <v>337</v>
      </c>
      <c r="H3598" s="8">
        <v>136</v>
      </c>
      <c r="J3598" t="s">
        <v>23</v>
      </c>
      <c r="K3598" s="7">
        <v>1095</v>
      </c>
      <c r="L3598" s="9">
        <v>-1</v>
      </c>
      <c r="M3598" t="s">
        <v>2883</v>
      </c>
      <c r="N3598" t="s">
        <v>138</v>
      </c>
      <c r="O3598" s="27" t="str">
        <f>HYPERLINK("https://www.ncbi.nlm.nih.gov/nuccore/NZ_KB889683.1?report=graph&amp;from=44702&amp;to=44706", "TTA_codon")</f>
        <v>TTA_codon</v>
      </c>
    </row>
    <row r="3599" spans="1:15" x14ac:dyDescent="0.15">
      <c r="A3599" t="s">
        <v>21</v>
      </c>
      <c r="B3599">
        <v>1000758</v>
      </c>
      <c r="C3599">
        <v>362461</v>
      </c>
      <c r="F3599" s="7">
        <v>1</v>
      </c>
      <c r="G3599" s="7">
        <v>412</v>
      </c>
      <c r="H3599" s="8">
        <v>406</v>
      </c>
      <c r="J3599" t="s">
        <v>23</v>
      </c>
      <c r="K3599" s="7">
        <v>1284</v>
      </c>
      <c r="L3599" s="9">
        <v>-1</v>
      </c>
      <c r="M3599" t="s">
        <v>32</v>
      </c>
      <c r="N3599" t="s">
        <v>33</v>
      </c>
      <c r="O3599" s="27" t="str">
        <f>HYPERLINK("https://www.ncbi.nlm.nih.gov/nuccore/NZ_CP017248.1?report=graph&amp;from=494118&amp;to=494122", "TTA_codon")</f>
        <v>TTA_codon</v>
      </c>
    </row>
    <row r="3600" spans="1:15" x14ac:dyDescent="0.15">
      <c r="A3600" t="s">
        <v>21</v>
      </c>
      <c r="B3600" t="s">
        <v>2884</v>
      </c>
    </row>
    <row r="3601" spans="1:15" x14ac:dyDescent="0.15">
      <c r="A3601" t="s">
        <v>21</v>
      </c>
      <c r="B3601">
        <v>1001464</v>
      </c>
      <c r="C3601">
        <v>363801</v>
      </c>
      <c r="F3601" s="7">
        <v>1</v>
      </c>
      <c r="G3601" s="7">
        <v>43</v>
      </c>
      <c r="H3601" s="8">
        <v>43</v>
      </c>
      <c r="J3601" t="s">
        <v>23</v>
      </c>
      <c r="K3601" s="7">
        <v>678</v>
      </c>
      <c r="L3601" s="9">
        <v>-1</v>
      </c>
      <c r="M3601" t="s">
        <v>101</v>
      </c>
      <c r="N3601" t="s">
        <v>102</v>
      </c>
      <c r="O3601" s="27" t="str">
        <f>HYPERLINK("https://www.ncbi.nlm.nih.gov/nuccore/NZ_CP019458.1?report=graph&amp;from=5523755&amp;to=5523759", "TTA_codon")</f>
        <v>TTA_codon</v>
      </c>
    </row>
    <row r="3602" spans="1:15" x14ac:dyDescent="0.15">
      <c r="A3602" t="s">
        <v>21</v>
      </c>
      <c r="B3602">
        <v>1001464</v>
      </c>
      <c r="C3602">
        <v>365676</v>
      </c>
      <c r="F3602" s="7">
        <v>1</v>
      </c>
      <c r="G3602" s="7">
        <v>43</v>
      </c>
      <c r="H3602" s="8">
        <v>43</v>
      </c>
      <c r="J3602" t="s">
        <v>23</v>
      </c>
      <c r="K3602" s="7">
        <v>660</v>
      </c>
      <c r="L3602" s="9">
        <v>-1</v>
      </c>
      <c r="M3602" t="s">
        <v>213</v>
      </c>
      <c r="N3602" t="s">
        <v>214</v>
      </c>
      <c r="O3602" s="27" t="str">
        <f>HYPERLINK("https://www.ncbi.nlm.nih.gov/nuccore/NZ_FNST01000002.1?report=graph&amp;from=3117485&amp;to=3117489", "TTA_codon")</f>
        <v>TTA_codon</v>
      </c>
    </row>
    <row r="3603" spans="1:15" x14ac:dyDescent="0.15">
      <c r="A3603" t="s">
        <v>21</v>
      </c>
      <c r="B3603" t="s">
        <v>2885</v>
      </c>
    </row>
    <row r="3604" spans="1:15" x14ac:dyDescent="0.15">
      <c r="A3604" t="s">
        <v>21</v>
      </c>
      <c r="B3604">
        <v>1001429</v>
      </c>
      <c r="C3604">
        <v>349029</v>
      </c>
      <c r="F3604" s="7">
        <v>1</v>
      </c>
      <c r="G3604" s="7">
        <v>85</v>
      </c>
      <c r="H3604" s="8">
        <v>67</v>
      </c>
      <c r="J3604" t="s">
        <v>23</v>
      </c>
      <c r="K3604" s="7">
        <v>2373</v>
      </c>
      <c r="L3604" s="9">
        <v>-1</v>
      </c>
      <c r="M3604" t="s">
        <v>211</v>
      </c>
      <c r="N3604" t="s">
        <v>212</v>
      </c>
      <c r="O3604" s="27" t="str">
        <f>HYPERLINK("https://www.ncbi.nlm.nih.gov/nuccore/NZ_GG657754.1?report=graph&amp;from=3354958&amp;to=3354962", "TTA_codon")</f>
        <v>TTA_codon</v>
      </c>
    </row>
    <row r="3605" spans="1:15" x14ac:dyDescent="0.15">
      <c r="A3605" t="s">
        <v>21</v>
      </c>
      <c r="B3605">
        <v>1001429</v>
      </c>
      <c r="C3605">
        <v>363022</v>
      </c>
      <c r="F3605" s="7">
        <v>1</v>
      </c>
      <c r="G3605" s="7">
        <v>76</v>
      </c>
      <c r="H3605" s="8">
        <v>73</v>
      </c>
      <c r="J3605" t="s">
        <v>23</v>
      </c>
      <c r="K3605" s="7">
        <v>2892</v>
      </c>
      <c r="L3605" s="9">
        <v>-1</v>
      </c>
      <c r="M3605" t="s">
        <v>1725</v>
      </c>
      <c r="N3605" t="s">
        <v>1726</v>
      </c>
      <c r="O3605" s="27" t="str">
        <f>HYPERLINK("https://www.ncbi.nlm.nih.gov/nuccore/NZ_MLCF01000002.1?report=graph&amp;from=278597&amp;to=278601", "TTA_codon")</f>
        <v>TTA_codon</v>
      </c>
    </row>
    <row r="3606" spans="1:15" x14ac:dyDescent="0.15">
      <c r="A3606" t="s">
        <v>21</v>
      </c>
      <c r="B3606">
        <v>1001429</v>
      </c>
      <c r="C3606">
        <v>363060</v>
      </c>
      <c r="F3606" s="7">
        <v>1</v>
      </c>
      <c r="G3606" s="7">
        <v>70</v>
      </c>
      <c r="H3606" s="8">
        <v>52</v>
      </c>
      <c r="J3606" t="s">
        <v>23</v>
      </c>
      <c r="K3606" s="7">
        <v>2397</v>
      </c>
      <c r="L3606" s="9">
        <v>-1</v>
      </c>
      <c r="M3606" t="s">
        <v>2886</v>
      </c>
      <c r="N3606" t="s">
        <v>1726</v>
      </c>
      <c r="O3606" s="27" t="str">
        <f>HYPERLINK("https://www.ncbi.nlm.nih.gov/nuccore/NZ_MLCF01000027.1?report=graph&amp;from=7962&amp;to=7966", "TTA_codon")</f>
        <v>TTA_codon</v>
      </c>
    </row>
    <row r="3607" spans="1:15" x14ac:dyDescent="0.15">
      <c r="A3607" t="s">
        <v>195</v>
      </c>
      <c r="B3607" t="s">
        <v>2887</v>
      </c>
    </row>
    <row r="3608" spans="1:15" x14ac:dyDescent="0.15">
      <c r="A3608" t="s">
        <v>195</v>
      </c>
      <c r="B3608">
        <v>1000027</v>
      </c>
      <c r="C3608">
        <v>346138</v>
      </c>
      <c r="F3608" s="7">
        <v>1</v>
      </c>
      <c r="G3608" s="7">
        <v>49</v>
      </c>
      <c r="H3608" s="8">
        <v>49</v>
      </c>
      <c r="J3608" t="s">
        <v>23</v>
      </c>
      <c r="K3608" s="7">
        <v>1701</v>
      </c>
      <c r="L3608" s="9">
        <v>1</v>
      </c>
      <c r="M3608" t="s">
        <v>265</v>
      </c>
      <c r="N3608" t="s">
        <v>266</v>
      </c>
      <c r="O3608" s="27" t="str">
        <f>HYPERLINK("https://www.ncbi.nlm.nih.gov/nuccore/NC_017586.1?report=graph&amp;from=3054368&amp;to=3054372", "TTA_codon")</f>
        <v>TTA_codon</v>
      </c>
    </row>
    <row r="3609" spans="1:15" x14ac:dyDescent="0.15">
      <c r="A3609" t="s">
        <v>21</v>
      </c>
      <c r="B3609">
        <v>1000027</v>
      </c>
      <c r="C3609">
        <v>349607</v>
      </c>
      <c r="F3609" s="7">
        <v>1</v>
      </c>
      <c r="G3609" s="7">
        <v>49</v>
      </c>
      <c r="H3609" s="8">
        <v>49</v>
      </c>
      <c r="J3609" t="s">
        <v>23</v>
      </c>
      <c r="K3609" s="7">
        <v>1701</v>
      </c>
      <c r="L3609" s="9">
        <v>1</v>
      </c>
      <c r="M3609" t="s">
        <v>1064</v>
      </c>
      <c r="N3609" t="s">
        <v>335</v>
      </c>
      <c r="O3609" s="27" t="str">
        <f>HYPERLINK("https://www.ncbi.nlm.nih.gov/nuccore/NZ_AGBF01000008.1?report=graph&amp;from=93185&amp;to=93189", "TTA_codon")</f>
        <v>TTA_codon</v>
      </c>
    </row>
    <row r="3610" spans="1:15" x14ac:dyDescent="0.15">
      <c r="A3610" t="s">
        <v>21</v>
      </c>
      <c r="B3610">
        <v>1000027</v>
      </c>
      <c r="C3610">
        <v>357401</v>
      </c>
      <c r="F3610" s="7">
        <v>1</v>
      </c>
      <c r="G3610" s="7">
        <v>49</v>
      </c>
      <c r="H3610" s="8">
        <v>49</v>
      </c>
      <c r="J3610" t="s">
        <v>23</v>
      </c>
      <c r="K3610" s="7">
        <v>1701</v>
      </c>
      <c r="L3610" s="9">
        <v>1</v>
      </c>
      <c r="M3610" t="s">
        <v>80</v>
      </c>
      <c r="N3610" t="s">
        <v>81</v>
      </c>
      <c r="O3610" s="27" t="str">
        <f>HYPERLINK("https://www.ncbi.nlm.nih.gov/nuccore/NZ_LN831790.1?report=graph&amp;from=3954754&amp;to=3954758", "TTA_codon")</f>
        <v>TTA_codon</v>
      </c>
    </row>
    <row r="3611" spans="1:15" x14ac:dyDescent="0.15">
      <c r="A3611" t="s">
        <v>195</v>
      </c>
      <c r="B3611" t="s">
        <v>2888</v>
      </c>
    </row>
    <row r="3612" spans="1:15" x14ac:dyDescent="0.15">
      <c r="A3612" t="s">
        <v>195</v>
      </c>
      <c r="B3612">
        <v>1001276</v>
      </c>
      <c r="C3612">
        <v>346893</v>
      </c>
      <c r="F3612" s="7">
        <v>1</v>
      </c>
      <c r="G3612" s="7">
        <v>826</v>
      </c>
      <c r="H3612" s="8">
        <v>718</v>
      </c>
      <c r="J3612" t="s">
        <v>23</v>
      </c>
      <c r="K3612" s="7">
        <v>1521</v>
      </c>
      <c r="L3612" s="9">
        <v>-1</v>
      </c>
      <c r="M3612" t="s">
        <v>39</v>
      </c>
      <c r="N3612" t="s">
        <v>40</v>
      </c>
      <c r="O3612" s="27" t="str">
        <f>HYPERLINK("https://www.ncbi.nlm.nih.gov/nuccore/NZ_CP017157.1?report=graph&amp;from=4355139&amp;to=4355143", "TTA_codon")</f>
        <v>TTA_codon</v>
      </c>
    </row>
    <row r="3613" spans="1:15" x14ac:dyDescent="0.15">
      <c r="A3613" t="s">
        <v>195</v>
      </c>
      <c r="B3613">
        <v>1001276</v>
      </c>
      <c r="C3613">
        <v>346948</v>
      </c>
      <c r="F3613" s="7">
        <v>1</v>
      </c>
      <c r="G3613" s="7">
        <v>1399</v>
      </c>
      <c r="H3613" s="8">
        <v>868</v>
      </c>
      <c r="J3613" t="s">
        <v>23</v>
      </c>
      <c r="K3613" s="7">
        <v>1539</v>
      </c>
      <c r="L3613" s="9">
        <v>-1</v>
      </c>
      <c r="M3613" t="s">
        <v>2889</v>
      </c>
      <c r="N3613" t="s">
        <v>1726</v>
      </c>
      <c r="O3613" s="27" t="str">
        <f>HYPERLINK("https://www.ncbi.nlm.nih.gov/nuccore/NZ_MLCF01000094.1?report=graph&amp;from=28097&amp;to=28101", "TTA_codon")</f>
        <v>TTA_codon</v>
      </c>
    </row>
    <row r="3614" spans="1:15" x14ac:dyDescent="0.15">
      <c r="A3614" t="s">
        <v>195</v>
      </c>
      <c r="B3614">
        <v>1001276</v>
      </c>
      <c r="C3614">
        <v>346956</v>
      </c>
      <c r="F3614" s="7">
        <v>1</v>
      </c>
      <c r="G3614" s="7">
        <v>1027</v>
      </c>
      <c r="H3614" s="8">
        <v>817</v>
      </c>
      <c r="J3614" t="s">
        <v>23</v>
      </c>
      <c r="K3614" s="7">
        <v>1890</v>
      </c>
      <c r="L3614" s="9">
        <v>-1</v>
      </c>
      <c r="M3614" t="s">
        <v>705</v>
      </c>
      <c r="N3614" t="s">
        <v>401</v>
      </c>
      <c r="O3614" s="27" t="str">
        <f>HYPERLINK("https://www.ncbi.nlm.nih.gov/nuccore/NZ_LFBV01000008.1?report=graph&amp;from=114014&amp;to=114018", "TTA_codon")</f>
        <v>TTA_codon</v>
      </c>
    </row>
    <row r="3615" spans="1:15" x14ac:dyDescent="0.15">
      <c r="A3615" t="s">
        <v>21</v>
      </c>
      <c r="B3615">
        <v>1001276</v>
      </c>
      <c r="C3615">
        <v>347840</v>
      </c>
      <c r="F3615" s="7">
        <v>1</v>
      </c>
      <c r="G3615" s="7">
        <v>1921</v>
      </c>
      <c r="H3615" s="8">
        <v>1141</v>
      </c>
      <c r="J3615" t="s">
        <v>23</v>
      </c>
      <c r="K3615" s="7">
        <v>1566</v>
      </c>
      <c r="L3615" s="9">
        <v>-1</v>
      </c>
      <c r="M3615" t="s">
        <v>57</v>
      </c>
      <c r="N3615" t="s">
        <v>58</v>
      </c>
      <c r="O3615" s="27" t="str">
        <f>HYPERLINK("https://www.ncbi.nlm.nih.gov/nuccore/NC_013929.1?report=graph&amp;from=3682620&amp;to=3682624", "TTA_codon")</f>
        <v>TTA_codon</v>
      </c>
    </row>
    <row r="3616" spans="1:15" x14ac:dyDescent="0.15">
      <c r="A3616" t="s">
        <v>21</v>
      </c>
      <c r="B3616">
        <v>1001276</v>
      </c>
      <c r="C3616">
        <v>348890</v>
      </c>
      <c r="F3616" s="7">
        <v>1</v>
      </c>
      <c r="G3616" s="7">
        <v>922</v>
      </c>
      <c r="H3616" s="8">
        <v>712</v>
      </c>
      <c r="J3616" t="s">
        <v>23</v>
      </c>
      <c r="K3616" s="7">
        <v>1608</v>
      </c>
      <c r="L3616" s="9">
        <v>-1</v>
      </c>
      <c r="M3616" t="s">
        <v>211</v>
      </c>
      <c r="N3616" t="s">
        <v>212</v>
      </c>
      <c r="O3616" s="27" t="str">
        <f>HYPERLINK("https://www.ncbi.nlm.nih.gov/nuccore/NZ_GG657754.1?report=graph&amp;from=8312035&amp;to=8312039", "TTA_codon")</f>
        <v>TTA_codon</v>
      </c>
    </row>
    <row r="3617" spans="1:15" x14ac:dyDescent="0.15">
      <c r="A3617" t="s">
        <v>21</v>
      </c>
      <c r="B3617">
        <v>1001276</v>
      </c>
      <c r="C3617">
        <v>350304</v>
      </c>
      <c r="F3617" s="7">
        <v>1</v>
      </c>
      <c r="G3617" s="7">
        <v>955</v>
      </c>
      <c r="H3617" s="8">
        <v>733</v>
      </c>
      <c r="J3617" t="s">
        <v>23</v>
      </c>
      <c r="K3617" s="7">
        <v>1905</v>
      </c>
      <c r="L3617" s="9">
        <v>-1</v>
      </c>
      <c r="M3617" t="s">
        <v>35</v>
      </c>
      <c r="N3617" t="s">
        <v>36</v>
      </c>
      <c r="O3617" s="27" t="str">
        <f>HYPERLINK("https://www.ncbi.nlm.nih.gov/nuccore/NZ_JH725387.1?report=graph&amp;from=2452864&amp;to=2452868", "TTA_codon")</f>
        <v>TTA_codon</v>
      </c>
    </row>
    <row r="3618" spans="1:15" x14ac:dyDescent="0.15">
      <c r="A3618" t="s">
        <v>21</v>
      </c>
      <c r="B3618">
        <v>1001276</v>
      </c>
      <c r="C3618">
        <v>354041</v>
      </c>
      <c r="F3618" s="7">
        <v>1</v>
      </c>
      <c r="G3618" s="7">
        <v>1381</v>
      </c>
      <c r="H3618" s="8">
        <v>883</v>
      </c>
      <c r="J3618" t="s">
        <v>23</v>
      </c>
      <c r="K3618" s="7">
        <v>1617</v>
      </c>
      <c r="L3618" s="9">
        <v>-1</v>
      </c>
      <c r="M3618" t="s">
        <v>1393</v>
      </c>
      <c r="N3618" t="s">
        <v>270</v>
      </c>
      <c r="O3618" s="27" t="str">
        <f>HYPERLINK("https://www.ncbi.nlm.nih.gov/nuccore/NZ_JOBH01000005.1?report=graph&amp;from=175448&amp;to=175452", "TTA_codon")</f>
        <v>TTA_codon</v>
      </c>
    </row>
    <row r="3619" spans="1:15" x14ac:dyDescent="0.15">
      <c r="A3619" t="s">
        <v>21</v>
      </c>
      <c r="B3619">
        <v>1001276</v>
      </c>
      <c r="C3619">
        <v>354606</v>
      </c>
      <c r="F3619" s="7">
        <v>1</v>
      </c>
      <c r="G3619" s="7">
        <v>976</v>
      </c>
      <c r="H3619" s="8">
        <v>748</v>
      </c>
      <c r="J3619" t="s">
        <v>23</v>
      </c>
      <c r="K3619" s="7">
        <v>1449</v>
      </c>
      <c r="L3619" s="9">
        <v>-1</v>
      </c>
      <c r="M3619" t="s">
        <v>2890</v>
      </c>
      <c r="N3619" t="s">
        <v>272</v>
      </c>
      <c r="O3619" s="27" t="str">
        <f>HYPERLINK("https://www.ncbi.nlm.nih.gov/nuccore/NZ_JOEY01000080.1?report=graph&amp;from=21154&amp;to=21158", "TTA_codon")</f>
        <v>TTA_codon</v>
      </c>
    </row>
    <row r="3620" spans="1:15" x14ac:dyDescent="0.15">
      <c r="A3620" t="s">
        <v>21</v>
      </c>
      <c r="B3620">
        <v>1001276</v>
      </c>
      <c r="C3620">
        <v>358135</v>
      </c>
      <c r="F3620" s="7">
        <v>1</v>
      </c>
      <c r="G3620" s="7">
        <v>1102</v>
      </c>
      <c r="H3620" s="8">
        <v>796</v>
      </c>
      <c r="J3620" t="s">
        <v>23</v>
      </c>
      <c r="K3620" s="7">
        <v>1575</v>
      </c>
      <c r="L3620" s="9">
        <v>-1</v>
      </c>
      <c r="M3620" t="s">
        <v>2891</v>
      </c>
      <c r="N3620" t="s">
        <v>119</v>
      </c>
      <c r="O3620" s="27" t="str">
        <f>HYPERLINK("https://www.ncbi.nlm.nih.gov/nuccore/NZ_LIPP01000004.1?report=graph&amp;from=46593&amp;to=46597", "TTA_codon")</f>
        <v>TTA_codon</v>
      </c>
    </row>
    <row r="3621" spans="1:15" x14ac:dyDescent="0.15">
      <c r="A3621" t="s">
        <v>21</v>
      </c>
      <c r="B3621">
        <v>1001276</v>
      </c>
      <c r="C3621">
        <v>358411</v>
      </c>
      <c r="F3621" s="7">
        <v>1</v>
      </c>
      <c r="G3621" s="7">
        <v>1165</v>
      </c>
      <c r="H3621" s="8">
        <v>973</v>
      </c>
      <c r="J3621" t="s">
        <v>23</v>
      </c>
      <c r="K3621" s="7">
        <v>1884</v>
      </c>
      <c r="L3621" s="9">
        <v>-1</v>
      </c>
      <c r="M3621" t="s">
        <v>2892</v>
      </c>
      <c r="N3621" t="s">
        <v>85</v>
      </c>
      <c r="O3621" s="27" t="str">
        <f>HYPERLINK("https://www.ncbi.nlm.nih.gov/nuccore/NZ_LIQX01000341.1?report=graph&amp;from=6452&amp;to=6456", "TTA_codon")</f>
        <v>TTA_codon</v>
      </c>
    </row>
    <row r="3622" spans="1:15" x14ac:dyDescent="0.15">
      <c r="A3622" t="s">
        <v>21</v>
      </c>
      <c r="B3622">
        <v>1001276</v>
      </c>
      <c r="C3622">
        <v>360953</v>
      </c>
      <c r="F3622" s="7">
        <v>1</v>
      </c>
      <c r="G3622" s="7">
        <v>955</v>
      </c>
      <c r="H3622" s="8">
        <v>733</v>
      </c>
      <c r="J3622" t="s">
        <v>23</v>
      </c>
      <c r="K3622" s="7">
        <v>1671</v>
      </c>
      <c r="L3622" s="9">
        <v>-1</v>
      </c>
      <c r="M3622" t="s">
        <v>2893</v>
      </c>
      <c r="N3622" t="s">
        <v>97</v>
      </c>
      <c r="O3622" s="27" t="str">
        <f>HYPERLINK("https://www.ncbi.nlm.nih.gov/nuccore/NZ_LOHS01000021.1?report=graph&amp;from=19541&amp;to=19545", "TTA_codon")</f>
        <v>TTA_codon</v>
      </c>
    </row>
    <row r="3623" spans="1:15" x14ac:dyDescent="0.15">
      <c r="A3623" t="s">
        <v>21</v>
      </c>
      <c r="B3623">
        <v>1001276</v>
      </c>
      <c r="C3623">
        <v>362704</v>
      </c>
      <c r="F3623" s="7">
        <v>1</v>
      </c>
      <c r="G3623" s="7">
        <v>955</v>
      </c>
      <c r="H3623" s="8">
        <v>703</v>
      </c>
      <c r="J3623" t="s">
        <v>23</v>
      </c>
      <c r="K3623" s="7">
        <v>1806</v>
      </c>
      <c r="L3623" s="9">
        <v>-1</v>
      </c>
      <c r="M3623" t="s">
        <v>2894</v>
      </c>
      <c r="N3623" t="s">
        <v>985</v>
      </c>
      <c r="O3623" s="27" t="str">
        <f>HYPERLINK("https://www.ncbi.nlm.nih.gov/nuccore/NZ_LJGU01000095.1?report=graph&amp;from=93578&amp;to=93582", "TTA_codon")</f>
        <v>TTA_codon</v>
      </c>
    </row>
    <row r="3624" spans="1:15" x14ac:dyDescent="0.15">
      <c r="A3624" t="s">
        <v>21</v>
      </c>
      <c r="B3624">
        <v>1001276</v>
      </c>
      <c r="C3624">
        <v>363482</v>
      </c>
      <c r="F3624" s="7">
        <v>1</v>
      </c>
      <c r="G3624" s="7">
        <v>1612</v>
      </c>
      <c r="H3624" s="8">
        <v>1102</v>
      </c>
      <c r="J3624" t="s">
        <v>23</v>
      </c>
      <c r="K3624" s="7">
        <v>1662</v>
      </c>
      <c r="L3624" s="9">
        <v>-1</v>
      </c>
      <c r="M3624" t="s">
        <v>157</v>
      </c>
      <c r="N3624" t="s">
        <v>158</v>
      </c>
      <c r="O3624" s="27" t="str">
        <f>HYPERLINK("https://www.ncbi.nlm.nih.gov/nuccore/NZ_CP015588.1?report=graph&amp;from=3622705&amp;to=3622709", "TTA_codon")</f>
        <v>TTA_codon</v>
      </c>
    </row>
    <row r="3625" spans="1:15" x14ac:dyDescent="0.15">
      <c r="A3625" t="s">
        <v>195</v>
      </c>
      <c r="B3625" t="s">
        <v>2895</v>
      </c>
    </row>
    <row r="3626" spans="1:15" x14ac:dyDescent="0.15">
      <c r="A3626" t="s">
        <v>195</v>
      </c>
      <c r="B3626">
        <v>1000064</v>
      </c>
      <c r="C3626">
        <v>346331</v>
      </c>
      <c r="F3626" s="7">
        <v>1</v>
      </c>
      <c r="G3626" s="7">
        <v>178</v>
      </c>
      <c r="H3626" s="8">
        <v>142</v>
      </c>
      <c r="J3626" t="s">
        <v>23</v>
      </c>
      <c r="K3626" s="7">
        <v>1308</v>
      </c>
      <c r="L3626" s="9">
        <v>1</v>
      </c>
      <c r="M3626" t="s">
        <v>2329</v>
      </c>
      <c r="N3626" t="s">
        <v>169</v>
      </c>
      <c r="O3626" s="27" t="str">
        <f>HYPERLINK("https://www.ncbi.nlm.nih.gov/nuccore/NZ_JNWJ01000021.1?report=graph&amp;from=261976&amp;to=261980", "TTA_codon")</f>
        <v>TTA_codon</v>
      </c>
    </row>
    <row r="3627" spans="1:15" x14ac:dyDescent="0.15">
      <c r="A3627" t="s">
        <v>21</v>
      </c>
      <c r="B3627">
        <v>1000064</v>
      </c>
      <c r="C3627">
        <v>347819</v>
      </c>
      <c r="F3627" s="7">
        <v>1</v>
      </c>
      <c r="G3627" s="7">
        <v>178</v>
      </c>
      <c r="H3627" s="8">
        <v>178</v>
      </c>
      <c r="J3627" t="s">
        <v>23</v>
      </c>
      <c r="K3627" s="7">
        <v>1431</v>
      </c>
      <c r="L3627" s="9">
        <v>1</v>
      </c>
      <c r="M3627" t="s">
        <v>57</v>
      </c>
      <c r="N3627" t="s">
        <v>58</v>
      </c>
      <c r="O3627" s="27" t="str">
        <f>HYPERLINK("https://www.ncbi.nlm.nih.gov/nuccore/NC_013929.1?report=graph&amp;from=5646752&amp;to=5646756", "TTA_codon")</f>
        <v>TTA_codon</v>
      </c>
    </row>
    <row r="3628" spans="1:15" x14ac:dyDescent="0.15">
      <c r="A3628" t="s">
        <v>21</v>
      </c>
      <c r="B3628">
        <v>1000064</v>
      </c>
      <c r="C3628">
        <v>356209</v>
      </c>
      <c r="F3628" s="7">
        <v>1</v>
      </c>
      <c r="G3628" s="7">
        <v>178</v>
      </c>
      <c r="H3628" s="8">
        <v>142</v>
      </c>
      <c r="J3628" t="s">
        <v>23</v>
      </c>
      <c r="K3628" s="7">
        <v>1218</v>
      </c>
      <c r="L3628" s="9">
        <v>1</v>
      </c>
      <c r="M3628" t="s">
        <v>612</v>
      </c>
      <c r="N3628" t="s">
        <v>77</v>
      </c>
      <c r="O3628" s="27" t="str">
        <f>HYPERLINK("https://www.ncbi.nlm.nih.gov/nuccore/NZ_JNXD01000007.1?report=graph&amp;from=82074&amp;to=82078", "TTA_codon")</f>
        <v>TTA_codon</v>
      </c>
    </row>
    <row r="3629" spans="1:15" x14ac:dyDescent="0.15">
      <c r="A3629" t="s">
        <v>21</v>
      </c>
      <c r="B3629">
        <v>1000064</v>
      </c>
      <c r="C3629">
        <v>357412</v>
      </c>
      <c r="F3629" s="7">
        <v>1</v>
      </c>
      <c r="G3629" s="7">
        <v>178</v>
      </c>
      <c r="H3629" s="8">
        <v>133</v>
      </c>
      <c r="J3629" t="s">
        <v>23</v>
      </c>
      <c r="K3629" s="7">
        <v>1233</v>
      </c>
      <c r="L3629" s="9">
        <v>1</v>
      </c>
      <c r="M3629" t="s">
        <v>80</v>
      </c>
      <c r="N3629" t="s">
        <v>81</v>
      </c>
      <c r="O3629" s="27" t="str">
        <f>HYPERLINK("https://www.ncbi.nlm.nih.gov/nuccore/NZ_LN831790.1?report=graph&amp;from=4627968&amp;to=4627972", "TTA_codon")</f>
        <v>TTA_codon</v>
      </c>
    </row>
    <row r="3630" spans="1:15" x14ac:dyDescent="0.15">
      <c r="A3630" t="s">
        <v>21</v>
      </c>
      <c r="B3630">
        <v>1000064</v>
      </c>
      <c r="C3630">
        <v>359086</v>
      </c>
      <c r="F3630" s="7">
        <v>1</v>
      </c>
      <c r="G3630" s="7">
        <v>178</v>
      </c>
      <c r="H3630" s="8">
        <v>139</v>
      </c>
      <c r="J3630" t="s">
        <v>23</v>
      </c>
      <c r="K3630" s="7">
        <v>1302</v>
      </c>
      <c r="L3630" s="9">
        <v>1</v>
      </c>
      <c r="M3630" t="s">
        <v>2896</v>
      </c>
      <c r="N3630" t="s">
        <v>451</v>
      </c>
      <c r="O3630" s="27" t="str">
        <f>HYPERLINK("https://www.ncbi.nlm.nih.gov/nuccore/NZ_LIQZ01000006.1?report=graph&amp;from=2524&amp;to=2528", "TTA_codon")</f>
        <v>TTA_codon</v>
      </c>
    </row>
    <row r="3631" spans="1:15" x14ac:dyDescent="0.15">
      <c r="A3631" t="s">
        <v>21</v>
      </c>
      <c r="B3631" t="s">
        <v>2897</v>
      </c>
    </row>
    <row r="3632" spans="1:15" x14ac:dyDescent="0.15">
      <c r="A3632" t="s">
        <v>21</v>
      </c>
      <c r="B3632">
        <v>1000713</v>
      </c>
      <c r="C3632">
        <v>347555</v>
      </c>
      <c r="F3632" s="7">
        <v>2</v>
      </c>
      <c r="G3632" s="7" t="s">
        <v>2898</v>
      </c>
      <c r="H3632" s="8" t="s">
        <v>2899</v>
      </c>
      <c r="J3632" t="s">
        <v>23</v>
      </c>
      <c r="K3632" s="7">
        <v>885</v>
      </c>
      <c r="L3632" s="9">
        <v>-1</v>
      </c>
      <c r="M3632" t="s">
        <v>53</v>
      </c>
      <c r="N3632" t="s">
        <v>54</v>
      </c>
      <c r="O3632" s="27" t="str">
        <f>HYPERLINK("https://www.ncbi.nlm.nih.gov/nuccore/NC_003155.5?report=graph&amp;from=4053160&amp;to=4053401", "TTA_codon")</f>
        <v>TTA_codon</v>
      </c>
    </row>
    <row r="3633" spans="1:15" x14ac:dyDescent="0.15">
      <c r="A3633" t="s">
        <v>21</v>
      </c>
      <c r="B3633">
        <v>1000713</v>
      </c>
      <c r="C3633">
        <v>349538</v>
      </c>
      <c r="F3633" s="7">
        <v>1</v>
      </c>
      <c r="G3633" s="7">
        <v>595</v>
      </c>
      <c r="H3633" s="8">
        <v>532</v>
      </c>
      <c r="J3633" t="s">
        <v>23</v>
      </c>
      <c r="K3633" s="7">
        <v>900</v>
      </c>
      <c r="L3633" s="9">
        <v>-1</v>
      </c>
      <c r="M3633" t="s">
        <v>2900</v>
      </c>
      <c r="N3633" t="s">
        <v>64</v>
      </c>
      <c r="O3633" s="27" t="str">
        <f>HYPERLINK("https://www.ncbi.nlm.nih.gov/nuccore/NZ_AEYX01000005.1?report=graph&amp;from=78887&amp;to=78891", "TTA_codon")</f>
        <v>TTA_codon</v>
      </c>
    </row>
    <row r="3634" spans="1:15" x14ac:dyDescent="0.15">
      <c r="A3634" t="s">
        <v>21</v>
      </c>
      <c r="B3634">
        <v>1000713</v>
      </c>
      <c r="C3634">
        <v>351096</v>
      </c>
      <c r="F3634" s="7">
        <v>1</v>
      </c>
      <c r="G3634" s="7">
        <v>361</v>
      </c>
      <c r="H3634" s="8">
        <v>340</v>
      </c>
      <c r="J3634" t="s">
        <v>23</v>
      </c>
      <c r="K3634" s="7">
        <v>861</v>
      </c>
      <c r="L3634" s="9">
        <v>-1</v>
      </c>
      <c r="M3634" t="s">
        <v>1973</v>
      </c>
      <c r="N3634" t="s">
        <v>136</v>
      </c>
      <c r="O3634" s="27" t="str">
        <f>HYPERLINK("https://www.ncbi.nlm.nih.gov/nuccore/NZ_AORZ01000062.1?report=graph&amp;from=14163&amp;to=14167", "TTA_codon")</f>
        <v>TTA_codon</v>
      </c>
    </row>
    <row r="3635" spans="1:15" x14ac:dyDescent="0.15">
      <c r="A3635" t="s">
        <v>21</v>
      </c>
      <c r="B3635">
        <v>1000713</v>
      </c>
      <c r="C3635">
        <v>353467</v>
      </c>
      <c r="F3635" s="7">
        <v>1</v>
      </c>
      <c r="G3635" s="7">
        <v>211</v>
      </c>
      <c r="H3635" s="8">
        <v>196</v>
      </c>
      <c r="J3635" t="s">
        <v>23</v>
      </c>
      <c r="K3635" s="7">
        <v>909</v>
      </c>
      <c r="L3635" s="9">
        <v>-1</v>
      </c>
      <c r="M3635" t="s">
        <v>2901</v>
      </c>
      <c r="N3635" t="s">
        <v>169</v>
      </c>
      <c r="O3635" s="27" t="str">
        <f>HYPERLINK("https://www.ncbi.nlm.nih.gov/nuccore/NZ_JNWJ01000027.1?report=graph&amp;from=76934&amp;to=76938", "TTA_codon")</f>
        <v>TTA_codon</v>
      </c>
    </row>
    <row r="3636" spans="1:15" x14ac:dyDescent="0.15">
      <c r="A3636" t="s">
        <v>21</v>
      </c>
      <c r="B3636">
        <v>1000713</v>
      </c>
      <c r="C3636">
        <v>354141</v>
      </c>
      <c r="F3636" s="7">
        <v>1</v>
      </c>
      <c r="G3636" s="7">
        <v>361</v>
      </c>
      <c r="H3636" s="8">
        <v>295</v>
      </c>
      <c r="J3636" t="s">
        <v>23</v>
      </c>
      <c r="K3636" s="7">
        <v>870</v>
      </c>
      <c r="L3636" s="9">
        <v>-1</v>
      </c>
      <c r="M3636" t="s">
        <v>2902</v>
      </c>
      <c r="N3636" t="s">
        <v>270</v>
      </c>
      <c r="O3636" s="27" t="str">
        <f>HYPERLINK("https://www.ncbi.nlm.nih.gov/nuccore/NZ_JOBH01000020.1?report=graph&amp;from=71179&amp;to=71183", "TTA_codon")</f>
        <v>TTA_codon</v>
      </c>
    </row>
    <row r="3637" spans="1:15" x14ac:dyDescent="0.15">
      <c r="A3637" t="s">
        <v>21</v>
      </c>
      <c r="B3637">
        <v>1000713</v>
      </c>
      <c r="C3637">
        <v>356239</v>
      </c>
      <c r="F3637" s="7">
        <v>1</v>
      </c>
      <c r="G3637" s="7">
        <v>361</v>
      </c>
      <c r="H3637" s="8">
        <v>262</v>
      </c>
      <c r="J3637" t="s">
        <v>23</v>
      </c>
      <c r="K3637" s="7">
        <v>819</v>
      </c>
      <c r="L3637" s="9">
        <v>-1</v>
      </c>
      <c r="M3637" t="s">
        <v>340</v>
      </c>
      <c r="N3637" t="s">
        <v>77</v>
      </c>
      <c r="O3637" s="27" t="str">
        <f>HYPERLINK("https://www.ncbi.nlm.nih.gov/nuccore/NZ_JNXD01000002.1?report=graph&amp;from=234790&amp;to=234794", "TTA_codon")</f>
        <v>TTA_codon</v>
      </c>
    </row>
    <row r="3638" spans="1:15" x14ac:dyDescent="0.15">
      <c r="A3638" t="s">
        <v>21</v>
      </c>
      <c r="B3638">
        <v>1000713</v>
      </c>
      <c r="C3638">
        <v>357808</v>
      </c>
      <c r="F3638" s="7">
        <v>1</v>
      </c>
      <c r="G3638" s="7">
        <v>361</v>
      </c>
      <c r="H3638" s="8">
        <v>262</v>
      </c>
      <c r="J3638" t="s">
        <v>23</v>
      </c>
      <c r="K3638" s="7">
        <v>819</v>
      </c>
      <c r="L3638" s="9">
        <v>-1</v>
      </c>
      <c r="M3638" t="s">
        <v>2903</v>
      </c>
      <c r="N3638" t="s">
        <v>83</v>
      </c>
      <c r="O3638" s="27" t="str">
        <f>HYPERLINK("https://www.ncbi.nlm.nih.gov/nuccore/NZ_DF968312.1?report=graph&amp;from=32127&amp;to=32131", "TTA_codon")</f>
        <v>TTA_codon</v>
      </c>
    </row>
    <row r="3639" spans="1:15" x14ac:dyDescent="0.15">
      <c r="A3639" t="s">
        <v>21</v>
      </c>
      <c r="B3639">
        <v>1000713</v>
      </c>
      <c r="C3639">
        <v>361434</v>
      </c>
      <c r="F3639" s="7">
        <v>1</v>
      </c>
      <c r="G3639" s="7">
        <v>361</v>
      </c>
      <c r="H3639" s="8">
        <v>247</v>
      </c>
      <c r="J3639" t="s">
        <v>23</v>
      </c>
      <c r="K3639" s="7">
        <v>822</v>
      </c>
      <c r="L3639" s="9">
        <v>-1</v>
      </c>
      <c r="M3639" t="s">
        <v>200</v>
      </c>
      <c r="N3639" t="s">
        <v>201</v>
      </c>
      <c r="O3639" s="27" t="str">
        <f>HYPERLINK("https://www.ncbi.nlm.nih.gov/nuccore/NZ_CP016559.1?report=graph&amp;from=2358989&amp;to=2358993", "TTA_codon")</f>
        <v>TTA_codon</v>
      </c>
    </row>
    <row r="3640" spans="1:15" x14ac:dyDescent="0.15">
      <c r="A3640" t="s">
        <v>21</v>
      </c>
      <c r="B3640" t="s">
        <v>2904</v>
      </c>
    </row>
    <row r="3641" spans="1:15" x14ac:dyDescent="0.15">
      <c r="A3641" t="s">
        <v>21</v>
      </c>
      <c r="B3641">
        <v>1000377</v>
      </c>
      <c r="C3641">
        <v>348316</v>
      </c>
      <c r="F3641" s="7">
        <v>1</v>
      </c>
      <c r="G3641" s="7">
        <v>316</v>
      </c>
      <c r="H3641" s="8">
        <v>280</v>
      </c>
      <c r="J3641" t="s">
        <v>23</v>
      </c>
      <c r="K3641" s="7">
        <v>1770</v>
      </c>
      <c r="L3641" s="9">
        <v>1</v>
      </c>
      <c r="M3641" t="s">
        <v>59</v>
      </c>
      <c r="N3641" t="s">
        <v>60</v>
      </c>
      <c r="O3641" s="27" t="str">
        <f>HYPERLINK("https://www.ncbi.nlm.nih.gov/nuccore/NC_016582.1?report=graph&amp;from=2235389&amp;to=2235393", "TTA_codon")</f>
        <v>TTA_codon</v>
      </c>
    </row>
    <row r="3642" spans="1:15" x14ac:dyDescent="0.15">
      <c r="A3642" t="s">
        <v>21</v>
      </c>
      <c r="B3642">
        <v>1000377</v>
      </c>
      <c r="C3642">
        <v>358022</v>
      </c>
      <c r="F3642" s="7">
        <v>1</v>
      </c>
      <c r="G3642" s="7">
        <v>223</v>
      </c>
      <c r="H3642" s="8">
        <v>223</v>
      </c>
      <c r="J3642" t="s">
        <v>23</v>
      </c>
      <c r="K3642" s="7">
        <v>1791</v>
      </c>
      <c r="L3642" s="9">
        <v>1</v>
      </c>
      <c r="M3642" t="s">
        <v>261</v>
      </c>
      <c r="N3642" t="s">
        <v>262</v>
      </c>
      <c r="O3642" s="27" t="str">
        <f>HYPERLINK("https://www.ncbi.nlm.nih.gov/nuccore/NZ_CP011340.1?report=graph&amp;from=1294104&amp;to=1294108", "TTA_codon")</f>
        <v>TTA_codon</v>
      </c>
    </row>
    <row r="3643" spans="1:15" x14ac:dyDescent="0.15">
      <c r="A3643" t="s">
        <v>21</v>
      </c>
      <c r="B3643">
        <v>1000377</v>
      </c>
      <c r="C3643">
        <v>365360</v>
      </c>
      <c r="F3643" s="7">
        <v>1</v>
      </c>
      <c r="G3643" s="7">
        <v>223</v>
      </c>
      <c r="H3643" s="8">
        <v>199</v>
      </c>
      <c r="J3643" t="s">
        <v>23</v>
      </c>
      <c r="K3643" s="7">
        <v>1767</v>
      </c>
      <c r="L3643" s="9">
        <v>1</v>
      </c>
      <c r="M3643" t="s">
        <v>2905</v>
      </c>
      <c r="N3643" t="s">
        <v>129</v>
      </c>
      <c r="O3643" s="27" t="str">
        <f>HYPERLINK("https://www.ncbi.nlm.nih.gov/nuccore/NZ_FNHI01000016.1?report=graph&amp;from=114109&amp;to=114113", "TTA_codon")</f>
        <v>TTA_codon</v>
      </c>
    </row>
    <row r="3644" spans="1:15" x14ac:dyDescent="0.15">
      <c r="A3644" t="s">
        <v>21</v>
      </c>
      <c r="B3644" t="s">
        <v>2906</v>
      </c>
    </row>
    <row r="3645" spans="1:15" x14ac:dyDescent="0.15">
      <c r="A3645" t="s">
        <v>21</v>
      </c>
      <c r="B3645">
        <v>1001365</v>
      </c>
      <c r="C3645">
        <v>361288</v>
      </c>
      <c r="F3645" s="7">
        <v>1</v>
      </c>
      <c r="G3645" s="7">
        <v>217</v>
      </c>
      <c r="H3645" s="8">
        <v>217</v>
      </c>
      <c r="J3645" t="s">
        <v>23</v>
      </c>
      <c r="K3645" s="7">
        <v>1041</v>
      </c>
      <c r="L3645" s="9">
        <v>-1</v>
      </c>
      <c r="M3645" t="s">
        <v>98</v>
      </c>
      <c r="N3645" t="s">
        <v>99</v>
      </c>
      <c r="O3645" s="27" t="str">
        <f>HYPERLINK("https://www.ncbi.nlm.nih.gov/nuccore/NZ_CP016438.1?report=graph&amp;from=1544363&amp;to=1544367", "TTA_codon")</f>
        <v>TTA_codon</v>
      </c>
    </row>
    <row r="3646" spans="1:15" x14ac:dyDescent="0.15">
      <c r="A3646" t="s">
        <v>21</v>
      </c>
      <c r="B3646">
        <v>1001365</v>
      </c>
      <c r="C3646">
        <v>364601</v>
      </c>
      <c r="F3646" s="7">
        <v>1</v>
      </c>
      <c r="G3646" s="7">
        <v>139</v>
      </c>
      <c r="H3646" s="8">
        <v>118</v>
      </c>
      <c r="J3646" t="s">
        <v>23</v>
      </c>
      <c r="K3646" s="7">
        <v>1026</v>
      </c>
      <c r="L3646" s="9">
        <v>-1</v>
      </c>
      <c r="M3646" t="s">
        <v>2907</v>
      </c>
      <c r="N3646" t="s">
        <v>108</v>
      </c>
      <c r="O3646" s="27" t="str">
        <f>HYPERLINK("https://www.ncbi.nlm.nih.gov/nuccore/NZ_MUMD01000216.1?report=graph&amp;from=5240&amp;to=5244", "TTA_codon")</f>
        <v>TTA_codon</v>
      </c>
    </row>
    <row r="3647" spans="1:15" x14ac:dyDescent="0.15">
      <c r="A3647" t="s">
        <v>21</v>
      </c>
      <c r="B3647" t="s">
        <v>2908</v>
      </c>
    </row>
    <row r="3648" spans="1:15" x14ac:dyDescent="0.15">
      <c r="A3648" t="s">
        <v>21</v>
      </c>
      <c r="B3648">
        <v>1001107</v>
      </c>
      <c r="C3648">
        <v>355667</v>
      </c>
      <c r="F3648" s="7">
        <v>1</v>
      </c>
      <c r="G3648" s="7">
        <v>1015</v>
      </c>
      <c r="H3648" s="8">
        <v>1003</v>
      </c>
      <c r="J3648" t="s">
        <v>23</v>
      </c>
      <c r="K3648" s="7">
        <v>1386</v>
      </c>
      <c r="L3648" s="9">
        <v>-1</v>
      </c>
      <c r="M3648" t="s">
        <v>2909</v>
      </c>
      <c r="N3648" t="s">
        <v>278</v>
      </c>
      <c r="O3648" s="27" t="str">
        <f>HYPERLINK("https://www.ncbi.nlm.nih.gov/nuccore/NZ_JOID01000006.1?report=graph&amp;from=29756&amp;to=29760", "TTA_codon")</f>
        <v>TTA_codon</v>
      </c>
    </row>
    <row r="3649" spans="1:15" x14ac:dyDescent="0.15">
      <c r="A3649" t="s">
        <v>21</v>
      </c>
      <c r="B3649">
        <v>1001107</v>
      </c>
      <c r="C3649">
        <v>356219</v>
      </c>
      <c r="F3649" s="7">
        <v>1</v>
      </c>
      <c r="G3649" s="7">
        <v>955</v>
      </c>
      <c r="H3649" s="8">
        <v>907</v>
      </c>
      <c r="J3649" t="s">
        <v>23</v>
      </c>
      <c r="K3649" s="7">
        <v>1458</v>
      </c>
      <c r="L3649" s="9">
        <v>-1</v>
      </c>
      <c r="M3649" t="s">
        <v>76</v>
      </c>
      <c r="N3649" t="s">
        <v>77</v>
      </c>
      <c r="O3649" s="27" t="str">
        <f>HYPERLINK("https://www.ncbi.nlm.nih.gov/nuccore/NZ_JNXD01000010.1?report=graph&amp;from=171629&amp;to=171633", "TTA_codon")</f>
        <v>TTA_codon</v>
      </c>
    </row>
    <row r="3650" spans="1:15" x14ac:dyDescent="0.15">
      <c r="A3650" t="s">
        <v>21</v>
      </c>
      <c r="B3650">
        <v>1001107</v>
      </c>
      <c r="C3650">
        <v>357748</v>
      </c>
      <c r="F3650" s="7">
        <v>1</v>
      </c>
      <c r="G3650" s="7">
        <v>991</v>
      </c>
      <c r="H3650" s="8">
        <v>928</v>
      </c>
      <c r="J3650" t="s">
        <v>23</v>
      </c>
      <c r="K3650" s="7">
        <v>1353</v>
      </c>
      <c r="L3650" s="9">
        <v>-1</v>
      </c>
      <c r="M3650" t="s">
        <v>2910</v>
      </c>
      <c r="N3650" t="s">
        <v>83</v>
      </c>
      <c r="O3650" s="27" t="str">
        <f>HYPERLINK("https://www.ncbi.nlm.nih.gov/nuccore/NZ_DF968372.1?report=graph&amp;from=19962&amp;to=19966", "TTA_codon")</f>
        <v>TTA_codon</v>
      </c>
    </row>
    <row r="3651" spans="1:15" x14ac:dyDescent="0.15">
      <c r="A3651" t="s">
        <v>21</v>
      </c>
      <c r="B3651" t="s">
        <v>2911</v>
      </c>
    </row>
    <row r="3652" spans="1:15" x14ac:dyDescent="0.15">
      <c r="A3652" t="s">
        <v>21</v>
      </c>
      <c r="B3652">
        <v>1000479</v>
      </c>
      <c r="C3652">
        <v>349145</v>
      </c>
      <c r="F3652" s="7">
        <v>1</v>
      </c>
      <c r="G3652" s="7">
        <v>349</v>
      </c>
      <c r="H3652" s="8">
        <v>316</v>
      </c>
      <c r="J3652" t="s">
        <v>23</v>
      </c>
      <c r="K3652" s="7">
        <v>1098</v>
      </c>
      <c r="L3652" s="9">
        <v>-1</v>
      </c>
      <c r="M3652" t="s">
        <v>211</v>
      </c>
      <c r="N3652" t="s">
        <v>212</v>
      </c>
      <c r="O3652" s="27" t="str">
        <f>HYPERLINK("https://www.ncbi.nlm.nih.gov/nuccore/NZ_GG657754.1?report=graph&amp;from=8309231&amp;to=8309235", "TTA_codon")</f>
        <v>TTA_codon</v>
      </c>
    </row>
    <row r="3653" spans="1:15" x14ac:dyDescent="0.15">
      <c r="A3653" t="s">
        <v>21</v>
      </c>
      <c r="B3653">
        <v>1000479</v>
      </c>
      <c r="C3653">
        <v>356269</v>
      </c>
      <c r="F3653" s="7">
        <v>1</v>
      </c>
      <c r="G3653" s="7">
        <v>349</v>
      </c>
      <c r="H3653" s="8">
        <v>334</v>
      </c>
      <c r="J3653" t="s">
        <v>23</v>
      </c>
      <c r="K3653" s="7">
        <v>1095</v>
      </c>
      <c r="L3653" s="9">
        <v>-1</v>
      </c>
      <c r="M3653" t="s">
        <v>2364</v>
      </c>
      <c r="N3653" t="s">
        <v>77</v>
      </c>
      <c r="O3653" s="27" t="str">
        <f>HYPERLINK("https://www.ncbi.nlm.nih.gov/nuccore/NZ_JNXD01000016.1?report=graph&amp;from=97752&amp;to=97756", "TTA_codon")</f>
        <v>TTA_codon</v>
      </c>
    </row>
    <row r="3654" spans="1:15" x14ac:dyDescent="0.15">
      <c r="A3654" t="s">
        <v>21</v>
      </c>
      <c r="B3654">
        <v>1000479</v>
      </c>
      <c r="C3654">
        <v>357829</v>
      </c>
      <c r="F3654" s="7">
        <v>3</v>
      </c>
      <c r="G3654" s="7" t="s">
        <v>2912</v>
      </c>
      <c r="H3654" s="8" t="s">
        <v>2913</v>
      </c>
      <c r="J3654" t="s">
        <v>23</v>
      </c>
      <c r="K3654" s="7">
        <v>1089</v>
      </c>
      <c r="L3654" s="9">
        <v>-1</v>
      </c>
      <c r="M3654" t="s">
        <v>2365</v>
      </c>
      <c r="N3654" t="s">
        <v>83</v>
      </c>
      <c r="O3654" s="27" t="str">
        <f>HYPERLINK("https://www.ncbi.nlm.nih.gov/nuccore/NZ_DF968232.1?report=graph&amp;from=79565&amp;to=79947", "TTA_codon")</f>
        <v>TTA_codon</v>
      </c>
    </row>
    <row r="3655" spans="1:15" x14ac:dyDescent="0.15">
      <c r="A3655" t="s">
        <v>21</v>
      </c>
      <c r="B3655">
        <v>1000479</v>
      </c>
      <c r="C3655">
        <v>359340</v>
      </c>
      <c r="F3655" s="7">
        <v>1</v>
      </c>
      <c r="G3655" s="7">
        <v>598</v>
      </c>
      <c r="H3655" s="8">
        <v>559</v>
      </c>
      <c r="J3655" t="s">
        <v>23</v>
      </c>
      <c r="K3655" s="7">
        <v>1071</v>
      </c>
      <c r="L3655" s="9">
        <v>-1</v>
      </c>
      <c r="M3655" t="s">
        <v>2914</v>
      </c>
      <c r="N3655" t="s">
        <v>89</v>
      </c>
      <c r="O3655" s="27" t="str">
        <f>HYPERLINK("https://www.ncbi.nlm.nih.gov/nuccore/NZ_LIRG01000261.1?report=graph&amp;from=6354&amp;to=6358", "TTA_codon")</f>
        <v>TTA_codon</v>
      </c>
    </row>
    <row r="3656" spans="1:15" x14ac:dyDescent="0.15">
      <c r="A3656" t="s">
        <v>21</v>
      </c>
      <c r="B3656" t="s">
        <v>2915</v>
      </c>
    </row>
    <row r="3657" spans="1:15" x14ac:dyDescent="0.15">
      <c r="A3657" t="s">
        <v>21</v>
      </c>
      <c r="B3657">
        <v>1000757</v>
      </c>
      <c r="C3657">
        <v>351517</v>
      </c>
      <c r="F3657" s="7">
        <v>1</v>
      </c>
      <c r="G3657" s="7">
        <v>79</v>
      </c>
      <c r="H3657" s="8">
        <v>79</v>
      </c>
      <c r="J3657" t="s">
        <v>23</v>
      </c>
      <c r="K3657" s="7">
        <v>1776</v>
      </c>
      <c r="L3657" s="9">
        <v>1</v>
      </c>
      <c r="M3657" t="s">
        <v>2916</v>
      </c>
      <c r="N3657" t="s">
        <v>138</v>
      </c>
      <c r="O3657" s="27" t="str">
        <f>HYPERLINK("https://www.ncbi.nlm.nih.gov/nuccore/NZ_KB889672.1?report=graph&amp;from=110003&amp;to=110007", "TTA_codon")</f>
        <v>TTA_codon</v>
      </c>
    </row>
    <row r="3658" spans="1:15" x14ac:dyDescent="0.15">
      <c r="A3658" t="s">
        <v>21</v>
      </c>
      <c r="B3658">
        <v>1000757</v>
      </c>
      <c r="C3658">
        <v>353997</v>
      </c>
      <c r="F3658" s="7">
        <v>1</v>
      </c>
      <c r="G3658" s="7">
        <v>79</v>
      </c>
      <c r="H3658" s="8">
        <v>79</v>
      </c>
      <c r="J3658" t="s">
        <v>23</v>
      </c>
      <c r="K3658" s="7">
        <v>1680</v>
      </c>
      <c r="L3658" s="9">
        <v>1</v>
      </c>
      <c r="M3658" t="s">
        <v>1393</v>
      </c>
      <c r="N3658" t="s">
        <v>270</v>
      </c>
      <c r="O3658" s="27" t="str">
        <f>HYPERLINK("https://www.ncbi.nlm.nih.gov/nuccore/NZ_JOBH01000005.1?report=graph&amp;from=14723&amp;to=14727", "TTA_codon")</f>
        <v>TTA_codon</v>
      </c>
    </row>
    <row r="3659" spans="1:15" x14ac:dyDescent="0.15">
      <c r="A3659" t="s">
        <v>21</v>
      </c>
      <c r="B3659">
        <v>1000757</v>
      </c>
      <c r="C3659">
        <v>361091</v>
      </c>
      <c r="F3659" s="7">
        <v>1</v>
      </c>
      <c r="G3659" s="7">
        <v>79</v>
      </c>
      <c r="H3659" s="8">
        <v>79</v>
      </c>
      <c r="J3659" t="s">
        <v>23</v>
      </c>
      <c r="K3659" s="7">
        <v>1563</v>
      </c>
      <c r="L3659" s="9">
        <v>1</v>
      </c>
      <c r="M3659" t="s">
        <v>98</v>
      </c>
      <c r="N3659" t="s">
        <v>99</v>
      </c>
      <c r="O3659" s="27" t="str">
        <f>HYPERLINK("https://www.ncbi.nlm.nih.gov/nuccore/NZ_CP016438.1?report=graph&amp;from=5349682&amp;to=5349686", "TTA_codon")</f>
        <v>TTA_codon</v>
      </c>
    </row>
    <row r="3660" spans="1:15" x14ac:dyDescent="0.15">
      <c r="A3660" t="s">
        <v>21</v>
      </c>
      <c r="B3660" t="s">
        <v>2917</v>
      </c>
    </row>
    <row r="3661" spans="1:15" x14ac:dyDescent="0.15">
      <c r="A3661" t="s">
        <v>21</v>
      </c>
      <c r="B3661">
        <v>1000380</v>
      </c>
      <c r="C3661">
        <v>348331</v>
      </c>
      <c r="F3661" s="7">
        <v>1</v>
      </c>
      <c r="G3661" s="7">
        <v>718</v>
      </c>
      <c r="H3661" s="8">
        <v>712</v>
      </c>
      <c r="J3661" t="s">
        <v>23</v>
      </c>
      <c r="K3661" s="7">
        <v>1077</v>
      </c>
      <c r="L3661" s="9">
        <v>1</v>
      </c>
      <c r="M3661" t="s">
        <v>59</v>
      </c>
      <c r="N3661" t="s">
        <v>60</v>
      </c>
      <c r="O3661" s="27" t="str">
        <f>HYPERLINK("https://www.ncbi.nlm.nih.gov/nuccore/NC_016582.1?report=graph&amp;from=1548862&amp;to=1548866", "TTA_codon")</f>
        <v>TTA_codon</v>
      </c>
    </row>
    <row r="3662" spans="1:15" x14ac:dyDescent="0.15">
      <c r="A3662" t="s">
        <v>21</v>
      </c>
      <c r="B3662">
        <v>1000380</v>
      </c>
      <c r="C3662">
        <v>362036</v>
      </c>
      <c r="F3662" s="7">
        <v>1</v>
      </c>
      <c r="G3662" s="7">
        <v>718</v>
      </c>
      <c r="H3662" s="8">
        <v>718</v>
      </c>
      <c r="J3662" t="s">
        <v>23</v>
      </c>
      <c r="K3662" s="7">
        <v>1083</v>
      </c>
      <c r="L3662" s="9">
        <v>1</v>
      </c>
      <c r="M3662" t="s">
        <v>2918</v>
      </c>
      <c r="N3662" t="s">
        <v>187</v>
      </c>
      <c r="O3662" s="27" t="str">
        <f>HYPERLINK("https://www.ncbi.nlm.nih.gov/nuccore/NZ_MAXF01000178.1?report=graph&amp;from=66318&amp;to=66322", "TTA_codon")</f>
        <v>TTA_codon</v>
      </c>
    </row>
    <row r="3663" spans="1:15" x14ac:dyDescent="0.15">
      <c r="A3663" t="s">
        <v>21</v>
      </c>
      <c r="B3663" t="s">
        <v>2919</v>
      </c>
    </row>
    <row r="3664" spans="1:15" x14ac:dyDescent="0.15">
      <c r="A3664" t="s">
        <v>21</v>
      </c>
      <c r="B3664">
        <v>1000767</v>
      </c>
      <c r="C3664">
        <v>351728</v>
      </c>
      <c r="F3664" s="7">
        <v>1</v>
      </c>
      <c r="G3664" s="7">
        <v>187</v>
      </c>
      <c r="H3664" s="8">
        <v>184</v>
      </c>
      <c r="J3664" t="s">
        <v>23</v>
      </c>
      <c r="K3664" s="7">
        <v>1320</v>
      </c>
      <c r="L3664" s="9">
        <v>1</v>
      </c>
      <c r="M3664" t="s">
        <v>291</v>
      </c>
      <c r="N3664" t="s">
        <v>68</v>
      </c>
      <c r="O3664" s="27" t="str">
        <f>HYPERLINK("https://www.ncbi.nlm.nih.gov/nuccore/NZ_BARG01000008.1?report=graph&amp;from=52228&amp;to=52232", "TTA_codon")</f>
        <v>TTA_codon</v>
      </c>
    </row>
    <row r="3665" spans="1:15" x14ac:dyDescent="0.15">
      <c r="A3665" t="s">
        <v>21</v>
      </c>
      <c r="B3665">
        <v>1000767</v>
      </c>
      <c r="C3665">
        <v>365408</v>
      </c>
      <c r="F3665" s="7">
        <v>1</v>
      </c>
      <c r="G3665" s="7">
        <v>190</v>
      </c>
      <c r="H3665" s="8">
        <v>190</v>
      </c>
      <c r="J3665" t="s">
        <v>23</v>
      </c>
      <c r="K3665" s="7">
        <v>1383</v>
      </c>
      <c r="L3665" s="9">
        <v>1</v>
      </c>
      <c r="M3665" t="s">
        <v>2920</v>
      </c>
      <c r="N3665" t="s">
        <v>45</v>
      </c>
      <c r="O3665" s="27" t="str">
        <f>HYPERLINK("https://www.ncbi.nlm.nih.gov/nuccore/NZ_FNIE01000006.1?report=graph&amp;from=388138&amp;to=388142", "TTA_codon")</f>
        <v>TTA_codon</v>
      </c>
    </row>
    <row r="3666" spans="1:15" x14ac:dyDescent="0.15">
      <c r="A3666" t="s">
        <v>21</v>
      </c>
      <c r="B3666" t="s">
        <v>2921</v>
      </c>
    </row>
    <row r="3667" spans="1:15" x14ac:dyDescent="0.15">
      <c r="A3667" t="s">
        <v>21</v>
      </c>
      <c r="B3667">
        <v>1000492</v>
      </c>
      <c r="C3667">
        <v>349294</v>
      </c>
      <c r="F3667" s="7">
        <v>1</v>
      </c>
      <c r="G3667" s="7">
        <v>964</v>
      </c>
      <c r="H3667" s="8">
        <v>922</v>
      </c>
      <c r="J3667" t="s">
        <v>23</v>
      </c>
      <c r="K3667" s="7">
        <v>3084</v>
      </c>
      <c r="L3667" s="9">
        <v>-1</v>
      </c>
      <c r="M3667" t="s">
        <v>458</v>
      </c>
      <c r="N3667" t="s">
        <v>315</v>
      </c>
      <c r="O3667" s="27" t="str">
        <f>HYPERLINK("https://www.ncbi.nlm.nih.gov/nuccore/NC_003888.3?report=graph&amp;from=7698436&amp;to=7698440", "TTA_codon")</f>
        <v>TTA_codon</v>
      </c>
    </row>
    <row r="3668" spans="1:15" x14ac:dyDescent="0.15">
      <c r="A3668" t="s">
        <v>21</v>
      </c>
      <c r="B3668">
        <v>1000492</v>
      </c>
      <c r="C3668">
        <v>349575</v>
      </c>
      <c r="F3668" s="7">
        <v>1</v>
      </c>
      <c r="G3668" s="7">
        <v>964</v>
      </c>
      <c r="H3668" s="8">
        <v>922</v>
      </c>
      <c r="J3668" t="s">
        <v>23</v>
      </c>
      <c r="K3668" s="7">
        <v>3084</v>
      </c>
      <c r="L3668" s="9">
        <v>-1</v>
      </c>
      <c r="M3668" t="s">
        <v>2922</v>
      </c>
      <c r="N3668" t="s">
        <v>335</v>
      </c>
      <c r="O3668" s="27" t="str">
        <f>HYPERLINK("https://www.ncbi.nlm.nih.gov/nuccore/NZ_AGBF01000004.1?report=graph&amp;from=22492&amp;to=22496", "TTA_codon")</f>
        <v>TTA_codon</v>
      </c>
    </row>
    <row r="3669" spans="1:15" x14ac:dyDescent="0.15">
      <c r="A3669" t="s">
        <v>21</v>
      </c>
      <c r="B3669">
        <v>1000492</v>
      </c>
      <c r="C3669">
        <v>352847</v>
      </c>
      <c r="F3669" s="7">
        <v>1</v>
      </c>
      <c r="G3669" s="7">
        <v>745</v>
      </c>
      <c r="H3669" s="8">
        <v>688</v>
      </c>
      <c r="J3669" t="s">
        <v>23</v>
      </c>
      <c r="K3669" s="7">
        <v>3051</v>
      </c>
      <c r="L3669" s="9">
        <v>-1</v>
      </c>
      <c r="M3669" t="s">
        <v>2529</v>
      </c>
      <c r="N3669" t="s">
        <v>306</v>
      </c>
      <c r="O3669" s="27" t="str">
        <f>HYPERLINK("https://www.ncbi.nlm.nih.gov/nuccore/NZ_KL571088.1?report=graph&amp;from=44772&amp;to=44776", "TTA_codon")</f>
        <v>TTA_codon</v>
      </c>
    </row>
    <row r="3670" spans="1:15" x14ac:dyDescent="0.15">
      <c r="A3670" t="s">
        <v>21</v>
      </c>
      <c r="B3670">
        <v>1000492</v>
      </c>
      <c r="C3670">
        <v>362796</v>
      </c>
      <c r="F3670" s="7">
        <v>1</v>
      </c>
      <c r="G3670" s="7">
        <v>814</v>
      </c>
      <c r="H3670" s="8">
        <v>790</v>
      </c>
      <c r="J3670" t="s">
        <v>23</v>
      </c>
      <c r="K3670" s="7">
        <v>3081</v>
      </c>
      <c r="L3670" s="9">
        <v>-1</v>
      </c>
      <c r="M3670" t="s">
        <v>2923</v>
      </c>
      <c r="N3670" t="s">
        <v>156</v>
      </c>
      <c r="O3670" s="27" t="str">
        <f>HYPERLINK("https://www.ncbi.nlm.nih.gov/nuccore/NZ_LJGW01000520.1?report=graph&amp;from=43945&amp;to=43949", "TTA_codon")</f>
        <v>TTA_codon</v>
      </c>
    </row>
    <row r="3671" spans="1:15" x14ac:dyDescent="0.15">
      <c r="A3671" t="s">
        <v>21</v>
      </c>
      <c r="B3671">
        <v>1000492</v>
      </c>
      <c r="C3671">
        <v>365410</v>
      </c>
      <c r="F3671" s="7">
        <v>1</v>
      </c>
      <c r="G3671" s="7">
        <v>1024</v>
      </c>
      <c r="H3671" s="8">
        <v>829</v>
      </c>
      <c r="J3671" t="s">
        <v>23</v>
      </c>
      <c r="K3671" s="7">
        <v>2934</v>
      </c>
      <c r="L3671" s="9">
        <v>-1</v>
      </c>
      <c r="M3671" t="s">
        <v>2924</v>
      </c>
      <c r="N3671" t="s">
        <v>45</v>
      </c>
      <c r="O3671" s="27" t="str">
        <f>HYPERLINK("https://www.ncbi.nlm.nih.gov/nuccore/NZ_FNIE01000003.1?report=graph&amp;from=13273&amp;to=13277", "TTA_codon")</f>
        <v>TTA_codon</v>
      </c>
    </row>
    <row r="3672" spans="1:15" x14ac:dyDescent="0.15">
      <c r="A3672" t="s">
        <v>21</v>
      </c>
      <c r="B3672" t="s">
        <v>2925</v>
      </c>
    </row>
    <row r="3673" spans="1:15" x14ac:dyDescent="0.15">
      <c r="A3673" t="s">
        <v>21</v>
      </c>
      <c r="B3673">
        <v>1001419</v>
      </c>
      <c r="C3673">
        <v>362455</v>
      </c>
      <c r="F3673" s="7">
        <v>1</v>
      </c>
      <c r="G3673" s="7">
        <v>301</v>
      </c>
      <c r="H3673" s="8">
        <v>292</v>
      </c>
      <c r="J3673" t="s">
        <v>23</v>
      </c>
      <c r="K3673" s="7">
        <v>2670</v>
      </c>
      <c r="L3673" s="9">
        <v>-1</v>
      </c>
      <c r="M3673" t="s">
        <v>32</v>
      </c>
      <c r="N3673" t="s">
        <v>33</v>
      </c>
      <c r="O3673" s="27" t="str">
        <f>HYPERLINK("https://www.ncbi.nlm.nih.gov/nuccore/NZ_CP017248.1?report=graph&amp;from=1598965&amp;to=1598969", "TTA_codon")</f>
        <v>TTA_codon</v>
      </c>
    </row>
    <row r="3674" spans="1:15" x14ac:dyDescent="0.15">
      <c r="A3674" t="s">
        <v>21</v>
      </c>
      <c r="B3674">
        <v>1001419</v>
      </c>
      <c r="C3674">
        <v>364122</v>
      </c>
      <c r="F3674" s="7">
        <v>1</v>
      </c>
      <c r="G3674" s="7">
        <v>280</v>
      </c>
      <c r="H3674" s="8">
        <v>262</v>
      </c>
      <c r="J3674" t="s">
        <v>23</v>
      </c>
      <c r="K3674" s="7">
        <v>2655</v>
      </c>
      <c r="L3674" s="9">
        <v>-1</v>
      </c>
      <c r="M3674" t="s">
        <v>254</v>
      </c>
      <c r="N3674" t="s">
        <v>255</v>
      </c>
      <c r="O3674" s="27" t="str">
        <f>HYPERLINK("https://www.ncbi.nlm.nih.gov/nuccore/NZ_CP018047.1?report=graph&amp;from=1168463&amp;to=1168467", "TTA_codon")</f>
        <v>TTA_codon</v>
      </c>
    </row>
    <row r="3675" spans="1:15" x14ac:dyDescent="0.15">
      <c r="A3675" t="s">
        <v>195</v>
      </c>
      <c r="B3675" t="s">
        <v>2926</v>
      </c>
    </row>
    <row r="3676" spans="1:15" x14ac:dyDescent="0.15">
      <c r="A3676" t="s">
        <v>195</v>
      </c>
      <c r="B3676">
        <v>1000149</v>
      </c>
      <c r="C3676">
        <v>347117</v>
      </c>
      <c r="F3676" s="7">
        <v>2</v>
      </c>
      <c r="G3676" s="7" t="s">
        <v>2927</v>
      </c>
      <c r="H3676" s="8" t="s">
        <v>2928</v>
      </c>
      <c r="J3676" t="s">
        <v>23</v>
      </c>
      <c r="K3676" s="7">
        <v>1083</v>
      </c>
      <c r="L3676" s="9">
        <v>1</v>
      </c>
      <c r="M3676" t="s">
        <v>213</v>
      </c>
      <c r="N3676" t="s">
        <v>214</v>
      </c>
      <c r="O3676" s="27" t="str">
        <f>HYPERLINK("https://www.ncbi.nlm.nih.gov/nuccore/NZ_FNST01000002.1?report=graph&amp;from=128757&amp;to=129565", "TTA_codon")</f>
        <v>TTA_codon</v>
      </c>
    </row>
    <row r="3677" spans="1:15" x14ac:dyDescent="0.15">
      <c r="A3677" t="s">
        <v>21</v>
      </c>
      <c r="B3677">
        <v>1000149</v>
      </c>
      <c r="C3677">
        <v>348002</v>
      </c>
      <c r="F3677" s="7">
        <v>1</v>
      </c>
      <c r="G3677" s="7">
        <v>121</v>
      </c>
      <c r="H3677" s="8">
        <v>121</v>
      </c>
      <c r="J3677" t="s">
        <v>23</v>
      </c>
      <c r="K3677" s="7">
        <v>981</v>
      </c>
      <c r="L3677" s="9">
        <v>1</v>
      </c>
      <c r="M3677" t="s">
        <v>59</v>
      </c>
      <c r="N3677" t="s">
        <v>60</v>
      </c>
      <c r="O3677" s="27" t="str">
        <f>HYPERLINK("https://www.ncbi.nlm.nih.gov/nuccore/NC_016582.1?report=graph&amp;from=11754378&amp;to=11754382", "TTA_codon")</f>
        <v>TTA_codon</v>
      </c>
    </row>
    <row r="3678" spans="1:15" x14ac:dyDescent="0.15">
      <c r="A3678" t="s">
        <v>21</v>
      </c>
      <c r="B3678">
        <v>1000149</v>
      </c>
      <c r="C3678">
        <v>348003</v>
      </c>
      <c r="F3678" s="7">
        <v>1</v>
      </c>
      <c r="G3678" s="7">
        <v>61</v>
      </c>
      <c r="H3678" s="8">
        <v>61</v>
      </c>
      <c r="J3678" t="s">
        <v>23</v>
      </c>
      <c r="K3678" s="7">
        <v>1074</v>
      </c>
      <c r="L3678" s="9">
        <v>1</v>
      </c>
      <c r="M3678" t="s">
        <v>59</v>
      </c>
      <c r="N3678" t="s">
        <v>60</v>
      </c>
      <c r="O3678" s="27" t="str">
        <f>HYPERLINK("https://www.ncbi.nlm.nih.gov/nuccore/NC_016582.1?report=graph&amp;from=1766955&amp;to=1766959", "TTA_codon")</f>
        <v>TTA_codon</v>
      </c>
    </row>
    <row r="3679" spans="1:15" x14ac:dyDescent="0.15">
      <c r="A3679" t="s">
        <v>21</v>
      </c>
      <c r="B3679">
        <v>1000149</v>
      </c>
      <c r="C3679">
        <v>348005</v>
      </c>
      <c r="F3679" s="7">
        <v>1</v>
      </c>
      <c r="G3679" s="7">
        <v>295</v>
      </c>
      <c r="H3679" s="8">
        <v>295</v>
      </c>
      <c r="J3679" t="s">
        <v>23</v>
      </c>
      <c r="K3679" s="7">
        <v>1083</v>
      </c>
      <c r="L3679" s="9">
        <v>1</v>
      </c>
      <c r="M3679" t="s">
        <v>59</v>
      </c>
      <c r="N3679" t="s">
        <v>60</v>
      </c>
      <c r="O3679" s="27" t="str">
        <f>HYPERLINK("https://www.ncbi.nlm.nih.gov/nuccore/NC_016582.1?report=graph&amp;from=1670541&amp;to=1670545", "TTA_codon")</f>
        <v>TTA_codon</v>
      </c>
    </row>
    <row r="3680" spans="1:15" x14ac:dyDescent="0.15">
      <c r="A3680" t="s">
        <v>21</v>
      </c>
      <c r="B3680">
        <v>1000149</v>
      </c>
      <c r="C3680">
        <v>348724</v>
      </c>
      <c r="F3680" s="7">
        <v>1</v>
      </c>
      <c r="G3680" s="7">
        <v>214</v>
      </c>
      <c r="H3680" s="8">
        <v>205</v>
      </c>
      <c r="J3680" t="s">
        <v>23</v>
      </c>
      <c r="K3680" s="7">
        <v>1098</v>
      </c>
      <c r="L3680" s="9">
        <v>1</v>
      </c>
      <c r="M3680" t="s">
        <v>211</v>
      </c>
      <c r="N3680" t="s">
        <v>212</v>
      </c>
      <c r="O3680" s="27" t="str">
        <f>HYPERLINK("https://www.ncbi.nlm.nih.gov/nuccore/NZ_GG657754.1?report=graph&amp;from=8533798&amp;to=8533802", "TTA_codon")</f>
        <v>TTA_codon</v>
      </c>
    </row>
    <row r="3681" spans="1:15" x14ac:dyDescent="0.15">
      <c r="A3681" t="s">
        <v>21</v>
      </c>
      <c r="B3681">
        <v>1000149</v>
      </c>
      <c r="C3681">
        <v>348726</v>
      </c>
      <c r="F3681" s="7">
        <v>1</v>
      </c>
      <c r="G3681" s="7">
        <v>214</v>
      </c>
      <c r="H3681" s="8">
        <v>205</v>
      </c>
      <c r="J3681" t="s">
        <v>23</v>
      </c>
      <c r="K3681" s="7">
        <v>1098</v>
      </c>
      <c r="L3681" s="9">
        <v>1</v>
      </c>
      <c r="M3681" t="s">
        <v>211</v>
      </c>
      <c r="N3681" t="s">
        <v>212</v>
      </c>
      <c r="O3681" s="27" t="str">
        <f>HYPERLINK("https://www.ncbi.nlm.nih.gov/nuccore/NZ_GG657754.1?report=graph&amp;from=8452830&amp;to=8452834", "TTA_codon")</f>
        <v>TTA_codon</v>
      </c>
    </row>
    <row r="3682" spans="1:15" x14ac:dyDescent="0.15">
      <c r="A3682" t="s">
        <v>21</v>
      </c>
      <c r="B3682">
        <v>1000149</v>
      </c>
      <c r="C3682">
        <v>348727</v>
      </c>
      <c r="F3682" s="7">
        <v>1</v>
      </c>
      <c r="G3682" s="7">
        <v>214</v>
      </c>
      <c r="H3682" s="8">
        <v>205</v>
      </c>
      <c r="J3682" t="s">
        <v>23</v>
      </c>
      <c r="K3682" s="7">
        <v>1110</v>
      </c>
      <c r="L3682" s="9">
        <v>1</v>
      </c>
      <c r="M3682" t="s">
        <v>211</v>
      </c>
      <c r="N3682" t="s">
        <v>212</v>
      </c>
      <c r="O3682" s="27" t="str">
        <f>HYPERLINK("https://www.ncbi.nlm.nih.gov/nuccore/NZ_GG657754.1?report=graph&amp;from=8513241&amp;to=8513245", "TTA_codon")</f>
        <v>TTA_codon</v>
      </c>
    </row>
    <row r="3683" spans="1:15" x14ac:dyDescent="0.15">
      <c r="A3683" t="s">
        <v>21</v>
      </c>
      <c r="B3683">
        <v>1000149</v>
      </c>
      <c r="C3683">
        <v>363580</v>
      </c>
      <c r="F3683" s="7">
        <v>2</v>
      </c>
      <c r="G3683" s="7" t="s">
        <v>2929</v>
      </c>
      <c r="H3683" s="8" t="s">
        <v>2929</v>
      </c>
      <c r="J3683" t="s">
        <v>23</v>
      </c>
      <c r="K3683" s="7">
        <v>1083</v>
      </c>
      <c r="L3683" s="9">
        <v>1</v>
      </c>
      <c r="M3683" t="s">
        <v>101</v>
      </c>
      <c r="N3683" t="s">
        <v>102</v>
      </c>
      <c r="O3683" s="27" t="str">
        <f>HYPERLINK("https://www.ncbi.nlm.nih.gov/nuccore/NZ_CP019458.1?report=graph&amp;from=2820345&amp;to=2820439", "TTA_codon")</f>
        <v>TTA_codon</v>
      </c>
    </row>
    <row r="3684" spans="1:15" x14ac:dyDescent="0.15">
      <c r="A3684" t="s">
        <v>195</v>
      </c>
      <c r="B3684" t="s">
        <v>2930</v>
      </c>
    </row>
    <row r="3685" spans="1:15" x14ac:dyDescent="0.15">
      <c r="A3685" t="s">
        <v>195</v>
      </c>
      <c r="B3685">
        <v>1000107</v>
      </c>
      <c r="C3685">
        <v>346705</v>
      </c>
      <c r="F3685" s="7">
        <v>1</v>
      </c>
      <c r="G3685" s="7">
        <v>151</v>
      </c>
      <c r="H3685" s="8">
        <v>151</v>
      </c>
      <c r="J3685" t="s">
        <v>23</v>
      </c>
      <c r="K3685" s="7">
        <v>333</v>
      </c>
      <c r="L3685" s="9">
        <v>1</v>
      </c>
      <c r="M3685" t="s">
        <v>2931</v>
      </c>
      <c r="N3685" t="s">
        <v>89</v>
      </c>
      <c r="O3685" s="27" t="str">
        <f>HYPERLINK("https://www.ncbi.nlm.nih.gov/nuccore/NZ_LIRG01000070.1?report=graph&amp;from=7976&amp;to=7980", "TTA_codon")</f>
        <v>TTA_codon</v>
      </c>
    </row>
    <row r="3686" spans="1:15" x14ac:dyDescent="0.15">
      <c r="A3686" t="s">
        <v>21</v>
      </c>
      <c r="B3686">
        <v>1000107</v>
      </c>
      <c r="C3686">
        <v>349534</v>
      </c>
      <c r="F3686" s="7">
        <v>1</v>
      </c>
      <c r="G3686" s="7">
        <v>151</v>
      </c>
      <c r="H3686" s="8">
        <v>121</v>
      </c>
      <c r="J3686" t="s">
        <v>23</v>
      </c>
      <c r="K3686" s="7">
        <v>303</v>
      </c>
      <c r="L3686" s="9">
        <v>1</v>
      </c>
      <c r="M3686" t="s">
        <v>2932</v>
      </c>
      <c r="N3686" t="s">
        <v>64</v>
      </c>
      <c r="O3686" s="27" t="str">
        <f>HYPERLINK("https://www.ncbi.nlm.nih.gov/nuccore/NZ_AEYX01000026.1?report=graph&amp;from=46037&amp;to=46041", "TTA_codon")</f>
        <v>TTA_codon</v>
      </c>
    </row>
    <row r="3687" spans="1:15" x14ac:dyDescent="0.15">
      <c r="A3687" t="s">
        <v>21</v>
      </c>
      <c r="B3687" t="s">
        <v>2933</v>
      </c>
    </row>
    <row r="3688" spans="1:15" x14ac:dyDescent="0.15">
      <c r="A3688" t="s">
        <v>21</v>
      </c>
      <c r="B3688">
        <v>1000547</v>
      </c>
      <c r="C3688">
        <v>349758</v>
      </c>
      <c r="F3688" s="7">
        <v>1</v>
      </c>
      <c r="G3688" s="7">
        <v>892</v>
      </c>
      <c r="H3688" s="8">
        <v>610</v>
      </c>
      <c r="J3688" t="s">
        <v>23</v>
      </c>
      <c r="K3688" s="7">
        <v>2322</v>
      </c>
      <c r="L3688" s="9">
        <v>1</v>
      </c>
      <c r="M3688" t="s">
        <v>265</v>
      </c>
      <c r="N3688" t="s">
        <v>266</v>
      </c>
      <c r="O3688" s="27" t="str">
        <f>HYPERLINK("https://www.ncbi.nlm.nih.gov/nuccore/NC_017586.1?report=graph&amp;from=4632061&amp;to=4632065", "TTA_codon")</f>
        <v>TTA_codon</v>
      </c>
    </row>
    <row r="3689" spans="1:15" x14ac:dyDescent="0.15">
      <c r="A3689" t="s">
        <v>21</v>
      </c>
      <c r="B3689">
        <v>1000547</v>
      </c>
      <c r="C3689">
        <v>353576</v>
      </c>
      <c r="F3689" s="7">
        <v>1</v>
      </c>
      <c r="G3689" s="7">
        <v>769</v>
      </c>
      <c r="H3689" s="8">
        <v>490</v>
      </c>
      <c r="J3689" t="s">
        <v>23</v>
      </c>
      <c r="K3689" s="7">
        <v>2130</v>
      </c>
      <c r="L3689" s="9">
        <v>1</v>
      </c>
      <c r="M3689" t="s">
        <v>1019</v>
      </c>
      <c r="N3689" t="s">
        <v>140</v>
      </c>
      <c r="O3689" s="27" t="str">
        <f>HYPERLINK("https://www.ncbi.nlm.nih.gov/nuccore/NZ_JNXG01000002.1?report=graph&amp;from=1218260&amp;to=1218264", "TTA_codon")</f>
        <v>TTA_codon</v>
      </c>
    </row>
    <row r="3690" spans="1:15" x14ac:dyDescent="0.15">
      <c r="A3690" t="s">
        <v>21</v>
      </c>
      <c r="B3690">
        <v>1000547</v>
      </c>
      <c r="C3690">
        <v>355083</v>
      </c>
      <c r="F3690" s="7">
        <v>1</v>
      </c>
      <c r="G3690" s="7">
        <v>496</v>
      </c>
      <c r="H3690" s="8">
        <v>211</v>
      </c>
      <c r="J3690" t="s">
        <v>23</v>
      </c>
      <c r="K3690" s="7">
        <v>2133</v>
      </c>
      <c r="L3690" s="9">
        <v>1</v>
      </c>
      <c r="M3690" t="s">
        <v>2934</v>
      </c>
      <c r="N3690" t="s">
        <v>433</v>
      </c>
      <c r="O3690" s="27" t="str">
        <f>HYPERLINK("https://www.ncbi.nlm.nih.gov/nuccore/NZ_JOBF01000009.1?report=graph&amp;from=158541&amp;to=158545", "TTA_codon")</f>
        <v>TTA_codon</v>
      </c>
    </row>
    <row r="3691" spans="1:15" x14ac:dyDescent="0.15">
      <c r="A3691" t="s">
        <v>21</v>
      </c>
      <c r="B3691">
        <v>1000547</v>
      </c>
      <c r="C3691">
        <v>355411</v>
      </c>
      <c r="F3691" s="7">
        <v>1</v>
      </c>
      <c r="G3691" s="7">
        <v>649</v>
      </c>
      <c r="H3691" s="8">
        <v>364</v>
      </c>
      <c r="J3691" t="s">
        <v>23</v>
      </c>
      <c r="K3691" s="7">
        <v>2082</v>
      </c>
      <c r="L3691" s="9">
        <v>1</v>
      </c>
      <c r="M3691" t="s">
        <v>2935</v>
      </c>
      <c r="N3691" t="s">
        <v>198</v>
      </c>
      <c r="O3691" s="27" t="str">
        <f>HYPERLINK("https://www.ncbi.nlm.nih.gov/nuccore/NZ_JOFL01000017.1?report=graph&amp;from=166410&amp;to=166414", "TTA_codon")</f>
        <v>TTA_codon</v>
      </c>
    </row>
    <row r="3692" spans="1:15" x14ac:dyDescent="0.15">
      <c r="A3692" t="s">
        <v>21</v>
      </c>
      <c r="B3692">
        <v>1000547</v>
      </c>
      <c r="C3692">
        <v>357272</v>
      </c>
      <c r="F3692" s="7">
        <v>1</v>
      </c>
      <c r="G3692" s="7">
        <v>448</v>
      </c>
      <c r="H3692" s="8">
        <v>166</v>
      </c>
      <c r="J3692" t="s">
        <v>23</v>
      </c>
      <c r="K3692" s="7">
        <v>2127</v>
      </c>
      <c r="L3692" s="9">
        <v>1</v>
      </c>
      <c r="M3692" t="s">
        <v>250</v>
      </c>
      <c r="N3692" t="s">
        <v>251</v>
      </c>
      <c r="O3692" s="27" t="str">
        <f>HYPERLINK("https://www.ncbi.nlm.nih.gov/nuccore/NZ_CP009922.2?report=graph&amp;from=4603814&amp;to=4603818", "TTA_codon")</f>
        <v>TTA_codon</v>
      </c>
    </row>
    <row r="3693" spans="1:15" x14ac:dyDescent="0.15">
      <c r="A3693" t="s">
        <v>21</v>
      </c>
      <c r="B3693">
        <v>1000547</v>
      </c>
      <c r="C3693">
        <v>357554</v>
      </c>
      <c r="F3693" s="7">
        <v>1</v>
      </c>
      <c r="G3693" s="7">
        <v>649</v>
      </c>
      <c r="H3693" s="8">
        <v>367</v>
      </c>
      <c r="J3693" t="s">
        <v>23</v>
      </c>
      <c r="K3693" s="7">
        <v>2088</v>
      </c>
      <c r="L3693" s="9">
        <v>1</v>
      </c>
      <c r="M3693" t="s">
        <v>2936</v>
      </c>
      <c r="N3693" t="s">
        <v>378</v>
      </c>
      <c r="O3693" s="27" t="str">
        <f>HYPERLINK("https://www.ncbi.nlm.nih.gov/nuccore/NZ_LFXA01000011.1?report=graph&amp;from=127850&amp;to=127854", "TTA_codon")</f>
        <v>TTA_codon</v>
      </c>
    </row>
    <row r="3694" spans="1:15" x14ac:dyDescent="0.15">
      <c r="A3694" t="s">
        <v>21</v>
      </c>
      <c r="B3694">
        <v>1000547</v>
      </c>
      <c r="C3694">
        <v>358374</v>
      </c>
      <c r="F3694" s="7">
        <v>1</v>
      </c>
      <c r="G3694" s="7">
        <v>970</v>
      </c>
      <c r="H3694" s="8">
        <v>937</v>
      </c>
      <c r="J3694" t="s">
        <v>23</v>
      </c>
      <c r="K3694" s="7">
        <v>2328</v>
      </c>
      <c r="L3694" s="9">
        <v>1</v>
      </c>
      <c r="M3694" t="s">
        <v>2937</v>
      </c>
      <c r="N3694" t="s">
        <v>85</v>
      </c>
      <c r="O3694" s="27" t="str">
        <f>HYPERLINK("https://www.ncbi.nlm.nih.gov/nuccore/NZ_LIQX01000097.1?report=graph&amp;from=10416&amp;to=10420", "TTA_codon")</f>
        <v>TTA_codon</v>
      </c>
    </row>
    <row r="3695" spans="1:15" x14ac:dyDescent="0.15">
      <c r="A3695" t="s">
        <v>21</v>
      </c>
      <c r="B3695">
        <v>1000547</v>
      </c>
      <c r="C3695">
        <v>361944</v>
      </c>
      <c r="F3695" s="7">
        <v>1</v>
      </c>
      <c r="G3695" s="7">
        <v>541</v>
      </c>
      <c r="H3695" s="8">
        <v>256</v>
      </c>
      <c r="J3695" t="s">
        <v>23</v>
      </c>
      <c r="K3695" s="7">
        <v>2184</v>
      </c>
      <c r="L3695" s="9">
        <v>1</v>
      </c>
      <c r="M3695" t="s">
        <v>2318</v>
      </c>
      <c r="N3695" t="s">
        <v>187</v>
      </c>
      <c r="O3695" s="27" t="str">
        <f>HYPERLINK("https://www.ncbi.nlm.nih.gov/nuccore/NZ_MAXF01000100.1?report=graph&amp;from=34928&amp;to=34932", "TTA_codon")</f>
        <v>TTA_codon</v>
      </c>
    </row>
    <row r="3696" spans="1:15" x14ac:dyDescent="0.15">
      <c r="A3696" t="s">
        <v>21</v>
      </c>
      <c r="B3696">
        <v>1000547</v>
      </c>
      <c r="C3696">
        <v>363102</v>
      </c>
      <c r="F3696" s="7">
        <v>1</v>
      </c>
      <c r="G3696" s="7">
        <v>649</v>
      </c>
      <c r="H3696" s="8">
        <v>475</v>
      </c>
      <c r="J3696" t="s">
        <v>23</v>
      </c>
      <c r="K3696" s="7">
        <v>2178</v>
      </c>
      <c r="L3696" s="9">
        <v>1</v>
      </c>
      <c r="M3696" t="s">
        <v>1025</v>
      </c>
      <c r="N3696" t="s">
        <v>401</v>
      </c>
      <c r="O3696" s="27" t="str">
        <f>HYPERLINK("https://www.ncbi.nlm.nih.gov/nuccore/NZ_LFBV01000009.1?report=graph&amp;from=121918&amp;to=121922", "TTA_codon")</f>
        <v>TTA_codon</v>
      </c>
    </row>
    <row r="3697" spans="1:15" x14ac:dyDescent="0.15">
      <c r="A3697" t="s">
        <v>21</v>
      </c>
      <c r="B3697">
        <v>1000547</v>
      </c>
      <c r="C3697">
        <v>363624</v>
      </c>
      <c r="F3697" s="7">
        <v>1</v>
      </c>
      <c r="G3697" s="7">
        <v>541</v>
      </c>
      <c r="H3697" s="8">
        <v>256</v>
      </c>
      <c r="J3697" t="s">
        <v>23</v>
      </c>
      <c r="K3697" s="7">
        <v>2097</v>
      </c>
      <c r="L3697" s="9">
        <v>1</v>
      </c>
      <c r="M3697" t="s">
        <v>101</v>
      </c>
      <c r="N3697" t="s">
        <v>102</v>
      </c>
      <c r="O3697" s="27" t="str">
        <f>HYPERLINK("https://www.ncbi.nlm.nih.gov/nuccore/NZ_CP019458.1?report=graph&amp;from=7535501&amp;to=7535505", "TTA_codon")</f>
        <v>TTA_codon</v>
      </c>
    </row>
    <row r="3698" spans="1:15" x14ac:dyDescent="0.15">
      <c r="A3698" t="s">
        <v>21</v>
      </c>
      <c r="B3698">
        <v>1000547</v>
      </c>
      <c r="C3698">
        <v>365596</v>
      </c>
      <c r="F3698" s="7">
        <v>1</v>
      </c>
      <c r="G3698" s="7">
        <v>541</v>
      </c>
      <c r="H3698" s="8">
        <v>256</v>
      </c>
      <c r="J3698" t="s">
        <v>23</v>
      </c>
      <c r="K3698" s="7">
        <v>2094</v>
      </c>
      <c r="L3698" s="9">
        <v>1</v>
      </c>
      <c r="M3698" t="s">
        <v>213</v>
      </c>
      <c r="N3698" t="s">
        <v>214</v>
      </c>
      <c r="O3698" s="27" t="str">
        <f>HYPERLINK("https://www.ncbi.nlm.nih.gov/nuccore/NZ_FNST01000002.1?report=graph&amp;from=4986839&amp;to=4986843", "TTA_codon")</f>
        <v>TTA_codon</v>
      </c>
    </row>
    <row r="3699" spans="1:15" x14ac:dyDescent="0.15">
      <c r="A3699" t="s">
        <v>21</v>
      </c>
      <c r="B3699" t="s">
        <v>2938</v>
      </c>
    </row>
    <row r="3700" spans="1:15" x14ac:dyDescent="0.15">
      <c r="A3700" t="s">
        <v>21</v>
      </c>
      <c r="B3700">
        <v>1000729</v>
      </c>
      <c r="C3700">
        <v>351197</v>
      </c>
      <c r="F3700" s="7">
        <v>1</v>
      </c>
      <c r="G3700" s="7">
        <v>1426</v>
      </c>
      <c r="H3700" s="8">
        <v>1414</v>
      </c>
      <c r="J3700" t="s">
        <v>23</v>
      </c>
      <c r="K3700" s="7">
        <v>1575</v>
      </c>
      <c r="L3700" s="9">
        <v>-1</v>
      </c>
      <c r="M3700" t="s">
        <v>65</v>
      </c>
      <c r="N3700" t="s">
        <v>66</v>
      </c>
      <c r="O3700" s="27" t="str">
        <f>HYPERLINK("https://www.ncbi.nlm.nih.gov/nuccore/NC_020504.1?report=graph&amp;from=1140987&amp;to=1140991", "TTA_codon")</f>
        <v>TTA_codon</v>
      </c>
    </row>
    <row r="3701" spans="1:15" x14ac:dyDescent="0.15">
      <c r="A3701" t="s">
        <v>21</v>
      </c>
      <c r="B3701">
        <v>1000729</v>
      </c>
      <c r="C3701">
        <v>359814</v>
      </c>
      <c r="F3701" s="7">
        <v>1</v>
      </c>
      <c r="G3701" s="7">
        <v>1426</v>
      </c>
      <c r="H3701" s="8">
        <v>1414</v>
      </c>
      <c r="J3701" t="s">
        <v>23</v>
      </c>
      <c r="K3701" s="7">
        <v>1602</v>
      </c>
      <c r="L3701" s="9">
        <v>-1</v>
      </c>
      <c r="M3701" t="s">
        <v>675</v>
      </c>
      <c r="N3701" t="s">
        <v>91</v>
      </c>
      <c r="O3701" s="27" t="str">
        <f>HYPERLINK("https://www.ncbi.nlm.nih.gov/nuccore/NZ_KQ948306.1?report=graph&amp;from=591525&amp;to=591529", "TTA_codon")</f>
        <v>TTA_codon</v>
      </c>
    </row>
    <row r="3702" spans="1:15" x14ac:dyDescent="0.15">
      <c r="A3702" t="s">
        <v>21</v>
      </c>
      <c r="B3702" t="s">
        <v>2939</v>
      </c>
    </row>
    <row r="3703" spans="1:15" x14ac:dyDescent="0.15">
      <c r="A3703" t="s">
        <v>21</v>
      </c>
      <c r="B3703">
        <v>1000477</v>
      </c>
      <c r="C3703">
        <v>349093</v>
      </c>
      <c r="F3703" s="7">
        <v>2</v>
      </c>
      <c r="G3703" s="7" t="s">
        <v>2940</v>
      </c>
      <c r="H3703" s="8" t="s">
        <v>2940</v>
      </c>
      <c r="J3703" t="s">
        <v>23</v>
      </c>
      <c r="K3703" s="7">
        <v>795</v>
      </c>
      <c r="L3703" s="9">
        <v>-1</v>
      </c>
      <c r="M3703" t="s">
        <v>211</v>
      </c>
      <c r="N3703" t="s">
        <v>212</v>
      </c>
      <c r="O3703" s="27" t="str">
        <f>HYPERLINK("https://www.ncbi.nlm.nih.gov/nuccore/NZ_GG657754.1?report=graph&amp;from=10576109&amp;to=10576458", "TTA_codon")</f>
        <v>TTA_codon</v>
      </c>
    </row>
    <row r="3704" spans="1:15" x14ac:dyDescent="0.15">
      <c r="A3704" t="s">
        <v>21</v>
      </c>
      <c r="B3704">
        <v>1000477</v>
      </c>
      <c r="C3704">
        <v>363870</v>
      </c>
      <c r="F3704" s="7">
        <v>2</v>
      </c>
      <c r="G3704" s="7" t="s">
        <v>2941</v>
      </c>
      <c r="H3704" s="8" t="s">
        <v>2941</v>
      </c>
      <c r="J3704" t="s">
        <v>23</v>
      </c>
      <c r="K3704" s="7">
        <v>798</v>
      </c>
      <c r="L3704" s="9">
        <v>-1</v>
      </c>
      <c r="M3704" t="s">
        <v>101</v>
      </c>
      <c r="N3704" t="s">
        <v>102</v>
      </c>
      <c r="O3704" s="27" t="str">
        <f>HYPERLINK("https://www.ncbi.nlm.nih.gov/nuccore/NZ_CP019458.1?report=graph&amp;from=9992319&amp;to=9992509", "TTA_codon")</f>
        <v>TTA_codon</v>
      </c>
    </row>
    <row r="3705" spans="1:15" x14ac:dyDescent="0.15">
      <c r="A3705" t="s">
        <v>195</v>
      </c>
      <c r="B3705" t="s">
        <v>2942</v>
      </c>
    </row>
    <row r="3706" spans="1:15" x14ac:dyDescent="0.15">
      <c r="A3706" t="s">
        <v>195</v>
      </c>
      <c r="B3706">
        <v>1000097</v>
      </c>
      <c r="C3706">
        <v>346635</v>
      </c>
      <c r="F3706" s="7">
        <v>1</v>
      </c>
      <c r="G3706" s="7">
        <v>373</v>
      </c>
      <c r="H3706" s="8">
        <v>286</v>
      </c>
      <c r="J3706" t="s">
        <v>23</v>
      </c>
      <c r="K3706" s="7">
        <v>1221</v>
      </c>
      <c r="L3706" s="9">
        <v>1</v>
      </c>
      <c r="M3706" t="s">
        <v>261</v>
      </c>
      <c r="N3706" t="s">
        <v>262</v>
      </c>
      <c r="O3706" s="27" t="str">
        <f>HYPERLINK("https://www.ncbi.nlm.nih.gov/nuccore/NZ_CP011340.1?report=graph&amp;from=6730726&amp;to=6730730", "TTA_codon")</f>
        <v>TTA_codon</v>
      </c>
    </row>
    <row r="3707" spans="1:15" x14ac:dyDescent="0.15">
      <c r="A3707" t="s">
        <v>21</v>
      </c>
      <c r="B3707">
        <v>1000097</v>
      </c>
      <c r="C3707">
        <v>349964</v>
      </c>
      <c r="F3707" s="7">
        <v>1</v>
      </c>
      <c r="G3707" s="7">
        <v>400</v>
      </c>
      <c r="H3707" s="8">
        <v>373</v>
      </c>
      <c r="J3707" t="s">
        <v>23</v>
      </c>
      <c r="K3707" s="7">
        <v>1521</v>
      </c>
      <c r="L3707" s="9">
        <v>1</v>
      </c>
      <c r="M3707" t="s">
        <v>623</v>
      </c>
      <c r="N3707" t="s">
        <v>249</v>
      </c>
      <c r="O3707" s="27" t="str">
        <f>HYPERLINK("https://www.ncbi.nlm.nih.gov/nuccore/NZ_AHBF01000084.1?report=graph&amp;from=64162&amp;to=64166", "TTA_codon")</f>
        <v>TTA_codon</v>
      </c>
    </row>
    <row r="3708" spans="1:15" x14ac:dyDescent="0.15">
      <c r="A3708" t="s">
        <v>21</v>
      </c>
      <c r="B3708">
        <v>1000097</v>
      </c>
      <c r="C3708">
        <v>358365</v>
      </c>
      <c r="F3708" s="7">
        <v>1</v>
      </c>
      <c r="G3708" s="7">
        <v>373</v>
      </c>
      <c r="H3708" s="8">
        <v>373</v>
      </c>
      <c r="J3708" t="s">
        <v>23</v>
      </c>
      <c r="K3708" s="7">
        <v>1218</v>
      </c>
      <c r="L3708" s="9">
        <v>1</v>
      </c>
      <c r="M3708" t="s">
        <v>2943</v>
      </c>
      <c r="N3708" t="s">
        <v>85</v>
      </c>
      <c r="O3708" s="27" t="str">
        <f>HYPERLINK("https://www.ncbi.nlm.nih.gov/nuccore/NZ_LIQX01000367.1?report=graph&amp;from=800&amp;to=804", "TTA_codon")</f>
        <v>TTA_codon</v>
      </c>
    </row>
    <row r="3709" spans="1:15" x14ac:dyDescent="0.15">
      <c r="A3709" t="s">
        <v>21</v>
      </c>
      <c r="B3709" t="s">
        <v>2944</v>
      </c>
    </row>
    <row r="3710" spans="1:15" x14ac:dyDescent="0.15">
      <c r="A3710" t="s">
        <v>21</v>
      </c>
      <c r="B3710">
        <v>1001121</v>
      </c>
      <c r="C3710">
        <v>352764</v>
      </c>
      <c r="F3710" s="7">
        <v>1</v>
      </c>
      <c r="G3710" s="7">
        <v>58</v>
      </c>
      <c r="H3710" s="8">
        <v>58</v>
      </c>
      <c r="J3710" t="s">
        <v>23</v>
      </c>
      <c r="K3710" s="7">
        <v>1365</v>
      </c>
      <c r="L3710" s="9">
        <v>-1</v>
      </c>
      <c r="M3710" t="s">
        <v>472</v>
      </c>
      <c r="N3710" t="s">
        <v>473</v>
      </c>
      <c r="O3710" s="27" t="str">
        <f>HYPERLINK("https://www.ncbi.nlm.nih.gov/nuccore/NZ_ASHX02000001.1?report=graph&amp;from=426575&amp;to=426579", "TTA_codon")</f>
        <v>TTA_codon</v>
      </c>
    </row>
    <row r="3711" spans="1:15" x14ac:dyDescent="0.15">
      <c r="A3711" t="s">
        <v>21</v>
      </c>
      <c r="B3711">
        <v>1001121</v>
      </c>
      <c r="C3711">
        <v>355801</v>
      </c>
      <c r="F3711" s="7">
        <v>1</v>
      </c>
      <c r="G3711" s="7">
        <v>91</v>
      </c>
      <c r="H3711" s="8">
        <v>91</v>
      </c>
      <c r="J3711" t="s">
        <v>23</v>
      </c>
      <c r="K3711" s="7">
        <v>1293</v>
      </c>
      <c r="L3711" s="9">
        <v>-1</v>
      </c>
      <c r="M3711" t="s">
        <v>2174</v>
      </c>
      <c r="N3711" t="s">
        <v>75</v>
      </c>
      <c r="O3711" s="27" t="str">
        <f>HYPERLINK("https://www.ncbi.nlm.nih.gov/nuccore/NZ_JOII01000002.1?report=graph&amp;from=158739&amp;to=158743", "TTA_codon")</f>
        <v>TTA_codon</v>
      </c>
    </row>
    <row r="3712" spans="1:15" x14ac:dyDescent="0.15">
      <c r="A3712" t="s">
        <v>21</v>
      </c>
      <c r="B3712" t="s">
        <v>2945</v>
      </c>
    </row>
    <row r="3713" spans="1:15" x14ac:dyDescent="0.15">
      <c r="A3713" t="s">
        <v>21</v>
      </c>
      <c r="B3713">
        <v>1000707</v>
      </c>
      <c r="C3713">
        <v>351050</v>
      </c>
      <c r="F3713" s="7">
        <v>1</v>
      </c>
      <c r="G3713" s="7">
        <v>436</v>
      </c>
      <c r="H3713" s="8">
        <v>436</v>
      </c>
      <c r="J3713" t="s">
        <v>23</v>
      </c>
      <c r="K3713" s="7">
        <v>1155</v>
      </c>
      <c r="L3713" s="9">
        <v>-1</v>
      </c>
      <c r="M3713" t="s">
        <v>1202</v>
      </c>
      <c r="N3713" t="s">
        <v>136</v>
      </c>
      <c r="O3713" s="27" t="str">
        <f>HYPERLINK("https://www.ncbi.nlm.nih.gov/nuccore/NZ_AORZ01000007.1?report=graph&amp;from=20219&amp;to=20223", "TTA_codon")</f>
        <v>TTA_codon</v>
      </c>
    </row>
    <row r="3714" spans="1:15" x14ac:dyDescent="0.15">
      <c r="A3714" t="s">
        <v>21</v>
      </c>
      <c r="B3714">
        <v>1000707</v>
      </c>
      <c r="C3714">
        <v>355425</v>
      </c>
      <c r="F3714" s="7">
        <v>1</v>
      </c>
      <c r="G3714" s="7">
        <v>172</v>
      </c>
      <c r="H3714" s="8">
        <v>169</v>
      </c>
      <c r="J3714" t="s">
        <v>23</v>
      </c>
      <c r="K3714" s="7">
        <v>1122</v>
      </c>
      <c r="L3714" s="9">
        <v>-1</v>
      </c>
      <c r="M3714" t="s">
        <v>2946</v>
      </c>
      <c r="N3714" t="s">
        <v>198</v>
      </c>
      <c r="O3714" s="27" t="str">
        <f>HYPERLINK("https://www.ncbi.nlm.nih.gov/nuccore/NZ_JOFL01000011.1?report=graph&amp;from=156497&amp;to=156501", "TTA_codon")</f>
        <v>TTA_codon</v>
      </c>
    </row>
    <row r="3715" spans="1:15" x14ac:dyDescent="0.15">
      <c r="A3715" t="s">
        <v>21</v>
      </c>
      <c r="B3715">
        <v>1000707</v>
      </c>
      <c r="C3715">
        <v>365024</v>
      </c>
      <c r="F3715" s="7">
        <v>1</v>
      </c>
      <c r="G3715" s="7">
        <v>298</v>
      </c>
      <c r="H3715" s="8">
        <v>295</v>
      </c>
      <c r="J3715" t="s">
        <v>23</v>
      </c>
      <c r="K3715" s="7">
        <v>1167</v>
      </c>
      <c r="L3715" s="9">
        <v>-1</v>
      </c>
      <c r="M3715" t="s">
        <v>111</v>
      </c>
      <c r="N3715" t="s">
        <v>112</v>
      </c>
      <c r="O3715" s="27" t="str">
        <f>HYPERLINK("https://www.ncbi.nlm.nih.gov/nuccore/NZ_CP021744.1?report=graph&amp;from=3952392&amp;to=3952396", "TTA_codon")</f>
        <v>TTA_codon</v>
      </c>
    </row>
    <row r="3716" spans="1:15" x14ac:dyDescent="0.15">
      <c r="A3716" t="s">
        <v>21</v>
      </c>
      <c r="B3716" t="s">
        <v>2947</v>
      </c>
    </row>
    <row r="3717" spans="1:15" x14ac:dyDescent="0.15">
      <c r="A3717" t="s">
        <v>21</v>
      </c>
      <c r="B3717">
        <v>1001436</v>
      </c>
      <c r="C3717">
        <v>350939</v>
      </c>
      <c r="F3717" s="7">
        <v>1</v>
      </c>
      <c r="G3717" s="7">
        <v>211</v>
      </c>
      <c r="H3717" s="8">
        <v>211</v>
      </c>
      <c r="J3717" t="s">
        <v>23</v>
      </c>
      <c r="K3717" s="7">
        <v>300</v>
      </c>
      <c r="L3717" s="9">
        <v>1</v>
      </c>
      <c r="M3717" t="s">
        <v>1499</v>
      </c>
      <c r="N3717" t="s">
        <v>51</v>
      </c>
      <c r="O3717" s="27" t="str">
        <f>HYPERLINK("https://www.ncbi.nlm.nih.gov/nuccore/NZ_AEJB01000020.1?report=graph&amp;from=20786&amp;to=20790", "TTA_codon")</f>
        <v>TTA_codon</v>
      </c>
    </row>
    <row r="3718" spans="1:15" x14ac:dyDescent="0.15">
      <c r="A3718" t="s">
        <v>21</v>
      </c>
      <c r="B3718">
        <v>1001436</v>
      </c>
      <c r="C3718">
        <v>356582</v>
      </c>
      <c r="F3718" s="7">
        <v>1</v>
      </c>
      <c r="G3718" s="7">
        <v>85</v>
      </c>
      <c r="H3718" s="8">
        <v>85</v>
      </c>
      <c r="J3718" t="s">
        <v>23</v>
      </c>
      <c r="K3718" s="7">
        <v>303</v>
      </c>
      <c r="L3718" s="9">
        <v>1</v>
      </c>
      <c r="M3718" t="s">
        <v>508</v>
      </c>
      <c r="N3718" t="s">
        <v>509</v>
      </c>
      <c r="O3718" s="27" t="str">
        <f>HYPERLINK("https://www.ncbi.nlm.nih.gov/nuccore/NZ_CP009438.1?report=graph&amp;from=6118368&amp;to=6118372", "TTA_codon")</f>
        <v>TTA_codon</v>
      </c>
    </row>
    <row r="3719" spans="1:15" x14ac:dyDescent="0.15">
      <c r="A3719" t="s">
        <v>21</v>
      </c>
      <c r="B3719">
        <v>1001436</v>
      </c>
      <c r="C3719">
        <v>360471</v>
      </c>
      <c r="F3719" s="7">
        <v>1</v>
      </c>
      <c r="G3719" s="7">
        <v>106</v>
      </c>
      <c r="H3719" s="8">
        <v>106</v>
      </c>
      <c r="J3719" t="s">
        <v>23</v>
      </c>
      <c r="K3719" s="7">
        <v>300</v>
      </c>
      <c r="L3719" s="9">
        <v>1</v>
      </c>
      <c r="M3719" t="s">
        <v>121</v>
      </c>
      <c r="N3719" t="s">
        <v>122</v>
      </c>
      <c r="O3719" s="27" t="str">
        <f>HYPERLINK("https://www.ncbi.nlm.nih.gov/nuccore/NZ_CP016279.1?report=graph&amp;from=3088505&amp;to=3088509", "TTA_codon")</f>
        <v>TTA_codon</v>
      </c>
    </row>
    <row r="3720" spans="1:15" x14ac:dyDescent="0.15">
      <c r="A3720" t="s">
        <v>21</v>
      </c>
      <c r="B3720">
        <v>1001436</v>
      </c>
      <c r="C3720">
        <v>363391</v>
      </c>
      <c r="F3720" s="7">
        <v>1</v>
      </c>
      <c r="G3720" s="7">
        <v>103</v>
      </c>
      <c r="H3720" s="8">
        <v>103</v>
      </c>
      <c r="J3720" t="s">
        <v>23</v>
      </c>
      <c r="K3720" s="7">
        <v>300</v>
      </c>
      <c r="L3720" s="9">
        <v>1</v>
      </c>
      <c r="M3720" t="s">
        <v>1120</v>
      </c>
      <c r="N3720" t="s">
        <v>28</v>
      </c>
      <c r="O3720" s="27" t="str">
        <f>HYPERLINK("https://www.ncbi.nlm.nih.gov/nuccore/NZ_JUJA01000113.1?report=graph&amp;from=5074&amp;to=5078", "TTA_codon")</f>
        <v>TTA_codon</v>
      </c>
    </row>
    <row r="3721" spans="1:15" x14ac:dyDescent="0.15">
      <c r="A3721" t="s">
        <v>195</v>
      </c>
      <c r="B3721" t="s">
        <v>2948</v>
      </c>
    </row>
    <row r="3722" spans="1:15" x14ac:dyDescent="0.15">
      <c r="A3722" t="s">
        <v>195</v>
      </c>
      <c r="B3722">
        <v>1000012</v>
      </c>
      <c r="C3722">
        <v>346026</v>
      </c>
      <c r="F3722" s="7">
        <v>1</v>
      </c>
      <c r="G3722" s="7">
        <v>400</v>
      </c>
      <c r="H3722" s="8">
        <v>373</v>
      </c>
      <c r="J3722" t="s">
        <v>23</v>
      </c>
      <c r="K3722" s="7">
        <v>702</v>
      </c>
      <c r="L3722" s="9">
        <v>1</v>
      </c>
      <c r="M3722" t="s">
        <v>55</v>
      </c>
      <c r="N3722" t="s">
        <v>56</v>
      </c>
      <c r="O3722" s="27" t="str">
        <f>HYPERLINK("https://www.ncbi.nlm.nih.gov/nuccore/NC_010572.1?report=graph&amp;from=4993535&amp;to=4993539", "TTA_codon")</f>
        <v>TTA_codon</v>
      </c>
    </row>
    <row r="3723" spans="1:15" x14ac:dyDescent="0.15">
      <c r="A3723" t="s">
        <v>21</v>
      </c>
      <c r="B3723">
        <v>1000012</v>
      </c>
      <c r="C3723">
        <v>347658</v>
      </c>
      <c r="F3723" s="7">
        <v>2</v>
      </c>
      <c r="G3723" s="7" t="s">
        <v>2949</v>
      </c>
      <c r="H3723" s="8" t="s">
        <v>2950</v>
      </c>
      <c r="J3723" t="s">
        <v>23</v>
      </c>
      <c r="K3723" s="7">
        <v>633</v>
      </c>
      <c r="L3723" s="9">
        <v>1</v>
      </c>
      <c r="M3723" t="s">
        <v>55</v>
      </c>
      <c r="N3723" t="s">
        <v>56</v>
      </c>
      <c r="O3723" s="27" t="str">
        <f>HYPERLINK("https://www.ncbi.nlm.nih.gov/nuccore/NC_010572.1?report=graph&amp;from=1928096&amp;to=1928427", "TTA_codon")</f>
        <v>TTA_codon</v>
      </c>
    </row>
    <row r="3724" spans="1:15" x14ac:dyDescent="0.15">
      <c r="A3724" t="s">
        <v>21</v>
      </c>
      <c r="B3724">
        <v>1000012</v>
      </c>
      <c r="C3724">
        <v>350011</v>
      </c>
      <c r="F3724" s="7">
        <v>1</v>
      </c>
      <c r="G3724" s="7">
        <v>391</v>
      </c>
      <c r="H3724" s="8">
        <v>376</v>
      </c>
      <c r="J3724" t="s">
        <v>23</v>
      </c>
      <c r="K3724" s="7">
        <v>591</v>
      </c>
      <c r="L3724" s="9">
        <v>1</v>
      </c>
      <c r="M3724" t="s">
        <v>2951</v>
      </c>
      <c r="N3724" t="s">
        <v>249</v>
      </c>
      <c r="O3724" s="27" t="str">
        <f>HYPERLINK("https://www.ncbi.nlm.nih.gov/nuccore/NZ_AHBF01000041.1?report=graph&amp;from=23523&amp;to=23527", "TTA_codon")</f>
        <v>TTA_codon</v>
      </c>
    </row>
    <row r="3725" spans="1:15" x14ac:dyDescent="0.15">
      <c r="A3725" t="s">
        <v>21</v>
      </c>
      <c r="B3725">
        <v>1000012</v>
      </c>
      <c r="C3725">
        <v>352123</v>
      </c>
      <c r="F3725" s="7">
        <v>1</v>
      </c>
      <c r="G3725" s="7">
        <v>172</v>
      </c>
      <c r="H3725" s="8">
        <v>154</v>
      </c>
      <c r="J3725" t="s">
        <v>23</v>
      </c>
      <c r="K3725" s="7">
        <v>588</v>
      </c>
      <c r="L3725" s="9">
        <v>1</v>
      </c>
      <c r="M3725" t="s">
        <v>821</v>
      </c>
      <c r="N3725" t="s">
        <v>70</v>
      </c>
      <c r="O3725" s="27" t="str">
        <f>HYPERLINK("https://www.ncbi.nlm.nih.gov/nuccore/NZ_KB904669.1?report=graph&amp;from=226977&amp;to=226981", "TTA_codon")</f>
        <v>TTA_codon</v>
      </c>
    </row>
    <row r="3726" spans="1:15" x14ac:dyDescent="0.15">
      <c r="A3726" t="s">
        <v>21</v>
      </c>
      <c r="B3726">
        <v>1000012</v>
      </c>
      <c r="C3726">
        <v>353597</v>
      </c>
      <c r="F3726" s="7">
        <v>1</v>
      </c>
      <c r="G3726" s="7">
        <v>217</v>
      </c>
      <c r="H3726" s="8">
        <v>211</v>
      </c>
      <c r="J3726" t="s">
        <v>23</v>
      </c>
      <c r="K3726" s="7">
        <v>609</v>
      </c>
      <c r="L3726" s="9">
        <v>1</v>
      </c>
      <c r="M3726" t="s">
        <v>546</v>
      </c>
      <c r="N3726" t="s">
        <v>140</v>
      </c>
      <c r="O3726" s="27" t="str">
        <f>HYPERLINK("https://www.ncbi.nlm.nih.gov/nuccore/NZ_JNXG01000003.1?report=graph&amp;from=376727&amp;to=376731", "TTA_codon")</f>
        <v>TTA_codon</v>
      </c>
    </row>
    <row r="3727" spans="1:15" x14ac:dyDescent="0.15">
      <c r="A3727" t="s">
        <v>21</v>
      </c>
      <c r="B3727">
        <v>1000012</v>
      </c>
      <c r="C3727">
        <v>355656</v>
      </c>
      <c r="F3727" s="7">
        <v>1</v>
      </c>
      <c r="G3727" s="7">
        <v>319</v>
      </c>
      <c r="H3727" s="8">
        <v>310</v>
      </c>
      <c r="J3727" t="s">
        <v>23</v>
      </c>
      <c r="K3727" s="7">
        <v>618</v>
      </c>
      <c r="L3727" s="9">
        <v>1</v>
      </c>
      <c r="M3727" t="s">
        <v>1383</v>
      </c>
      <c r="N3727" t="s">
        <v>278</v>
      </c>
      <c r="O3727" s="27" t="str">
        <f>HYPERLINK("https://www.ncbi.nlm.nih.gov/nuccore/NZ_JOID01000001.1?report=graph&amp;from=386987&amp;to=386991", "TTA_codon")</f>
        <v>TTA_codon</v>
      </c>
    </row>
    <row r="3728" spans="1:15" x14ac:dyDescent="0.15">
      <c r="A3728" t="s">
        <v>195</v>
      </c>
      <c r="B3728" t="s">
        <v>2952</v>
      </c>
    </row>
    <row r="3729" spans="1:15" x14ac:dyDescent="0.15">
      <c r="A3729" t="s">
        <v>195</v>
      </c>
      <c r="B3729">
        <v>1000040</v>
      </c>
      <c r="C3729">
        <v>346197</v>
      </c>
      <c r="F3729" s="7">
        <v>1</v>
      </c>
      <c r="G3729" s="7">
        <v>49</v>
      </c>
      <c r="H3729" s="8">
        <v>40</v>
      </c>
      <c r="J3729" t="s">
        <v>23</v>
      </c>
      <c r="K3729" s="7">
        <v>690</v>
      </c>
      <c r="L3729" s="9">
        <v>-1</v>
      </c>
      <c r="M3729" t="s">
        <v>2953</v>
      </c>
      <c r="N3729" t="s">
        <v>51</v>
      </c>
      <c r="O3729" s="27" t="str">
        <f>HYPERLINK("https://www.ncbi.nlm.nih.gov/nuccore/NZ_AEJB01000415.1?report=graph&amp;from=4188&amp;to=4192", "TTA_codon")</f>
        <v>TTA_codon</v>
      </c>
    </row>
    <row r="3730" spans="1:15" x14ac:dyDescent="0.15">
      <c r="A3730" t="s">
        <v>21</v>
      </c>
      <c r="B3730">
        <v>1000040</v>
      </c>
      <c r="C3730">
        <v>353410</v>
      </c>
      <c r="F3730" s="7">
        <v>1</v>
      </c>
      <c r="G3730" s="7">
        <v>49</v>
      </c>
      <c r="H3730" s="8">
        <v>40</v>
      </c>
      <c r="J3730" t="s">
        <v>23</v>
      </c>
      <c r="K3730" s="7">
        <v>657</v>
      </c>
      <c r="L3730" s="9">
        <v>-1</v>
      </c>
      <c r="M3730" t="s">
        <v>2954</v>
      </c>
      <c r="N3730" t="s">
        <v>169</v>
      </c>
      <c r="O3730" s="27" t="str">
        <f>HYPERLINK("https://www.ncbi.nlm.nih.gov/nuccore/NZ_JNWJ01000074.1?report=graph&amp;from=22818&amp;to=22822", "TTA_codon")</f>
        <v>TTA_codon</v>
      </c>
    </row>
    <row r="3731" spans="1:15" x14ac:dyDescent="0.15">
      <c r="A3731" t="s">
        <v>21</v>
      </c>
      <c r="B3731">
        <v>1000040</v>
      </c>
      <c r="C3731">
        <v>359248</v>
      </c>
      <c r="F3731" s="7">
        <v>1</v>
      </c>
      <c r="G3731" s="7">
        <v>49</v>
      </c>
      <c r="H3731" s="8">
        <v>49</v>
      </c>
      <c r="J3731" t="s">
        <v>23</v>
      </c>
      <c r="K3731" s="7">
        <v>675</v>
      </c>
      <c r="L3731" s="9">
        <v>-1</v>
      </c>
      <c r="M3731" t="s">
        <v>1775</v>
      </c>
      <c r="N3731" t="s">
        <v>451</v>
      </c>
      <c r="O3731" s="27" t="str">
        <f>HYPERLINK("https://www.ncbi.nlm.nih.gov/nuccore/NZ_LIQZ01000016.1?report=graph&amp;from=36655&amp;to=36659", "TTA_codon")</f>
        <v>TTA_codon</v>
      </c>
    </row>
    <row r="3732" spans="1:15" x14ac:dyDescent="0.15">
      <c r="A3732" t="s">
        <v>21</v>
      </c>
      <c r="B3732" t="s">
        <v>2955</v>
      </c>
    </row>
    <row r="3733" spans="1:15" x14ac:dyDescent="0.15">
      <c r="A3733" t="s">
        <v>21</v>
      </c>
      <c r="B3733">
        <v>1001045</v>
      </c>
      <c r="C3733">
        <v>354772</v>
      </c>
      <c r="F3733" s="7">
        <v>1</v>
      </c>
      <c r="G3733" s="7">
        <v>124</v>
      </c>
      <c r="H3733" s="8">
        <v>94</v>
      </c>
      <c r="J3733" t="s">
        <v>23</v>
      </c>
      <c r="K3733" s="7">
        <v>957</v>
      </c>
      <c r="L3733" s="9">
        <v>1</v>
      </c>
      <c r="M3733" t="s">
        <v>2956</v>
      </c>
      <c r="N3733" t="s">
        <v>272</v>
      </c>
      <c r="O3733" s="27" t="str">
        <f>HYPERLINK("https://www.ncbi.nlm.nih.gov/nuccore/NZ_JOEY01000011.1?report=graph&amp;from=9587&amp;to=9591", "TTA_codon")</f>
        <v>TTA_codon</v>
      </c>
    </row>
    <row r="3734" spans="1:15" x14ac:dyDescent="0.15">
      <c r="A3734" t="s">
        <v>21</v>
      </c>
      <c r="B3734">
        <v>1001045</v>
      </c>
      <c r="C3734">
        <v>355700</v>
      </c>
      <c r="F3734" s="7">
        <v>1</v>
      </c>
      <c r="G3734" s="7">
        <v>136</v>
      </c>
      <c r="H3734" s="8">
        <v>136</v>
      </c>
      <c r="J3734" t="s">
        <v>23</v>
      </c>
      <c r="K3734" s="7">
        <v>1008</v>
      </c>
      <c r="L3734" s="9">
        <v>1</v>
      </c>
      <c r="M3734" t="s">
        <v>1900</v>
      </c>
      <c r="N3734" t="s">
        <v>278</v>
      </c>
      <c r="O3734" s="27" t="str">
        <f>HYPERLINK("https://www.ncbi.nlm.nih.gov/nuccore/NZ_JOID01000033.1?report=graph&amp;from=46888&amp;to=46892", "TTA_codon")</f>
        <v>TTA_codon</v>
      </c>
    </row>
    <row r="3735" spans="1:15" x14ac:dyDescent="0.15">
      <c r="A3735" t="s">
        <v>21</v>
      </c>
      <c r="B3735" t="s">
        <v>2957</v>
      </c>
    </row>
    <row r="3736" spans="1:15" x14ac:dyDescent="0.15">
      <c r="A3736" t="s">
        <v>21</v>
      </c>
      <c r="B3736">
        <v>1001510</v>
      </c>
      <c r="C3736">
        <v>365948</v>
      </c>
      <c r="F3736" s="7">
        <v>1</v>
      </c>
      <c r="G3736" s="7">
        <v>220</v>
      </c>
      <c r="H3736" s="8">
        <v>52</v>
      </c>
      <c r="J3736" t="s">
        <v>23</v>
      </c>
      <c r="K3736" s="7">
        <v>3123</v>
      </c>
      <c r="L3736" s="9">
        <v>-1</v>
      </c>
      <c r="M3736" t="s">
        <v>2958</v>
      </c>
      <c r="N3736" t="s">
        <v>115</v>
      </c>
      <c r="O3736" s="27" t="str">
        <f>HYPERLINK("https://www.ncbi.nlm.nih.gov/nuccore/NZ_FODD01000036.1?report=graph&amp;from=20854&amp;to=20858", "TTA_codon")</f>
        <v>TTA_codon</v>
      </c>
    </row>
    <row r="3737" spans="1:15" x14ac:dyDescent="0.15">
      <c r="A3737" t="s">
        <v>21</v>
      </c>
      <c r="B3737">
        <v>1001510</v>
      </c>
      <c r="C3737">
        <v>366580</v>
      </c>
      <c r="F3737" s="7">
        <v>1</v>
      </c>
      <c r="G3737" s="7">
        <v>220</v>
      </c>
      <c r="H3737" s="8">
        <v>220</v>
      </c>
      <c r="J3737" t="s">
        <v>23</v>
      </c>
      <c r="K3737" s="7">
        <v>3252</v>
      </c>
      <c r="L3737" s="9">
        <v>-1</v>
      </c>
      <c r="M3737" t="s">
        <v>179</v>
      </c>
      <c r="N3737" t="s">
        <v>180</v>
      </c>
      <c r="O3737" s="27" t="str">
        <f>HYPERLINK("https://www.ncbi.nlm.nih.gov/nuccore/NZ_FRBI01000004.1?report=graph&amp;from=123983&amp;to=123987", "TTA_codon")</f>
        <v>TTA_codon</v>
      </c>
    </row>
    <row r="3738" spans="1:15" x14ac:dyDescent="0.15">
      <c r="A3738" t="s">
        <v>21</v>
      </c>
      <c r="B3738" t="s">
        <v>2959</v>
      </c>
    </row>
    <row r="3739" spans="1:15" x14ac:dyDescent="0.15">
      <c r="A3739" t="s">
        <v>21</v>
      </c>
      <c r="B3739">
        <v>1000832</v>
      </c>
      <c r="C3739">
        <v>352397</v>
      </c>
      <c r="F3739" s="7">
        <v>1</v>
      </c>
      <c r="G3739" s="7">
        <v>397</v>
      </c>
      <c r="H3739" s="8">
        <v>382</v>
      </c>
      <c r="J3739" t="s">
        <v>23</v>
      </c>
      <c r="K3739" s="7">
        <v>1338</v>
      </c>
      <c r="L3739" s="9">
        <v>1</v>
      </c>
      <c r="M3739" t="s">
        <v>30</v>
      </c>
      <c r="N3739" t="s">
        <v>31</v>
      </c>
      <c r="O3739" s="27" t="str">
        <f>HYPERLINK("https://www.ncbi.nlm.nih.gov/nuccore/NZ_KB913030.1?report=graph&amp;from=3170910&amp;to=3170914", "TTA_codon")</f>
        <v>TTA_codon</v>
      </c>
    </row>
    <row r="3740" spans="1:15" x14ac:dyDescent="0.15">
      <c r="A3740" t="s">
        <v>21</v>
      </c>
      <c r="B3740">
        <v>1000832</v>
      </c>
      <c r="C3740">
        <v>364986</v>
      </c>
      <c r="F3740" s="7">
        <v>1</v>
      </c>
      <c r="G3740" s="7">
        <v>397</v>
      </c>
      <c r="H3740" s="8">
        <v>382</v>
      </c>
      <c r="J3740" t="s">
        <v>23</v>
      </c>
      <c r="K3740" s="7">
        <v>1341</v>
      </c>
      <c r="L3740" s="9">
        <v>1</v>
      </c>
      <c r="M3740" t="s">
        <v>111</v>
      </c>
      <c r="N3740" t="s">
        <v>112</v>
      </c>
      <c r="O3740" s="27" t="str">
        <f>HYPERLINK("https://www.ncbi.nlm.nih.gov/nuccore/NZ_CP021744.1?report=graph&amp;from=1329340&amp;to=1329344", "TTA_codon")</f>
        <v>TTA_codon</v>
      </c>
    </row>
    <row r="3741" spans="1:15" x14ac:dyDescent="0.15">
      <c r="A3741" t="s">
        <v>21</v>
      </c>
      <c r="B3741">
        <v>1000832</v>
      </c>
      <c r="C3741">
        <v>365419</v>
      </c>
      <c r="F3741" s="7">
        <v>1</v>
      </c>
      <c r="G3741" s="7">
        <v>397</v>
      </c>
      <c r="H3741" s="8">
        <v>388</v>
      </c>
      <c r="J3741" t="s">
        <v>23</v>
      </c>
      <c r="K3741" s="7">
        <v>1341</v>
      </c>
      <c r="L3741" s="9">
        <v>1</v>
      </c>
      <c r="M3741" t="s">
        <v>2960</v>
      </c>
      <c r="N3741" t="s">
        <v>45</v>
      </c>
      <c r="O3741" s="27" t="str">
        <f>HYPERLINK("https://www.ncbi.nlm.nih.gov/nuccore/NZ_FNIE01000009.1?report=graph&amp;from=31456&amp;to=31460", "TTA_codon")</f>
        <v>TTA_codon</v>
      </c>
    </row>
    <row r="3742" spans="1:15" x14ac:dyDescent="0.15">
      <c r="A3742" t="s">
        <v>21</v>
      </c>
      <c r="B3742" t="s">
        <v>2961</v>
      </c>
    </row>
    <row r="3743" spans="1:15" x14ac:dyDescent="0.15">
      <c r="A3743" t="s">
        <v>21</v>
      </c>
      <c r="B3743">
        <v>1000694</v>
      </c>
      <c r="C3743">
        <v>350986</v>
      </c>
      <c r="F3743" s="7">
        <v>1</v>
      </c>
      <c r="G3743" s="7">
        <v>43</v>
      </c>
      <c r="H3743" s="8">
        <v>43</v>
      </c>
      <c r="J3743" t="s">
        <v>23</v>
      </c>
      <c r="K3743" s="7">
        <v>2430</v>
      </c>
      <c r="L3743" s="9">
        <v>-1</v>
      </c>
      <c r="M3743" t="s">
        <v>2962</v>
      </c>
      <c r="N3743" t="s">
        <v>51</v>
      </c>
      <c r="O3743" s="27" t="str">
        <f>HYPERLINK("https://www.ncbi.nlm.nih.gov/nuccore/NZ_AEJB01000367.1?report=graph&amp;from=2412&amp;to=2416", "TTA_codon")</f>
        <v>TTA_codon</v>
      </c>
    </row>
    <row r="3744" spans="1:15" x14ac:dyDescent="0.15">
      <c r="A3744" t="s">
        <v>21</v>
      </c>
      <c r="B3744">
        <v>1000694</v>
      </c>
      <c r="C3744">
        <v>356331</v>
      </c>
      <c r="F3744" s="7">
        <v>1</v>
      </c>
      <c r="G3744" s="7">
        <v>64</v>
      </c>
      <c r="H3744" s="8">
        <v>64</v>
      </c>
      <c r="J3744" t="s">
        <v>23</v>
      </c>
      <c r="K3744" s="7">
        <v>2412</v>
      </c>
      <c r="L3744" s="9">
        <v>-1</v>
      </c>
      <c r="M3744" t="s">
        <v>170</v>
      </c>
      <c r="N3744" t="s">
        <v>77</v>
      </c>
      <c r="O3744" s="27" t="str">
        <f>HYPERLINK("https://www.ncbi.nlm.nih.gov/nuccore/NZ_JNXD01000021.1?report=graph&amp;from=17264&amp;to=17268", "TTA_codon")</f>
        <v>TTA_codon</v>
      </c>
    </row>
    <row r="3745" spans="1:15" x14ac:dyDescent="0.15">
      <c r="A3745" t="s">
        <v>21</v>
      </c>
      <c r="B3745">
        <v>1000694</v>
      </c>
      <c r="C3745">
        <v>357827</v>
      </c>
      <c r="F3745" s="7">
        <v>1</v>
      </c>
      <c r="G3745" s="7">
        <v>64</v>
      </c>
      <c r="H3745" s="8">
        <v>64</v>
      </c>
      <c r="J3745" t="s">
        <v>23</v>
      </c>
      <c r="K3745" s="7">
        <v>2424</v>
      </c>
      <c r="L3745" s="9">
        <v>-1</v>
      </c>
      <c r="M3745" t="s">
        <v>173</v>
      </c>
      <c r="N3745" t="s">
        <v>83</v>
      </c>
      <c r="O3745" s="27" t="str">
        <f>HYPERLINK("https://www.ncbi.nlm.nih.gov/nuccore/NZ_DF968216.1?report=graph&amp;from=34203&amp;to=34207", "TTA_codon")</f>
        <v>TTA_codon</v>
      </c>
    </row>
    <row r="3746" spans="1:15" x14ac:dyDescent="0.15">
      <c r="A3746" t="s">
        <v>21</v>
      </c>
      <c r="B3746">
        <v>1000694</v>
      </c>
      <c r="C3746">
        <v>358489</v>
      </c>
      <c r="F3746" s="7">
        <v>1</v>
      </c>
      <c r="G3746" s="7">
        <v>64</v>
      </c>
      <c r="H3746" s="8">
        <v>64</v>
      </c>
      <c r="J3746" t="s">
        <v>23</v>
      </c>
      <c r="K3746" s="7">
        <v>2403</v>
      </c>
      <c r="L3746" s="9">
        <v>-1</v>
      </c>
      <c r="M3746" t="s">
        <v>2963</v>
      </c>
      <c r="N3746" t="s">
        <v>85</v>
      </c>
      <c r="O3746" s="27" t="str">
        <f>HYPERLINK("https://www.ncbi.nlm.nih.gov/nuccore/NZ_LIQX01000048.1?report=graph&amp;from=7812&amp;to=7816", "TTA_codon")</f>
        <v>TTA_codon</v>
      </c>
    </row>
    <row r="3747" spans="1:15" x14ac:dyDescent="0.15">
      <c r="A3747" t="s">
        <v>21</v>
      </c>
      <c r="B3747" t="s">
        <v>2964</v>
      </c>
    </row>
    <row r="3748" spans="1:15" x14ac:dyDescent="0.15">
      <c r="A3748" t="s">
        <v>21</v>
      </c>
      <c r="B3748">
        <v>1001469</v>
      </c>
      <c r="C3748">
        <v>363835</v>
      </c>
      <c r="F3748" s="7">
        <v>1</v>
      </c>
      <c r="G3748" s="7">
        <v>85</v>
      </c>
      <c r="H3748" s="8">
        <v>85</v>
      </c>
      <c r="J3748" t="s">
        <v>23</v>
      </c>
      <c r="K3748" s="7">
        <v>582</v>
      </c>
      <c r="L3748" s="9">
        <v>-1</v>
      </c>
      <c r="M3748" t="s">
        <v>101</v>
      </c>
      <c r="N3748" t="s">
        <v>102</v>
      </c>
      <c r="O3748" s="27" t="str">
        <f>HYPERLINK("https://www.ncbi.nlm.nih.gov/nuccore/NZ_CP019458.1?report=graph&amp;from=9028681&amp;to=9028685", "TTA_codon")</f>
        <v>TTA_codon</v>
      </c>
    </row>
    <row r="3749" spans="1:15" x14ac:dyDescent="0.15">
      <c r="A3749" t="s">
        <v>21</v>
      </c>
      <c r="B3749">
        <v>1001469</v>
      </c>
      <c r="C3749">
        <v>365720</v>
      </c>
      <c r="F3749" s="7">
        <v>1</v>
      </c>
      <c r="G3749" s="7">
        <v>85</v>
      </c>
      <c r="H3749" s="8">
        <v>85</v>
      </c>
      <c r="J3749" t="s">
        <v>23</v>
      </c>
      <c r="K3749" s="7">
        <v>582</v>
      </c>
      <c r="L3749" s="9">
        <v>-1</v>
      </c>
      <c r="M3749" t="s">
        <v>213</v>
      </c>
      <c r="N3749" t="s">
        <v>214</v>
      </c>
      <c r="O3749" s="27" t="str">
        <f>HYPERLINK("https://www.ncbi.nlm.nih.gov/nuccore/NZ_FNST01000002.1?report=graph&amp;from=6558014&amp;to=6558018", "TTA_codon")</f>
        <v>TTA_codon</v>
      </c>
    </row>
    <row r="3750" spans="1:15" x14ac:dyDescent="0.15">
      <c r="A3750" t="s">
        <v>21</v>
      </c>
      <c r="B3750" t="s">
        <v>2965</v>
      </c>
    </row>
    <row r="3751" spans="1:15" x14ac:dyDescent="0.15">
      <c r="A3751" t="s">
        <v>21</v>
      </c>
      <c r="B3751">
        <v>1000433</v>
      </c>
      <c r="C3751">
        <v>348704</v>
      </c>
      <c r="F3751" s="7">
        <v>1</v>
      </c>
      <c r="G3751" s="7">
        <v>88</v>
      </c>
      <c r="H3751" s="8">
        <v>43</v>
      </c>
      <c r="J3751" t="s">
        <v>23</v>
      </c>
      <c r="K3751" s="7">
        <v>1131</v>
      </c>
      <c r="L3751" s="9">
        <v>-1</v>
      </c>
      <c r="M3751" t="s">
        <v>211</v>
      </c>
      <c r="N3751" t="s">
        <v>212</v>
      </c>
      <c r="O3751" s="27" t="str">
        <f>HYPERLINK("https://www.ncbi.nlm.nih.gov/nuccore/NZ_GG657754.1?report=graph&amp;from=1642639&amp;to=1642643", "TTA_codon")</f>
        <v>TTA_codon</v>
      </c>
    </row>
    <row r="3752" spans="1:15" x14ac:dyDescent="0.15">
      <c r="A3752" t="s">
        <v>21</v>
      </c>
      <c r="B3752">
        <v>1000433</v>
      </c>
      <c r="C3752">
        <v>353278</v>
      </c>
      <c r="F3752" s="7">
        <v>1</v>
      </c>
      <c r="G3752" s="7">
        <v>250</v>
      </c>
      <c r="H3752" s="8">
        <v>247</v>
      </c>
      <c r="J3752" t="s">
        <v>23</v>
      </c>
      <c r="K3752" s="7">
        <v>1209</v>
      </c>
      <c r="L3752" s="9">
        <v>-1</v>
      </c>
      <c r="M3752" t="s">
        <v>1736</v>
      </c>
      <c r="N3752" t="s">
        <v>169</v>
      </c>
      <c r="O3752" s="27" t="str">
        <f>HYPERLINK("https://www.ncbi.nlm.nih.gov/nuccore/NZ_JNWJ01000007.1?report=graph&amp;from=169853&amp;to=169857", "TTA_codon")</f>
        <v>TTA_codon</v>
      </c>
    </row>
    <row r="3753" spans="1:15" x14ac:dyDescent="0.15">
      <c r="A3753" t="s">
        <v>21</v>
      </c>
      <c r="B3753">
        <v>1000433</v>
      </c>
      <c r="C3753">
        <v>355049</v>
      </c>
      <c r="F3753" s="7">
        <v>1</v>
      </c>
      <c r="G3753" s="7">
        <v>271</v>
      </c>
      <c r="H3753" s="8">
        <v>223</v>
      </c>
      <c r="J3753" t="s">
        <v>23</v>
      </c>
      <c r="K3753" s="7">
        <v>1236</v>
      </c>
      <c r="L3753" s="9">
        <v>-1</v>
      </c>
      <c r="M3753" t="s">
        <v>2966</v>
      </c>
      <c r="N3753" t="s">
        <v>433</v>
      </c>
      <c r="O3753" s="27" t="str">
        <f>HYPERLINK("https://www.ncbi.nlm.nih.gov/nuccore/NZ_JOBF01000022.1?report=graph&amp;from=224299&amp;to=224303", "TTA_codon")</f>
        <v>TTA_codon</v>
      </c>
    </row>
    <row r="3754" spans="1:15" x14ac:dyDescent="0.15">
      <c r="A3754" t="s">
        <v>21</v>
      </c>
      <c r="B3754">
        <v>1000433</v>
      </c>
      <c r="C3754">
        <v>358405</v>
      </c>
      <c r="F3754" s="7">
        <v>1</v>
      </c>
      <c r="G3754" s="7">
        <v>115</v>
      </c>
      <c r="H3754" s="8">
        <v>115</v>
      </c>
      <c r="J3754" t="s">
        <v>23</v>
      </c>
      <c r="K3754" s="7">
        <v>1215</v>
      </c>
      <c r="L3754" s="9">
        <v>-1</v>
      </c>
      <c r="M3754" t="s">
        <v>2967</v>
      </c>
      <c r="N3754" t="s">
        <v>85</v>
      </c>
      <c r="O3754" s="27" t="str">
        <f>HYPERLINK("https://www.ncbi.nlm.nih.gov/nuccore/NZ_LIQX01000086.1?report=graph&amp;from=2853&amp;to=2857", "TTA_codon")</f>
        <v>TTA_codon</v>
      </c>
    </row>
    <row r="3755" spans="1:15" x14ac:dyDescent="0.15">
      <c r="A3755" t="s">
        <v>21</v>
      </c>
      <c r="B3755" t="s">
        <v>2968</v>
      </c>
    </row>
    <row r="3756" spans="1:15" x14ac:dyDescent="0.15">
      <c r="A3756" t="s">
        <v>21</v>
      </c>
      <c r="B3756">
        <v>1000710</v>
      </c>
      <c r="C3756">
        <v>351067</v>
      </c>
      <c r="F3756" s="7">
        <v>1</v>
      </c>
      <c r="G3756" s="7">
        <v>133</v>
      </c>
      <c r="H3756" s="8">
        <v>133</v>
      </c>
      <c r="J3756" t="s">
        <v>23</v>
      </c>
      <c r="K3756" s="7">
        <v>855</v>
      </c>
      <c r="L3756" s="9">
        <v>1</v>
      </c>
      <c r="M3756" t="s">
        <v>2969</v>
      </c>
      <c r="N3756" t="s">
        <v>136</v>
      </c>
      <c r="O3756" s="27" t="str">
        <f>HYPERLINK("https://www.ncbi.nlm.nih.gov/nuccore/NZ_AORZ01000050.1?report=graph&amp;from=35170&amp;to=35174", "TTA_codon")</f>
        <v>TTA_codon</v>
      </c>
    </row>
    <row r="3757" spans="1:15" x14ac:dyDescent="0.15">
      <c r="A3757" t="s">
        <v>21</v>
      </c>
      <c r="B3757">
        <v>1000710</v>
      </c>
      <c r="C3757">
        <v>357634</v>
      </c>
      <c r="F3757" s="7">
        <v>1</v>
      </c>
      <c r="G3757" s="7">
        <v>202</v>
      </c>
      <c r="H3757" s="8">
        <v>202</v>
      </c>
      <c r="J3757" t="s">
        <v>23</v>
      </c>
      <c r="K3757" s="7">
        <v>813</v>
      </c>
      <c r="L3757" s="9">
        <v>1</v>
      </c>
      <c r="M3757" t="s">
        <v>2936</v>
      </c>
      <c r="N3757" t="s">
        <v>378</v>
      </c>
      <c r="O3757" s="27" t="str">
        <f>HYPERLINK("https://www.ncbi.nlm.nih.gov/nuccore/NZ_LFXA01000011.1?report=graph&amp;from=40245&amp;to=40249", "TTA_codon")</f>
        <v>TTA_codon</v>
      </c>
    </row>
    <row r="3758" spans="1:15" x14ac:dyDescent="0.15">
      <c r="A3758" t="s">
        <v>21</v>
      </c>
      <c r="B3758" t="s">
        <v>2970</v>
      </c>
    </row>
    <row r="3759" spans="1:15" x14ac:dyDescent="0.15">
      <c r="A3759" t="s">
        <v>21</v>
      </c>
      <c r="B3759">
        <v>1000202</v>
      </c>
      <c r="C3759">
        <v>347358</v>
      </c>
      <c r="F3759" s="7">
        <v>1</v>
      </c>
      <c r="G3759" s="7">
        <v>1375</v>
      </c>
      <c r="H3759" s="8">
        <v>1180</v>
      </c>
      <c r="J3759" t="s">
        <v>23</v>
      </c>
      <c r="K3759" s="7">
        <v>2226</v>
      </c>
      <c r="L3759" s="9">
        <v>1</v>
      </c>
      <c r="M3759" t="s">
        <v>217</v>
      </c>
      <c r="N3759" t="s">
        <v>218</v>
      </c>
      <c r="O3759" s="27" t="str">
        <f>HYPERLINK("https://www.ncbi.nlm.nih.gov/nuccore/NC_021985.1?report=graph&amp;from=5932138&amp;to=5932142", "TTA_codon")</f>
        <v>TTA_codon</v>
      </c>
    </row>
    <row r="3760" spans="1:15" x14ac:dyDescent="0.15">
      <c r="A3760" t="s">
        <v>21</v>
      </c>
      <c r="B3760">
        <v>1000202</v>
      </c>
      <c r="C3760">
        <v>349328</v>
      </c>
      <c r="F3760" s="7">
        <v>1</v>
      </c>
      <c r="G3760" s="7">
        <v>1375</v>
      </c>
      <c r="H3760" s="8">
        <v>1171</v>
      </c>
      <c r="J3760" t="s">
        <v>23</v>
      </c>
      <c r="K3760" s="7">
        <v>2226</v>
      </c>
      <c r="L3760" s="9">
        <v>1</v>
      </c>
      <c r="M3760" t="s">
        <v>458</v>
      </c>
      <c r="N3760" t="s">
        <v>315</v>
      </c>
      <c r="O3760" s="27" t="str">
        <f>HYPERLINK("https://www.ncbi.nlm.nih.gov/nuccore/NC_003888.3?report=graph&amp;from=5982418&amp;to=5982422", "TTA_codon")</f>
        <v>TTA_codon</v>
      </c>
    </row>
    <row r="3761" spans="1:15" x14ac:dyDescent="0.15">
      <c r="A3761" t="s">
        <v>21</v>
      </c>
      <c r="B3761">
        <v>1000202</v>
      </c>
      <c r="C3761">
        <v>350758</v>
      </c>
      <c r="F3761" s="7">
        <v>1</v>
      </c>
      <c r="G3761" s="7">
        <v>1375</v>
      </c>
      <c r="H3761" s="8">
        <v>1297</v>
      </c>
      <c r="J3761" t="s">
        <v>23</v>
      </c>
      <c r="K3761" s="7">
        <v>2346</v>
      </c>
      <c r="L3761" s="9">
        <v>1</v>
      </c>
      <c r="M3761" t="s">
        <v>2971</v>
      </c>
      <c r="N3761" t="s">
        <v>51</v>
      </c>
      <c r="O3761" s="27" t="str">
        <f>HYPERLINK("https://www.ncbi.nlm.nih.gov/nuccore/NZ_AEJB01000342.1?report=graph&amp;from=28311&amp;to=28315", "TTA_codon")</f>
        <v>TTA_codon</v>
      </c>
    </row>
    <row r="3762" spans="1:15" x14ac:dyDescent="0.15">
      <c r="A3762" t="s">
        <v>21</v>
      </c>
      <c r="B3762">
        <v>1000202</v>
      </c>
      <c r="C3762">
        <v>352093</v>
      </c>
      <c r="F3762" s="7">
        <v>2</v>
      </c>
      <c r="G3762" s="7" t="s">
        <v>2972</v>
      </c>
      <c r="H3762" s="8" t="s">
        <v>2973</v>
      </c>
      <c r="J3762" t="s">
        <v>23</v>
      </c>
      <c r="K3762" s="7">
        <v>2118</v>
      </c>
      <c r="L3762" s="9">
        <v>1</v>
      </c>
      <c r="M3762" t="s">
        <v>2974</v>
      </c>
      <c r="N3762" t="s">
        <v>70</v>
      </c>
      <c r="O3762" s="27" t="str">
        <f>HYPERLINK("https://www.ncbi.nlm.nih.gov/nuccore/NZ_KB904660.1?report=graph&amp;from=64648&amp;to=64739", "TTA_codon")</f>
        <v>TTA_codon</v>
      </c>
    </row>
    <row r="3763" spans="1:15" x14ac:dyDescent="0.15">
      <c r="A3763" t="s">
        <v>21</v>
      </c>
      <c r="B3763">
        <v>1000202</v>
      </c>
      <c r="C3763">
        <v>354576</v>
      </c>
      <c r="F3763" s="7">
        <v>1</v>
      </c>
      <c r="G3763" s="7">
        <v>1375</v>
      </c>
      <c r="H3763" s="8">
        <v>1174</v>
      </c>
      <c r="J3763" t="s">
        <v>23</v>
      </c>
      <c r="K3763" s="7">
        <v>2229</v>
      </c>
      <c r="L3763" s="9">
        <v>1</v>
      </c>
      <c r="M3763" t="s">
        <v>1020</v>
      </c>
      <c r="N3763" t="s">
        <v>272</v>
      </c>
      <c r="O3763" s="27" t="str">
        <f>HYPERLINK("https://www.ncbi.nlm.nih.gov/nuccore/NZ_JOEY01000034.1?report=graph&amp;from=107482&amp;to=107486", "TTA_codon")</f>
        <v>TTA_codon</v>
      </c>
    </row>
    <row r="3764" spans="1:15" x14ac:dyDescent="0.15">
      <c r="A3764" t="s">
        <v>21</v>
      </c>
      <c r="B3764">
        <v>1000202</v>
      </c>
      <c r="C3764">
        <v>354841</v>
      </c>
      <c r="F3764" s="7">
        <v>1</v>
      </c>
      <c r="G3764" s="7">
        <v>1375</v>
      </c>
      <c r="H3764" s="8">
        <v>1204</v>
      </c>
      <c r="J3764" t="s">
        <v>23</v>
      </c>
      <c r="K3764" s="7">
        <v>2322</v>
      </c>
      <c r="L3764" s="9">
        <v>1</v>
      </c>
      <c r="M3764" t="s">
        <v>2975</v>
      </c>
      <c r="N3764" t="s">
        <v>25</v>
      </c>
      <c r="O3764" s="27" t="str">
        <f>HYPERLINK("https://www.ncbi.nlm.nih.gov/nuccore/NZ_JOFU01000022.1?report=graph&amp;from=68698&amp;to=68702", "TTA_codon")</f>
        <v>TTA_codon</v>
      </c>
    </row>
    <row r="3765" spans="1:15" x14ac:dyDescent="0.15">
      <c r="A3765" t="s">
        <v>21</v>
      </c>
      <c r="B3765">
        <v>1000202</v>
      </c>
      <c r="C3765">
        <v>356187</v>
      </c>
      <c r="F3765" s="7">
        <v>1</v>
      </c>
      <c r="G3765" s="7">
        <v>1375</v>
      </c>
      <c r="H3765" s="8">
        <v>1177</v>
      </c>
      <c r="J3765" t="s">
        <v>23</v>
      </c>
      <c r="K3765" s="7">
        <v>2232</v>
      </c>
      <c r="L3765" s="9">
        <v>1</v>
      </c>
      <c r="M3765" t="s">
        <v>2976</v>
      </c>
      <c r="N3765" t="s">
        <v>77</v>
      </c>
      <c r="O3765" s="27" t="str">
        <f>HYPERLINK("https://www.ncbi.nlm.nih.gov/nuccore/NZ_JNXD01000012.1?report=graph&amp;from=32387&amp;to=32391", "TTA_codon")</f>
        <v>TTA_codon</v>
      </c>
    </row>
    <row r="3766" spans="1:15" x14ac:dyDescent="0.15">
      <c r="A3766" t="s">
        <v>21</v>
      </c>
      <c r="B3766">
        <v>1000202</v>
      </c>
      <c r="C3766">
        <v>356523</v>
      </c>
      <c r="F3766" s="7">
        <v>1</v>
      </c>
      <c r="G3766" s="7">
        <v>1375</v>
      </c>
      <c r="H3766" s="8">
        <v>1165</v>
      </c>
      <c r="J3766" t="s">
        <v>23</v>
      </c>
      <c r="K3766" s="7">
        <v>2220</v>
      </c>
      <c r="L3766" s="9">
        <v>1</v>
      </c>
      <c r="M3766" t="s">
        <v>508</v>
      </c>
      <c r="N3766" t="s">
        <v>509</v>
      </c>
      <c r="O3766" s="27" t="str">
        <f>HYPERLINK("https://www.ncbi.nlm.nih.gov/nuccore/NZ_CP009438.1?report=graph&amp;from=5355052&amp;to=5355056", "TTA_codon")</f>
        <v>TTA_codon</v>
      </c>
    </row>
    <row r="3767" spans="1:15" x14ac:dyDescent="0.15">
      <c r="A3767" t="s">
        <v>21</v>
      </c>
      <c r="B3767">
        <v>1000202</v>
      </c>
      <c r="C3767">
        <v>356660</v>
      </c>
      <c r="F3767" s="7">
        <v>1</v>
      </c>
      <c r="G3767" s="7">
        <v>1375</v>
      </c>
      <c r="H3767" s="8">
        <v>1180</v>
      </c>
      <c r="J3767" t="s">
        <v>23</v>
      </c>
      <c r="K3767" s="7">
        <v>2226</v>
      </c>
      <c r="L3767" s="9">
        <v>1</v>
      </c>
      <c r="M3767" t="s">
        <v>147</v>
      </c>
      <c r="N3767" t="s">
        <v>148</v>
      </c>
      <c r="O3767" s="27" t="str">
        <f>HYPERLINK("https://www.ncbi.nlm.nih.gov/nuccore/NZ_CP021080.1?report=graph&amp;from=5288253&amp;to=5288257", "TTA_codon")</f>
        <v>TTA_codon</v>
      </c>
    </row>
    <row r="3768" spans="1:15" x14ac:dyDescent="0.15">
      <c r="A3768" t="s">
        <v>21</v>
      </c>
      <c r="B3768">
        <v>1000202</v>
      </c>
      <c r="C3768">
        <v>356860</v>
      </c>
      <c r="F3768" s="7">
        <v>1</v>
      </c>
      <c r="G3768" s="7">
        <v>1375</v>
      </c>
      <c r="H3768" s="8">
        <v>1240</v>
      </c>
      <c r="J3768" t="s">
        <v>23</v>
      </c>
      <c r="K3768" s="7">
        <v>2310</v>
      </c>
      <c r="L3768" s="9">
        <v>1</v>
      </c>
      <c r="M3768" t="s">
        <v>78</v>
      </c>
      <c r="N3768" t="s">
        <v>79</v>
      </c>
      <c r="O3768" s="27" t="str">
        <f>HYPERLINK("https://www.ncbi.nlm.nih.gov/nuccore/NZ_CP009313.1?report=graph&amp;from=5149499&amp;to=5149503", "TTA_codon")</f>
        <v>TTA_codon</v>
      </c>
    </row>
    <row r="3769" spans="1:15" x14ac:dyDescent="0.15">
      <c r="A3769" t="s">
        <v>21</v>
      </c>
      <c r="B3769">
        <v>1000202</v>
      </c>
      <c r="C3769">
        <v>357714</v>
      </c>
      <c r="F3769" s="7">
        <v>1</v>
      </c>
      <c r="G3769" s="7">
        <v>1375</v>
      </c>
      <c r="H3769" s="8">
        <v>1213</v>
      </c>
      <c r="J3769" t="s">
        <v>23</v>
      </c>
      <c r="K3769" s="7">
        <v>2283</v>
      </c>
      <c r="L3769" s="9">
        <v>1</v>
      </c>
      <c r="M3769" t="s">
        <v>2977</v>
      </c>
      <c r="N3769" t="s">
        <v>83</v>
      </c>
      <c r="O3769" s="27" t="str">
        <f>HYPERLINK("https://www.ncbi.nlm.nih.gov/nuccore/NZ_DF968392.1?report=graph&amp;from=78881&amp;to=78885", "TTA_codon")</f>
        <v>TTA_codon</v>
      </c>
    </row>
    <row r="3770" spans="1:15" x14ac:dyDescent="0.15">
      <c r="A3770" t="s">
        <v>21</v>
      </c>
      <c r="B3770">
        <v>1000202</v>
      </c>
      <c r="C3770">
        <v>359294</v>
      </c>
      <c r="F3770" s="7">
        <v>1</v>
      </c>
      <c r="G3770" s="7">
        <v>1375</v>
      </c>
      <c r="H3770" s="8">
        <v>1255</v>
      </c>
      <c r="J3770" t="s">
        <v>23</v>
      </c>
      <c r="K3770" s="7">
        <v>2325</v>
      </c>
      <c r="L3770" s="9">
        <v>1</v>
      </c>
      <c r="M3770" t="s">
        <v>2978</v>
      </c>
      <c r="N3770" t="s">
        <v>89</v>
      </c>
      <c r="O3770" s="27" t="str">
        <f>HYPERLINK("https://www.ncbi.nlm.nih.gov/nuccore/NZ_LIRG01000080.1?report=graph&amp;from=9565&amp;to=9569", "TTA_codon")</f>
        <v>TTA_codon</v>
      </c>
    </row>
    <row r="3771" spans="1:15" x14ac:dyDescent="0.15">
      <c r="A3771" t="s">
        <v>21</v>
      </c>
      <c r="B3771">
        <v>1000202</v>
      </c>
      <c r="C3771">
        <v>359839</v>
      </c>
      <c r="F3771" s="7">
        <v>1</v>
      </c>
      <c r="G3771" s="7">
        <v>1375</v>
      </c>
      <c r="H3771" s="8">
        <v>1180</v>
      </c>
      <c r="J3771" t="s">
        <v>23</v>
      </c>
      <c r="K3771" s="7">
        <v>2226</v>
      </c>
      <c r="L3771" s="9">
        <v>1</v>
      </c>
      <c r="M3771" t="s">
        <v>1023</v>
      </c>
      <c r="N3771" t="s">
        <v>91</v>
      </c>
      <c r="O3771" s="27" t="str">
        <f>HYPERLINK("https://www.ncbi.nlm.nih.gov/nuccore/NZ_KQ948311.1?report=graph&amp;from=199418&amp;to=199422", "TTA_codon")</f>
        <v>TTA_codon</v>
      </c>
    </row>
    <row r="3772" spans="1:15" x14ac:dyDescent="0.15">
      <c r="A3772" t="s">
        <v>21</v>
      </c>
      <c r="B3772">
        <v>1000202</v>
      </c>
      <c r="C3772">
        <v>360075</v>
      </c>
      <c r="F3772" s="7">
        <v>1</v>
      </c>
      <c r="G3772" s="7">
        <v>1375</v>
      </c>
      <c r="H3772" s="8">
        <v>1186</v>
      </c>
      <c r="J3772" t="s">
        <v>23</v>
      </c>
      <c r="K3772" s="7">
        <v>2232</v>
      </c>
      <c r="L3772" s="9">
        <v>1</v>
      </c>
      <c r="M3772" t="s">
        <v>1024</v>
      </c>
      <c r="N3772" t="s">
        <v>125</v>
      </c>
      <c r="O3772" s="27" t="str">
        <f>HYPERLINK("https://www.ncbi.nlm.nih.gov/nuccore/NZ_KQ948457.1?report=graph&amp;from=143165&amp;to=143169", "TTA_codon")</f>
        <v>TTA_codon</v>
      </c>
    </row>
    <row r="3773" spans="1:15" x14ac:dyDescent="0.15">
      <c r="A3773" t="s">
        <v>21</v>
      </c>
      <c r="B3773">
        <v>1000202</v>
      </c>
      <c r="C3773">
        <v>360394</v>
      </c>
      <c r="F3773" s="7">
        <v>1</v>
      </c>
      <c r="G3773" s="7">
        <v>1375</v>
      </c>
      <c r="H3773" s="8">
        <v>1174</v>
      </c>
      <c r="J3773" t="s">
        <v>23</v>
      </c>
      <c r="K3773" s="7">
        <v>2220</v>
      </c>
      <c r="L3773" s="9">
        <v>1</v>
      </c>
      <c r="M3773" t="s">
        <v>121</v>
      </c>
      <c r="N3773" t="s">
        <v>122</v>
      </c>
      <c r="O3773" s="27" t="str">
        <f>HYPERLINK("https://www.ncbi.nlm.nih.gov/nuccore/NZ_CP016279.1?report=graph&amp;from=1836038&amp;to=1836042", "TTA_codon")</f>
        <v>TTA_codon</v>
      </c>
    </row>
    <row r="3774" spans="1:15" x14ac:dyDescent="0.15">
      <c r="A3774" t="s">
        <v>21</v>
      </c>
      <c r="B3774">
        <v>1000202</v>
      </c>
      <c r="C3774">
        <v>361133</v>
      </c>
      <c r="F3774" s="7">
        <v>1</v>
      </c>
      <c r="G3774" s="7">
        <v>1375</v>
      </c>
      <c r="H3774" s="8">
        <v>1222</v>
      </c>
      <c r="J3774" t="s">
        <v>23</v>
      </c>
      <c r="K3774" s="7">
        <v>2277</v>
      </c>
      <c r="L3774" s="9">
        <v>1</v>
      </c>
      <c r="M3774" t="s">
        <v>98</v>
      </c>
      <c r="N3774" t="s">
        <v>99</v>
      </c>
      <c r="O3774" s="27" t="str">
        <f>HYPERLINK("https://www.ncbi.nlm.nih.gov/nuccore/NZ_CP016438.1?report=graph&amp;from=7053507&amp;to=7053511", "TTA_codon")</f>
        <v>TTA_codon</v>
      </c>
    </row>
    <row r="3775" spans="1:15" x14ac:dyDescent="0.15">
      <c r="A3775" t="s">
        <v>21</v>
      </c>
      <c r="B3775" t="s">
        <v>2979</v>
      </c>
    </row>
    <row r="3776" spans="1:15" x14ac:dyDescent="0.15">
      <c r="A3776" t="s">
        <v>21</v>
      </c>
      <c r="B3776">
        <v>1001209</v>
      </c>
      <c r="C3776">
        <v>357036</v>
      </c>
      <c r="F3776" s="7">
        <v>1</v>
      </c>
      <c r="G3776" s="7">
        <v>37</v>
      </c>
      <c r="H3776" s="8">
        <v>37</v>
      </c>
      <c r="J3776" t="s">
        <v>23</v>
      </c>
      <c r="K3776" s="7">
        <v>1473</v>
      </c>
      <c r="L3776" s="9">
        <v>1</v>
      </c>
      <c r="M3776" t="s">
        <v>162</v>
      </c>
      <c r="N3776" t="s">
        <v>163</v>
      </c>
      <c r="O3776" s="27" t="str">
        <f>HYPERLINK("https://www.ncbi.nlm.nih.gov/nuccore/NZ_CP010519.1?report=graph&amp;from=1434255&amp;to=1434259", "TTA_codon")</f>
        <v>TTA_codon</v>
      </c>
    </row>
    <row r="3777" spans="1:15" x14ac:dyDescent="0.15">
      <c r="A3777" t="s">
        <v>21</v>
      </c>
      <c r="B3777">
        <v>1001209</v>
      </c>
      <c r="C3777">
        <v>359493</v>
      </c>
      <c r="F3777" s="7">
        <v>1</v>
      </c>
      <c r="G3777" s="7">
        <v>58</v>
      </c>
      <c r="H3777" s="8">
        <v>52</v>
      </c>
      <c r="J3777" t="s">
        <v>23</v>
      </c>
      <c r="K3777" s="7">
        <v>1455</v>
      </c>
      <c r="L3777" s="9">
        <v>1</v>
      </c>
      <c r="M3777" t="s">
        <v>151</v>
      </c>
      <c r="N3777" t="s">
        <v>152</v>
      </c>
      <c r="O3777" s="27" t="str">
        <f>HYPERLINK("https://www.ncbi.nlm.nih.gov/nuccore/NZ_CP013129.1?report=graph&amp;from=7946764&amp;to=7946768", "TTA_codon")</f>
        <v>TTA_codon</v>
      </c>
    </row>
    <row r="3778" spans="1:15" x14ac:dyDescent="0.15">
      <c r="A3778" t="s">
        <v>21</v>
      </c>
      <c r="B3778" t="s">
        <v>2980</v>
      </c>
    </row>
    <row r="3779" spans="1:15" x14ac:dyDescent="0.15">
      <c r="A3779" t="s">
        <v>21</v>
      </c>
      <c r="B3779">
        <v>1000552</v>
      </c>
      <c r="C3779">
        <v>349787</v>
      </c>
      <c r="F3779" s="7">
        <v>1</v>
      </c>
      <c r="G3779" s="7">
        <v>481</v>
      </c>
      <c r="H3779" s="8">
        <v>481</v>
      </c>
      <c r="J3779" t="s">
        <v>23</v>
      </c>
      <c r="K3779" s="7">
        <v>1242</v>
      </c>
      <c r="L3779" s="9">
        <v>-1</v>
      </c>
      <c r="M3779" t="s">
        <v>420</v>
      </c>
      <c r="N3779" t="s">
        <v>266</v>
      </c>
      <c r="O3779" s="27" t="str">
        <f>HYPERLINK("https://www.ncbi.nlm.nih.gov/nuccore/NC_017585.1?report=graph&amp;from=1265011&amp;to=1265015", "TTA_codon")</f>
        <v>TTA_codon</v>
      </c>
    </row>
    <row r="3780" spans="1:15" x14ac:dyDescent="0.15">
      <c r="A3780" t="s">
        <v>21</v>
      </c>
      <c r="B3780">
        <v>1000552</v>
      </c>
      <c r="C3780">
        <v>366430</v>
      </c>
      <c r="F3780" s="7">
        <v>1</v>
      </c>
      <c r="G3780" s="7">
        <v>514</v>
      </c>
      <c r="H3780" s="8">
        <v>388</v>
      </c>
      <c r="J3780" t="s">
        <v>23</v>
      </c>
      <c r="K3780" s="7">
        <v>1158</v>
      </c>
      <c r="L3780" s="9">
        <v>-1</v>
      </c>
      <c r="M3780" t="s">
        <v>2981</v>
      </c>
      <c r="N3780" t="s">
        <v>375</v>
      </c>
      <c r="O3780" s="27" t="str">
        <f>HYPERLINK("https://www.ncbi.nlm.nih.gov/nuccore/NZ_FONG01000014.1?report=graph&amp;from=55027&amp;to=55031", "TTA_codon")</f>
        <v>TTA_codon</v>
      </c>
    </row>
    <row r="3781" spans="1:15" x14ac:dyDescent="0.15">
      <c r="A3781" t="s">
        <v>21</v>
      </c>
      <c r="B3781" t="s">
        <v>2982</v>
      </c>
    </row>
    <row r="3782" spans="1:15" x14ac:dyDescent="0.15">
      <c r="A3782" t="s">
        <v>21</v>
      </c>
      <c r="B3782">
        <v>1001049</v>
      </c>
      <c r="C3782">
        <v>350244</v>
      </c>
      <c r="F3782" s="7">
        <v>2</v>
      </c>
      <c r="G3782" s="7" t="s">
        <v>2983</v>
      </c>
      <c r="H3782" s="8" t="s">
        <v>2984</v>
      </c>
      <c r="J3782" t="s">
        <v>23</v>
      </c>
      <c r="K3782" s="7">
        <v>2685</v>
      </c>
      <c r="L3782" s="9">
        <v>-1</v>
      </c>
      <c r="M3782" t="s">
        <v>2985</v>
      </c>
      <c r="N3782" t="s">
        <v>36</v>
      </c>
      <c r="O3782" s="27" t="str">
        <f>HYPERLINK("https://www.ncbi.nlm.nih.gov/nuccore/NZ_JH725398.1?report=graph&amp;from=8528&amp;to=8994", "TTA_codon")</f>
        <v>TTA_codon</v>
      </c>
    </row>
    <row r="3783" spans="1:15" x14ac:dyDescent="0.15">
      <c r="A3783" t="s">
        <v>21</v>
      </c>
      <c r="B3783">
        <v>1001049</v>
      </c>
      <c r="C3783">
        <v>354809</v>
      </c>
      <c r="F3783" s="7">
        <v>1</v>
      </c>
      <c r="G3783" s="7">
        <v>262</v>
      </c>
      <c r="H3783" s="8">
        <v>262</v>
      </c>
      <c r="J3783" t="s">
        <v>23</v>
      </c>
      <c r="K3783" s="7">
        <v>7518</v>
      </c>
      <c r="L3783" s="9">
        <v>-1</v>
      </c>
      <c r="M3783" t="s">
        <v>2986</v>
      </c>
      <c r="N3783" t="s">
        <v>25</v>
      </c>
      <c r="O3783" s="27" t="str">
        <f>HYPERLINK("https://www.ncbi.nlm.nih.gov/nuccore/NZ_JOFU01000032.1?report=graph&amp;from=92356&amp;to=92360", "TTA_codon")</f>
        <v>TTA_codon</v>
      </c>
    </row>
    <row r="3784" spans="1:15" x14ac:dyDescent="0.15">
      <c r="A3784" t="s">
        <v>21</v>
      </c>
      <c r="B3784" t="s">
        <v>2987</v>
      </c>
    </row>
    <row r="3785" spans="1:15" x14ac:dyDescent="0.15">
      <c r="A3785" t="s">
        <v>21</v>
      </c>
      <c r="B3785">
        <v>1001384</v>
      </c>
      <c r="C3785">
        <v>361677</v>
      </c>
      <c r="F3785" s="7">
        <v>1</v>
      </c>
      <c r="G3785" s="7">
        <v>67</v>
      </c>
      <c r="H3785" s="8">
        <v>67</v>
      </c>
      <c r="J3785" t="s">
        <v>23</v>
      </c>
      <c r="K3785" s="7">
        <v>369</v>
      </c>
      <c r="L3785" s="9">
        <v>-1</v>
      </c>
      <c r="M3785" t="s">
        <v>37</v>
      </c>
      <c r="N3785" t="s">
        <v>38</v>
      </c>
      <c r="O3785" s="27" t="str">
        <f>HYPERLINK("https://www.ncbi.nlm.nih.gov/nuccore/NZ_CP011533.1?report=graph&amp;from=2558413&amp;to=2558417", "TTA_codon")</f>
        <v>TTA_codon</v>
      </c>
    </row>
    <row r="3786" spans="1:15" x14ac:dyDescent="0.15">
      <c r="A3786" t="s">
        <v>21</v>
      </c>
      <c r="B3786">
        <v>1001384</v>
      </c>
      <c r="C3786">
        <v>362269</v>
      </c>
      <c r="F3786" s="7">
        <v>1</v>
      </c>
      <c r="G3786" s="7">
        <v>67</v>
      </c>
      <c r="H3786" s="8">
        <v>67</v>
      </c>
      <c r="J3786" t="s">
        <v>23</v>
      </c>
      <c r="K3786" s="7">
        <v>363</v>
      </c>
      <c r="L3786" s="9">
        <v>-1</v>
      </c>
      <c r="M3786" t="s">
        <v>39</v>
      </c>
      <c r="N3786" t="s">
        <v>40</v>
      </c>
      <c r="O3786" s="27" t="str">
        <f>HYPERLINK("https://www.ncbi.nlm.nih.gov/nuccore/NZ_CP017157.1?report=graph&amp;from=5826741&amp;to=5826745", "TTA_codon")</f>
        <v>TTA_codon</v>
      </c>
    </row>
    <row r="3787" spans="1:15" x14ac:dyDescent="0.15">
      <c r="A3787" t="s">
        <v>21</v>
      </c>
      <c r="B3787" t="s">
        <v>2988</v>
      </c>
    </row>
    <row r="3788" spans="1:15" x14ac:dyDescent="0.15">
      <c r="A3788" t="s">
        <v>21</v>
      </c>
      <c r="B3788">
        <v>1000201</v>
      </c>
      <c r="C3788">
        <v>347355</v>
      </c>
      <c r="F3788" s="7">
        <v>1</v>
      </c>
      <c r="G3788" s="7">
        <v>40</v>
      </c>
      <c r="H3788" s="8">
        <v>40</v>
      </c>
      <c r="J3788" t="s">
        <v>23</v>
      </c>
      <c r="K3788" s="7">
        <v>888</v>
      </c>
      <c r="L3788" s="9">
        <v>-1</v>
      </c>
      <c r="M3788" t="s">
        <v>217</v>
      </c>
      <c r="N3788" t="s">
        <v>218</v>
      </c>
      <c r="O3788" s="27" t="str">
        <f>HYPERLINK("https://www.ncbi.nlm.nih.gov/nuccore/NC_021985.1?report=graph&amp;from=5018937&amp;to=5018941", "TTA_codon")</f>
        <v>TTA_codon</v>
      </c>
    </row>
    <row r="3789" spans="1:15" x14ac:dyDescent="0.15">
      <c r="A3789" t="s">
        <v>21</v>
      </c>
      <c r="B3789">
        <v>1000201</v>
      </c>
      <c r="C3789">
        <v>352422</v>
      </c>
      <c r="F3789" s="7">
        <v>1</v>
      </c>
      <c r="G3789" s="7">
        <v>40</v>
      </c>
      <c r="H3789" s="8">
        <v>40</v>
      </c>
      <c r="J3789" t="s">
        <v>23</v>
      </c>
      <c r="K3789" s="7">
        <v>888</v>
      </c>
      <c r="L3789" s="9">
        <v>-1</v>
      </c>
      <c r="M3789" t="s">
        <v>30</v>
      </c>
      <c r="N3789" t="s">
        <v>31</v>
      </c>
      <c r="O3789" s="27" t="str">
        <f>HYPERLINK("https://www.ncbi.nlm.nih.gov/nuccore/NZ_KB913030.1?report=graph&amp;from=4028820&amp;to=4028824", "TTA_codon")</f>
        <v>TTA_codon</v>
      </c>
    </row>
    <row r="3790" spans="1:15" x14ac:dyDescent="0.15">
      <c r="A3790" t="s">
        <v>21</v>
      </c>
      <c r="B3790">
        <v>1000201</v>
      </c>
      <c r="C3790">
        <v>365007</v>
      </c>
      <c r="F3790" s="7">
        <v>1</v>
      </c>
      <c r="G3790" s="7">
        <v>40</v>
      </c>
      <c r="H3790" s="8">
        <v>40</v>
      </c>
      <c r="J3790" t="s">
        <v>23</v>
      </c>
      <c r="K3790" s="7">
        <v>903</v>
      </c>
      <c r="L3790" s="9">
        <v>-1</v>
      </c>
      <c r="M3790" t="s">
        <v>111</v>
      </c>
      <c r="N3790" t="s">
        <v>112</v>
      </c>
      <c r="O3790" s="27" t="str">
        <f>HYPERLINK("https://www.ncbi.nlm.nih.gov/nuccore/NZ_CP021744.1?report=graph&amp;from=1761829&amp;to=1761833", "TTA_codon")</f>
        <v>TTA_codon</v>
      </c>
    </row>
    <row r="3791" spans="1:15" x14ac:dyDescent="0.15">
      <c r="A3791" t="s">
        <v>21</v>
      </c>
      <c r="B3791" t="s">
        <v>2989</v>
      </c>
    </row>
    <row r="3792" spans="1:15" x14ac:dyDescent="0.15">
      <c r="A3792" t="s">
        <v>21</v>
      </c>
      <c r="B3792">
        <v>1000335</v>
      </c>
      <c r="C3792">
        <v>348069</v>
      </c>
      <c r="F3792" s="7">
        <v>1</v>
      </c>
      <c r="G3792" s="7">
        <v>823</v>
      </c>
      <c r="H3792" s="8">
        <v>823</v>
      </c>
      <c r="J3792" t="s">
        <v>23</v>
      </c>
      <c r="K3792" s="7">
        <v>1563</v>
      </c>
      <c r="L3792" s="9">
        <v>-1</v>
      </c>
      <c r="M3792" t="s">
        <v>59</v>
      </c>
      <c r="N3792" t="s">
        <v>60</v>
      </c>
      <c r="O3792" s="27" t="str">
        <f>HYPERLINK("https://www.ncbi.nlm.nih.gov/nuccore/NC_016582.1?report=graph&amp;from=6043148&amp;to=6043152", "TTA_codon")</f>
        <v>TTA_codon</v>
      </c>
    </row>
    <row r="3793" spans="1:15" x14ac:dyDescent="0.15">
      <c r="A3793" t="s">
        <v>21</v>
      </c>
      <c r="B3793">
        <v>1000335</v>
      </c>
      <c r="C3793">
        <v>349793</v>
      </c>
      <c r="F3793" s="7">
        <v>1</v>
      </c>
      <c r="G3793" s="7">
        <v>781</v>
      </c>
      <c r="H3793" s="8">
        <v>682</v>
      </c>
      <c r="J3793" t="s">
        <v>23</v>
      </c>
      <c r="K3793" s="7">
        <v>1341</v>
      </c>
      <c r="L3793" s="9">
        <v>-1</v>
      </c>
      <c r="M3793" t="s">
        <v>265</v>
      </c>
      <c r="N3793" t="s">
        <v>266</v>
      </c>
      <c r="O3793" s="27" t="str">
        <f>HYPERLINK("https://www.ncbi.nlm.nih.gov/nuccore/NC_017586.1?report=graph&amp;from=2534043&amp;to=2534047", "TTA_codon")</f>
        <v>TTA_codon</v>
      </c>
    </row>
    <row r="3794" spans="1:15" x14ac:dyDescent="0.15">
      <c r="A3794" t="s">
        <v>21</v>
      </c>
      <c r="B3794">
        <v>1000335</v>
      </c>
      <c r="C3794">
        <v>362014</v>
      </c>
      <c r="F3794" s="7">
        <v>1</v>
      </c>
      <c r="G3794" s="7">
        <v>823</v>
      </c>
      <c r="H3794" s="8">
        <v>763</v>
      </c>
      <c r="J3794" t="s">
        <v>23</v>
      </c>
      <c r="K3794" s="7">
        <v>1557</v>
      </c>
      <c r="L3794" s="9">
        <v>-1</v>
      </c>
      <c r="M3794" t="s">
        <v>2500</v>
      </c>
      <c r="N3794" t="s">
        <v>187</v>
      </c>
      <c r="O3794" s="27" t="str">
        <f>HYPERLINK("https://www.ncbi.nlm.nih.gov/nuccore/NZ_MAXF01000041.1?report=graph&amp;from=109128&amp;to=109132", "TTA_codon")</f>
        <v>TTA_codon</v>
      </c>
    </row>
    <row r="3795" spans="1:15" x14ac:dyDescent="0.15">
      <c r="A3795" t="s">
        <v>21</v>
      </c>
      <c r="B3795" t="s">
        <v>2990</v>
      </c>
    </row>
    <row r="3796" spans="1:15" x14ac:dyDescent="0.15">
      <c r="A3796" t="s">
        <v>21</v>
      </c>
      <c r="B3796">
        <v>1000813</v>
      </c>
      <c r="C3796">
        <v>352097</v>
      </c>
      <c r="F3796" s="7">
        <v>1</v>
      </c>
      <c r="G3796" s="7">
        <v>118</v>
      </c>
      <c r="H3796" s="8">
        <v>43</v>
      </c>
      <c r="J3796" t="s">
        <v>23</v>
      </c>
      <c r="K3796" s="7">
        <v>1347</v>
      </c>
      <c r="L3796" s="9">
        <v>1</v>
      </c>
      <c r="M3796" t="s">
        <v>2991</v>
      </c>
      <c r="N3796" t="s">
        <v>70</v>
      </c>
      <c r="O3796" s="27" t="str">
        <f>HYPERLINK("https://www.ncbi.nlm.nih.gov/nuccore/NZ_KB904677.1?report=graph&amp;from=25378&amp;to=25382", "TTA_codon")</f>
        <v>TTA_codon</v>
      </c>
    </row>
    <row r="3797" spans="1:15" x14ac:dyDescent="0.15">
      <c r="A3797" t="s">
        <v>21</v>
      </c>
      <c r="B3797">
        <v>1000813</v>
      </c>
      <c r="C3797">
        <v>364688</v>
      </c>
      <c r="F3797" s="7">
        <v>1</v>
      </c>
      <c r="G3797" s="7">
        <v>118</v>
      </c>
      <c r="H3797" s="8">
        <v>118</v>
      </c>
      <c r="J3797" t="s">
        <v>23</v>
      </c>
      <c r="K3797" s="7">
        <v>1353</v>
      </c>
      <c r="L3797" s="9">
        <v>1</v>
      </c>
      <c r="M3797" t="s">
        <v>2992</v>
      </c>
      <c r="N3797" t="s">
        <v>110</v>
      </c>
      <c r="O3797" s="27" t="str">
        <f>HYPERLINK("https://www.ncbi.nlm.nih.gov/nuccore/NZ_MUME01000005.1?report=graph&amp;from=30129&amp;to=30133", "TTA_codon")</f>
        <v>TTA_codon</v>
      </c>
    </row>
    <row r="3798" spans="1:15" x14ac:dyDescent="0.15">
      <c r="A3798" t="s">
        <v>21</v>
      </c>
      <c r="B3798" t="s">
        <v>2993</v>
      </c>
    </row>
    <row r="3799" spans="1:15" x14ac:dyDescent="0.15">
      <c r="A3799" t="s">
        <v>21</v>
      </c>
      <c r="B3799">
        <v>1001446</v>
      </c>
      <c r="C3799">
        <v>363622</v>
      </c>
      <c r="F3799" s="7">
        <v>1</v>
      </c>
      <c r="G3799" s="7">
        <v>892</v>
      </c>
      <c r="H3799" s="8">
        <v>892</v>
      </c>
      <c r="J3799" t="s">
        <v>23</v>
      </c>
      <c r="K3799" s="7">
        <v>2364</v>
      </c>
      <c r="L3799" s="9">
        <v>-1</v>
      </c>
      <c r="M3799" t="s">
        <v>101</v>
      </c>
      <c r="N3799" t="s">
        <v>102</v>
      </c>
      <c r="O3799" s="27" t="str">
        <f>HYPERLINK("https://www.ncbi.nlm.nih.gov/nuccore/NZ_CP019458.1?report=graph&amp;from=7479512&amp;to=7479516", "TTA_codon")</f>
        <v>TTA_codon</v>
      </c>
    </row>
    <row r="3800" spans="1:15" x14ac:dyDescent="0.15">
      <c r="A3800" t="s">
        <v>21</v>
      </c>
      <c r="B3800">
        <v>1001446</v>
      </c>
      <c r="C3800">
        <v>365595</v>
      </c>
      <c r="F3800" s="7">
        <v>1</v>
      </c>
      <c r="G3800" s="7">
        <v>892</v>
      </c>
      <c r="H3800" s="8">
        <v>841</v>
      </c>
      <c r="J3800" t="s">
        <v>23</v>
      </c>
      <c r="K3800" s="7">
        <v>2313</v>
      </c>
      <c r="L3800" s="9">
        <v>-1</v>
      </c>
      <c r="M3800" t="s">
        <v>213</v>
      </c>
      <c r="N3800" t="s">
        <v>214</v>
      </c>
      <c r="O3800" s="27" t="str">
        <f>HYPERLINK("https://www.ncbi.nlm.nih.gov/nuccore/NZ_FNST01000002.1?report=graph&amp;from=4935300&amp;to=4935304", "TTA_codon")</f>
        <v>TTA_codon</v>
      </c>
    </row>
    <row r="3801" spans="1:15" x14ac:dyDescent="0.15">
      <c r="A3801" t="s">
        <v>21</v>
      </c>
      <c r="B3801" t="s">
        <v>2994</v>
      </c>
    </row>
    <row r="3802" spans="1:15" x14ac:dyDescent="0.15">
      <c r="A3802" t="s">
        <v>21</v>
      </c>
      <c r="B3802">
        <v>1000429</v>
      </c>
      <c r="C3802">
        <v>348681</v>
      </c>
      <c r="F3802" s="7">
        <v>1</v>
      </c>
      <c r="G3802" s="7">
        <v>268</v>
      </c>
      <c r="H3802" s="8">
        <v>256</v>
      </c>
      <c r="J3802" t="s">
        <v>23</v>
      </c>
      <c r="K3802" s="7">
        <v>1143</v>
      </c>
      <c r="L3802" s="9">
        <v>-1</v>
      </c>
      <c r="M3802" t="s">
        <v>211</v>
      </c>
      <c r="N3802" t="s">
        <v>212</v>
      </c>
      <c r="O3802" s="27" t="str">
        <f>HYPERLINK("https://www.ncbi.nlm.nih.gov/nuccore/NZ_GG657754.1?report=graph&amp;from=4298623&amp;to=4298627", "TTA_codon")</f>
        <v>TTA_codon</v>
      </c>
    </row>
    <row r="3803" spans="1:15" x14ac:dyDescent="0.15">
      <c r="A3803" t="s">
        <v>21</v>
      </c>
      <c r="B3803">
        <v>1000429</v>
      </c>
      <c r="C3803">
        <v>354795</v>
      </c>
      <c r="F3803" s="7">
        <v>1</v>
      </c>
      <c r="G3803" s="7">
        <v>403</v>
      </c>
      <c r="H3803" s="8">
        <v>403</v>
      </c>
      <c r="J3803" t="s">
        <v>23</v>
      </c>
      <c r="K3803" s="7">
        <v>1164</v>
      </c>
      <c r="L3803" s="9">
        <v>-1</v>
      </c>
      <c r="M3803" t="s">
        <v>1033</v>
      </c>
      <c r="N3803" t="s">
        <v>25</v>
      </c>
      <c r="O3803" s="27" t="str">
        <f>HYPERLINK("https://www.ncbi.nlm.nih.gov/nuccore/NZ_JOFU01000010.1?report=graph&amp;from=86641&amp;to=86645", "TTA_codon")</f>
        <v>TTA_codon</v>
      </c>
    </row>
    <row r="3804" spans="1:15" x14ac:dyDescent="0.15">
      <c r="A3804" t="s">
        <v>195</v>
      </c>
      <c r="B3804" t="s">
        <v>2995</v>
      </c>
    </row>
    <row r="3805" spans="1:15" x14ac:dyDescent="0.15">
      <c r="A3805" t="s">
        <v>195</v>
      </c>
      <c r="B3805">
        <v>1000046</v>
      </c>
      <c r="C3805">
        <v>346228</v>
      </c>
      <c r="F3805" s="7">
        <v>1</v>
      </c>
      <c r="G3805" s="7">
        <v>319</v>
      </c>
      <c r="H3805" s="8">
        <v>307</v>
      </c>
      <c r="J3805" t="s">
        <v>23</v>
      </c>
      <c r="K3805" s="7">
        <v>834</v>
      </c>
      <c r="L3805" s="9">
        <v>1</v>
      </c>
      <c r="M3805" t="s">
        <v>2996</v>
      </c>
      <c r="N3805" t="s">
        <v>138</v>
      </c>
      <c r="O3805" s="27" t="str">
        <f>HYPERLINK("https://www.ncbi.nlm.nih.gov/nuccore/NZ_KB889647.1?report=graph&amp;from=503&amp;to=507", "TTA_codon")</f>
        <v>TTA_codon</v>
      </c>
    </row>
    <row r="3806" spans="1:15" x14ac:dyDescent="0.15">
      <c r="A3806" t="s">
        <v>21</v>
      </c>
      <c r="B3806">
        <v>1000046</v>
      </c>
      <c r="C3806">
        <v>356829</v>
      </c>
      <c r="F3806" s="7">
        <v>1</v>
      </c>
      <c r="G3806" s="7">
        <v>286</v>
      </c>
      <c r="H3806" s="8">
        <v>268</v>
      </c>
      <c r="J3806" t="s">
        <v>23</v>
      </c>
      <c r="K3806" s="7">
        <v>819</v>
      </c>
      <c r="L3806" s="9">
        <v>1</v>
      </c>
      <c r="M3806" t="s">
        <v>78</v>
      </c>
      <c r="N3806" t="s">
        <v>79</v>
      </c>
      <c r="O3806" s="27" t="str">
        <f>HYPERLINK("https://www.ncbi.nlm.nih.gov/nuccore/NZ_CP009313.1?report=graph&amp;from=6984739&amp;to=6984743", "TTA_codon")</f>
        <v>TTA_codon</v>
      </c>
    </row>
    <row r="3807" spans="1:15" x14ac:dyDescent="0.15">
      <c r="A3807" t="s">
        <v>21</v>
      </c>
      <c r="B3807">
        <v>1000046</v>
      </c>
      <c r="C3807">
        <v>357411</v>
      </c>
      <c r="F3807" s="7">
        <v>1</v>
      </c>
      <c r="G3807" s="7">
        <v>196</v>
      </c>
      <c r="H3807" s="8">
        <v>178</v>
      </c>
      <c r="J3807" t="s">
        <v>23</v>
      </c>
      <c r="K3807" s="7">
        <v>828</v>
      </c>
      <c r="L3807" s="9">
        <v>1</v>
      </c>
      <c r="M3807" t="s">
        <v>1098</v>
      </c>
      <c r="N3807" t="s">
        <v>81</v>
      </c>
      <c r="O3807" s="27" t="str">
        <f>HYPERLINK("https://www.ncbi.nlm.nih.gov/nuccore/NZ_LN831789.1?report=graph&amp;from=18685&amp;to=18689", "TTA_codon")</f>
        <v>TTA_codon</v>
      </c>
    </row>
    <row r="3808" spans="1:15" x14ac:dyDescent="0.15">
      <c r="A3808" t="s">
        <v>21</v>
      </c>
      <c r="B3808">
        <v>1000046</v>
      </c>
      <c r="C3808">
        <v>360892</v>
      </c>
      <c r="F3808" s="7">
        <v>2</v>
      </c>
      <c r="G3808" s="7" t="s">
        <v>2997</v>
      </c>
      <c r="H3808" s="8" t="s">
        <v>2998</v>
      </c>
      <c r="J3808" t="s">
        <v>23</v>
      </c>
      <c r="K3808" s="7">
        <v>675</v>
      </c>
      <c r="L3808" s="9">
        <v>1</v>
      </c>
      <c r="M3808" t="s">
        <v>2139</v>
      </c>
      <c r="N3808" t="s">
        <v>97</v>
      </c>
      <c r="O3808" s="27" t="str">
        <f>HYPERLINK("https://www.ncbi.nlm.nih.gov/nuccore/NZ_LOHS01000156.1?report=graph&amp;from=115405&amp;to=115805", "TTA_codon")</f>
        <v>TTA_codon</v>
      </c>
    </row>
    <row r="3809" spans="1:15" x14ac:dyDescent="0.15">
      <c r="A3809" t="s">
        <v>21</v>
      </c>
      <c r="B3809">
        <v>1000046</v>
      </c>
      <c r="C3809">
        <v>360925</v>
      </c>
      <c r="F3809" s="7">
        <v>1</v>
      </c>
      <c r="G3809" s="7">
        <v>55</v>
      </c>
      <c r="H3809" s="8">
        <v>52</v>
      </c>
      <c r="J3809" t="s">
        <v>23</v>
      </c>
      <c r="K3809" s="7">
        <v>825</v>
      </c>
      <c r="L3809" s="9">
        <v>1</v>
      </c>
      <c r="M3809" t="s">
        <v>1250</v>
      </c>
      <c r="N3809" t="s">
        <v>97</v>
      </c>
      <c r="O3809" s="27" t="str">
        <f>HYPERLINK("https://www.ncbi.nlm.nih.gov/nuccore/NZ_LOHS01000076.1?report=graph&amp;from=27428&amp;to=27432", "TTA_codon")</f>
        <v>TTA_codon</v>
      </c>
    </row>
    <row r="3810" spans="1:15" x14ac:dyDescent="0.15">
      <c r="A3810" t="s">
        <v>21</v>
      </c>
      <c r="B3810">
        <v>1000046</v>
      </c>
      <c r="C3810">
        <v>361549</v>
      </c>
      <c r="F3810" s="7">
        <v>2</v>
      </c>
      <c r="G3810" s="7" t="s">
        <v>2999</v>
      </c>
      <c r="H3810" s="8" t="s">
        <v>3000</v>
      </c>
      <c r="J3810" t="s">
        <v>23</v>
      </c>
      <c r="K3810" s="7">
        <v>846</v>
      </c>
      <c r="L3810" s="9">
        <v>1</v>
      </c>
      <c r="M3810" t="s">
        <v>37</v>
      </c>
      <c r="N3810" t="s">
        <v>38</v>
      </c>
      <c r="O3810" s="27" t="str">
        <f>HYPERLINK("https://www.ncbi.nlm.nih.gov/nuccore/NZ_CP011533.1?report=graph&amp;from=180968&amp;to=181254", "TTA_codon")</f>
        <v>TTA_codon</v>
      </c>
    </row>
    <row r="3811" spans="1:15" x14ac:dyDescent="0.15">
      <c r="A3811" t="s">
        <v>21</v>
      </c>
      <c r="B3811">
        <v>1000046</v>
      </c>
      <c r="C3811">
        <v>361550</v>
      </c>
      <c r="F3811" s="7">
        <v>2</v>
      </c>
      <c r="G3811" s="7" t="s">
        <v>2999</v>
      </c>
      <c r="H3811" s="8" t="s">
        <v>3000</v>
      </c>
      <c r="J3811" t="s">
        <v>23</v>
      </c>
      <c r="K3811" s="7">
        <v>846</v>
      </c>
      <c r="L3811" s="9">
        <v>1</v>
      </c>
      <c r="M3811" t="s">
        <v>37</v>
      </c>
      <c r="N3811" t="s">
        <v>38</v>
      </c>
      <c r="O3811" s="27" t="str">
        <f>HYPERLINK("https://www.ncbi.nlm.nih.gov/nuccore/NZ_CP011533.1?report=graph&amp;from=293857&amp;to=294143", "TTA_codon")</f>
        <v>TTA_codon</v>
      </c>
    </row>
    <row r="3812" spans="1:15" x14ac:dyDescent="0.15">
      <c r="A3812" t="s">
        <v>21</v>
      </c>
      <c r="B3812">
        <v>1000046</v>
      </c>
      <c r="C3812">
        <v>361551</v>
      </c>
      <c r="F3812" s="7">
        <v>1</v>
      </c>
      <c r="G3812" s="7">
        <v>286</v>
      </c>
      <c r="H3812" s="8">
        <v>268</v>
      </c>
      <c r="J3812" t="s">
        <v>23</v>
      </c>
      <c r="K3812" s="7">
        <v>810</v>
      </c>
      <c r="L3812" s="9">
        <v>1</v>
      </c>
      <c r="M3812" t="s">
        <v>37</v>
      </c>
      <c r="N3812" t="s">
        <v>38</v>
      </c>
      <c r="O3812" s="27" t="str">
        <f>HYPERLINK("https://www.ncbi.nlm.nih.gov/nuccore/NZ_CP011533.1?report=graph&amp;from=504711&amp;to=504715", "TTA_codon")</f>
        <v>TTA_codon</v>
      </c>
    </row>
    <row r="3813" spans="1:15" x14ac:dyDescent="0.15">
      <c r="A3813" t="s">
        <v>21</v>
      </c>
      <c r="B3813">
        <v>1000046</v>
      </c>
      <c r="C3813">
        <v>361552</v>
      </c>
      <c r="F3813" s="7">
        <v>2</v>
      </c>
      <c r="G3813" s="7" t="s">
        <v>2999</v>
      </c>
      <c r="H3813" s="8" t="s">
        <v>3001</v>
      </c>
      <c r="J3813" t="s">
        <v>23</v>
      </c>
      <c r="K3813" s="7">
        <v>810</v>
      </c>
      <c r="L3813" s="9">
        <v>1</v>
      </c>
      <c r="M3813" t="s">
        <v>37</v>
      </c>
      <c r="N3813" t="s">
        <v>38</v>
      </c>
      <c r="O3813" s="27" t="str">
        <f>HYPERLINK("https://www.ncbi.nlm.nih.gov/nuccore/NZ_CP011533.1?report=graph&amp;from=9495754&amp;to=9496034", "TTA_codon")</f>
        <v>TTA_codon</v>
      </c>
    </row>
    <row r="3814" spans="1:15" x14ac:dyDescent="0.15">
      <c r="A3814" t="s">
        <v>21</v>
      </c>
      <c r="B3814">
        <v>1000046</v>
      </c>
      <c r="C3814">
        <v>363437</v>
      </c>
      <c r="F3814" s="7">
        <v>1</v>
      </c>
      <c r="G3814" s="7">
        <v>298</v>
      </c>
      <c r="H3814" s="8">
        <v>295</v>
      </c>
      <c r="J3814" t="s">
        <v>23</v>
      </c>
      <c r="K3814" s="7">
        <v>855</v>
      </c>
      <c r="L3814" s="9">
        <v>1</v>
      </c>
      <c r="M3814" t="s">
        <v>157</v>
      </c>
      <c r="N3814" t="s">
        <v>158</v>
      </c>
      <c r="O3814" s="27" t="str">
        <f>HYPERLINK("https://www.ncbi.nlm.nih.gov/nuccore/NZ_CP015588.1?report=graph&amp;from=1746051&amp;to=1746055", "TTA_codon")</f>
        <v>TTA_codon</v>
      </c>
    </row>
    <row r="3815" spans="1:15" x14ac:dyDescent="0.15">
      <c r="A3815" t="s">
        <v>21</v>
      </c>
      <c r="B3815" t="s">
        <v>3002</v>
      </c>
    </row>
    <row r="3816" spans="1:15" x14ac:dyDescent="0.15">
      <c r="A3816" t="s">
        <v>21</v>
      </c>
      <c r="B3816">
        <v>1000848</v>
      </c>
      <c r="C3816">
        <v>351846</v>
      </c>
      <c r="F3816" s="7">
        <v>1</v>
      </c>
      <c r="G3816" s="7">
        <v>247</v>
      </c>
      <c r="H3816" s="8">
        <v>232</v>
      </c>
      <c r="J3816" t="s">
        <v>23</v>
      </c>
      <c r="K3816" s="7">
        <v>987</v>
      </c>
      <c r="L3816" s="9">
        <v>-1</v>
      </c>
      <c r="M3816" t="s">
        <v>3003</v>
      </c>
      <c r="N3816" t="s">
        <v>68</v>
      </c>
      <c r="O3816" s="27" t="str">
        <f>HYPERLINK("https://www.ncbi.nlm.nih.gov/nuccore/NZ_BARG01000084.1?report=graph&amp;from=21428&amp;to=21432", "TTA_codon")</f>
        <v>TTA_codon</v>
      </c>
    </row>
    <row r="3817" spans="1:15" x14ac:dyDescent="0.15">
      <c r="A3817" t="s">
        <v>21</v>
      </c>
      <c r="B3817">
        <v>1000848</v>
      </c>
      <c r="C3817">
        <v>352453</v>
      </c>
      <c r="F3817" s="7">
        <v>1</v>
      </c>
      <c r="G3817" s="7">
        <v>118</v>
      </c>
      <c r="H3817" s="8">
        <v>67</v>
      </c>
      <c r="J3817" t="s">
        <v>23</v>
      </c>
      <c r="K3817" s="7">
        <v>1011</v>
      </c>
      <c r="L3817" s="9">
        <v>-1</v>
      </c>
      <c r="M3817" t="s">
        <v>30</v>
      </c>
      <c r="N3817" t="s">
        <v>31</v>
      </c>
      <c r="O3817" s="27" t="str">
        <f>HYPERLINK("https://www.ncbi.nlm.nih.gov/nuccore/NZ_KB913030.1?report=graph&amp;from=5024306&amp;to=5024310", "TTA_codon")</f>
        <v>TTA_codon</v>
      </c>
    </row>
    <row r="3818" spans="1:15" x14ac:dyDescent="0.15">
      <c r="A3818" t="s">
        <v>21</v>
      </c>
      <c r="B3818">
        <v>1000848</v>
      </c>
      <c r="C3818">
        <v>353291</v>
      </c>
      <c r="F3818" s="7">
        <v>1</v>
      </c>
      <c r="G3818" s="7">
        <v>247</v>
      </c>
      <c r="H3818" s="8">
        <v>232</v>
      </c>
      <c r="J3818" t="s">
        <v>23</v>
      </c>
      <c r="K3818" s="7">
        <v>987</v>
      </c>
      <c r="L3818" s="9">
        <v>-1</v>
      </c>
      <c r="M3818" t="s">
        <v>3004</v>
      </c>
      <c r="N3818" t="s">
        <v>169</v>
      </c>
      <c r="O3818" s="27" t="str">
        <f>HYPERLINK("https://www.ncbi.nlm.nih.gov/nuccore/NZ_JNWJ01000046.1?report=graph&amp;from=63850&amp;to=63854", "TTA_codon")</f>
        <v>TTA_codon</v>
      </c>
    </row>
    <row r="3819" spans="1:15" x14ac:dyDescent="0.15">
      <c r="A3819" t="s">
        <v>21</v>
      </c>
      <c r="B3819">
        <v>1000848</v>
      </c>
      <c r="C3819">
        <v>358857</v>
      </c>
      <c r="F3819" s="7">
        <v>1</v>
      </c>
      <c r="G3819" s="7">
        <v>247</v>
      </c>
      <c r="H3819" s="8">
        <v>232</v>
      </c>
      <c r="J3819" t="s">
        <v>23</v>
      </c>
      <c r="K3819" s="7">
        <v>987</v>
      </c>
      <c r="L3819" s="9">
        <v>-1</v>
      </c>
      <c r="M3819" t="s">
        <v>758</v>
      </c>
      <c r="N3819" t="s">
        <v>87</v>
      </c>
      <c r="O3819" s="27" t="str">
        <f>HYPERLINK("https://www.ncbi.nlm.nih.gov/nuccore/NZ_LIQS01000107.1?report=graph&amp;from=18334&amp;to=18338", "TTA_codon")</f>
        <v>TTA_codon</v>
      </c>
    </row>
    <row r="3820" spans="1:15" x14ac:dyDescent="0.15">
      <c r="A3820" t="s">
        <v>21</v>
      </c>
      <c r="B3820">
        <v>1000848</v>
      </c>
      <c r="C3820">
        <v>359098</v>
      </c>
      <c r="F3820" s="7">
        <v>1</v>
      </c>
      <c r="G3820" s="7">
        <v>247</v>
      </c>
      <c r="H3820" s="8">
        <v>247</v>
      </c>
      <c r="J3820" t="s">
        <v>23</v>
      </c>
      <c r="K3820" s="7">
        <v>1002</v>
      </c>
      <c r="L3820" s="9">
        <v>-1</v>
      </c>
      <c r="M3820" t="s">
        <v>759</v>
      </c>
      <c r="N3820" t="s">
        <v>451</v>
      </c>
      <c r="O3820" s="27" t="str">
        <f>HYPERLINK("https://www.ncbi.nlm.nih.gov/nuccore/NZ_LIQZ01000162.1?report=graph&amp;from=17910&amp;to=17914", "TTA_codon")</f>
        <v>TTA_codon</v>
      </c>
    </row>
    <row r="3821" spans="1:15" x14ac:dyDescent="0.15">
      <c r="A3821" t="s">
        <v>21</v>
      </c>
      <c r="B3821" t="s">
        <v>3005</v>
      </c>
    </row>
    <row r="3822" spans="1:15" x14ac:dyDescent="0.15">
      <c r="A3822" t="s">
        <v>21</v>
      </c>
      <c r="B3822">
        <v>1000255</v>
      </c>
      <c r="C3822">
        <v>347681</v>
      </c>
      <c r="F3822" s="7">
        <v>1</v>
      </c>
      <c r="G3822" s="7">
        <v>625</v>
      </c>
      <c r="H3822" s="8">
        <v>565</v>
      </c>
      <c r="J3822" t="s">
        <v>23</v>
      </c>
      <c r="K3822" s="7">
        <v>1002</v>
      </c>
      <c r="L3822" s="9">
        <v>1</v>
      </c>
      <c r="M3822" t="s">
        <v>55</v>
      </c>
      <c r="N3822" t="s">
        <v>56</v>
      </c>
      <c r="O3822" s="27" t="str">
        <f>HYPERLINK("https://www.ncbi.nlm.nih.gov/nuccore/NC_010572.1?report=graph&amp;from=1072371&amp;to=1072375", "TTA_codon")</f>
        <v>TTA_codon</v>
      </c>
    </row>
    <row r="3823" spans="1:15" x14ac:dyDescent="0.15">
      <c r="A3823" t="s">
        <v>21</v>
      </c>
      <c r="B3823">
        <v>1000255</v>
      </c>
      <c r="C3823">
        <v>349838</v>
      </c>
      <c r="F3823" s="7">
        <v>1</v>
      </c>
      <c r="G3823" s="7">
        <v>691</v>
      </c>
      <c r="H3823" s="8">
        <v>679</v>
      </c>
      <c r="J3823" t="s">
        <v>23</v>
      </c>
      <c r="K3823" s="7">
        <v>1071</v>
      </c>
      <c r="L3823" s="9">
        <v>1</v>
      </c>
      <c r="M3823" t="s">
        <v>265</v>
      </c>
      <c r="N3823" t="s">
        <v>266</v>
      </c>
      <c r="O3823" s="27" t="str">
        <f>HYPERLINK("https://www.ncbi.nlm.nih.gov/nuccore/NC_017586.1?report=graph&amp;from=5892340&amp;to=5892344", "TTA_codon")</f>
        <v>TTA_codon</v>
      </c>
    </row>
    <row r="3824" spans="1:15" x14ac:dyDescent="0.15">
      <c r="A3824" t="s">
        <v>21</v>
      </c>
      <c r="B3824">
        <v>1000255</v>
      </c>
      <c r="C3824">
        <v>352542</v>
      </c>
      <c r="F3824" s="7">
        <v>1</v>
      </c>
      <c r="G3824" s="7">
        <v>625</v>
      </c>
      <c r="H3824" s="8">
        <v>604</v>
      </c>
      <c r="J3824" t="s">
        <v>23</v>
      </c>
      <c r="K3824" s="7">
        <v>1068</v>
      </c>
      <c r="L3824" s="9">
        <v>1</v>
      </c>
      <c r="M3824" t="s">
        <v>30</v>
      </c>
      <c r="N3824" t="s">
        <v>31</v>
      </c>
      <c r="O3824" s="27" t="str">
        <f>HYPERLINK("https://www.ncbi.nlm.nih.gov/nuccore/NZ_KB913030.1?report=graph&amp;from=7301147&amp;to=7301151", "TTA_codon")</f>
        <v>TTA_codon</v>
      </c>
    </row>
    <row r="3825" spans="1:15" x14ac:dyDescent="0.15">
      <c r="A3825" t="s">
        <v>21</v>
      </c>
      <c r="B3825">
        <v>1000255</v>
      </c>
      <c r="C3825">
        <v>356779</v>
      </c>
      <c r="F3825" s="7">
        <v>1</v>
      </c>
      <c r="G3825" s="7">
        <v>553</v>
      </c>
      <c r="H3825" s="8">
        <v>475</v>
      </c>
      <c r="J3825" t="s">
        <v>23</v>
      </c>
      <c r="K3825" s="7">
        <v>975</v>
      </c>
      <c r="L3825" s="9">
        <v>1</v>
      </c>
      <c r="M3825" t="s">
        <v>147</v>
      </c>
      <c r="N3825" t="s">
        <v>148</v>
      </c>
      <c r="O3825" s="27" t="str">
        <f>HYPERLINK("https://www.ncbi.nlm.nih.gov/nuccore/NZ_CP021080.1?report=graph&amp;from=598312&amp;to=598316", "TTA_codon")</f>
        <v>TTA_codon</v>
      </c>
    </row>
    <row r="3826" spans="1:15" x14ac:dyDescent="0.15">
      <c r="A3826" t="s">
        <v>21</v>
      </c>
      <c r="B3826">
        <v>1000255</v>
      </c>
      <c r="C3826">
        <v>357581</v>
      </c>
      <c r="F3826" s="7">
        <v>1</v>
      </c>
      <c r="G3826" s="7">
        <v>598</v>
      </c>
      <c r="H3826" s="8">
        <v>472</v>
      </c>
      <c r="J3826" t="s">
        <v>23</v>
      </c>
      <c r="K3826" s="7">
        <v>993</v>
      </c>
      <c r="L3826" s="9">
        <v>1</v>
      </c>
      <c r="M3826" t="s">
        <v>377</v>
      </c>
      <c r="N3826" t="s">
        <v>378</v>
      </c>
      <c r="O3826" s="27" t="str">
        <f>HYPERLINK("https://www.ncbi.nlm.nih.gov/nuccore/NZ_LFXA01000009.1?report=graph&amp;from=689940&amp;to=689944", "TTA_codon")</f>
        <v>TTA_codon</v>
      </c>
    </row>
    <row r="3827" spans="1:15" x14ac:dyDescent="0.15">
      <c r="A3827" t="s">
        <v>195</v>
      </c>
      <c r="B3827" t="s">
        <v>3006</v>
      </c>
    </row>
    <row r="3828" spans="1:15" x14ac:dyDescent="0.15">
      <c r="A3828" t="s">
        <v>195</v>
      </c>
      <c r="B3828">
        <v>1000676</v>
      </c>
      <c r="C3828">
        <v>346261</v>
      </c>
      <c r="F3828" s="7">
        <v>1</v>
      </c>
      <c r="G3828" s="7">
        <v>709</v>
      </c>
      <c r="H3828" s="8">
        <v>568</v>
      </c>
      <c r="J3828" t="s">
        <v>23</v>
      </c>
      <c r="K3828" s="7">
        <v>825</v>
      </c>
      <c r="L3828" s="9">
        <v>1</v>
      </c>
      <c r="M3828" t="s">
        <v>1517</v>
      </c>
      <c r="N3828" t="s">
        <v>70</v>
      </c>
      <c r="O3828" s="27" t="str">
        <f>HYPERLINK("https://www.ncbi.nlm.nih.gov/nuccore/NZ_KB904680.1?report=graph&amp;from=106419&amp;to=106423", "TTA_codon")</f>
        <v>TTA_codon</v>
      </c>
    </row>
    <row r="3829" spans="1:15" x14ac:dyDescent="0.15">
      <c r="A3829" t="s">
        <v>21</v>
      </c>
      <c r="B3829">
        <v>1000676</v>
      </c>
      <c r="C3829">
        <v>348146</v>
      </c>
      <c r="F3829" s="7">
        <v>1</v>
      </c>
      <c r="G3829" s="7">
        <v>337</v>
      </c>
      <c r="H3829" s="8">
        <v>301</v>
      </c>
      <c r="J3829" t="s">
        <v>23</v>
      </c>
      <c r="K3829" s="7">
        <v>906</v>
      </c>
      <c r="L3829" s="9">
        <v>1</v>
      </c>
      <c r="M3829" t="s">
        <v>59</v>
      </c>
      <c r="N3829" t="s">
        <v>60</v>
      </c>
      <c r="O3829" s="27" t="str">
        <f>HYPERLINK("https://www.ncbi.nlm.nih.gov/nuccore/NC_016582.1?report=graph&amp;from=9556335&amp;to=9556339", "TTA_codon")</f>
        <v>TTA_codon</v>
      </c>
    </row>
    <row r="3830" spans="1:15" x14ac:dyDescent="0.15">
      <c r="A3830" t="s">
        <v>21</v>
      </c>
      <c r="B3830">
        <v>1000676</v>
      </c>
      <c r="C3830">
        <v>348859</v>
      </c>
      <c r="F3830" s="7">
        <v>1</v>
      </c>
      <c r="G3830" s="7">
        <v>811</v>
      </c>
      <c r="H3830" s="8">
        <v>655</v>
      </c>
      <c r="J3830" t="s">
        <v>23</v>
      </c>
      <c r="K3830" s="7">
        <v>819</v>
      </c>
      <c r="L3830" s="9">
        <v>1</v>
      </c>
      <c r="M3830" t="s">
        <v>211</v>
      </c>
      <c r="N3830" t="s">
        <v>212</v>
      </c>
      <c r="O3830" s="27" t="str">
        <f>HYPERLINK("https://www.ncbi.nlm.nih.gov/nuccore/NZ_GG657754.1?report=graph&amp;from=2107929&amp;to=2107933", "TTA_codon")</f>
        <v>TTA_codon</v>
      </c>
    </row>
    <row r="3831" spans="1:15" x14ac:dyDescent="0.15">
      <c r="A3831" t="s">
        <v>21</v>
      </c>
      <c r="B3831">
        <v>1000676</v>
      </c>
      <c r="C3831">
        <v>348860</v>
      </c>
      <c r="F3831" s="7">
        <v>1</v>
      </c>
      <c r="G3831" s="7">
        <v>811</v>
      </c>
      <c r="H3831" s="8">
        <v>643</v>
      </c>
      <c r="J3831" t="s">
        <v>23</v>
      </c>
      <c r="K3831" s="7">
        <v>807</v>
      </c>
      <c r="L3831" s="9">
        <v>1</v>
      </c>
      <c r="M3831" t="s">
        <v>211</v>
      </c>
      <c r="N3831" t="s">
        <v>212</v>
      </c>
      <c r="O3831" s="27" t="str">
        <f>HYPERLINK("https://www.ncbi.nlm.nih.gov/nuccore/NZ_GG657754.1?report=graph&amp;from=2534068&amp;to=2534072", "TTA_codon")</f>
        <v>TTA_codon</v>
      </c>
    </row>
    <row r="3832" spans="1:15" x14ac:dyDescent="0.15">
      <c r="A3832" t="s">
        <v>21</v>
      </c>
      <c r="B3832">
        <v>1000676</v>
      </c>
      <c r="C3832">
        <v>350294</v>
      </c>
      <c r="F3832" s="7">
        <v>1</v>
      </c>
      <c r="G3832" s="7">
        <v>496</v>
      </c>
      <c r="H3832" s="8">
        <v>343</v>
      </c>
      <c r="J3832" t="s">
        <v>23</v>
      </c>
      <c r="K3832" s="7">
        <v>810</v>
      </c>
      <c r="L3832" s="9">
        <v>1</v>
      </c>
      <c r="M3832" t="s">
        <v>35</v>
      </c>
      <c r="N3832" t="s">
        <v>36</v>
      </c>
      <c r="O3832" s="27" t="str">
        <f>HYPERLINK("https://www.ncbi.nlm.nih.gov/nuccore/NZ_JH725387.1?report=graph&amp;from=1554830&amp;to=1554834", "TTA_codon")</f>
        <v>TTA_codon</v>
      </c>
    </row>
    <row r="3833" spans="1:15" x14ac:dyDescent="0.15">
      <c r="A3833" t="s">
        <v>21</v>
      </c>
      <c r="B3833">
        <v>1000676</v>
      </c>
      <c r="C3833">
        <v>350535</v>
      </c>
      <c r="F3833" s="7">
        <v>1</v>
      </c>
      <c r="G3833" s="7">
        <v>811</v>
      </c>
      <c r="H3833" s="8">
        <v>646</v>
      </c>
      <c r="J3833" t="s">
        <v>23</v>
      </c>
      <c r="K3833" s="7">
        <v>810</v>
      </c>
      <c r="L3833" s="9">
        <v>1</v>
      </c>
      <c r="M3833" t="s">
        <v>3007</v>
      </c>
      <c r="N3833" t="s">
        <v>134</v>
      </c>
      <c r="O3833" s="27" t="str">
        <f>HYPERLINK("https://www.ncbi.nlm.nih.gov/nuccore/NZ_AJSZ01000415.1?report=graph&amp;from=32329&amp;to=32333", "TTA_codon")</f>
        <v>TTA_codon</v>
      </c>
    </row>
    <row r="3834" spans="1:15" x14ac:dyDescent="0.15">
      <c r="A3834" t="s">
        <v>21</v>
      </c>
      <c r="B3834">
        <v>1000676</v>
      </c>
      <c r="C3834">
        <v>350787</v>
      </c>
      <c r="F3834" s="7">
        <v>1</v>
      </c>
      <c r="G3834" s="7">
        <v>709</v>
      </c>
      <c r="H3834" s="8">
        <v>220</v>
      </c>
      <c r="J3834" t="s">
        <v>23</v>
      </c>
      <c r="K3834" s="7">
        <v>483</v>
      </c>
      <c r="L3834" s="9">
        <v>1</v>
      </c>
      <c r="M3834" t="s">
        <v>3008</v>
      </c>
      <c r="N3834" t="s">
        <v>51</v>
      </c>
      <c r="O3834" s="27" t="str">
        <f>HYPERLINK("https://www.ncbi.nlm.nih.gov/nuccore/NZ_AEJB01000456.1?report=graph&amp;from=7194&amp;to=7198", "TTA_codon")</f>
        <v>TTA_codon</v>
      </c>
    </row>
    <row r="3835" spans="1:15" x14ac:dyDescent="0.15">
      <c r="A3835" t="s">
        <v>21</v>
      </c>
      <c r="B3835">
        <v>1000676</v>
      </c>
      <c r="C3835">
        <v>352604</v>
      </c>
      <c r="F3835" s="7">
        <v>1</v>
      </c>
      <c r="G3835" s="7">
        <v>544</v>
      </c>
      <c r="H3835" s="8">
        <v>439</v>
      </c>
      <c r="J3835" t="s">
        <v>23</v>
      </c>
      <c r="K3835" s="7">
        <v>855</v>
      </c>
      <c r="L3835" s="9">
        <v>1</v>
      </c>
      <c r="M3835" t="s">
        <v>1067</v>
      </c>
      <c r="N3835" t="s">
        <v>436</v>
      </c>
      <c r="O3835" s="27" t="str">
        <f>HYPERLINK("https://www.ncbi.nlm.nih.gov/nuccore/NZ_AUBE01000001.1?report=graph&amp;from=409968&amp;to=409972", "TTA_codon")</f>
        <v>TTA_codon</v>
      </c>
    </row>
    <row r="3836" spans="1:15" x14ac:dyDescent="0.15">
      <c r="A3836" t="s">
        <v>21</v>
      </c>
      <c r="B3836">
        <v>1000676</v>
      </c>
      <c r="C3836">
        <v>352917</v>
      </c>
      <c r="F3836" s="7">
        <v>1</v>
      </c>
      <c r="G3836" s="7">
        <v>667</v>
      </c>
      <c r="H3836" s="8">
        <v>496</v>
      </c>
      <c r="J3836" t="s">
        <v>23</v>
      </c>
      <c r="K3836" s="7">
        <v>801</v>
      </c>
      <c r="L3836" s="9">
        <v>1</v>
      </c>
      <c r="M3836" t="s">
        <v>3009</v>
      </c>
      <c r="N3836" t="s">
        <v>306</v>
      </c>
      <c r="O3836" s="27" t="str">
        <f>HYPERLINK("https://www.ncbi.nlm.nih.gov/nuccore/NZ_KL571139.1?report=graph&amp;from=18961&amp;to=18965", "TTA_codon")</f>
        <v>TTA_codon</v>
      </c>
    </row>
    <row r="3837" spans="1:15" x14ac:dyDescent="0.15">
      <c r="A3837" t="s">
        <v>21</v>
      </c>
      <c r="B3837">
        <v>1000676</v>
      </c>
      <c r="C3837">
        <v>356382</v>
      </c>
      <c r="F3837" s="7">
        <v>1</v>
      </c>
      <c r="G3837" s="7">
        <v>205</v>
      </c>
      <c r="H3837" s="8">
        <v>43</v>
      </c>
      <c r="J3837" t="s">
        <v>23</v>
      </c>
      <c r="K3837" s="7">
        <v>792</v>
      </c>
      <c r="L3837" s="9">
        <v>1</v>
      </c>
      <c r="M3837" t="s">
        <v>370</v>
      </c>
      <c r="N3837" t="s">
        <v>354</v>
      </c>
      <c r="O3837" s="27" t="str">
        <f>HYPERLINK("https://www.ncbi.nlm.nih.gov/nuccore/NZ_KN050729.1?report=graph&amp;from=591485&amp;to=591489", "TTA_codon")</f>
        <v>TTA_codon</v>
      </c>
    </row>
    <row r="3838" spans="1:15" x14ac:dyDescent="0.15">
      <c r="A3838" t="s">
        <v>21</v>
      </c>
      <c r="B3838">
        <v>1000676</v>
      </c>
      <c r="C3838">
        <v>356383</v>
      </c>
      <c r="F3838" s="7">
        <v>1</v>
      </c>
      <c r="G3838" s="7">
        <v>439</v>
      </c>
      <c r="H3838" s="8">
        <v>319</v>
      </c>
      <c r="J3838" t="s">
        <v>23</v>
      </c>
      <c r="K3838" s="7">
        <v>840</v>
      </c>
      <c r="L3838" s="9">
        <v>1</v>
      </c>
      <c r="M3838" t="s">
        <v>1843</v>
      </c>
      <c r="N3838" t="s">
        <v>354</v>
      </c>
      <c r="O3838" s="27" t="str">
        <f>HYPERLINK("https://www.ncbi.nlm.nih.gov/nuccore/NZ_JQJU01000007.1?report=graph&amp;from=179578&amp;to=179582", "TTA_codon")</f>
        <v>TTA_codon</v>
      </c>
    </row>
    <row r="3839" spans="1:15" x14ac:dyDescent="0.15">
      <c r="A3839" t="s">
        <v>21</v>
      </c>
      <c r="B3839">
        <v>1000676</v>
      </c>
      <c r="C3839">
        <v>358127</v>
      </c>
      <c r="F3839" s="7">
        <v>1</v>
      </c>
      <c r="G3839" s="7">
        <v>298</v>
      </c>
      <c r="H3839" s="8">
        <v>166</v>
      </c>
      <c r="J3839" t="s">
        <v>23</v>
      </c>
      <c r="K3839" s="7">
        <v>813</v>
      </c>
      <c r="L3839" s="9">
        <v>1</v>
      </c>
      <c r="M3839" t="s">
        <v>3010</v>
      </c>
      <c r="N3839" t="s">
        <v>119</v>
      </c>
      <c r="O3839" s="27" t="str">
        <f>HYPERLINK("https://www.ncbi.nlm.nih.gov/nuccore/NZ_LIPP01000316.1?report=graph&amp;from=3842&amp;to=3846", "TTA_codon")</f>
        <v>TTA_codon</v>
      </c>
    </row>
    <row r="3840" spans="1:15" x14ac:dyDescent="0.15">
      <c r="A3840" t="s">
        <v>21</v>
      </c>
      <c r="B3840">
        <v>1000676</v>
      </c>
      <c r="C3840">
        <v>359083</v>
      </c>
      <c r="F3840" s="7">
        <v>1</v>
      </c>
      <c r="G3840" s="7">
        <v>298</v>
      </c>
      <c r="H3840" s="8">
        <v>166</v>
      </c>
      <c r="J3840" t="s">
        <v>23</v>
      </c>
      <c r="K3840" s="7">
        <v>822</v>
      </c>
      <c r="L3840" s="9">
        <v>1</v>
      </c>
      <c r="M3840" t="s">
        <v>3011</v>
      </c>
      <c r="N3840" t="s">
        <v>451</v>
      </c>
      <c r="O3840" s="27" t="str">
        <f>HYPERLINK("https://www.ncbi.nlm.nih.gov/nuccore/NZ_LIQZ01000111.1?report=graph&amp;from=30464&amp;to=30468", "TTA_codon")</f>
        <v>TTA_codon</v>
      </c>
    </row>
    <row r="3841" spans="1:15" x14ac:dyDescent="0.15">
      <c r="A3841" t="s">
        <v>21</v>
      </c>
      <c r="B3841">
        <v>1000676</v>
      </c>
      <c r="C3841">
        <v>360096</v>
      </c>
      <c r="F3841" s="7">
        <v>2</v>
      </c>
      <c r="G3841" s="7" t="s">
        <v>3012</v>
      </c>
      <c r="H3841" s="8" t="s">
        <v>3013</v>
      </c>
      <c r="J3841" t="s">
        <v>23</v>
      </c>
      <c r="K3841" s="7">
        <v>897</v>
      </c>
      <c r="L3841" s="9">
        <v>1</v>
      </c>
      <c r="M3841" t="s">
        <v>496</v>
      </c>
      <c r="N3841" t="s">
        <v>125</v>
      </c>
      <c r="O3841" s="27" t="str">
        <f>HYPERLINK("https://www.ncbi.nlm.nih.gov/nuccore/NZ_KQ948454.1?report=graph&amp;from=491566&amp;to=491783", "TTA_codon")</f>
        <v>TTA_codon</v>
      </c>
    </row>
    <row r="3842" spans="1:15" x14ac:dyDescent="0.15">
      <c r="A3842" t="s">
        <v>21</v>
      </c>
      <c r="B3842">
        <v>1000676</v>
      </c>
      <c r="C3842">
        <v>360097</v>
      </c>
      <c r="F3842" s="7">
        <v>1</v>
      </c>
      <c r="G3842" s="7">
        <v>355</v>
      </c>
      <c r="H3842" s="8">
        <v>235</v>
      </c>
      <c r="J3842" t="s">
        <v>23</v>
      </c>
      <c r="K3842" s="7">
        <v>825</v>
      </c>
      <c r="L3842" s="9">
        <v>1</v>
      </c>
      <c r="M3842" t="s">
        <v>312</v>
      </c>
      <c r="N3842" t="s">
        <v>125</v>
      </c>
      <c r="O3842" s="27" t="str">
        <f>HYPERLINK("https://www.ncbi.nlm.nih.gov/nuccore/NZ_KQ948456.1?report=graph&amp;from=64672&amp;to=64676", "TTA_codon")</f>
        <v>TTA_codon</v>
      </c>
    </row>
    <row r="3843" spans="1:15" x14ac:dyDescent="0.15">
      <c r="A3843" t="s">
        <v>21</v>
      </c>
      <c r="B3843">
        <v>1000676</v>
      </c>
      <c r="C3843">
        <v>360098</v>
      </c>
      <c r="F3843" s="7">
        <v>1</v>
      </c>
      <c r="G3843" s="7">
        <v>496</v>
      </c>
      <c r="H3843" s="8">
        <v>349</v>
      </c>
      <c r="J3843" t="s">
        <v>23</v>
      </c>
      <c r="K3843" s="7">
        <v>822</v>
      </c>
      <c r="L3843" s="9">
        <v>1</v>
      </c>
      <c r="M3843" t="s">
        <v>1599</v>
      </c>
      <c r="N3843" t="s">
        <v>125</v>
      </c>
      <c r="O3843" s="27" t="str">
        <f>HYPERLINK("https://www.ncbi.nlm.nih.gov/nuccore/NZ_KQ948463.1?report=graph&amp;from=150993&amp;to=150997", "TTA_codon")</f>
        <v>TTA_codon</v>
      </c>
    </row>
    <row r="3844" spans="1:15" x14ac:dyDescent="0.15">
      <c r="A3844" t="s">
        <v>21</v>
      </c>
      <c r="B3844">
        <v>1000676</v>
      </c>
      <c r="C3844">
        <v>360936</v>
      </c>
      <c r="F3844" s="7">
        <v>1</v>
      </c>
      <c r="G3844" s="7">
        <v>481</v>
      </c>
      <c r="H3844" s="8">
        <v>349</v>
      </c>
      <c r="J3844" t="s">
        <v>23</v>
      </c>
      <c r="K3844" s="7">
        <v>828</v>
      </c>
      <c r="L3844" s="9">
        <v>1</v>
      </c>
      <c r="M3844" t="s">
        <v>3014</v>
      </c>
      <c r="N3844" t="s">
        <v>97</v>
      </c>
      <c r="O3844" s="27" t="str">
        <f>HYPERLINK("https://www.ncbi.nlm.nih.gov/nuccore/NZ_LOHS01000114.1?report=graph&amp;from=50969&amp;to=50973", "TTA_codon")</f>
        <v>TTA_codon</v>
      </c>
    </row>
    <row r="3845" spans="1:15" x14ac:dyDescent="0.15">
      <c r="A3845" t="s">
        <v>21</v>
      </c>
      <c r="B3845">
        <v>1000676</v>
      </c>
      <c r="C3845">
        <v>361634</v>
      </c>
      <c r="F3845" s="7">
        <v>1</v>
      </c>
      <c r="G3845" s="7">
        <v>205</v>
      </c>
      <c r="H3845" s="8">
        <v>97</v>
      </c>
      <c r="J3845" t="s">
        <v>23</v>
      </c>
      <c r="K3845" s="7">
        <v>834</v>
      </c>
      <c r="L3845" s="9">
        <v>1</v>
      </c>
      <c r="M3845" t="s">
        <v>37</v>
      </c>
      <c r="N3845" t="s">
        <v>38</v>
      </c>
      <c r="O3845" s="27" t="str">
        <f>HYPERLINK("https://www.ncbi.nlm.nih.gov/nuccore/NZ_CP011533.1?report=graph&amp;from=3036009&amp;to=3036013", "TTA_codon")</f>
        <v>TTA_codon</v>
      </c>
    </row>
    <row r="3846" spans="1:15" x14ac:dyDescent="0.15">
      <c r="A3846" t="s">
        <v>21</v>
      </c>
      <c r="B3846">
        <v>1000676</v>
      </c>
      <c r="C3846">
        <v>362241</v>
      </c>
      <c r="F3846" s="7">
        <v>1</v>
      </c>
      <c r="G3846" s="7">
        <v>496</v>
      </c>
      <c r="H3846" s="8">
        <v>334</v>
      </c>
      <c r="J3846" t="s">
        <v>23</v>
      </c>
      <c r="K3846" s="7">
        <v>807</v>
      </c>
      <c r="L3846" s="9">
        <v>1</v>
      </c>
      <c r="M3846" t="s">
        <v>39</v>
      </c>
      <c r="N3846" t="s">
        <v>40</v>
      </c>
      <c r="O3846" s="27" t="str">
        <f>HYPERLINK("https://www.ncbi.nlm.nih.gov/nuccore/NZ_CP017157.1?report=graph&amp;from=6583425&amp;to=6583429", "TTA_codon")</f>
        <v>TTA_codon</v>
      </c>
    </row>
    <row r="3847" spans="1:15" x14ac:dyDescent="0.15">
      <c r="A3847" t="s">
        <v>21</v>
      </c>
      <c r="B3847">
        <v>1000676</v>
      </c>
      <c r="C3847">
        <v>363472</v>
      </c>
      <c r="F3847" s="7">
        <v>1</v>
      </c>
      <c r="G3847" s="7">
        <v>793</v>
      </c>
      <c r="H3847" s="8">
        <v>649</v>
      </c>
      <c r="J3847" t="s">
        <v>23</v>
      </c>
      <c r="K3847" s="7">
        <v>831</v>
      </c>
      <c r="L3847" s="9">
        <v>1</v>
      </c>
      <c r="M3847" t="s">
        <v>157</v>
      </c>
      <c r="N3847" t="s">
        <v>158</v>
      </c>
      <c r="O3847" s="27" t="str">
        <f>HYPERLINK("https://www.ncbi.nlm.nih.gov/nuccore/NZ_CP015588.1?report=graph&amp;from=2098011&amp;to=2098015", "TTA_codon")</f>
        <v>TTA_codon</v>
      </c>
    </row>
    <row r="3848" spans="1:15" x14ac:dyDescent="0.15">
      <c r="A3848" t="s">
        <v>21</v>
      </c>
      <c r="B3848">
        <v>1000676</v>
      </c>
      <c r="C3848">
        <v>365956</v>
      </c>
      <c r="F3848" s="7">
        <v>2</v>
      </c>
      <c r="G3848" s="7" t="s">
        <v>3015</v>
      </c>
      <c r="H3848" s="8" t="s">
        <v>3016</v>
      </c>
      <c r="J3848" t="s">
        <v>23</v>
      </c>
      <c r="K3848" s="7">
        <v>801</v>
      </c>
      <c r="L3848" s="9">
        <v>1</v>
      </c>
      <c r="M3848" t="s">
        <v>834</v>
      </c>
      <c r="N3848" t="s">
        <v>115</v>
      </c>
      <c r="O3848" s="27" t="str">
        <f>HYPERLINK("https://www.ncbi.nlm.nih.gov/nuccore/NZ_FODD01000005.1?report=graph&amp;from=282002&amp;to=282306", "TTA_codon")</f>
        <v>TTA_codon</v>
      </c>
    </row>
    <row r="3849" spans="1:15" x14ac:dyDescent="0.15">
      <c r="A3849" t="s">
        <v>21</v>
      </c>
      <c r="B3849">
        <v>1000676</v>
      </c>
      <c r="C3849">
        <v>366412</v>
      </c>
      <c r="F3849" s="7">
        <v>1</v>
      </c>
      <c r="G3849" s="7">
        <v>355</v>
      </c>
      <c r="H3849" s="8">
        <v>256</v>
      </c>
      <c r="J3849" t="s">
        <v>23</v>
      </c>
      <c r="K3849" s="7">
        <v>855</v>
      </c>
      <c r="L3849" s="9">
        <v>1</v>
      </c>
      <c r="M3849" t="s">
        <v>2981</v>
      </c>
      <c r="N3849" t="s">
        <v>375</v>
      </c>
      <c r="O3849" s="27" t="str">
        <f>HYPERLINK("https://www.ncbi.nlm.nih.gov/nuccore/NZ_FONG01000014.1?report=graph&amp;from=163473&amp;to=163477", "TTA_codon")</f>
        <v>TTA_codon</v>
      </c>
    </row>
    <row r="3850" spans="1:15" x14ac:dyDescent="0.15">
      <c r="A3850" t="s">
        <v>21</v>
      </c>
      <c r="B3850">
        <v>1000676</v>
      </c>
      <c r="C3850">
        <v>366414</v>
      </c>
      <c r="F3850" s="7">
        <v>1</v>
      </c>
      <c r="G3850" s="7">
        <v>334</v>
      </c>
      <c r="H3850" s="8">
        <v>196</v>
      </c>
      <c r="J3850" t="s">
        <v>23</v>
      </c>
      <c r="K3850" s="7">
        <v>810</v>
      </c>
      <c r="L3850" s="9">
        <v>1</v>
      </c>
      <c r="M3850" t="s">
        <v>1595</v>
      </c>
      <c r="N3850" t="s">
        <v>375</v>
      </c>
      <c r="O3850" s="27" t="str">
        <f>HYPERLINK("https://www.ncbi.nlm.nih.gov/nuccore/NZ_FONG01000018.1?report=graph&amp;from=7839&amp;to=7843", "TTA_codon")</f>
        <v>TTA_codon</v>
      </c>
    </row>
    <row r="3851" spans="1:15" x14ac:dyDescent="0.15">
      <c r="A3851" t="s">
        <v>21</v>
      </c>
      <c r="B3851">
        <v>1000676</v>
      </c>
      <c r="C3851">
        <v>366595</v>
      </c>
      <c r="F3851" s="7">
        <v>1</v>
      </c>
      <c r="G3851" s="7">
        <v>355</v>
      </c>
      <c r="H3851" s="8">
        <v>259</v>
      </c>
      <c r="J3851" t="s">
        <v>23</v>
      </c>
      <c r="K3851" s="7">
        <v>858</v>
      </c>
      <c r="L3851" s="9">
        <v>1</v>
      </c>
      <c r="M3851" t="s">
        <v>3017</v>
      </c>
      <c r="N3851" t="s">
        <v>180</v>
      </c>
      <c r="O3851" s="27" t="str">
        <f>HYPERLINK("https://www.ncbi.nlm.nih.gov/nuccore/NZ_FRBI01000024.1?report=graph&amp;from=109097&amp;to=109101", "TTA_codon")</f>
        <v>TTA_codon</v>
      </c>
    </row>
    <row r="3852" spans="1:15" x14ac:dyDescent="0.15">
      <c r="A3852" t="s">
        <v>21</v>
      </c>
      <c r="B3852" t="s">
        <v>3018</v>
      </c>
    </row>
    <row r="3853" spans="1:15" x14ac:dyDescent="0.15">
      <c r="A3853" t="s">
        <v>21</v>
      </c>
      <c r="B3853">
        <v>1000372</v>
      </c>
      <c r="C3853">
        <v>348260</v>
      </c>
      <c r="F3853" s="7">
        <v>1</v>
      </c>
      <c r="G3853" s="7">
        <v>166</v>
      </c>
      <c r="H3853" s="8">
        <v>166</v>
      </c>
      <c r="J3853" t="s">
        <v>23</v>
      </c>
      <c r="K3853" s="7">
        <v>801</v>
      </c>
      <c r="L3853" s="9">
        <v>1</v>
      </c>
      <c r="M3853" t="s">
        <v>59</v>
      </c>
      <c r="N3853" t="s">
        <v>60</v>
      </c>
      <c r="O3853" s="27" t="str">
        <f>HYPERLINK("https://www.ncbi.nlm.nih.gov/nuccore/NC_016582.1?report=graph&amp;from=7295060&amp;to=7295064", "TTA_codon")</f>
        <v>TTA_codon</v>
      </c>
    </row>
    <row r="3854" spans="1:15" x14ac:dyDescent="0.15">
      <c r="A3854" t="s">
        <v>21</v>
      </c>
      <c r="B3854">
        <v>1000372</v>
      </c>
      <c r="C3854">
        <v>351083</v>
      </c>
      <c r="F3854" s="7">
        <v>1</v>
      </c>
      <c r="G3854" s="7">
        <v>169</v>
      </c>
      <c r="H3854" s="8">
        <v>151</v>
      </c>
      <c r="J3854" t="s">
        <v>23</v>
      </c>
      <c r="K3854" s="7">
        <v>783</v>
      </c>
      <c r="L3854" s="9">
        <v>1</v>
      </c>
      <c r="M3854" t="s">
        <v>3019</v>
      </c>
      <c r="N3854" t="s">
        <v>136</v>
      </c>
      <c r="O3854" s="27" t="str">
        <f>HYPERLINK("https://www.ncbi.nlm.nih.gov/nuccore/NZ_AORZ01000029.1?report=graph&amp;from=1665&amp;to=1669", "TTA_codon")</f>
        <v>TTA_codon</v>
      </c>
    </row>
    <row r="3855" spans="1:15" x14ac:dyDescent="0.15">
      <c r="A3855" t="s">
        <v>21</v>
      </c>
      <c r="B3855">
        <v>1000372</v>
      </c>
      <c r="C3855">
        <v>365065</v>
      </c>
      <c r="F3855" s="7">
        <v>1</v>
      </c>
      <c r="G3855" s="7">
        <v>169</v>
      </c>
      <c r="H3855" s="8">
        <v>169</v>
      </c>
      <c r="J3855" t="s">
        <v>23</v>
      </c>
      <c r="K3855" s="7">
        <v>801</v>
      </c>
      <c r="L3855" s="9">
        <v>1</v>
      </c>
      <c r="M3855" t="s">
        <v>111</v>
      </c>
      <c r="N3855" t="s">
        <v>112</v>
      </c>
      <c r="O3855" s="27" t="str">
        <f>HYPERLINK("https://www.ncbi.nlm.nih.gov/nuccore/NZ_CP021744.1?report=graph&amp;from=4227170&amp;to=4227174", "TTA_codon")</f>
        <v>TTA_codon</v>
      </c>
    </row>
    <row r="3856" spans="1:15" x14ac:dyDescent="0.15">
      <c r="A3856" t="s">
        <v>21</v>
      </c>
      <c r="B3856" t="s">
        <v>3020</v>
      </c>
    </row>
    <row r="3857" spans="1:15" x14ac:dyDescent="0.15">
      <c r="A3857" t="s">
        <v>21</v>
      </c>
      <c r="B3857">
        <v>1000610</v>
      </c>
      <c r="C3857">
        <v>350307</v>
      </c>
      <c r="F3857" s="7">
        <v>2</v>
      </c>
      <c r="G3857" s="7" t="s">
        <v>3021</v>
      </c>
      <c r="H3857" s="8" t="s">
        <v>3022</v>
      </c>
      <c r="J3857" t="s">
        <v>23</v>
      </c>
      <c r="K3857" s="7">
        <v>957</v>
      </c>
      <c r="L3857" s="9">
        <v>-1</v>
      </c>
      <c r="M3857" t="s">
        <v>35</v>
      </c>
      <c r="N3857" t="s">
        <v>36</v>
      </c>
      <c r="O3857" s="27" t="str">
        <f>HYPERLINK("https://www.ncbi.nlm.nih.gov/nuccore/NZ_JH725387.1?report=graph&amp;from=3925726&amp;to=3925775", "TTA_codon")</f>
        <v>TTA_codon</v>
      </c>
    </row>
    <row r="3858" spans="1:15" x14ac:dyDescent="0.15">
      <c r="A3858" t="s">
        <v>21</v>
      </c>
      <c r="B3858">
        <v>1000610</v>
      </c>
      <c r="C3858">
        <v>361658</v>
      </c>
      <c r="F3858" s="7">
        <v>1</v>
      </c>
      <c r="G3858" s="7">
        <v>586</v>
      </c>
      <c r="H3858" s="8">
        <v>520</v>
      </c>
      <c r="J3858" t="s">
        <v>23</v>
      </c>
      <c r="K3858" s="7">
        <v>954</v>
      </c>
      <c r="L3858" s="9">
        <v>-1</v>
      </c>
      <c r="M3858" t="s">
        <v>37</v>
      </c>
      <c r="N3858" t="s">
        <v>38</v>
      </c>
      <c r="O3858" s="27" t="str">
        <f>HYPERLINK("https://www.ncbi.nlm.nih.gov/nuccore/NZ_CP011533.1?report=graph&amp;from=5487464&amp;to=5487468", "TTA_codon")</f>
        <v>TTA_codon</v>
      </c>
    </row>
    <row r="3859" spans="1:15" x14ac:dyDescent="0.15">
      <c r="A3859" t="s">
        <v>21</v>
      </c>
      <c r="B3859">
        <v>1000610</v>
      </c>
      <c r="C3859">
        <v>362256</v>
      </c>
      <c r="F3859" s="7">
        <v>3</v>
      </c>
      <c r="G3859" s="7" t="s">
        <v>3023</v>
      </c>
      <c r="H3859" s="8" t="s">
        <v>3024</v>
      </c>
      <c r="J3859" t="s">
        <v>23</v>
      </c>
      <c r="K3859" s="7">
        <v>948</v>
      </c>
      <c r="L3859" s="9">
        <v>-1</v>
      </c>
      <c r="M3859" t="s">
        <v>39</v>
      </c>
      <c r="N3859" t="s">
        <v>40</v>
      </c>
      <c r="O3859" s="27" t="str">
        <f>HYPERLINK("https://www.ncbi.nlm.nih.gov/nuccore/NZ_CP017157.1?report=graph&amp;from=746675&amp;to=747135", "TTA_codon")</f>
        <v>TTA_codon</v>
      </c>
    </row>
    <row r="3860" spans="1:15" x14ac:dyDescent="0.15">
      <c r="A3860" t="s">
        <v>21</v>
      </c>
      <c r="B3860" t="s">
        <v>3025</v>
      </c>
    </row>
    <row r="3861" spans="1:15" x14ac:dyDescent="0.15">
      <c r="A3861" t="s">
        <v>21</v>
      </c>
      <c r="B3861">
        <v>1000471</v>
      </c>
      <c r="C3861">
        <v>348349</v>
      </c>
      <c r="F3861" s="7">
        <v>1</v>
      </c>
      <c r="G3861" s="7">
        <v>70</v>
      </c>
      <c r="H3861" s="8">
        <v>61</v>
      </c>
      <c r="J3861" t="s">
        <v>23</v>
      </c>
      <c r="K3861" s="7">
        <v>2946</v>
      </c>
      <c r="L3861" s="9">
        <v>1</v>
      </c>
      <c r="M3861" t="s">
        <v>59</v>
      </c>
      <c r="N3861" t="s">
        <v>60</v>
      </c>
      <c r="O3861" s="27" t="str">
        <f>HYPERLINK("https://www.ncbi.nlm.nih.gov/nuccore/NC_016582.1?report=graph&amp;from=9505443&amp;to=9505447", "TTA_codon")</f>
        <v>TTA_codon</v>
      </c>
    </row>
    <row r="3862" spans="1:15" x14ac:dyDescent="0.15">
      <c r="A3862" t="s">
        <v>21</v>
      </c>
      <c r="B3862">
        <v>1000471</v>
      </c>
      <c r="C3862">
        <v>348993</v>
      </c>
      <c r="F3862" s="7">
        <v>1</v>
      </c>
      <c r="G3862" s="7">
        <v>70</v>
      </c>
      <c r="H3862" s="8">
        <v>70</v>
      </c>
      <c r="J3862" t="s">
        <v>23</v>
      </c>
      <c r="K3862" s="7">
        <v>2967</v>
      </c>
      <c r="L3862" s="9">
        <v>1</v>
      </c>
      <c r="M3862" t="s">
        <v>211</v>
      </c>
      <c r="N3862" t="s">
        <v>212</v>
      </c>
      <c r="O3862" s="27" t="str">
        <f>HYPERLINK("https://www.ncbi.nlm.nih.gov/nuccore/NZ_GG657754.1?report=graph&amp;from=7986783&amp;to=7986787", "TTA_codon")</f>
        <v>TTA_codon</v>
      </c>
    </row>
    <row r="3863" spans="1:15" x14ac:dyDescent="0.15">
      <c r="A3863" t="s">
        <v>21</v>
      </c>
      <c r="B3863">
        <v>1000471</v>
      </c>
      <c r="C3863">
        <v>365179</v>
      </c>
      <c r="F3863" s="7">
        <v>1</v>
      </c>
      <c r="G3863" s="7">
        <v>73</v>
      </c>
      <c r="H3863" s="8">
        <v>43</v>
      </c>
      <c r="J3863" t="s">
        <v>23</v>
      </c>
      <c r="K3863" s="7">
        <v>2961</v>
      </c>
      <c r="L3863" s="9">
        <v>1</v>
      </c>
      <c r="M3863" t="s">
        <v>111</v>
      </c>
      <c r="N3863" t="s">
        <v>112</v>
      </c>
      <c r="O3863" s="27" t="str">
        <f>HYPERLINK("https://www.ncbi.nlm.nih.gov/nuccore/NZ_CP021744.1?report=graph&amp;from=5805642&amp;to=5805646", "TTA_codon")</f>
        <v>TTA_codon</v>
      </c>
    </row>
    <row r="3864" spans="1:15" x14ac:dyDescent="0.15">
      <c r="A3864" t="s">
        <v>21</v>
      </c>
      <c r="B3864" t="s">
        <v>3026</v>
      </c>
    </row>
    <row r="3865" spans="1:15" x14ac:dyDescent="0.15">
      <c r="A3865" t="s">
        <v>21</v>
      </c>
      <c r="B3865">
        <v>1001291</v>
      </c>
      <c r="C3865">
        <v>358692</v>
      </c>
      <c r="F3865" s="7">
        <v>1</v>
      </c>
      <c r="G3865" s="7">
        <v>289</v>
      </c>
      <c r="H3865" s="8">
        <v>286</v>
      </c>
      <c r="J3865" t="s">
        <v>23</v>
      </c>
      <c r="K3865" s="7">
        <v>1245</v>
      </c>
      <c r="L3865" s="9">
        <v>-1</v>
      </c>
      <c r="M3865" t="s">
        <v>3027</v>
      </c>
      <c r="N3865" t="s">
        <v>757</v>
      </c>
      <c r="O3865" s="27" t="str">
        <f>HYPERLINK("https://www.ncbi.nlm.nih.gov/nuccore/NZ_LIQR01000176.1?report=graph&amp;from=11773&amp;to=11777", "TTA_codon")</f>
        <v>TTA_codon</v>
      </c>
    </row>
    <row r="3866" spans="1:15" x14ac:dyDescent="0.15">
      <c r="A3866" t="s">
        <v>21</v>
      </c>
      <c r="B3866">
        <v>1001291</v>
      </c>
      <c r="C3866">
        <v>362482</v>
      </c>
      <c r="F3866" s="7">
        <v>1</v>
      </c>
      <c r="G3866" s="7">
        <v>208</v>
      </c>
      <c r="H3866" s="8">
        <v>127</v>
      </c>
      <c r="J3866" t="s">
        <v>23</v>
      </c>
      <c r="K3866" s="7">
        <v>1158</v>
      </c>
      <c r="L3866" s="9">
        <v>-1</v>
      </c>
      <c r="M3866" t="s">
        <v>32</v>
      </c>
      <c r="N3866" t="s">
        <v>33</v>
      </c>
      <c r="O3866" s="27" t="str">
        <f>HYPERLINK("https://www.ncbi.nlm.nih.gov/nuccore/NZ_CP017248.1?report=graph&amp;from=4591121&amp;to=4591125", "TTA_codon")</f>
        <v>TTA_codon</v>
      </c>
    </row>
    <row r="3867" spans="1:15" x14ac:dyDescent="0.15">
      <c r="A3867" t="s">
        <v>21</v>
      </c>
      <c r="B3867" t="s">
        <v>3028</v>
      </c>
    </row>
    <row r="3868" spans="1:15" x14ac:dyDescent="0.15">
      <c r="A3868" t="s">
        <v>21</v>
      </c>
      <c r="B3868">
        <v>1001083</v>
      </c>
      <c r="C3868">
        <v>355354</v>
      </c>
      <c r="F3868" s="7">
        <v>1</v>
      </c>
      <c r="G3868" s="7">
        <v>238</v>
      </c>
      <c r="H3868" s="8">
        <v>232</v>
      </c>
      <c r="J3868" t="s">
        <v>23</v>
      </c>
      <c r="K3868" s="7">
        <v>1755</v>
      </c>
      <c r="L3868" s="9">
        <v>1</v>
      </c>
      <c r="M3868" t="s">
        <v>3029</v>
      </c>
      <c r="N3868" t="s">
        <v>295</v>
      </c>
      <c r="O3868" s="27" t="str">
        <f>HYPERLINK("https://www.ncbi.nlm.nih.gov/nuccore/NZ_JODL01000029.1?report=graph&amp;from=48761&amp;to=48765", "TTA_codon")</f>
        <v>TTA_codon</v>
      </c>
    </row>
    <row r="3869" spans="1:15" x14ac:dyDescent="0.15">
      <c r="A3869" t="s">
        <v>21</v>
      </c>
      <c r="B3869">
        <v>1001083</v>
      </c>
      <c r="C3869">
        <v>356595</v>
      </c>
      <c r="F3869" s="7">
        <v>1</v>
      </c>
      <c r="G3869" s="7">
        <v>238</v>
      </c>
      <c r="H3869" s="8">
        <v>238</v>
      </c>
      <c r="J3869" t="s">
        <v>23</v>
      </c>
      <c r="K3869" s="7">
        <v>2118</v>
      </c>
      <c r="L3869" s="9">
        <v>1</v>
      </c>
      <c r="M3869" t="s">
        <v>508</v>
      </c>
      <c r="N3869" t="s">
        <v>509</v>
      </c>
      <c r="O3869" s="27" t="str">
        <f>HYPERLINK("https://www.ncbi.nlm.nih.gov/nuccore/NZ_CP009438.1?report=graph&amp;from=113655&amp;to=113659", "TTA_codon")</f>
        <v>TTA_codon</v>
      </c>
    </row>
    <row r="3870" spans="1:15" x14ac:dyDescent="0.15">
      <c r="A3870" t="s">
        <v>21</v>
      </c>
      <c r="B3870" t="s">
        <v>3030</v>
      </c>
    </row>
    <row r="3871" spans="1:15" x14ac:dyDescent="0.15">
      <c r="A3871" t="s">
        <v>21</v>
      </c>
      <c r="B3871">
        <v>1001411</v>
      </c>
      <c r="C3871">
        <v>350231</v>
      </c>
      <c r="F3871" s="7">
        <v>1</v>
      </c>
      <c r="G3871" s="7">
        <v>70</v>
      </c>
      <c r="H3871" s="8">
        <v>70</v>
      </c>
      <c r="J3871" t="s">
        <v>23</v>
      </c>
      <c r="K3871" s="7">
        <v>600</v>
      </c>
      <c r="L3871" s="9">
        <v>-1</v>
      </c>
      <c r="M3871" t="s">
        <v>35</v>
      </c>
      <c r="N3871" t="s">
        <v>36</v>
      </c>
      <c r="O3871" s="27" t="str">
        <f>HYPERLINK("https://www.ncbi.nlm.nih.gov/nuccore/NZ_JH725387.1?report=graph&amp;from=303051&amp;to=303055", "TTA_codon")</f>
        <v>TTA_codon</v>
      </c>
    </row>
    <row r="3872" spans="1:15" x14ac:dyDescent="0.15">
      <c r="A3872" t="s">
        <v>21</v>
      </c>
      <c r="B3872">
        <v>1001411</v>
      </c>
      <c r="C3872">
        <v>361527</v>
      </c>
      <c r="F3872" s="7">
        <v>1</v>
      </c>
      <c r="G3872" s="7">
        <v>70</v>
      </c>
      <c r="H3872" s="8">
        <v>70</v>
      </c>
      <c r="J3872" t="s">
        <v>23</v>
      </c>
      <c r="K3872" s="7">
        <v>600</v>
      </c>
      <c r="L3872" s="9">
        <v>-1</v>
      </c>
      <c r="M3872" t="s">
        <v>37</v>
      </c>
      <c r="N3872" t="s">
        <v>38</v>
      </c>
      <c r="O3872" s="27" t="str">
        <f>HYPERLINK("https://www.ncbi.nlm.nih.gov/nuccore/NZ_CP011533.1?report=graph&amp;from=1811629&amp;to=1811633", "TTA_codon")</f>
        <v>TTA_codon</v>
      </c>
    </row>
    <row r="3873" spans="1:15" x14ac:dyDescent="0.15">
      <c r="A3873" t="s">
        <v>21</v>
      </c>
      <c r="B3873">
        <v>1001411</v>
      </c>
      <c r="C3873">
        <v>362174</v>
      </c>
      <c r="F3873" s="7">
        <v>1</v>
      </c>
      <c r="G3873" s="7">
        <v>70</v>
      </c>
      <c r="H3873" s="8">
        <v>70</v>
      </c>
      <c r="J3873" t="s">
        <v>23</v>
      </c>
      <c r="K3873" s="7">
        <v>600</v>
      </c>
      <c r="L3873" s="9">
        <v>-1</v>
      </c>
      <c r="M3873" t="s">
        <v>39</v>
      </c>
      <c r="N3873" t="s">
        <v>40</v>
      </c>
      <c r="O3873" s="27" t="str">
        <f>HYPERLINK("https://www.ncbi.nlm.nih.gov/nuccore/NZ_CP017157.1?report=graph&amp;from=5237984&amp;to=5237988", "TTA_codon")</f>
        <v>TTA_codon</v>
      </c>
    </row>
    <row r="3874" spans="1:15" x14ac:dyDescent="0.15">
      <c r="A3874" t="s">
        <v>21</v>
      </c>
      <c r="B3874" t="s">
        <v>3031</v>
      </c>
    </row>
    <row r="3875" spans="1:15" x14ac:dyDescent="0.15">
      <c r="A3875" t="s">
        <v>21</v>
      </c>
      <c r="B3875">
        <v>1000406</v>
      </c>
      <c r="C3875">
        <v>348520</v>
      </c>
      <c r="F3875" s="7">
        <v>1</v>
      </c>
      <c r="G3875" s="7">
        <v>475</v>
      </c>
      <c r="H3875" s="8">
        <v>448</v>
      </c>
      <c r="J3875" t="s">
        <v>23</v>
      </c>
      <c r="K3875" s="7">
        <v>579</v>
      </c>
      <c r="L3875" s="9">
        <v>-1</v>
      </c>
      <c r="M3875" t="s">
        <v>61</v>
      </c>
      <c r="N3875" t="s">
        <v>62</v>
      </c>
      <c r="O3875" s="27" t="str">
        <f>HYPERLINK("https://www.ncbi.nlm.nih.gov/nuccore/NZ_DS999641.1?report=graph&amp;from=7566758&amp;to=7566762", "TTA_codon")</f>
        <v>TTA_codon</v>
      </c>
    </row>
    <row r="3876" spans="1:15" x14ac:dyDescent="0.15">
      <c r="A3876" t="s">
        <v>21</v>
      </c>
      <c r="B3876">
        <v>1000406</v>
      </c>
      <c r="C3876">
        <v>357693</v>
      </c>
      <c r="F3876" s="7">
        <v>1</v>
      </c>
      <c r="G3876" s="7">
        <v>433</v>
      </c>
      <c r="H3876" s="8">
        <v>433</v>
      </c>
      <c r="J3876" t="s">
        <v>23</v>
      </c>
      <c r="K3876" s="7">
        <v>618</v>
      </c>
      <c r="L3876" s="9">
        <v>-1</v>
      </c>
      <c r="M3876" t="s">
        <v>3032</v>
      </c>
      <c r="N3876" t="s">
        <v>83</v>
      </c>
      <c r="O3876" s="27" t="str">
        <f>HYPERLINK("https://www.ncbi.nlm.nih.gov/nuccore/NZ_DF968341.1?report=graph&amp;from=4610&amp;to=4614", "TTA_codon")</f>
        <v>TTA_codon</v>
      </c>
    </row>
    <row r="3877" spans="1:15" x14ac:dyDescent="0.15">
      <c r="A3877" t="s">
        <v>21</v>
      </c>
      <c r="B3877" t="s">
        <v>3033</v>
      </c>
    </row>
    <row r="3878" spans="1:15" x14ac:dyDescent="0.15">
      <c r="A3878" t="s">
        <v>21</v>
      </c>
      <c r="B3878">
        <v>1000304</v>
      </c>
      <c r="C3878">
        <v>347931</v>
      </c>
      <c r="F3878" s="7">
        <v>1</v>
      </c>
      <c r="G3878" s="7">
        <v>193</v>
      </c>
      <c r="H3878" s="8">
        <v>187</v>
      </c>
      <c r="J3878" t="s">
        <v>23</v>
      </c>
      <c r="K3878" s="7">
        <v>981</v>
      </c>
      <c r="L3878" s="9">
        <v>1</v>
      </c>
      <c r="M3878" t="s">
        <v>57</v>
      </c>
      <c r="N3878" t="s">
        <v>58</v>
      </c>
      <c r="O3878" s="27" t="str">
        <f>HYPERLINK("https://www.ncbi.nlm.nih.gov/nuccore/NC_013929.1?report=graph&amp;from=9223466&amp;to=9223470", "TTA_codon")</f>
        <v>TTA_codon</v>
      </c>
    </row>
    <row r="3879" spans="1:15" x14ac:dyDescent="0.15">
      <c r="A3879" t="s">
        <v>21</v>
      </c>
      <c r="B3879">
        <v>1000304</v>
      </c>
      <c r="C3879">
        <v>350156</v>
      </c>
      <c r="F3879" s="7">
        <v>1</v>
      </c>
      <c r="G3879" s="7">
        <v>193</v>
      </c>
      <c r="H3879" s="8">
        <v>193</v>
      </c>
      <c r="J3879" t="s">
        <v>23</v>
      </c>
      <c r="K3879" s="7">
        <v>915</v>
      </c>
      <c r="L3879" s="9">
        <v>1</v>
      </c>
      <c r="M3879" t="s">
        <v>3034</v>
      </c>
      <c r="N3879" t="s">
        <v>249</v>
      </c>
      <c r="O3879" s="27" t="str">
        <f>HYPERLINK("https://www.ncbi.nlm.nih.gov/nuccore/NZ_AHBF01000115.1?report=graph&amp;from=11291&amp;to=11295", "TTA_codon")</f>
        <v>TTA_codon</v>
      </c>
    </row>
    <row r="3880" spans="1:15" x14ac:dyDescent="0.15">
      <c r="A3880" t="s">
        <v>21</v>
      </c>
      <c r="B3880">
        <v>1000304</v>
      </c>
      <c r="C3880">
        <v>357770</v>
      </c>
      <c r="F3880" s="7">
        <v>1</v>
      </c>
      <c r="G3880" s="7">
        <v>193</v>
      </c>
      <c r="H3880" s="8">
        <v>190</v>
      </c>
      <c r="J3880" t="s">
        <v>23</v>
      </c>
      <c r="K3880" s="7">
        <v>906</v>
      </c>
      <c r="L3880" s="9">
        <v>1</v>
      </c>
      <c r="M3880" t="s">
        <v>3035</v>
      </c>
      <c r="N3880" t="s">
        <v>83</v>
      </c>
      <c r="O3880" s="27" t="str">
        <f>HYPERLINK("https://www.ncbi.nlm.nih.gov/nuccore/NZ_DF968187.1?report=graph&amp;from=32148&amp;to=32152", "TTA_codon")</f>
        <v>TTA_codon</v>
      </c>
    </row>
    <row r="3881" spans="1:15" x14ac:dyDescent="0.15">
      <c r="A3881" t="s">
        <v>21</v>
      </c>
      <c r="B3881">
        <v>1000304</v>
      </c>
      <c r="C3881">
        <v>358994</v>
      </c>
      <c r="F3881" s="7">
        <v>1</v>
      </c>
      <c r="G3881" s="7">
        <v>193</v>
      </c>
      <c r="H3881" s="8">
        <v>190</v>
      </c>
      <c r="J3881" t="s">
        <v>23</v>
      </c>
      <c r="K3881" s="7">
        <v>849</v>
      </c>
      <c r="L3881" s="9">
        <v>1</v>
      </c>
      <c r="M3881" t="s">
        <v>3036</v>
      </c>
      <c r="N3881" t="s">
        <v>87</v>
      </c>
      <c r="O3881" s="27" t="str">
        <f>HYPERLINK("https://www.ncbi.nlm.nih.gov/nuccore/NZ_LIQS01000430.1?report=graph&amp;from=4083&amp;to=4087", "TTA_codon")</f>
        <v>TTA_codon</v>
      </c>
    </row>
    <row r="3882" spans="1:15" x14ac:dyDescent="0.15">
      <c r="A3882" t="s">
        <v>21</v>
      </c>
      <c r="B3882">
        <v>1000304</v>
      </c>
      <c r="C3882">
        <v>359393</v>
      </c>
      <c r="F3882" s="7">
        <v>1</v>
      </c>
      <c r="G3882" s="7">
        <v>193</v>
      </c>
      <c r="H3882" s="8">
        <v>193</v>
      </c>
      <c r="J3882" t="s">
        <v>23</v>
      </c>
      <c r="K3882" s="7">
        <v>777</v>
      </c>
      <c r="L3882" s="9">
        <v>1</v>
      </c>
      <c r="M3882" t="s">
        <v>3037</v>
      </c>
      <c r="N3882" t="s">
        <v>89</v>
      </c>
      <c r="O3882" s="27" t="str">
        <f>HYPERLINK("https://www.ncbi.nlm.nih.gov/nuccore/NZ_LIRG01000326.1?report=graph&amp;from=35457&amp;to=35461", "TTA_codon")</f>
        <v>TTA_codon</v>
      </c>
    </row>
    <row r="3883" spans="1:15" x14ac:dyDescent="0.15">
      <c r="A3883" t="s">
        <v>21</v>
      </c>
      <c r="B3883">
        <v>1000304</v>
      </c>
      <c r="C3883">
        <v>364711</v>
      </c>
      <c r="F3883" s="7">
        <v>1</v>
      </c>
      <c r="G3883" s="7">
        <v>193</v>
      </c>
      <c r="H3883" s="8">
        <v>190</v>
      </c>
      <c r="J3883" t="s">
        <v>23</v>
      </c>
      <c r="K3883" s="7">
        <v>999</v>
      </c>
      <c r="L3883" s="9">
        <v>1</v>
      </c>
      <c r="M3883" t="s">
        <v>3038</v>
      </c>
      <c r="N3883" t="s">
        <v>110</v>
      </c>
      <c r="O3883" s="27" t="str">
        <f>HYPERLINK("https://www.ncbi.nlm.nih.gov/nuccore/NZ_MUME01000321.1?report=graph&amp;from=645&amp;to=649", "TTA_codon")</f>
        <v>TTA_codon</v>
      </c>
    </row>
    <row r="3884" spans="1:15" x14ac:dyDescent="0.15">
      <c r="A3884" t="s">
        <v>21</v>
      </c>
      <c r="B3884">
        <v>1000304</v>
      </c>
      <c r="C3884">
        <v>366813</v>
      </c>
      <c r="F3884" s="7">
        <v>1</v>
      </c>
      <c r="G3884" s="7">
        <v>244</v>
      </c>
      <c r="H3884" s="8">
        <v>226</v>
      </c>
      <c r="J3884" t="s">
        <v>23</v>
      </c>
      <c r="K3884" s="7">
        <v>954</v>
      </c>
      <c r="L3884" s="9">
        <v>1</v>
      </c>
      <c r="M3884" t="s">
        <v>3039</v>
      </c>
      <c r="N3884" t="s">
        <v>209</v>
      </c>
      <c r="O3884" s="27" t="str">
        <f>HYPERLINK("https://www.ncbi.nlm.nih.gov/nuccore/NZ_FZOF01000005.1?report=graph&amp;from=239026&amp;to=239030", "TTA_codon")</f>
        <v>TTA_codon</v>
      </c>
    </row>
    <row r="3885" spans="1:15" x14ac:dyDescent="0.15">
      <c r="A3885" t="s">
        <v>21</v>
      </c>
      <c r="B3885" t="s">
        <v>3040</v>
      </c>
    </row>
    <row r="3886" spans="1:15" x14ac:dyDescent="0.15">
      <c r="A3886" t="s">
        <v>21</v>
      </c>
      <c r="B3886">
        <v>1000511</v>
      </c>
      <c r="C3886">
        <v>349427</v>
      </c>
      <c r="F3886" s="7">
        <v>1</v>
      </c>
      <c r="G3886" s="7">
        <v>97</v>
      </c>
      <c r="H3886" s="8">
        <v>97</v>
      </c>
      <c r="J3886" t="s">
        <v>23</v>
      </c>
      <c r="K3886" s="7">
        <v>639</v>
      </c>
      <c r="L3886" s="9">
        <v>-1</v>
      </c>
      <c r="M3886" t="s">
        <v>458</v>
      </c>
      <c r="N3886" t="s">
        <v>315</v>
      </c>
      <c r="O3886" s="27" t="str">
        <f>HYPERLINK("https://www.ncbi.nlm.nih.gov/nuccore/NC_003888.3?report=graph&amp;from=7701929&amp;to=7701933", "TTA_codon")</f>
        <v>TTA_codon</v>
      </c>
    </row>
    <row r="3887" spans="1:15" x14ac:dyDescent="0.15">
      <c r="A3887" t="s">
        <v>21</v>
      </c>
      <c r="B3887">
        <v>1000511</v>
      </c>
      <c r="C3887">
        <v>349651</v>
      </c>
      <c r="F3887" s="7">
        <v>1</v>
      </c>
      <c r="G3887" s="7">
        <v>97</v>
      </c>
      <c r="H3887" s="8">
        <v>97</v>
      </c>
      <c r="J3887" t="s">
        <v>23</v>
      </c>
      <c r="K3887" s="7">
        <v>636</v>
      </c>
      <c r="L3887" s="9">
        <v>-1</v>
      </c>
      <c r="M3887" t="s">
        <v>2922</v>
      </c>
      <c r="N3887" t="s">
        <v>335</v>
      </c>
      <c r="O3887" s="27" t="str">
        <f>HYPERLINK("https://www.ncbi.nlm.nih.gov/nuccore/NZ_AGBF01000004.1?report=graph&amp;from=25998&amp;to=26002", "TTA_codon")</f>
        <v>TTA_codon</v>
      </c>
    </row>
    <row r="3888" spans="1:15" x14ac:dyDescent="0.15">
      <c r="A3888" t="s">
        <v>21</v>
      </c>
      <c r="B3888" t="s">
        <v>3041</v>
      </c>
    </row>
    <row r="3889" spans="1:15" x14ac:dyDescent="0.15">
      <c r="A3889" t="s">
        <v>21</v>
      </c>
      <c r="B3889">
        <v>1001172</v>
      </c>
      <c r="C3889">
        <v>356534</v>
      </c>
      <c r="F3889" s="7">
        <v>1</v>
      </c>
      <c r="G3889" s="7">
        <v>607</v>
      </c>
      <c r="H3889" s="8">
        <v>604</v>
      </c>
      <c r="J3889" t="s">
        <v>23</v>
      </c>
      <c r="K3889" s="7">
        <v>2112</v>
      </c>
      <c r="L3889" s="9">
        <v>-1</v>
      </c>
      <c r="M3889" t="s">
        <v>508</v>
      </c>
      <c r="N3889" t="s">
        <v>509</v>
      </c>
      <c r="O3889" s="27" t="str">
        <f>HYPERLINK("https://www.ncbi.nlm.nih.gov/nuccore/NZ_CP009438.1?report=graph&amp;from=2457148&amp;to=2457152", "TTA_codon")</f>
        <v>TTA_codon</v>
      </c>
    </row>
    <row r="3890" spans="1:15" x14ac:dyDescent="0.15">
      <c r="A3890" t="s">
        <v>21</v>
      </c>
      <c r="B3890">
        <v>1001172</v>
      </c>
      <c r="C3890">
        <v>364327</v>
      </c>
      <c r="F3890" s="7">
        <v>1</v>
      </c>
      <c r="G3890" s="7">
        <v>472</v>
      </c>
      <c r="H3890" s="8">
        <v>367</v>
      </c>
      <c r="J3890" t="s">
        <v>23</v>
      </c>
      <c r="K3890" s="7">
        <v>1920</v>
      </c>
      <c r="L3890" s="9">
        <v>-1</v>
      </c>
      <c r="M3890" t="s">
        <v>105</v>
      </c>
      <c r="N3890" t="s">
        <v>106</v>
      </c>
      <c r="O3890" s="27" t="str">
        <f>HYPERLINK("https://www.ncbi.nlm.nih.gov/nuccore/NZ_CP020042.1?report=graph&amp;from=2492745&amp;to=2492749", "TTA_codon")</f>
        <v>TTA_codon</v>
      </c>
    </row>
    <row r="3891" spans="1:15" x14ac:dyDescent="0.15">
      <c r="A3891" t="s">
        <v>21</v>
      </c>
      <c r="B3891" t="s">
        <v>3042</v>
      </c>
    </row>
    <row r="3892" spans="1:15" x14ac:dyDescent="0.15">
      <c r="A3892" t="s">
        <v>21</v>
      </c>
      <c r="B3892">
        <v>1001283</v>
      </c>
      <c r="C3892">
        <v>358577</v>
      </c>
      <c r="F3892" s="7">
        <v>1</v>
      </c>
      <c r="G3892" s="7">
        <v>160</v>
      </c>
      <c r="H3892" s="8">
        <v>160</v>
      </c>
      <c r="J3892" t="s">
        <v>23</v>
      </c>
      <c r="K3892" s="7">
        <v>1227</v>
      </c>
      <c r="L3892" s="9">
        <v>1</v>
      </c>
      <c r="M3892" t="s">
        <v>3043</v>
      </c>
      <c r="N3892" t="s">
        <v>299</v>
      </c>
      <c r="O3892" s="27" t="str">
        <f>HYPERLINK("https://www.ncbi.nlm.nih.gov/nuccore/NZ_LIQY01000051.1?report=graph&amp;from=16576&amp;to=16580", "TTA_codon")</f>
        <v>TTA_codon</v>
      </c>
    </row>
    <row r="3893" spans="1:15" x14ac:dyDescent="0.15">
      <c r="A3893" t="s">
        <v>21</v>
      </c>
      <c r="B3893">
        <v>1001283</v>
      </c>
      <c r="C3893">
        <v>359074</v>
      </c>
      <c r="F3893" s="7">
        <v>1</v>
      </c>
      <c r="G3893" s="7">
        <v>160</v>
      </c>
      <c r="H3893" s="8">
        <v>160</v>
      </c>
      <c r="J3893" t="s">
        <v>23</v>
      </c>
      <c r="K3893" s="7">
        <v>1179</v>
      </c>
      <c r="L3893" s="9">
        <v>1</v>
      </c>
      <c r="M3893" t="s">
        <v>500</v>
      </c>
      <c r="N3893" t="s">
        <v>451</v>
      </c>
      <c r="O3893" s="27" t="str">
        <f>HYPERLINK("https://www.ncbi.nlm.nih.gov/nuccore/NZ_LIQZ01000013.1?report=graph&amp;from=7813&amp;to=7817", "TTA_codon")</f>
        <v>TTA_codon</v>
      </c>
    </row>
    <row r="3894" spans="1:15" x14ac:dyDescent="0.15">
      <c r="A3894" t="s">
        <v>21</v>
      </c>
      <c r="B3894">
        <v>1001283</v>
      </c>
      <c r="C3894">
        <v>361380</v>
      </c>
      <c r="F3894" s="7">
        <v>1</v>
      </c>
      <c r="G3894" s="7">
        <v>379</v>
      </c>
      <c r="H3894" s="8">
        <v>364</v>
      </c>
      <c r="J3894" t="s">
        <v>23</v>
      </c>
      <c r="K3894" s="7">
        <v>1161</v>
      </c>
      <c r="L3894" s="9">
        <v>1</v>
      </c>
      <c r="M3894" t="s">
        <v>200</v>
      </c>
      <c r="N3894" t="s">
        <v>201</v>
      </c>
      <c r="O3894" s="27" t="str">
        <f>HYPERLINK("https://www.ncbi.nlm.nih.gov/nuccore/NZ_CP016559.1?report=graph&amp;from=2186093&amp;to=2186097", "TTA_codon")</f>
        <v>TTA_codon</v>
      </c>
    </row>
    <row r="3895" spans="1:15" x14ac:dyDescent="0.15">
      <c r="A3895" t="s">
        <v>21</v>
      </c>
      <c r="B3895">
        <v>1001283</v>
      </c>
      <c r="C3895">
        <v>364140</v>
      </c>
      <c r="F3895" s="7">
        <v>1</v>
      </c>
      <c r="G3895" s="7">
        <v>286</v>
      </c>
      <c r="H3895" s="8">
        <v>280</v>
      </c>
      <c r="J3895" t="s">
        <v>23</v>
      </c>
      <c r="K3895" s="7">
        <v>1221</v>
      </c>
      <c r="L3895" s="9">
        <v>1</v>
      </c>
      <c r="M3895" t="s">
        <v>254</v>
      </c>
      <c r="N3895" t="s">
        <v>255</v>
      </c>
      <c r="O3895" s="27" t="str">
        <f>HYPERLINK("https://www.ncbi.nlm.nih.gov/nuccore/NZ_CP018047.1?report=graph&amp;from=2569778&amp;to=2569782", "TTA_codon")</f>
        <v>TTA_codon</v>
      </c>
    </row>
    <row r="3896" spans="1:15" x14ac:dyDescent="0.15">
      <c r="A3896" t="s">
        <v>21</v>
      </c>
      <c r="B3896">
        <v>1001283</v>
      </c>
      <c r="C3896">
        <v>365232</v>
      </c>
      <c r="F3896" s="7">
        <v>1</v>
      </c>
      <c r="G3896" s="7">
        <v>160</v>
      </c>
      <c r="H3896" s="8">
        <v>160</v>
      </c>
      <c r="J3896" t="s">
        <v>23</v>
      </c>
      <c r="K3896" s="7">
        <v>1167</v>
      </c>
      <c r="L3896" s="9">
        <v>1</v>
      </c>
      <c r="M3896" t="s">
        <v>3044</v>
      </c>
      <c r="N3896" t="s">
        <v>347</v>
      </c>
      <c r="O3896" s="27" t="str">
        <f>HYPERLINK("https://www.ncbi.nlm.nih.gov/nuccore/NZ_FNFF01000014.1?report=graph&amp;from=53959&amp;to=53963", "TTA_codon")</f>
        <v>TTA_codon</v>
      </c>
    </row>
    <row r="3897" spans="1:15" x14ac:dyDescent="0.15">
      <c r="A3897" t="s">
        <v>21</v>
      </c>
      <c r="B3897" t="s">
        <v>3045</v>
      </c>
    </row>
    <row r="3898" spans="1:15" x14ac:dyDescent="0.15">
      <c r="A3898" t="s">
        <v>21</v>
      </c>
      <c r="B3898">
        <v>1000766</v>
      </c>
      <c r="C3898">
        <v>351704</v>
      </c>
      <c r="F3898" s="7">
        <v>1</v>
      </c>
      <c r="G3898" s="7">
        <v>76</v>
      </c>
      <c r="H3898" s="8">
        <v>64</v>
      </c>
      <c r="J3898" t="s">
        <v>23</v>
      </c>
      <c r="K3898" s="7">
        <v>762</v>
      </c>
      <c r="L3898" s="9">
        <v>-1</v>
      </c>
      <c r="M3898" t="s">
        <v>2166</v>
      </c>
      <c r="N3898" t="s">
        <v>138</v>
      </c>
      <c r="O3898" s="27" t="str">
        <f>HYPERLINK("https://www.ncbi.nlm.nih.gov/nuccore/NZ_KB889596.1?report=graph&amp;from=180114&amp;to=180118", "TTA_codon")</f>
        <v>TTA_codon</v>
      </c>
    </row>
    <row r="3899" spans="1:15" x14ac:dyDescent="0.15">
      <c r="A3899" t="s">
        <v>21</v>
      </c>
      <c r="B3899">
        <v>1000766</v>
      </c>
      <c r="C3899">
        <v>355166</v>
      </c>
      <c r="F3899" s="7">
        <v>1</v>
      </c>
      <c r="G3899" s="7">
        <v>196</v>
      </c>
      <c r="H3899" s="8">
        <v>196</v>
      </c>
      <c r="J3899" t="s">
        <v>23</v>
      </c>
      <c r="K3899" s="7">
        <v>786</v>
      </c>
      <c r="L3899" s="9">
        <v>-1</v>
      </c>
      <c r="M3899" t="s">
        <v>3046</v>
      </c>
      <c r="N3899" t="s">
        <v>433</v>
      </c>
      <c r="O3899" s="27" t="str">
        <f>HYPERLINK("https://www.ncbi.nlm.nih.gov/nuccore/NZ_JOBF01000033.1?report=graph&amp;from=89574&amp;to=89578", "TTA_codon")</f>
        <v>TTA_codon</v>
      </c>
    </row>
    <row r="3900" spans="1:15" x14ac:dyDescent="0.15">
      <c r="A3900" t="s">
        <v>21</v>
      </c>
      <c r="B3900" t="s">
        <v>3047</v>
      </c>
    </row>
    <row r="3901" spans="1:15" x14ac:dyDescent="0.15">
      <c r="A3901" t="s">
        <v>21</v>
      </c>
      <c r="B3901">
        <v>1000507</v>
      </c>
      <c r="C3901">
        <v>349402</v>
      </c>
      <c r="F3901" s="7">
        <v>2</v>
      </c>
      <c r="G3901" s="7" t="s">
        <v>3048</v>
      </c>
      <c r="H3901" s="8" t="s">
        <v>3048</v>
      </c>
      <c r="J3901" t="s">
        <v>23</v>
      </c>
      <c r="K3901" s="7">
        <v>531</v>
      </c>
      <c r="L3901" s="9">
        <v>1</v>
      </c>
      <c r="M3901" t="s">
        <v>458</v>
      </c>
      <c r="N3901" t="s">
        <v>315</v>
      </c>
      <c r="O3901" s="27" t="str">
        <f>HYPERLINK("https://www.ncbi.nlm.nih.gov/nuccore/NC_003888.3?report=graph&amp;from=5818172&amp;to=5818236", "TTA_codon")</f>
        <v>TTA_codon</v>
      </c>
    </row>
    <row r="3902" spans="1:15" x14ac:dyDescent="0.15">
      <c r="A3902" t="s">
        <v>21</v>
      </c>
      <c r="B3902">
        <v>1000507</v>
      </c>
      <c r="C3902">
        <v>364614</v>
      </c>
      <c r="F3902" s="7">
        <v>1</v>
      </c>
      <c r="G3902" s="7">
        <v>172</v>
      </c>
      <c r="H3902" s="8">
        <v>172</v>
      </c>
      <c r="J3902" t="s">
        <v>23</v>
      </c>
      <c r="K3902" s="7">
        <v>531</v>
      </c>
      <c r="L3902" s="9">
        <v>1</v>
      </c>
      <c r="M3902" t="s">
        <v>3049</v>
      </c>
      <c r="N3902" t="s">
        <v>108</v>
      </c>
      <c r="O3902" s="27" t="str">
        <f>HYPERLINK("https://www.ncbi.nlm.nih.gov/nuccore/NZ_MUMD01000507.1?report=graph&amp;from=5346&amp;to=5350", "TTA_codon")</f>
        <v>TTA_codon</v>
      </c>
    </row>
    <row r="3903" spans="1:15" x14ac:dyDescent="0.15">
      <c r="A3903" t="s">
        <v>21</v>
      </c>
      <c r="B3903" t="s">
        <v>3050</v>
      </c>
    </row>
    <row r="3904" spans="1:15" x14ac:dyDescent="0.15">
      <c r="A3904" t="s">
        <v>21</v>
      </c>
      <c r="B3904">
        <v>1000271</v>
      </c>
      <c r="C3904">
        <v>347769</v>
      </c>
      <c r="F3904" s="7">
        <v>1</v>
      </c>
      <c r="G3904" s="7">
        <v>301</v>
      </c>
      <c r="H3904" s="8">
        <v>301</v>
      </c>
      <c r="J3904" t="s">
        <v>23</v>
      </c>
      <c r="K3904" s="7">
        <v>996</v>
      </c>
      <c r="L3904" s="9">
        <v>1</v>
      </c>
      <c r="M3904" t="s">
        <v>57</v>
      </c>
      <c r="N3904" t="s">
        <v>58</v>
      </c>
      <c r="O3904" s="27" t="str">
        <f>HYPERLINK("https://www.ncbi.nlm.nih.gov/nuccore/NC_013929.1?report=graph&amp;from=2056660&amp;to=2056664", "TTA_codon")</f>
        <v>TTA_codon</v>
      </c>
    </row>
    <row r="3905" spans="1:15" x14ac:dyDescent="0.15">
      <c r="A3905" t="s">
        <v>21</v>
      </c>
      <c r="B3905">
        <v>1000271</v>
      </c>
      <c r="C3905">
        <v>348505</v>
      </c>
      <c r="F3905" s="7">
        <v>1</v>
      </c>
      <c r="G3905" s="7">
        <v>301</v>
      </c>
      <c r="H3905" s="8">
        <v>301</v>
      </c>
      <c r="J3905" t="s">
        <v>23</v>
      </c>
      <c r="K3905" s="7">
        <v>1008</v>
      </c>
      <c r="L3905" s="9">
        <v>1</v>
      </c>
      <c r="M3905" t="s">
        <v>61</v>
      </c>
      <c r="N3905" t="s">
        <v>62</v>
      </c>
      <c r="O3905" s="27" t="str">
        <f>HYPERLINK("https://www.ncbi.nlm.nih.gov/nuccore/NZ_DS999641.1?report=graph&amp;from=1488097&amp;to=1488101", "TTA_codon")</f>
        <v>TTA_codon</v>
      </c>
    </row>
    <row r="3906" spans="1:15" x14ac:dyDescent="0.15">
      <c r="A3906" t="s">
        <v>21</v>
      </c>
      <c r="B3906">
        <v>1000271</v>
      </c>
      <c r="C3906">
        <v>356019</v>
      </c>
      <c r="F3906" s="7">
        <v>1</v>
      </c>
      <c r="G3906" s="7">
        <v>301</v>
      </c>
      <c r="H3906" s="8">
        <v>301</v>
      </c>
      <c r="J3906" t="s">
        <v>23</v>
      </c>
      <c r="K3906" s="7">
        <v>1020</v>
      </c>
      <c r="L3906" s="9">
        <v>1</v>
      </c>
      <c r="M3906" t="s">
        <v>3051</v>
      </c>
      <c r="N3906" t="s">
        <v>146</v>
      </c>
      <c r="O3906" s="27" t="str">
        <f>HYPERLINK("https://www.ncbi.nlm.nih.gov/nuccore/NZ_JOFH01000009.1?report=graph&amp;from=47621&amp;to=47625", "TTA_codon")</f>
        <v>TTA_codon</v>
      </c>
    </row>
    <row r="3907" spans="1:15" x14ac:dyDescent="0.15">
      <c r="A3907" t="s">
        <v>21</v>
      </c>
      <c r="B3907">
        <v>1000271</v>
      </c>
      <c r="C3907">
        <v>357387</v>
      </c>
      <c r="F3907" s="7">
        <v>1</v>
      </c>
      <c r="G3907" s="7">
        <v>397</v>
      </c>
      <c r="H3907" s="8">
        <v>397</v>
      </c>
      <c r="J3907" t="s">
        <v>23</v>
      </c>
      <c r="K3907" s="7">
        <v>1008</v>
      </c>
      <c r="L3907" s="9">
        <v>1</v>
      </c>
      <c r="M3907" t="s">
        <v>80</v>
      </c>
      <c r="N3907" t="s">
        <v>81</v>
      </c>
      <c r="O3907" s="27" t="str">
        <f>HYPERLINK("https://www.ncbi.nlm.nih.gov/nuccore/NZ_LN831790.1?report=graph&amp;from=1776343&amp;to=1776347", "TTA_codon")</f>
        <v>TTA_codon</v>
      </c>
    </row>
    <row r="3908" spans="1:15" x14ac:dyDescent="0.15">
      <c r="A3908" t="s">
        <v>21</v>
      </c>
      <c r="B3908">
        <v>1000271</v>
      </c>
      <c r="C3908">
        <v>358798</v>
      </c>
      <c r="F3908" s="7">
        <v>1</v>
      </c>
      <c r="G3908" s="7">
        <v>301</v>
      </c>
      <c r="H3908" s="8">
        <v>301</v>
      </c>
      <c r="J3908" t="s">
        <v>23</v>
      </c>
      <c r="K3908" s="7">
        <v>990</v>
      </c>
      <c r="L3908" s="9">
        <v>1</v>
      </c>
      <c r="M3908" t="s">
        <v>3052</v>
      </c>
      <c r="N3908" t="s">
        <v>87</v>
      </c>
      <c r="O3908" s="27" t="str">
        <f>HYPERLINK("https://www.ncbi.nlm.nih.gov/nuccore/NZ_LIQS01000321.1?report=graph&amp;from=2605&amp;to=2609", "TTA_codon")</f>
        <v>TTA_codon</v>
      </c>
    </row>
    <row r="3909" spans="1:15" x14ac:dyDescent="0.15">
      <c r="A3909" t="s">
        <v>21</v>
      </c>
      <c r="B3909" t="s">
        <v>3053</v>
      </c>
    </row>
    <row r="3910" spans="1:15" x14ac:dyDescent="0.15">
      <c r="A3910" t="s">
        <v>21</v>
      </c>
      <c r="B3910">
        <v>1000338</v>
      </c>
      <c r="C3910">
        <v>348085</v>
      </c>
      <c r="F3910" s="7">
        <v>1</v>
      </c>
      <c r="G3910" s="7">
        <v>331</v>
      </c>
      <c r="H3910" s="8">
        <v>253</v>
      </c>
      <c r="J3910" t="s">
        <v>23</v>
      </c>
      <c r="K3910" s="7">
        <v>1155</v>
      </c>
      <c r="L3910" s="9">
        <v>-1</v>
      </c>
      <c r="M3910" t="s">
        <v>59</v>
      </c>
      <c r="N3910" t="s">
        <v>60</v>
      </c>
      <c r="O3910" s="27" t="str">
        <f>HYPERLINK("https://www.ncbi.nlm.nih.gov/nuccore/NC_016582.1?report=graph&amp;from=3384247&amp;to=3384251", "TTA_codon")</f>
        <v>TTA_codon</v>
      </c>
    </row>
    <row r="3911" spans="1:15" x14ac:dyDescent="0.15">
      <c r="A3911" t="s">
        <v>21</v>
      </c>
      <c r="B3911">
        <v>1000338</v>
      </c>
      <c r="C3911">
        <v>348811</v>
      </c>
      <c r="F3911" s="7">
        <v>1</v>
      </c>
      <c r="G3911" s="7">
        <v>331</v>
      </c>
      <c r="H3911" s="8">
        <v>322</v>
      </c>
      <c r="J3911" t="s">
        <v>23</v>
      </c>
      <c r="K3911" s="7">
        <v>1224</v>
      </c>
      <c r="L3911" s="9">
        <v>-1</v>
      </c>
      <c r="M3911" t="s">
        <v>211</v>
      </c>
      <c r="N3911" t="s">
        <v>212</v>
      </c>
      <c r="O3911" s="27" t="str">
        <f>HYPERLINK("https://www.ncbi.nlm.nih.gov/nuccore/NZ_GG657754.1?report=graph&amp;from=2183693&amp;to=2183697", "TTA_codon")</f>
        <v>TTA_codon</v>
      </c>
    </row>
    <row r="3912" spans="1:15" x14ac:dyDescent="0.15">
      <c r="A3912" t="s">
        <v>21</v>
      </c>
      <c r="B3912">
        <v>1000338</v>
      </c>
      <c r="C3912">
        <v>349956</v>
      </c>
      <c r="F3912" s="7">
        <v>1</v>
      </c>
      <c r="G3912" s="7">
        <v>331</v>
      </c>
      <c r="H3912" s="8">
        <v>199</v>
      </c>
      <c r="J3912" t="s">
        <v>23</v>
      </c>
      <c r="K3912" s="7">
        <v>1092</v>
      </c>
      <c r="L3912" s="9">
        <v>-1</v>
      </c>
      <c r="M3912" t="s">
        <v>317</v>
      </c>
      <c r="N3912" t="s">
        <v>249</v>
      </c>
      <c r="O3912" s="27" t="str">
        <f>HYPERLINK("https://www.ncbi.nlm.nih.gov/nuccore/NZ_AHBF01000004.1?report=graph&amp;from=35669&amp;to=35673", "TTA_codon")</f>
        <v>TTA_codon</v>
      </c>
    </row>
    <row r="3913" spans="1:15" x14ac:dyDescent="0.15">
      <c r="A3913" t="s">
        <v>21</v>
      </c>
      <c r="B3913">
        <v>1000338</v>
      </c>
      <c r="C3913">
        <v>350756</v>
      </c>
      <c r="F3913" s="7">
        <v>1</v>
      </c>
      <c r="G3913" s="7">
        <v>331</v>
      </c>
      <c r="H3913" s="8">
        <v>265</v>
      </c>
      <c r="J3913" t="s">
        <v>23</v>
      </c>
      <c r="K3913" s="7">
        <v>1167</v>
      </c>
      <c r="L3913" s="9">
        <v>-1</v>
      </c>
      <c r="M3913" t="s">
        <v>3054</v>
      </c>
      <c r="N3913" t="s">
        <v>51</v>
      </c>
      <c r="O3913" s="27" t="str">
        <f>HYPERLINK("https://www.ncbi.nlm.nih.gov/nuccore/NZ_AEJB01000557.1?report=graph&amp;from=13269&amp;to=13273", "TTA_codon")</f>
        <v>TTA_codon</v>
      </c>
    </row>
    <row r="3914" spans="1:15" x14ac:dyDescent="0.15">
      <c r="A3914" t="s">
        <v>21</v>
      </c>
      <c r="B3914">
        <v>1000338</v>
      </c>
      <c r="C3914">
        <v>352592</v>
      </c>
      <c r="F3914" s="7">
        <v>1</v>
      </c>
      <c r="G3914" s="7">
        <v>55</v>
      </c>
      <c r="H3914" s="8">
        <v>43</v>
      </c>
      <c r="J3914" t="s">
        <v>23</v>
      </c>
      <c r="K3914" s="7">
        <v>1116</v>
      </c>
      <c r="L3914" s="9">
        <v>-1</v>
      </c>
      <c r="M3914" t="s">
        <v>686</v>
      </c>
      <c r="N3914" t="s">
        <v>436</v>
      </c>
      <c r="O3914" s="27" t="str">
        <f>HYPERLINK("https://www.ncbi.nlm.nih.gov/nuccore/NZ_KE386846.1?report=graph&amp;from=55645&amp;to=55649", "TTA_codon")</f>
        <v>TTA_codon</v>
      </c>
    </row>
    <row r="3915" spans="1:15" x14ac:dyDescent="0.15">
      <c r="A3915" t="s">
        <v>21</v>
      </c>
      <c r="B3915">
        <v>1000338</v>
      </c>
      <c r="C3915">
        <v>352886</v>
      </c>
      <c r="F3915" s="7">
        <v>1</v>
      </c>
      <c r="G3915" s="7">
        <v>163</v>
      </c>
      <c r="H3915" s="8">
        <v>67</v>
      </c>
      <c r="J3915" t="s">
        <v>23</v>
      </c>
      <c r="K3915" s="7">
        <v>1119</v>
      </c>
      <c r="L3915" s="9">
        <v>-1</v>
      </c>
      <c r="M3915" t="s">
        <v>1896</v>
      </c>
      <c r="N3915" t="s">
        <v>306</v>
      </c>
      <c r="O3915" s="27" t="str">
        <f>HYPERLINK("https://www.ncbi.nlm.nih.gov/nuccore/NZ_JNYL01000309.1?report=graph&amp;from=25364&amp;to=25368", "TTA_codon")</f>
        <v>TTA_codon</v>
      </c>
    </row>
    <row r="3916" spans="1:15" x14ac:dyDescent="0.15">
      <c r="A3916" t="s">
        <v>21</v>
      </c>
      <c r="B3916">
        <v>1000338</v>
      </c>
      <c r="C3916">
        <v>354323</v>
      </c>
      <c r="F3916" s="7">
        <v>1</v>
      </c>
      <c r="G3916" s="7">
        <v>55</v>
      </c>
      <c r="H3916" s="8">
        <v>43</v>
      </c>
      <c r="J3916" t="s">
        <v>23</v>
      </c>
      <c r="K3916" s="7">
        <v>1173</v>
      </c>
      <c r="L3916" s="9">
        <v>-1</v>
      </c>
      <c r="M3916" t="s">
        <v>3055</v>
      </c>
      <c r="N3916" t="s">
        <v>142</v>
      </c>
      <c r="O3916" s="27" t="str">
        <f>HYPERLINK("https://www.ncbi.nlm.nih.gov/nuccore/NZ_JOEI01000033.1?report=graph&amp;from=60465&amp;to=60469", "TTA_codon")</f>
        <v>TTA_codon</v>
      </c>
    </row>
    <row r="3917" spans="1:15" x14ac:dyDescent="0.15">
      <c r="A3917" t="s">
        <v>21</v>
      </c>
      <c r="B3917">
        <v>1000338</v>
      </c>
      <c r="C3917">
        <v>354838</v>
      </c>
      <c r="F3917" s="7">
        <v>1</v>
      </c>
      <c r="G3917" s="7">
        <v>331</v>
      </c>
      <c r="H3917" s="8">
        <v>223</v>
      </c>
      <c r="J3917" t="s">
        <v>23</v>
      </c>
      <c r="K3917" s="7">
        <v>1116</v>
      </c>
      <c r="L3917" s="9">
        <v>-1</v>
      </c>
      <c r="M3917" t="s">
        <v>1999</v>
      </c>
      <c r="N3917" t="s">
        <v>25</v>
      </c>
      <c r="O3917" s="27" t="str">
        <f>HYPERLINK("https://www.ncbi.nlm.nih.gov/nuccore/NZ_JOFU01000002.1?report=graph&amp;from=252067&amp;to=252071", "TTA_codon")</f>
        <v>TTA_codon</v>
      </c>
    </row>
    <row r="3918" spans="1:15" x14ac:dyDescent="0.15">
      <c r="A3918" t="s">
        <v>21</v>
      </c>
      <c r="B3918">
        <v>1000338</v>
      </c>
      <c r="C3918">
        <v>355627</v>
      </c>
      <c r="F3918" s="7">
        <v>1</v>
      </c>
      <c r="G3918" s="7">
        <v>421</v>
      </c>
      <c r="H3918" s="8">
        <v>295</v>
      </c>
      <c r="J3918" t="s">
        <v>23</v>
      </c>
      <c r="K3918" s="7">
        <v>1086</v>
      </c>
      <c r="L3918" s="9">
        <v>-1</v>
      </c>
      <c r="M3918" t="s">
        <v>1383</v>
      </c>
      <c r="N3918" t="s">
        <v>278</v>
      </c>
      <c r="O3918" s="27" t="str">
        <f>HYPERLINK("https://www.ncbi.nlm.nih.gov/nuccore/NZ_JOID01000001.1?report=graph&amp;from=282371&amp;to=282375", "TTA_codon")</f>
        <v>TTA_codon</v>
      </c>
    </row>
    <row r="3919" spans="1:15" x14ac:dyDescent="0.15">
      <c r="A3919" t="s">
        <v>21</v>
      </c>
      <c r="B3919">
        <v>1000338</v>
      </c>
      <c r="C3919">
        <v>356521</v>
      </c>
      <c r="F3919" s="7">
        <v>1</v>
      </c>
      <c r="G3919" s="7">
        <v>331</v>
      </c>
      <c r="H3919" s="8">
        <v>232</v>
      </c>
      <c r="J3919" t="s">
        <v>23</v>
      </c>
      <c r="K3919" s="7">
        <v>1137</v>
      </c>
      <c r="L3919" s="9">
        <v>-1</v>
      </c>
      <c r="M3919" t="s">
        <v>508</v>
      </c>
      <c r="N3919" t="s">
        <v>509</v>
      </c>
      <c r="O3919" s="27" t="str">
        <f>HYPERLINK("https://www.ncbi.nlm.nih.gov/nuccore/NZ_CP009438.1?report=graph&amp;from=1497977&amp;to=1497981", "TTA_codon")</f>
        <v>TTA_codon</v>
      </c>
    </row>
    <row r="3920" spans="1:15" x14ac:dyDescent="0.15">
      <c r="A3920" t="s">
        <v>21</v>
      </c>
      <c r="B3920">
        <v>1000338</v>
      </c>
      <c r="C3920">
        <v>356656</v>
      </c>
      <c r="F3920" s="7">
        <v>1</v>
      </c>
      <c r="G3920" s="7">
        <v>331</v>
      </c>
      <c r="H3920" s="8">
        <v>238</v>
      </c>
      <c r="J3920" t="s">
        <v>23</v>
      </c>
      <c r="K3920" s="7">
        <v>1131</v>
      </c>
      <c r="L3920" s="9">
        <v>-1</v>
      </c>
      <c r="M3920" t="s">
        <v>147</v>
      </c>
      <c r="N3920" t="s">
        <v>148</v>
      </c>
      <c r="O3920" s="27" t="str">
        <f>HYPERLINK("https://www.ncbi.nlm.nih.gov/nuccore/NZ_CP021080.1?report=graph&amp;from=1113329&amp;to=1113333", "TTA_codon")</f>
        <v>TTA_codon</v>
      </c>
    </row>
    <row r="3921" spans="1:15" x14ac:dyDescent="0.15">
      <c r="A3921" t="s">
        <v>21</v>
      </c>
      <c r="B3921">
        <v>1000338</v>
      </c>
      <c r="C3921">
        <v>357710</v>
      </c>
      <c r="F3921" s="7">
        <v>1</v>
      </c>
      <c r="G3921" s="7">
        <v>331</v>
      </c>
      <c r="H3921" s="8">
        <v>235</v>
      </c>
      <c r="J3921" t="s">
        <v>23</v>
      </c>
      <c r="K3921" s="7">
        <v>1137</v>
      </c>
      <c r="L3921" s="9">
        <v>-1</v>
      </c>
      <c r="M3921" t="s">
        <v>2000</v>
      </c>
      <c r="N3921" t="s">
        <v>83</v>
      </c>
      <c r="O3921" s="27" t="str">
        <f>HYPERLINK("https://www.ncbi.nlm.nih.gov/nuccore/NZ_DF968401.1?report=graph&amp;from=48136&amp;to=48140", "TTA_codon")</f>
        <v>TTA_codon</v>
      </c>
    </row>
    <row r="3922" spans="1:15" x14ac:dyDescent="0.15">
      <c r="A3922" t="s">
        <v>21</v>
      </c>
      <c r="B3922">
        <v>1000338</v>
      </c>
      <c r="C3922">
        <v>359057</v>
      </c>
      <c r="F3922" s="7">
        <v>1</v>
      </c>
      <c r="G3922" s="7">
        <v>331</v>
      </c>
      <c r="H3922" s="8">
        <v>238</v>
      </c>
      <c r="J3922" t="s">
        <v>23</v>
      </c>
      <c r="K3922" s="7">
        <v>1131</v>
      </c>
      <c r="L3922" s="9">
        <v>-1</v>
      </c>
      <c r="M3922" t="s">
        <v>3056</v>
      </c>
      <c r="N3922" t="s">
        <v>451</v>
      </c>
      <c r="O3922" s="27" t="str">
        <f>HYPERLINK("https://www.ncbi.nlm.nih.gov/nuccore/NZ_LIQZ01000146.1?report=graph&amp;from=42307&amp;to=42311", "TTA_codon")</f>
        <v>TTA_codon</v>
      </c>
    </row>
    <row r="3923" spans="1:15" x14ac:dyDescent="0.15">
      <c r="A3923" t="s">
        <v>21</v>
      </c>
      <c r="B3923">
        <v>1000338</v>
      </c>
      <c r="C3923">
        <v>359838</v>
      </c>
      <c r="F3923" s="7">
        <v>1</v>
      </c>
      <c r="G3923" s="7">
        <v>331</v>
      </c>
      <c r="H3923" s="8">
        <v>211</v>
      </c>
      <c r="J3923" t="s">
        <v>23</v>
      </c>
      <c r="K3923" s="7">
        <v>1113</v>
      </c>
      <c r="L3923" s="9">
        <v>-1</v>
      </c>
      <c r="M3923" t="s">
        <v>120</v>
      </c>
      <c r="N3923" t="s">
        <v>91</v>
      </c>
      <c r="O3923" s="27" t="str">
        <f>HYPERLINK("https://www.ncbi.nlm.nih.gov/nuccore/NZ_KQ948310.1?report=graph&amp;from=245262&amp;to=245266", "TTA_codon")</f>
        <v>TTA_codon</v>
      </c>
    </row>
    <row r="3924" spans="1:15" x14ac:dyDescent="0.15">
      <c r="A3924" t="s">
        <v>21</v>
      </c>
      <c r="B3924">
        <v>1000338</v>
      </c>
      <c r="C3924">
        <v>360685</v>
      </c>
      <c r="F3924" s="7">
        <v>1</v>
      </c>
      <c r="G3924" s="7">
        <v>205</v>
      </c>
      <c r="H3924" s="8">
        <v>73</v>
      </c>
      <c r="J3924" t="s">
        <v>23</v>
      </c>
      <c r="K3924" s="7">
        <v>1071</v>
      </c>
      <c r="L3924" s="9">
        <v>-1</v>
      </c>
      <c r="M3924" t="s">
        <v>1409</v>
      </c>
      <c r="N3924" t="s">
        <v>95</v>
      </c>
      <c r="O3924" s="27" t="str">
        <f>HYPERLINK("https://www.ncbi.nlm.nih.gov/nuccore/NZ_JYIJ01000012.1?report=graph&amp;from=92993&amp;to=92997", "TTA_codon")</f>
        <v>TTA_codon</v>
      </c>
    </row>
    <row r="3925" spans="1:15" x14ac:dyDescent="0.15">
      <c r="A3925" t="s">
        <v>21</v>
      </c>
      <c r="B3925">
        <v>1000338</v>
      </c>
      <c r="C3925">
        <v>361130</v>
      </c>
      <c r="F3925" s="7">
        <v>1</v>
      </c>
      <c r="G3925" s="7">
        <v>331</v>
      </c>
      <c r="H3925" s="8">
        <v>229</v>
      </c>
      <c r="J3925" t="s">
        <v>23</v>
      </c>
      <c r="K3925" s="7">
        <v>1122</v>
      </c>
      <c r="L3925" s="9">
        <v>-1</v>
      </c>
      <c r="M3925" t="s">
        <v>98</v>
      </c>
      <c r="N3925" t="s">
        <v>99</v>
      </c>
      <c r="O3925" s="27" t="str">
        <f>HYPERLINK("https://www.ncbi.nlm.nih.gov/nuccore/NZ_CP016438.1?report=graph&amp;from=2155964&amp;to=2155968", "TTA_codon")</f>
        <v>TTA_codon</v>
      </c>
    </row>
    <row r="3926" spans="1:15" x14ac:dyDescent="0.15">
      <c r="A3926" t="s">
        <v>21</v>
      </c>
      <c r="B3926">
        <v>1000338</v>
      </c>
      <c r="C3926">
        <v>363924</v>
      </c>
      <c r="F3926" s="7">
        <v>1</v>
      </c>
      <c r="G3926" s="7">
        <v>190</v>
      </c>
      <c r="H3926" s="8">
        <v>85</v>
      </c>
      <c r="J3926" t="s">
        <v>23</v>
      </c>
      <c r="K3926" s="7">
        <v>1131</v>
      </c>
      <c r="L3926" s="9">
        <v>-1</v>
      </c>
      <c r="M3926" t="s">
        <v>3057</v>
      </c>
      <c r="N3926" t="s">
        <v>104</v>
      </c>
      <c r="O3926" s="27" t="str">
        <f>HYPERLINK("https://www.ncbi.nlm.nih.gov/nuccore/NZ_MVFC01000002.1?report=graph&amp;from=256926&amp;to=256930", "TTA_codon")</f>
        <v>TTA_codon</v>
      </c>
    </row>
    <row r="3927" spans="1:15" x14ac:dyDescent="0.15">
      <c r="A3927" t="s">
        <v>21</v>
      </c>
      <c r="B3927" t="s">
        <v>3058</v>
      </c>
    </row>
    <row r="3928" spans="1:15" x14ac:dyDescent="0.15">
      <c r="A3928" t="s">
        <v>21</v>
      </c>
      <c r="B3928">
        <v>1000462</v>
      </c>
      <c r="C3928">
        <v>348868</v>
      </c>
      <c r="F3928" s="7">
        <v>1</v>
      </c>
      <c r="G3928" s="7">
        <v>9748</v>
      </c>
      <c r="H3928" s="8">
        <v>9364</v>
      </c>
      <c r="J3928" t="s">
        <v>23</v>
      </c>
      <c r="K3928" s="7">
        <v>16488</v>
      </c>
      <c r="L3928" s="9">
        <v>1</v>
      </c>
      <c r="M3928" t="s">
        <v>211</v>
      </c>
      <c r="N3928" t="s">
        <v>212</v>
      </c>
      <c r="O3928" s="27" t="str">
        <f>HYPERLINK("https://www.ncbi.nlm.nih.gov/nuccore/NZ_GG657754.1?report=graph&amp;from=6828761&amp;to=6828765", "TTA_codon")</f>
        <v>TTA_codon</v>
      </c>
    </row>
    <row r="3929" spans="1:15" x14ac:dyDescent="0.15">
      <c r="A3929" t="s">
        <v>21</v>
      </c>
      <c r="B3929">
        <v>1000462</v>
      </c>
      <c r="C3929">
        <v>356666</v>
      </c>
      <c r="F3929" s="7">
        <v>1</v>
      </c>
      <c r="G3929" s="7">
        <v>4993</v>
      </c>
      <c r="H3929" s="8">
        <v>2566</v>
      </c>
      <c r="J3929" t="s">
        <v>23</v>
      </c>
      <c r="K3929" s="7">
        <v>5469</v>
      </c>
      <c r="L3929" s="9">
        <v>1</v>
      </c>
      <c r="M3929" t="s">
        <v>147</v>
      </c>
      <c r="N3929" t="s">
        <v>148</v>
      </c>
      <c r="O3929" s="27" t="str">
        <f>HYPERLINK("https://www.ncbi.nlm.nih.gov/nuccore/NZ_CP021080.1?report=graph&amp;from=6668649&amp;to=6668653", "TTA_codon")</f>
        <v>TTA_codon</v>
      </c>
    </row>
    <row r="3930" spans="1:15" x14ac:dyDescent="0.15">
      <c r="A3930" t="s">
        <v>21</v>
      </c>
      <c r="B3930" t="s">
        <v>3059</v>
      </c>
    </row>
    <row r="3931" spans="1:15" x14ac:dyDescent="0.15">
      <c r="A3931" t="s">
        <v>21</v>
      </c>
      <c r="B3931">
        <v>1000699</v>
      </c>
      <c r="C3931">
        <v>351025</v>
      </c>
      <c r="F3931" s="7">
        <v>1</v>
      </c>
      <c r="G3931" s="7">
        <v>265</v>
      </c>
      <c r="H3931" s="8">
        <v>265</v>
      </c>
      <c r="J3931" t="s">
        <v>23</v>
      </c>
      <c r="K3931" s="7">
        <v>4722</v>
      </c>
      <c r="L3931" s="9">
        <v>1</v>
      </c>
      <c r="M3931" t="s">
        <v>3060</v>
      </c>
      <c r="N3931" t="s">
        <v>136</v>
      </c>
      <c r="O3931" s="27" t="str">
        <f>HYPERLINK("https://www.ncbi.nlm.nih.gov/nuccore/NZ_AORZ01000025.1?report=graph&amp;from=10880&amp;to=10884", "TTA_codon")</f>
        <v>TTA_codon</v>
      </c>
    </row>
    <row r="3932" spans="1:15" x14ac:dyDescent="0.15">
      <c r="A3932" t="s">
        <v>21</v>
      </c>
      <c r="B3932">
        <v>1000699</v>
      </c>
      <c r="C3932">
        <v>357383</v>
      </c>
      <c r="F3932" s="7">
        <v>1</v>
      </c>
      <c r="G3932" s="7">
        <v>247</v>
      </c>
      <c r="H3932" s="8">
        <v>157</v>
      </c>
      <c r="J3932" t="s">
        <v>23</v>
      </c>
      <c r="K3932" s="7">
        <v>4506</v>
      </c>
      <c r="L3932" s="9">
        <v>1</v>
      </c>
      <c r="M3932" t="s">
        <v>80</v>
      </c>
      <c r="N3932" t="s">
        <v>81</v>
      </c>
      <c r="O3932" s="27" t="str">
        <f>HYPERLINK("https://www.ncbi.nlm.nih.gov/nuccore/NZ_LN831790.1?report=graph&amp;from=3999583&amp;to=3999587", "TTA_codon")</f>
        <v>TTA_codon</v>
      </c>
    </row>
    <row r="3933" spans="1:15" x14ac:dyDescent="0.15">
      <c r="A3933" t="s">
        <v>21</v>
      </c>
      <c r="B3933" t="s">
        <v>3061</v>
      </c>
    </row>
    <row r="3934" spans="1:15" x14ac:dyDescent="0.15">
      <c r="A3934" t="s">
        <v>21</v>
      </c>
      <c r="B3934">
        <v>1000661</v>
      </c>
      <c r="C3934">
        <v>350698</v>
      </c>
      <c r="F3934" s="7">
        <v>1</v>
      </c>
      <c r="G3934" s="7">
        <v>1654</v>
      </c>
      <c r="H3934" s="8">
        <v>1648</v>
      </c>
      <c r="J3934" t="s">
        <v>23</v>
      </c>
      <c r="K3934" s="7">
        <v>2784</v>
      </c>
      <c r="L3934" s="9">
        <v>1</v>
      </c>
      <c r="M3934" t="s">
        <v>3062</v>
      </c>
      <c r="N3934" t="s">
        <v>51</v>
      </c>
      <c r="O3934" s="27" t="str">
        <f>HYPERLINK("https://www.ncbi.nlm.nih.gov/nuccore/NZ_AEJB01000206.1?report=graph&amp;from=4446&amp;to=4450", "TTA_codon")</f>
        <v>TTA_codon</v>
      </c>
    </row>
    <row r="3935" spans="1:15" x14ac:dyDescent="0.15">
      <c r="A3935" t="s">
        <v>21</v>
      </c>
      <c r="B3935">
        <v>1000661</v>
      </c>
      <c r="C3935">
        <v>365193</v>
      </c>
      <c r="F3935" s="7">
        <v>1</v>
      </c>
      <c r="G3935" s="7">
        <v>1588</v>
      </c>
      <c r="H3935" s="8">
        <v>754</v>
      </c>
      <c r="J3935" t="s">
        <v>23</v>
      </c>
      <c r="K3935" s="7">
        <v>2262</v>
      </c>
      <c r="L3935" s="9">
        <v>1</v>
      </c>
      <c r="M3935" t="s">
        <v>3063</v>
      </c>
      <c r="N3935" t="s">
        <v>347</v>
      </c>
      <c r="O3935" s="27" t="str">
        <f>HYPERLINK("https://www.ncbi.nlm.nih.gov/nuccore/NZ_FNFF01000006.1?report=graph&amp;from=6377&amp;to=6381", "TTA_codon")</f>
        <v>TTA_codon</v>
      </c>
    </row>
    <row r="3936" spans="1:15" x14ac:dyDescent="0.15">
      <c r="A3936" t="s">
        <v>21</v>
      </c>
      <c r="B3936">
        <v>1000661</v>
      </c>
      <c r="C3936">
        <v>365194</v>
      </c>
      <c r="F3936" s="7">
        <v>1</v>
      </c>
      <c r="G3936" s="7">
        <v>1642</v>
      </c>
      <c r="H3936" s="8">
        <v>865</v>
      </c>
      <c r="J3936" t="s">
        <v>23</v>
      </c>
      <c r="K3936" s="7">
        <v>3294</v>
      </c>
      <c r="L3936" s="9">
        <v>1</v>
      </c>
      <c r="M3936" t="s">
        <v>3063</v>
      </c>
      <c r="N3936" t="s">
        <v>347</v>
      </c>
      <c r="O3936" s="27" t="str">
        <f>HYPERLINK("https://www.ncbi.nlm.nih.gov/nuccore/NZ_FNFF01000006.1?report=graph&amp;from=229305&amp;to=229309", "TTA_codon")</f>
        <v>TTA_codon</v>
      </c>
    </row>
    <row r="3937" spans="1:15" x14ac:dyDescent="0.15">
      <c r="A3937" t="s">
        <v>21</v>
      </c>
      <c r="B3937" t="s">
        <v>3064</v>
      </c>
    </row>
    <row r="3938" spans="1:15" x14ac:dyDescent="0.15">
      <c r="A3938" t="s">
        <v>21</v>
      </c>
      <c r="B3938">
        <v>1001532</v>
      </c>
      <c r="C3938">
        <v>366892</v>
      </c>
      <c r="F3938" s="7">
        <v>1</v>
      </c>
      <c r="G3938" s="7">
        <v>151</v>
      </c>
      <c r="H3938" s="8">
        <v>151</v>
      </c>
      <c r="J3938" t="s">
        <v>23</v>
      </c>
      <c r="K3938" s="7">
        <v>441</v>
      </c>
      <c r="L3938" s="9">
        <v>1</v>
      </c>
      <c r="M3938" t="s">
        <v>3065</v>
      </c>
      <c r="N3938" t="s">
        <v>3066</v>
      </c>
      <c r="O3938" s="27" t="str">
        <f>HYPERLINK("https://www.ncbi.nlm.nih.gov/nuccore/KT186229.1?report=graph&amp;from=25277&amp;to=25281", "TTA_codon")</f>
        <v>TTA_codon</v>
      </c>
    </row>
    <row r="3939" spans="1:15" x14ac:dyDescent="0.15">
      <c r="A3939" t="s">
        <v>21</v>
      </c>
      <c r="B3939">
        <v>1001532</v>
      </c>
      <c r="C3939">
        <v>366894</v>
      </c>
      <c r="F3939" s="7">
        <v>1</v>
      </c>
      <c r="G3939" s="7">
        <v>151</v>
      </c>
      <c r="H3939" s="8">
        <v>151</v>
      </c>
      <c r="J3939" t="s">
        <v>23</v>
      </c>
      <c r="K3939" s="7">
        <v>438</v>
      </c>
      <c r="L3939" s="9">
        <v>1</v>
      </c>
      <c r="M3939" t="s">
        <v>3067</v>
      </c>
      <c r="N3939" t="s">
        <v>3068</v>
      </c>
      <c r="O3939" s="27" t="str">
        <f>HYPERLINK("https://www.ncbi.nlm.nih.gov/nuccore/KX507345.1?report=graph&amp;from=24006&amp;to=24010", "TTA_codon")</f>
        <v>TTA_codon</v>
      </c>
    </row>
    <row r="3940" spans="1:15" x14ac:dyDescent="0.15">
      <c r="A3940" t="s">
        <v>21</v>
      </c>
      <c r="B3940">
        <v>1001532</v>
      </c>
      <c r="C3940">
        <v>366895</v>
      </c>
      <c r="F3940" s="7">
        <v>1</v>
      </c>
      <c r="G3940" s="7">
        <v>151</v>
      </c>
      <c r="H3940" s="8">
        <v>151</v>
      </c>
      <c r="J3940" t="s">
        <v>23</v>
      </c>
      <c r="K3940" s="7">
        <v>438</v>
      </c>
      <c r="L3940" s="9">
        <v>1</v>
      </c>
      <c r="M3940" t="s">
        <v>3069</v>
      </c>
      <c r="N3940" t="s">
        <v>3070</v>
      </c>
      <c r="O3940" s="27" t="str">
        <f>HYPERLINK("https://www.ncbi.nlm.nih.gov/nuccore/KX507344.1?report=graph&amp;from=23564&amp;to=23568", "TTA_codon")</f>
        <v>TTA_codon</v>
      </c>
    </row>
    <row r="3941" spans="1:15" x14ac:dyDescent="0.15">
      <c r="A3941" t="s">
        <v>21</v>
      </c>
      <c r="B3941">
        <v>1001532</v>
      </c>
      <c r="C3941">
        <v>366916</v>
      </c>
      <c r="F3941" s="7">
        <v>1</v>
      </c>
      <c r="G3941" s="7">
        <v>151</v>
      </c>
      <c r="H3941" s="8">
        <v>151</v>
      </c>
      <c r="J3941" t="s">
        <v>23</v>
      </c>
      <c r="K3941" s="7">
        <v>438</v>
      </c>
      <c r="L3941" s="9">
        <v>1</v>
      </c>
      <c r="M3941" t="s">
        <v>3071</v>
      </c>
      <c r="N3941" t="s">
        <v>3072</v>
      </c>
      <c r="O3941" s="27" t="str">
        <f>HYPERLINK("https://www.ncbi.nlm.nih.gov/nuccore/MF541403.1?report=graph&amp;from=22994&amp;to=22998", "TTA_codon")</f>
        <v>TTA_codon</v>
      </c>
    </row>
    <row r="3942" spans="1:15" x14ac:dyDescent="0.15">
      <c r="A3942" t="s">
        <v>21</v>
      </c>
      <c r="B3942">
        <v>1001532</v>
      </c>
      <c r="C3942">
        <v>366917</v>
      </c>
      <c r="F3942" s="7">
        <v>1</v>
      </c>
      <c r="G3942" s="7">
        <v>151</v>
      </c>
      <c r="H3942" s="8">
        <v>151</v>
      </c>
      <c r="J3942" t="s">
        <v>23</v>
      </c>
      <c r="K3942" s="7">
        <v>438</v>
      </c>
      <c r="L3942" s="9">
        <v>1</v>
      </c>
      <c r="M3942" t="s">
        <v>3073</v>
      </c>
      <c r="N3942" t="s">
        <v>3074</v>
      </c>
      <c r="O3942" s="27" t="str">
        <f>HYPERLINK("https://www.ncbi.nlm.nih.gov/nuccore/MF541404.1?report=graph&amp;from=23097&amp;to=23101", "TTA_codon")</f>
        <v>TTA_codon</v>
      </c>
    </row>
    <row r="3943" spans="1:15" x14ac:dyDescent="0.15">
      <c r="A3943" t="s">
        <v>21</v>
      </c>
      <c r="B3943">
        <v>1001532</v>
      </c>
      <c r="C3943">
        <v>366918</v>
      </c>
      <c r="F3943" s="7">
        <v>1</v>
      </c>
      <c r="G3943" s="7">
        <v>151</v>
      </c>
      <c r="H3943" s="8">
        <v>151</v>
      </c>
      <c r="J3943" t="s">
        <v>23</v>
      </c>
      <c r="K3943" s="7">
        <v>438</v>
      </c>
      <c r="L3943" s="9">
        <v>1</v>
      </c>
      <c r="M3943" t="s">
        <v>3075</v>
      </c>
      <c r="N3943" t="s">
        <v>3076</v>
      </c>
      <c r="O3943" s="27" t="str">
        <f>HYPERLINK("https://www.ncbi.nlm.nih.gov/nuccore/MF541405.1?report=graph&amp;from=23453&amp;to=23457", "TTA_codon")</f>
        <v>TTA_codon</v>
      </c>
    </row>
    <row r="3944" spans="1:15" x14ac:dyDescent="0.15">
      <c r="A3944" t="s">
        <v>21</v>
      </c>
      <c r="B3944">
        <v>1001532</v>
      </c>
      <c r="C3944">
        <v>366919</v>
      </c>
      <c r="F3944" s="7">
        <v>1</v>
      </c>
      <c r="G3944" s="7">
        <v>151</v>
      </c>
      <c r="H3944" s="8">
        <v>151</v>
      </c>
      <c r="J3944" t="s">
        <v>23</v>
      </c>
      <c r="K3944" s="7">
        <v>438</v>
      </c>
      <c r="L3944" s="9">
        <v>1</v>
      </c>
      <c r="M3944" t="s">
        <v>3077</v>
      </c>
      <c r="N3944" t="s">
        <v>3078</v>
      </c>
      <c r="O3944" s="27" t="str">
        <f>HYPERLINK("https://www.ncbi.nlm.nih.gov/nuccore/MF541406.1?report=graph&amp;from=23560&amp;to=23564", "TTA_codon")</f>
        <v>TTA_codon</v>
      </c>
    </row>
    <row r="3945" spans="1:15" x14ac:dyDescent="0.15">
      <c r="A3945" t="s">
        <v>21</v>
      </c>
      <c r="B3945">
        <v>1001532</v>
      </c>
      <c r="C3945">
        <v>366920</v>
      </c>
      <c r="F3945" s="7">
        <v>1</v>
      </c>
      <c r="G3945" s="7">
        <v>151</v>
      </c>
      <c r="H3945" s="8">
        <v>151</v>
      </c>
      <c r="J3945" t="s">
        <v>23</v>
      </c>
      <c r="K3945" s="7">
        <v>438</v>
      </c>
      <c r="L3945" s="9">
        <v>1</v>
      </c>
      <c r="M3945" t="s">
        <v>3079</v>
      </c>
      <c r="N3945" t="s">
        <v>3080</v>
      </c>
      <c r="O3945" s="27" t="str">
        <f>HYPERLINK("https://www.ncbi.nlm.nih.gov/nuccore/MF541407.1?report=graph&amp;from=22560&amp;to=22564", "TTA_codon")</f>
        <v>TTA_codon</v>
      </c>
    </row>
    <row r="3946" spans="1:15" x14ac:dyDescent="0.15">
      <c r="A3946" t="s">
        <v>21</v>
      </c>
      <c r="B3946">
        <v>1001532</v>
      </c>
      <c r="C3946">
        <v>366921</v>
      </c>
      <c r="F3946" s="7">
        <v>1</v>
      </c>
      <c r="G3946" s="7">
        <v>151</v>
      </c>
      <c r="H3946" s="8">
        <v>151</v>
      </c>
      <c r="J3946" t="s">
        <v>23</v>
      </c>
      <c r="K3946" s="7">
        <v>438</v>
      </c>
      <c r="L3946" s="9">
        <v>1</v>
      </c>
      <c r="M3946" t="s">
        <v>3081</v>
      </c>
      <c r="N3946" t="s">
        <v>3082</v>
      </c>
      <c r="O3946" s="27" t="str">
        <f>HYPERLINK("https://www.ncbi.nlm.nih.gov/nuccore/MF541408.1?report=graph&amp;from=23097&amp;to=23101", "TTA_codon")</f>
        <v>TTA_codon</v>
      </c>
    </row>
    <row r="3947" spans="1:15" x14ac:dyDescent="0.15">
      <c r="A3947" t="s">
        <v>21</v>
      </c>
      <c r="B3947">
        <v>1001532</v>
      </c>
      <c r="C3947">
        <v>366922</v>
      </c>
      <c r="F3947" s="7">
        <v>1</v>
      </c>
      <c r="G3947" s="7">
        <v>151</v>
      </c>
      <c r="H3947" s="8">
        <v>151</v>
      </c>
      <c r="J3947" t="s">
        <v>23</v>
      </c>
      <c r="K3947" s="7">
        <v>438</v>
      </c>
      <c r="L3947" s="9">
        <v>1</v>
      </c>
      <c r="M3947" t="s">
        <v>3083</v>
      </c>
      <c r="N3947" t="s">
        <v>3084</v>
      </c>
      <c r="O3947" s="27" t="str">
        <f>HYPERLINK("https://www.ncbi.nlm.nih.gov/nuccore/MF541409.1?report=graph&amp;from=23097&amp;to=23101", "TTA_codon")</f>
        <v>TTA_codon</v>
      </c>
    </row>
    <row r="3948" spans="1:15" x14ac:dyDescent="0.15">
      <c r="A3948" t="s">
        <v>21</v>
      </c>
      <c r="B3948">
        <v>1001532</v>
      </c>
      <c r="C3948">
        <v>366923</v>
      </c>
      <c r="F3948" s="7">
        <v>1</v>
      </c>
      <c r="G3948" s="7">
        <v>151</v>
      </c>
      <c r="H3948" s="8">
        <v>151</v>
      </c>
      <c r="J3948" t="s">
        <v>23</v>
      </c>
      <c r="K3948" s="7">
        <v>438</v>
      </c>
      <c r="L3948" s="9">
        <v>1</v>
      </c>
      <c r="M3948" t="s">
        <v>3085</v>
      </c>
      <c r="N3948" t="s">
        <v>3086</v>
      </c>
      <c r="O3948" s="27" t="str">
        <f>HYPERLINK("https://www.ncbi.nlm.nih.gov/nuccore/MF541410.1?report=graph&amp;from=22724&amp;to=22728", "TTA_codon")</f>
        <v>TTA_codon</v>
      </c>
    </row>
    <row r="3949" spans="1:15" x14ac:dyDescent="0.15">
      <c r="A3949" t="s">
        <v>21</v>
      </c>
      <c r="B3949">
        <v>1001532</v>
      </c>
      <c r="C3949">
        <v>366924</v>
      </c>
      <c r="F3949" s="7">
        <v>1</v>
      </c>
      <c r="G3949" s="7">
        <v>151</v>
      </c>
      <c r="H3949" s="8">
        <v>151</v>
      </c>
      <c r="J3949" t="s">
        <v>23</v>
      </c>
      <c r="K3949" s="7">
        <v>438</v>
      </c>
      <c r="L3949" s="9">
        <v>1</v>
      </c>
      <c r="M3949" t="s">
        <v>3087</v>
      </c>
      <c r="N3949" t="s">
        <v>3088</v>
      </c>
      <c r="O3949" s="27" t="str">
        <f>HYPERLINK("https://www.ncbi.nlm.nih.gov/nuccore/MG757163.1?report=graph&amp;from=23020&amp;to=23024", "TTA_codon")</f>
        <v>TTA_codon</v>
      </c>
    </row>
    <row r="3950" spans="1:15" x14ac:dyDescent="0.15">
      <c r="A3950" t="s">
        <v>21</v>
      </c>
      <c r="B3950">
        <v>1001532</v>
      </c>
      <c r="C3950">
        <v>366938</v>
      </c>
      <c r="F3950" s="7">
        <v>1</v>
      </c>
      <c r="G3950" s="7">
        <v>151</v>
      </c>
      <c r="H3950" s="8">
        <v>151</v>
      </c>
      <c r="J3950" t="s">
        <v>23</v>
      </c>
      <c r="K3950" s="7">
        <v>438</v>
      </c>
      <c r="L3950" s="9">
        <v>1</v>
      </c>
      <c r="M3950" t="s">
        <v>3089</v>
      </c>
      <c r="N3950" t="s">
        <v>3090</v>
      </c>
      <c r="O3950" s="27" t="str">
        <f>HYPERLINK("https://www.ncbi.nlm.nih.gov/nuccore/MH171093.1?report=graph&amp;from=23537&amp;to=23541", "TTA_codon")</f>
        <v>TTA_codon</v>
      </c>
    </row>
    <row r="3951" spans="1:15" x14ac:dyDescent="0.15">
      <c r="A3951" t="s">
        <v>21</v>
      </c>
      <c r="B3951">
        <v>1001532</v>
      </c>
      <c r="C3951">
        <v>366939</v>
      </c>
      <c r="F3951" s="7">
        <v>1</v>
      </c>
      <c r="G3951" s="7">
        <v>151</v>
      </c>
      <c r="H3951" s="8">
        <v>151</v>
      </c>
      <c r="J3951" t="s">
        <v>23</v>
      </c>
      <c r="K3951" s="7">
        <v>438</v>
      </c>
      <c r="L3951" s="9">
        <v>1</v>
      </c>
      <c r="M3951" t="s">
        <v>3091</v>
      </c>
      <c r="N3951" t="s">
        <v>3092</v>
      </c>
      <c r="O3951" s="27" t="str">
        <f>HYPERLINK("https://www.ncbi.nlm.nih.gov/nuccore/MH171094.1?report=graph&amp;from=23537&amp;to=23541", "TTA_codon")</f>
        <v>TTA_codon</v>
      </c>
    </row>
    <row r="3952" spans="1:15" x14ac:dyDescent="0.15">
      <c r="A3952" t="s">
        <v>21</v>
      </c>
      <c r="B3952">
        <v>1001532</v>
      </c>
      <c r="C3952">
        <v>366940</v>
      </c>
      <c r="F3952" s="7">
        <v>1</v>
      </c>
      <c r="G3952" s="7">
        <v>151</v>
      </c>
      <c r="H3952" s="8">
        <v>151</v>
      </c>
      <c r="J3952" t="s">
        <v>23</v>
      </c>
      <c r="K3952" s="7">
        <v>438</v>
      </c>
      <c r="L3952" s="9">
        <v>1</v>
      </c>
      <c r="M3952" t="s">
        <v>3093</v>
      </c>
      <c r="N3952" t="s">
        <v>3094</v>
      </c>
      <c r="O3952" s="27" t="str">
        <f>HYPERLINK("https://www.ncbi.nlm.nih.gov/nuccore/MH171095.1?report=graph&amp;from=23051&amp;to=23055", "TTA_codon")</f>
        <v>TTA_codon</v>
      </c>
    </row>
    <row r="3953" spans="1:15" x14ac:dyDescent="0.15">
      <c r="A3953" t="s">
        <v>21</v>
      </c>
      <c r="B3953">
        <v>1001532</v>
      </c>
      <c r="C3953">
        <v>366942</v>
      </c>
      <c r="F3953" s="7">
        <v>1</v>
      </c>
      <c r="G3953" s="7">
        <v>151</v>
      </c>
      <c r="H3953" s="8">
        <v>151</v>
      </c>
      <c r="J3953" t="s">
        <v>23</v>
      </c>
      <c r="K3953" s="7">
        <v>438</v>
      </c>
      <c r="L3953" s="9">
        <v>1</v>
      </c>
      <c r="M3953" t="s">
        <v>3095</v>
      </c>
      <c r="N3953" t="s">
        <v>3096</v>
      </c>
      <c r="O3953" s="27" t="str">
        <f>HYPERLINK("https://www.ncbi.nlm.nih.gov/nuccore/MH171096.1?report=graph&amp;from=23097&amp;to=23101", "TTA_codon")</f>
        <v>TTA_codon</v>
      </c>
    </row>
    <row r="3954" spans="1:15" x14ac:dyDescent="0.15">
      <c r="A3954" t="s">
        <v>21</v>
      </c>
      <c r="B3954">
        <v>1001532</v>
      </c>
      <c r="C3954">
        <v>366943</v>
      </c>
      <c r="F3954" s="7">
        <v>1</v>
      </c>
      <c r="G3954" s="7">
        <v>151</v>
      </c>
      <c r="H3954" s="8">
        <v>151</v>
      </c>
      <c r="J3954" t="s">
        <v>23</v>
      </c>
      <c r="K3954" s="7">
        <v>438</v>
      </c>
      <c r="L3954" s="9">
        <v>1</v>
      </c>
      <c r="M3954" t="s">
        <v>3097</v>
      </c>
      <c r="N3954" t="s">
        <v>3098</v>
      </c>
      <c r="O3954" s="27" t="str">
        <f>HYPERLINK("https://www.ncbi.nlm.nih.gov/nuccore/MH171098.1?report=graph&amp;from=23566&amp;to=23570", "TTA_codon")</f>
        <v>TTA_codon</v>
      </c>
    </row>
    <row r="3955" spans="1:15" x14ac:dyDescent="0.15">
      <c r="A3955" t="s">
        <v>21</v>
      </c>
      <c r="B3955">
        <v>1001532</v>
      </c>
      <c r="C3955">
        <v>367013</v>
      </c>
      <c r="F3955" s="7">
        <v>1</v>
      </c>
      <c r="G3955" s="7">
        <v>151</v>
      </c>
      <c r="H3955" s="8">
        <v>151</v>
      </c>
      <c r="J3955" t="s">
        <v>23</v>
      </c>
      <c r="K3955" s="7">
        <v>438</v>
      </c>
      <c r="L3955" s="9">
        <v>1</v>
      </c>
      <c r="M3955" t="s">
        <v>3099</v>
      </c>
      <c r="N3955" t="s">
        <v>3100</v>
      </c>
      <c r="O3955" s="27" t="str">
        <f>HYPERLINK("https://www.ncbi.nlm.nih.gov/nuccore/MK433271.1?report=graph&amp;from=22740&amp;to=22744", "TTA_codon")</f>
        <v>TTA_codon</v>
      </c>
    </row>
    <row r="3956" spans="1:15" x14ac:dyDescent="0.15">
      <c r="A3956" t="s">
        <v>21</v>
      </c>
      <c r="B3956">
        <v>1001532</v>
      </c>
      <c r="C3956">
        <v>367014</v>
      </c>
      <c r="F3956" s="7">
        <v>1</v>
      </c>
      <c r="G3956" s="7">
        <v>151</v>
      </c>
      <c r="H3956" s="8">
        <v>151</v>
      </c>
      <c r="J3956" t="s">
        <v>23</v>
      </c>
      <c r="K3956" s="7">
        <v>438</v>
      </c>
      <c r="L3956" s="9">
        <v>1</v>
      </c>
      <c r="M3956" t="s">
        <v>3101</v>
      </c>
      <c r="N3956" t="s">
        <v>3102</v>
      </c>
      <c r="O3956" s="27" t="str">
        <f>HYPERLINK("https://www.ncbi.nlm.nih.gov/nuccore/MK433276.1?report=graph&amp;from=23019&amp;to=23023", "TTA_codon")</f>
        <v>TTA_codon</v>
      </c>
    </row>
    <row r="3957" spans="1:15" x14ac:dyDescent="0.15">
      <c r="A3957" t="s">
        <v>21</v>
      </c>
      <c r="B3957">
        <v>1001532</v>
      </c>
      <c r="C3957">
        <v>367015</v>
      </c>
      <c r="F3957" s="7">
        <v>1</v>
      </c>
      <c r="G3957" s="7">
        <v>151</v>
      </c>
      <c r="H3957" s="8">
        <v>151</v>
      </c>
      <c r="J3957" t="s">
        <v>23</v>
      </c>
      <c r="K3957" s="7">
        <v>438</v>
      </c>
      <c r="L3957" s="9">
        <v>1</v>
      </c>
      <c r="M3957" t="s">
        <v>3103</v>
      </c>
      <c r="N3957" t="s">
        <v>3104</v>
      </c>
      <c r="O3957" s="27" t="str">
        <f>HYPERLINK("https://www.ncbi.nlm.nih.gov/nuccore/MK433278.1?report=graph&amp;from=22738&amp;to=22742", "TTA_codon")</f>
        <v>TTA_codon</v>
      </c>
    </row>
    <row r="3958" spans="1:15" x14ac:dyDescent="0.15">
      <c r="A3958" t="s">
        <v>21</v>
      </c>
      <c r="B3958">
        <v>1001532</v>
      </c>
      <c r="C3958">
        <v>367017</v>
      </c>
      <c r="F3958" s="7">
        <v>1</v>
      </c>
      <c r="G3958" s="7">
        <v>151</v>
      </c>
      <c r="H3958" s="8">
        <v>151</v>
      </c>
      <c r="J3958" t="s">
        <v>23</v>
      </c>
      <c r="K3958" s="7">
        <v>438</v>
      </c>
      <c r="L3958" s="9">
        <v>1</v>
      </c>
      <c r="M3958" t="s">
        <v>3105</v>
      </c>
      <c r="N3958" t="s">
        <v>3106</v>
      </c>
      <c r="O3958" s="27" t="str">
        <f>HYPERLINK("https://www.ncbi.nlm.nih.gov/nuccore/MK433270.1?report=graph&amp;from=22747&amp;to=22751", "TTA_codon")</f>
        <v>TTA_codon</v>
      </c>
    </row>
    <row r="3959" spans="1:15" x14ac:dyDescent="0.15">
      <c r="A3959" t="s">
        <v>21</v>
      </c>
      <c r="B3959">
        <v>1001532</v>
      </c>
      <c r="C3959">
        <v>367047</v>
      </c>
      <c r="F3959" s="7">
        <v>1</v>
      </c>
      <c r="G3959" s="7">
        <v>151</v>
      </c>
      <c r="H3959" s="8">
        <v>151</v>
      </c>
      <c r="J3959" t="s">
        <v>23</v>
      </c>
      <c r="K3959" s="7">
        <v>438</v>
      </c>
      <c r="L3959" s="9">
        <v>1</v>
      </c>
      <c r="M3959" t="s">
        <v>3107</v>
      </c>
      <c r="N3959" t="s">
        <v>3108</v>
      </c>
      <c r="O3959" s="27" t="str">
        <f>HYPERLINK("https://www.ncbi.nlm.nih.gov/nuccore/MN096373.1?report=graph&amp;from=23049&amp;to=23053", "TTA_codon")</f>
        <v>TTA_codon</v>
      </c>
    </row>
    <row r="3960" spans="1:15" x14ac:dyDescent="0.15">
      <c r="A3960" t="s">
        <v>21</v>
      </c>
      <c r="B3960">
        <v>1001532</v>
      </c>
      <c r="C3960">
        <v>367048</v>
      </c>
      <c r="F3960" s="7">
        <v>1</v>
      </c>
      <c r="G3960" s="7">
        <v>151</v>
      </c>
      <c r="H3960" s="8">
        <v>151</v>
      </c>
      <c r="J3960" t="s">
        <v>23</v>
      </c>
      <c r="K3960" s="7">
        <v>438</v>
      </c>
      <c r="L3960" s="9">
        <v>1</v>
      </c>
      <c r="M3960" t="s">
        <v>3109</v>
      </c>
      <c r="N3960" t="s">
        <v>3110</v>
      </c>
      <c r="O3960" s="27" t="str">
        <f>HYPERLINK("https://www.ncbi.nlm.nih.gov/nuccore/MN096375.1?report=graph&amp;from=22744&amp;to=22748", "TTA_codon")</f>
        <v>TTA_codon</v>
      </c>
    </row>
    <row r="3961" spans="1:15" x14ac:dyDescent="0.15">
      <c r="A3961" t="s">
        <v>21</v>
      </c>
      <c r="B3961">
        <v>1001532</v>
      </c>
      <c r="C3961">
        <v>367049</v>
      </c>
      <c r="F3961" s="7">
        <v>1</v>
      </c>
      <c r="G3961" s="7">
        <v>151</v>
      </c>
      <c r="H3961" s="8">
        <v>151</v>
      </c>
      <c r="J3961" t="s">
        <v>23</v>
      </c>
      <c r="K3961" s="7">
        <v>438</v>
      </c>
      <c r="L3961" s="9">
        <v>1</v>
      </c>
      <c r="M3961" t="s">
        <v>3111</v>
      </c>
      <c r="N3961" t="s">
        <v>3112</v>
      </c>
      <c r="O3961" s="27" t="str">
        <f>HYPERLINK("https://www.ncbi.nlm.nih.gov/nuccore/MN096381.1?report=graph&amp;from=23097&amp;to=23101", "TTA_codon")</f>
        <v>TTA_codon</v>
      </c>
    </row>
    <row r="3962" spans="1:15" x14ac:dyDescent="0.15">
      <c r="A3962" t="s">
        <v>21</v>
      </c>
      <c r="B3962">
        <v>1001532</v>
      </c>
      <c r="C3962">
        <v>367062</v>
      </c>
      <c r="F3962" s="7">
        <v>1</v>
      </c>
      <c r="G3962" s="7">
        <v>151</v>
      </c>
      <c r="H3962" s="8">
        <v>151</v>
      </c>
      <c r="J3962" t="s">
        <v>23</v>
      </c>
      <c r="K3962" s="7">
        <v>438</v>
      </c>
      <c r="L3962" s="9">
        <v>1</v>
      </c>
      <c r="M3962" t="s">
        <v>3113</v>
      </c>
      <c r="N3962" t="s">
        <v>3114</v>
      </c>
      <c r="O3962" s="27" t="str">
        <f>HYPERLINK("https://www.ncbi.nlm.nih.gov/nuccore/MN284899.1?report=graph&amp;from=23030&amp;to=23034", "TTA_codon")</f>
        <v>TTA_codon</v>
      </c>
    </row>
    <row r="3963" spans="1:15" x14ac:dyDescent="0.15">
      <c r="A3963" t="s">
        <v>21</v>
      </c>
      <c r="B3963">
        <v>1001532</v>
      </c>
      <c r="C3963">
        <v>367131</v>
      </c>
      <c r="F3963" s="7">
        <v>1</v>
      </c>
      <c r="G3963" s="7">
        <v>151</v>
      </c>
      <c r="H3963" s="8">
        <v>151</v>
      </c>
      <c r="J3963" t="s">
        <v>23</v>
      </c>
      <c r="K3963" s="7">
        <v>438</v>
      </c>
      <c r="L3963" s="9">
        <v>1</v>
      </c>
      <c r="M3963" t="s">
        <v>3115</v>
      </c>
      <c r="N3963" t="s">
        <v>3116</v>
      </c>
      <c r="O3963" s="27" t="str">
        <f>HYPERLINK("https://www.ncbi.nlm.nih.gov/nuccore/MN586009.1?report=graph&amp;from=22740&amp;to=22744", "TTA_codon")</f>
        <v>TTA_codon</v>
      </c>
    </row>
    <row r="3964" spans="1:15" x14ac:dyDescent="0.15">
      <c r="A3964" t="s">
        <v>21</v>
      </c>
      <c r="B3964">
        <v>1001532</v>
      </c>
      <c r="C3964">
        <v>367219</v>
      </c>
      <c r="F3964" s="7">
        <v>1</v>
      </c>
      <c r="G3964" s="7">
        <v>151</v>
      </c>
      <c r="H3964" s="8">
        <v>151</v>
      </c>
      <c r="J3964" t="s">
        <v>23</v>
      </c>
      <c r="K3964" s="7">
        <v>438</v>
      </c>
      <c r="L3964" s="9">
        <v>1</v>
      </c>
      <c r="M3964" t="s">
        <v>3117</v>
      </c>
      <c r="N3964" t="s">
        <v>3118</v>
      </c>
      <c r="O3964" s="27" t="str">
        <f>HYPERLINK("https://www.ncbi.nlm.nih.gov/nuccore/MW365953.1?report=graph&amp;from=23020&amp;to=23024", "TTA_codon")</f>
        <v>TTA_codon</v>
      </c>
    </row>
    <row r="3965" spans="1:15" x14ac:dyDescent="0.15">
      <c r="A3965" t="s">
        <v>21</v>
      </c>
      <c r="B3965">
        <v>1001532</v>
      </c>
      <c r="C3965">
        <v>367220</v>
      </c>
      <c r="F3965" s="7">
        <v>1</v>
      </c>
      <c r="G3965" s="7">
        <v>151</v>
      </c>
      <c r="H3965" s="8">
        <v>151</v>
      </c>
      <c r="J3965" t="s">
        <v>23</v>
      </c>
      <c r="K3965" s="7">
        <v>438</v>
      </c>
      <c r="L3965" s="9">
        <v>1</v>
      </c>
      <c r="M3965" t="s">
        <v>3119</v>
      </c>
      <c r="N3965" t="s">
        <v>3120</v>
      </c>
      <c r="O3965" s="27" t="str">
        <f>HYPERLINK("https://www.ncbi.nlm.nih.gov/nuccore/MW365951.1?report=graph&amp;from=23029&amp;to=23033", "TTA_codon")</f>
        <v>TTA_codon</v>
      </c>
    </row>
    <row r="3966" spans="1:15" x14ac:dyDescent="0.15">
      <c r="A3966" t="s">
        <v>21</v>
      </c>
      <c r="B3966">
        <v>1001532</v>
      </c>
      <c r="C3966">
        <v>367248</v>
      </c>
      <c r="F3966" s="7">
        <v>1</v>
      </c>
      <c r="G3966" s="7">
        <v>151</v>
      </c>
      <c r="H3966" s="8">
        <v>151</v>
      </c>
      <c r="J3966" t="s">
        <v>23</v>
      </c>
      <c r="K3966" s="7">
        <v>438</v>
      </c>
      <c r="L3966" s="9">
        <v>1</v>
      </c>
      <c r="M3966" t="s">
        <v>3121</v>
      </c>
      <c r="N3966" t="s">
        <v>3122</v>
      </c>
      <c r="O3966" s="27" t="str">
        <f>HYPERLINK("https://www.ncbi.nlm.nih.gov/nuccore/NC_021298.1?report=graph&amp;from=23568&amp;to=23572", "TTA_codon")</f>
        <v>TTA_codon</v>
      </c>
    </row>
    <row r="3967" spans="1:15" x14ac:dyDescent="0.15">
      <c r="A3967" t="s">
        <v>21</v>
      </c>
      <c r="B3967">
        <v>1001532</v>
      </c>
      <c r="C3967">
        <v>367249</v>
      </c>
      <c r="F3967" s="7">
        <v>1</v>
      </c>
      <c r="G3967" s="7">
        <v>151</v>
      </c>
      <c r="H3967" s="8">
        <v>151</v>
      </c>
      <c r="J3967" t="s">
        <v>23</v>
      </c>
      <c r="K3967" s="7">
        <v>438</v>
      </c>
      <c r="L3967" s="9">
        <v>1</v>
      </c>
      <c r="M3967" t="s">
        <v>3123</v>
      </c>
      <c r="N3967" t="s">
        <v>3124</v>
      </c>
      <c r="O3967" s="27" t="str">
        <f>HYPERLINK("https://www.ncbi.nlm.nih.gov/nuccore/NC_021304.1?report=graph&amp;from=23853&amp;to=23857", "TTA_codon")</f>
        <v>TTA_codon</v>
      </c>
    </row>
    <row r="3968" spans="1:15" x14ac:dyDescent="0.15">
      <c r="A3968" t="s">
        <v>21</v>
      </c>
      <c r="B3968">
        <v>1001532</v>
      </c>
      <c r="C3968">
        <v>367252</v>
      </c>
      <c r="F3968" s="7">
        <v>1</v>
      </c>
      <c r="G3968" s="7">
        <v>151</v>
      </c>
      <c r="H3968" s="8">
        <v>151</v>
      </c>
      <c r="J3968" t="s">
        <v>23</v>
      </c>
      <c r="K3968" s="7">
        <v>438</v>
      </c>
      <c r="L3968" s="9">
        <v>1</v>
      </c>
      <c r="M3968" t="s">
        <v>3125</v>
      </c>
      <c r="N3968" t="s">
        <v>3126</v>
      </c>
      <c r="O3968" s="27" t="str">
        <f>HYPERLINK("https://www.ncbi.nlm.nih.gov/nuccore/NC_021339.1?report=graph&amp;from=23560&amp;to=23564", "TTA_codon")</f>
        <v>TTA_codon</v>
      </c>
    </row>
    <row r="3969" spans="1:15" x14ac:dyDescent="0.15">
      <c r="A3969" t="s">
        <v>21</v>
      </c>
      <c r="B3969">
        <v>1001532</v>
      </c>
      <c r="C3969">
        <v>367253</v>
      </c>
      <c r="F3969" s="7">
        <v>1</v>
      </c>
      <c r="G3969" s="7">
        <v>151</v>
      </c>
      <c r="H3969" s="8">
        <v>151</v>
      </c>
      <c r="J3969" t="s">
        <v>23</v>
      </c>
      <c r="K3969" s="7">
        <v>438</v>
      </c>
      <c r="L3969" s="9">
        <v>1</v>
      </c>
      <c r="M3969" t="s">
        <v>3127</v>
      </c>
      <c r="N3969" t="s">
        <v>3128</v>
      </c>
      <c r="O3969" s="27" t="str">
        <f>HYPERLINK("https://www.ncbi.nlm.nih.gov/nuccore/NC_028976.1?report=graph&amp;from=23144&amp;to=23148", "TTA_codon")</f>
        <v>TTA_codon</v>
      </c>
    </row>
    <row r="3970" spans="1:15" x14ac:dyDescent="0.15">
      <c r="A3970" t="s">
        <v>21</v>
      </c>
      <c r="B3970">
        <v>1001532</v>
      </c>
      <c r="C3970">
        <v>367254</v>
      </c>
      <c r="F3970" s="7">
        <v>1</v>
      </c>
      <c r="G3970" s="7">
        <v>151</v>
      </c>
      <c r="H3970" s="8">
        <v>151</v>
      </c>
      <c r="J3970" t="s">
        <v>23</v>
      </c>
      <c r="K3970" s="7">
        <v>441</v>
      </c>
      <c r="L3970" s="9">
        <v>1</v>
      </c>
      <c r="M3970" t="s">
        <v>3129</v>
      </c>
      <c r="N3970" t="s">
        <v>3130</v>
      </c>
      <c r="O3970" s="27" t="str">
        <f>HYPERLINK("https://www.ncbi.nlm.nih.gov/nuccore/NC_028904.1?report=graph&amp;from=25283&amp;to=25287", "TTA_codon")</f>
        <v>TTA_codon</v>
      </c>
    </row>
    <row r="3971" spans="1:15" x14ac:dyDescent="0.15">
      <c r="A3971" t="s">
        <v>21</v>
      </c>
      <c r="B3971">
        <v>1001532</v>
      </c>
      <c r="C3971">
        <v>367256</v>
      </c>
      <c r="F3971" s="7">
        <v>1</v>
      </c>
      <c r="G3971" s="7">
        <v>151</v>
      </c>
      <c r="H3971" s="8">
        <v>151</v>
      </c>
      <c r="J3971" t="s">
        <v>23</v>
      </c>
      <c r="K3971" s="7">
        <v>438</v>
      </c>
      <c r="L3971" s="9">
        <v>1</v>
      </c>
      <c r="M3971" t="s">
        <v>3131</v>
      </c>
      <c r="N3971" t="s">
        <v>3132</v>
      </c>
      <c r="O3971" s="27" t="str">
        <f>HYPERLINK("https://www.ncbi.nlm.nih.gov/nuccore/NC_028892.1?report=graph&amp;from=22724&amp;to=22728", "TTA_codon")</f>
        <v>TTA_codon</v>
      </c>
    </row>
    <row r="3972" spans="1:15" x14ac:dyDescent="0.15">
      <c r="A3972" t="s">
        <v>21</v>
      </c>
      <c r="B3972">
        <v>1001532</v>
      </c>
      <c r="C3972">
        <v>367257</v>
      </c>
      <c r="F3972" s="7">
        <v>1</v>
      </c>
      <c r="G3972" s="7">
        <v>151</v>
      </c>
      <c r="H3972" s="8">
        <v>151</v>
      </c>
      <c r="J3972" t="s">
        <v>23</v>
      </c>
      <c r="K3972" s="7">
        <v>438</v>
      </c>
      <c r="L3972" s="9">
        <v>1</v>
      </c>
      <c r="M3972" t="s">
        <v>3133</v>
      </c>
      <c r="N3972" t="s">
        <v>3134</v>
      </c>
      <c r="O3972" s="27" t="str">
        <f>HYPERLINK("https://www.ncbi.nlm.nih.gov/nuccore/NC_028827.1?report=graph&amp;from=23789&amp;to=23793", "TTA_codon")</f>
        <v>TTA_codon</v>
      </c>
    </row>
    <row r="3973" spans="1:15" x14ac:dyDescent="0.15">
      <c r="A3973" t="s">
        <v>21</v>
      </c>
      <c r="B3973">
        <v>1001532</v>
      </c>
      <c r="C3973">
        <v>367270</v>
      </c>
      <c r="F3973" s="7">
        <v>1</v>
      </c>
      <c r="G3973" s="7">
        <v>151</v>
      </c>
      <c r="H3973" s="8">
        <v>151</v>
      </c>
      <c r="J3973" t="s">
        <v>23</v>
      </c>
      <c r="K3973" s="7">
        <v>438</v>
      </c>
      <c r="L3973" s="9">
        <v>1</v>
      </c>
      <c r="M3973" t="s">
        <v>3135</v>
      </c>
      <c r="N3973" t="s">
        <v>3136</v>
      </c>
      <c r="O3973" s="27" t="str">
        <f>HYPERLINK("https://www.ncbi.nlm.nih.gov/nuccore/NC_031078.1?report=graph&amp;from=23387&amp;to=23391", "TTA_codon")</f>
        <v>TTA_codon</v>
      </c>
    </row>
    <row r="3974" spans="1:15" x14ac:dyDescent="0.15">
      <c r="A3974" t="s">
        <v>21</v>
      </c>
      <c r="B3974">
        <v>1001532</v>
      </c>
      <c r="C3974">
        <v>367271</v>
      </c>
      <c r="F3974" s="7">
        <v>1</v>
      </c>
      <c r="G3974" s="7">
        <v>235</v>
      </c>
      <c r="H3974" s="8">
        <v>235</v>
      </c>
      <c r="J3974" t="s">
        <v>23</v>
      </c>
      <c r="K3974" s="7">
        <v>441</v>
      </c>
      <c r="L3974" s="9">
        <v>1</v>
      </c>
      <c r="M3974" t="s">
        <v>3137</v>
      </c>
      <c r="N3974" t="s">
        <v>3138</v>
      </c>
      <c r="O3974" s="27" t="str">
        <f>HYPERLINK("https://www.ncbi.nlm.nih.gov/nuccore/NC_041856.1?report=graph&amp;from=26496&amp;to=26500", "TTA_codon")</f>
        <v>TTA_codon</v>
      </c>
    </row>
    <row r="3975" spans="1:15" x14ac:dyDescent="0.15">
      <c r="A3975" t="s">
        <v>21</v>
      </c>
      <c r="B3975">
        <v>1001532</v>
      </c>
      <c r="C3975">
        <v>367272</v>
      </c>
      <c r="F3975" s="7">
        <v>1</v>
      </c>
      <c r="G3975" s="7">
        <v>151</v>
      </c>
      <c r="H3975" s="8">
        <v>151</v>
      </c>
      <c r="J3975" t="s">
        <v>23</v>
      </c>
      <c r="K3975" s="7">
        <v>438</v>
      </c>
      <c r="L3975" s="9">
        <v>1</v>
      </c>
      <c r="M3975" t="s">
        <v>3139</v>
      </c>
      <c r="N3975" t="s">
        <v>3140</v>
      </c>
      <c r="O3975" s="27" t="str">
        <f>HYPERLINK("https://www.ncbi.nlm.nih.gov/nuccore/NC_041860.1?report=graph&amp;from=23754&amp;to=23758", "TTA_codon")</f>
        <v>TTA_codon</v>
      </c>
    </row>
    <row r="3976" spans="1:15" x14ac:dyDescent="0.15">
      <c r="A3976" t="s">
        <v>21</v>
      </c>
      <c r="B3976">
        <v>1001532</v>
      </c>
      <c r="C3976">
        <v>367273</v>
      </c>
      <c r="F3976" s="7">
        <v>1</v>
      </c>
      <c r="G3976" s="7">
        <v>151</v>
      </c>
      <c r="H3976" s="8">
        <v>151</v>
      </c>
      <c r="J3976" t="s">
        <v>23</v>
      </c>
      <c r="K3976" s="7">
        <v>438</v>
      </c>
      <c r="L3976" s="9">
        <v>1</v>
      </c>
      <c r="M3976" t="s">
        <v>3141</v>
      </c>
      <c r="N3976" t="s">
        <v>3142</v>
      </c>
      <c r="O3976" s="27" t="str">
        <f>HYPERLINK("https://www.ncbi.nlm.nih.gov/nuccore/NC_054681.1?report=graph&amp;from=23537&amp;to=23541", "TTA_codon")</f>
        <v>TTA_codon</v>
      </c>
    </row>
    <row r="3977" spans="1:15" x14ac:dyDescent="0.15">
      <c r="A3977" t="s">
        <v>21</v>
      </c>
      <c r="B3977">
        <v>1001532</v>
      </c>
      <c r="C3977">
        <v>367276</v>
      </c>
      <c r="F3977" s="7">
        <v>1</v>
      </c>
      <c r="G3977" s="7">
        <v>151</v>
      </c>
      <c r="H3977" s="8">
        <v>151</v>
      </c>
      <c r="J3977" t="s">
        <v>23</v>
      </c>
      <c r="K3977" s="7">
        <v>441</v>
      </c>
      <c r="L3977" s="9">
        <v>1</v>
      </c>
      <c r="M3977" t="s">
        <v>1706</v>
      </c>
      <c r="N3977" t="s">
        <v>1707</v>
      </c>
      <c r="O3977" s="27" t="str">
        <f>HYPERLINK("https://www.ncbi.nlm.nih.gov/nuccore/NC_054674.1?report=graph&amp;from=24193&amp;to=24197", "TTA_codon")</f>
        <v>TTA_codon</v>
      </c>
    </row>
    <row r="3978" spans="1:15" x14ac:dyDescent="0.15">
      <c r="A3978" t="s">
        <v>21</v>
      </c>
      <c r="B3978">
        <v>1001532</v>
      </c>
      <c r="C3978">
        <v>367302</v>
      </c>
      <c r="F3978" s="7">
        <v>1</v>
      </c>
      <c r="G3978" s="7">
        <v>151</v>
      </c>
      <c r="H3978" s="8">
        <v>151</v>
      </c>
      <c r="J3978" t="s">
        <v>23</v>
      </c>
      <c r="K3978" s="7">
        <v>438</v>
      </c>
      <c r="L3978" s="9">
        <v>1</v>
      </c>
      <c r="M3978" t="s">
        <v>3143</v>
      </c>
      <c r="N3978" t="s">
        <v>3144</v>
      </c>
      <c r="O3978" s="27" t="str">
        <f>HYPERLINK("https://www.ncbi.nlm.nih.gov/nuccore/NC_042051.1?report=graph&amp;from=22741&amp;to=22745", "TTA_codon")</f>
        <v>TTA_codon</v>
      </c>
    </row>
    <row r="3979" spans="1:15" x14ac:dyDescent="0.15">
      <c r="A3979" t="s">
        <v>21</v>
      </c>
      <c r="B3979">
        <v>1001532</v>
      </c>
      <c r="C3979">
        <v>367303</v>
      </c>
      <c r="F3979" s="7">
        <v>1</v>
      </c>
      <c r="G3979" s="7">
        <v>151</v>
      </c>
      <c r="H3979" s="8">
        <v>151</v>
      </c>
      <c r="J3979" t="s">
        <v>23</v>
      </c>
      <c r="K3979" s="7">
        <v>438</v>
      </c>
      <c r="L3979" s="9">
        <v>1</v>
      </c>
      <c r="M3979" t="s">
        <v>3145</v>
      </c>
      <c r="N3979" t="s">
        <v>3146</v>
      </c>
      <c r="O3979" s="27" t="str">
        <f>HYPERLINK("https://www.ncbi.nlm.nih.gov/nuccore/NC_042052.1?report=graph&amp;from=23272&amp;to=23276", "TTA_codon")</f>
        <v>TTA_codon</v>
      </c>
    </row>
    <row r="3980" spans="1:15" x14ac:dyDescent="0.15">
      <c r="A3980" t="s">
        <v>21</v>
      </c>
      <c r="B3980">
        <v>1001532</v>
      </c>
      <c r="C3980">
        <v>367305</v>
      </c>
      <c r="F3980" s="7">
        <v>1</v>
      </c>
      <c r="G3980" s="7">
        <v>151</v>
      </c>
      <c r="H3980" s="8">
        <v>151</v>
      </c>
      <c r="J3980" t="s">
        <v>23</v>
      </c>
      <c r="K3980" s="7">
        <v>441</v>
      </c>
      <c r="L3980" s="9">
        <v>1</v>
      </c>
      <c r="M3980" t="s">
        <v>3147</v>
      </c>
      <c r="N3980" t="s">
        <v>3148</v>
      </c>
      <c r="O3980" s="27" t="str">
        <f>HYPERLINK("https://www.ncbi.nlm.nih.gov/nuccore/NC_054677.1?report=graph&amp;from=24447&amp;to=24451", "TTA_codon")</f>
        <v>TTA_codon</v>
      </c>
    </row>
    <row r="3981" spans="1:15" x14ac:dyDescent="0.15">
      <c r="A3981" t="s">
        <v>21</v>
      </c>
      <c r="B3981">
        <v>1001532</v>
      </c>
      <c r="C3981">
        <v>367313</v>
      </c>
      <c r="F3981" s="7">
        <v>1</v>
      </c>
      <c r="G3981" s="7">
        <v>151</v>
      </c>
      <c r="H3981" s="8">
        <v>151</v>
      </c>
      <c r="J3981" t="s">
        <v>23</v>
      </c>
      <c r="K3981" s="7">
        <v>438</v>
      </c>
      <c r="L3981" s="9">
        <v>1</v>
      </c>
      <c r="M3981" t="s">
        <v>3149</v>
      </c>
      <c r="N3981" t="s">
        <v>3150</v>
      </c>
      <c r="O3981" s="27" t="str">
        <f>HYPERLINK("https://www.ncbi.nlm.nih.gov/nuccore/NC_054680.1?report=graph&amp;from=23566&amp;to=23570", "TTA_codon")</f>
        <v>TTA_codon</v>
      </c>
    </row>
    <row r="3982" spans="1:15" x14ac:dyDescent="0.15">
      <c r="A3982" t="s">
        <v>21</v>
      </c>
      <c r="B3982">
        <v>1001532</v>
      </c>
      <c r="C3982">
        <v>367397</v>
      </c>
      <c r="F3982" s="7">
        <v>1</v>
      </c>
      <c r="G3982" s="7">
        <v>151</v>
      </c>
      <c r="H3982" s="8">
        <v>151</v>
      </c>
      <c r="J3982" t="s">
        <v>23</v>
      </c>
      <c r="K3982" s="7">
        <v>438</v>
      </c>
      <c r="L3982" s="9">
        <v>1</v>
      </c>
      <c r="M3982" t="s">
        <v>3151</v>
      </c>
      <c r="N3982" t="s">
        <v>3152</v>
      </c>
      <c r="O3982" s="27" t="str">
        <f>HYPERLINK("https://www.ncbi.nlm.nih.gov/nuccore/NC_054678.1?report=graph&amp;from=23048&amp;to=23052", "TTA_codon")</f>
        <v>TTA_codon</v>
      </c>
    </row>
    <row r="3983" spans="1:15" x14ac:dyDescent="0.15">
      <c r="A3983" t="s">
        <v>21</v>
      </c>
      <c r="B3983">
        <v>1001532</v>
      </c>
      <c r="C3983">
        <v>367401</v>
      </c>
      <c r="F3983" s="7">
        <v>1</v>
      </c>
      <c r="G3983" s="7">
        <v>235</v>
      </c>
      <c r="H3983" s="8">
        <v>235</v>
      </c>
      <c r="J3983" t="s">
        <v>23</v>
      </c>
      <c r="K3983" s="7">
        <v>441</v>
      </c>
      <c r="L3983" s="9">
        <v>1</v>
      </c>
      <c r="M3983" t="s">
        <v>1708</v>
      </c>
      <c r="N3983" t="s">
        <v>1709</v>
      </c>
      <c r="O3983" s="27" t="str">
        <f>HYPERLINK("https://www.ncbi.nlm.nih.gov/nuccore/NC_054675.1?report=graph&amp;from=24731&amp;to=24735", "TTA_codon")</f>
        <v>TTA_codon</v>
      </c>
    </row>
    <row r="3984" spans="1:15" x14ac:dyDescent="0.15">
      <c r="A3984" t="s">
        <v>21</v>
      </c>
      <c r="B3984">
        <v>1001532</v>
      </c>
      <c r="C3984">
        <v>367404</v>
      </c>
      <c r="F3984" s="7">
        <v>1</v>
      </c>
      <c r="G3984" s="7">
        <v>151</v>
      </c>
      <c r="H3984" s="8">
        <v>151</v>
      </c>
      <c r="J3984" t="s">
        <v>23</v>
      </c>
      <c r="K3984" s="7">
        <v>441</v>
      </c>
      <c r="L3984" s="9">
        <v>1</v>
      </c>
      <c r="M3984" t="s">
        <v>3153</v>
      </c>
      <c r="N3984" t="s">
        <v>3154</v>
      </c>
      <c r="O3984" s="27" t="str">
        <f>HYPERLINK("https://www.ncbi.nlm.nih.gov/nuccore/NC_054672.1?report=graph&amp;from=24876&amp;to=24880", "TTA_codon")</f>
        <v>TTA_codon</v>
      </c>
    </row>
    <row r="3985" spans="1:15" x14ac:dyDescent="0.15">
      <c r="A3985" t="s">
        <v>21</v>
      </c>
      <c r="B3985">
        <v>1001532</v>
      </c>
      <c r="C3985">
        <v>367406</v>
      </c>
      <c r="F3985" s="7">
        <v>1</v>
      </c>
      <c r="G3985" s="7">
        <v>151</v>
      </c>
      <c r="H3985" s="8">
        <v>151</v>
      </c>
      <c r="J3985" t="s">
        <v>23</v>
      </c>
      <c r="K3985" s="7">
        <v>441</v>
      </c>
      <c r="L3985" s="9">
        <v>1</v>
      </c>
      <c r="M3985" t="s">
        <v>1710</v>
      </c>
      <c r="N3985" t="s">
        <v>1711</v>
      </c>
      <c r="O3985" s="27" t="str">
        <f>HYPERLINK("https://www.ncbi.nlm.nih.gov/nuccore/NC_054673.1?report=graph&amp;from=24485&amp;to=24489", "TTA_codon")</f>
        <v>TTA_codon</v>
      </c>
    </row>
    <row r="3986" spans="1:15" x14ac:dyDescent="0.15">
      <c r="A3986" t="s">
        <v>21</v>
      </c>
      <c r="B3986">
        <v>1001532</v>
      </c>
      <c r="C3986">
        <v>367411</v>
      </c>
      <c r="F3986" s="7">
        <v>1</v>
      </c>
      <c r="G3986" s="7">
        <v>235</v>
      </c>
      <c r="H3986" s="8">
        <v>235</v>
      </c>
      <c r="J3986" t="s">
        <v>23</v>
      </c>
      <c r="K3986" s="7">
        <v>441</v>
      </c>
      <c r="L3986" s="9">
        <v>1</v>
      </c>
      <c r="M3986" t="s">
        <v>3155</v>
      </c>
      <c r="N3986" t="s">
        <v>3156</v>
      </c>
      <c r="O3986" s="27" t="str">
        <f>HYPERLINK("https://www.ncbi.nlm.nih.gov/nuccore/NC_054676.1?report=graph&amp;from=22124&amp;to=22128", "TTA_codon")</f>
        <v>TTA_codon</v>
      </c>
    </row>
    <row r="3987" spans="1:15" x14ac:dyDescent="0.15">
      <c r="A3987" t="s">
        <v>21</v>
      </c>
      <c r="B3987">
        <v>1001532</v>
      </c>
      <c r="C3987">
        <v>367418</v>
      </c>
      <c r="F3987" s="7">
        <v>1</v>
      </c>
      <c r="G3987" s="7">
        <v>151</v>
      </c>
      <c r="H3987" s="8">
        <v>151</v>
      </c>
      <c r="J3987" t="s">
        <v>23</v>
      </c>
      <c r="K3987" s="7">
        <v>438</v>
      </c>
      <c r="L3987" s="9">
        <v>1</v>
      </c>
      <c r="M3987" t="s">
        <v>3157</v>
      </c>
      <c r="N3987" t="s">
        <v>3158</v>
      </c>
      <c r="O3987" s="27" t="str">
        <f>HYPERLINK("https://www.ncbi.nlm.nih.gov/nuccore/NC_054679.1?report=graph&amp;from=23030&amp;to=23034", "TTA_codon")</f>
        <v>TTA_codon</v>
      </c>
    </row>
    <row r="3988" spans="1:15" x14ac:dyDescent="0.15">
      <c r="A3988" t="s">
        <v>21</v>
      </c>
      <c r="B3988" t="s">
        <v>3159</v>
      </c>
    </row>
    <row r="3989" spans="1:15" x14ac:dyDescent="0.15">
      <c r="A3989" t="s">
        <v>21</v>
      </c>
      <c r="B3989">
        <v>1000842</v>
      </c>
      <c r="C3989">
        <v>352435</v>
      </c>
      <c r="F3989" s="7">
        <v>1</v>
      </c>
      <c r="G3989" s="7">
        <v>166</v>
      </c>
      <c r="H3989" s="8">
        <v>166</v>
      </c>
      <c r="J3989" t="s">
        <v>23</v>
      </c>
      <c r="K3989" s="7">
        <v>3513</v>
      </c>
      <c r="L3989" s="9">
        <v>-1</v>
      </c>
      <c r="M3989" t="s">
        <v>30</v>
      </c>
      <c r="N3989" t="s">
        <v>31</v>
      </c>
      <c r="O3989" s="27" t="str">
        <f>HYPERLINK("https://www.ncbi.nlm.nih.gov/nuccore/NZ_KB913030.1?report=graph&amp;from=1893969&amp;to=1893973", "TTA_codon")</f>
        <v>TTA_codon</v>
      </c>
    </row>
    <row r="3990" spans="1:15" x14ac:dyDescent="0.15">
      <c r="A3990" t="s">
        <v>21</v>
      </c>
      <c r="B3990">
        <v>1000842</v>
      </c>
      <c r="C3990">
        <v>366276</v>
      </c>
      <c r="F3990" s="7">
        <v>2</v>
      </c>
      <c r="G3990" s="7" t="s">
        <v>3160</v>
      </c>
      <c r="H3990" s="8" t="s">
        <v>3160</v>
      </c>
      <c r="J3990" t="s">
        <v>23</v>
      </c>
      <c r="K3990" s="7">
        <v>3522</v>
      </c>
      <c r="L3990" s="9">
        <v>-1</v>
      </c>
      <c r="M3990" t="s">
        <v>535</v>
      </c>
      <c r="N3990" t="s">
        <v>47</v>
      </c>
      <c r="O3990" s="27" t="str">
        <f>HYPERLINK("https://www.ncbi.nlm.nih.gov/nuccore/NZ_FOLM01000004.1?report=graph&amp;from=333047&amp;to=333162", "TTA_codon")</f>
        <v>TTA_codon</v>
      </c>
    </row>
    <row r="3991" spans="1:15" x14ac:dyDescent="0.15">
      <c r="A3991" t="s">
        <v>21</v>
      </c>
      <c r="B3991" t="s">
        <v>3161</v>
      </c>
    </row>
    <row r="3992" spans="1:15" x14ac:dyDescent="0.15">
      <c r="A3992" t="s">
        <v>21</v>
      </c>
      <c r="B3992">
        <v>1000192</v>
      </c>
      <c r="C3992">
        <v>347325</v>
      </c>
      <c r="F3992" s="7">
        <v>1</v>
      </c>
      <c r="G3992" s="7">
        <v>1294</v>
      </c>
      <c r="H3992" s="8">
        <v>1255</v>
      </c>
      <c r="J3992" t="s">
        <v>23</v>
      </c>
      <c r="K3992" s="7">
        <v>1389</v>
      </c>
      <c r="L3992" s="9">
        <v>-1</v>
      </c>
      <c r="M3992" t="s">
        <v>53</v>
      </c>
      <c r="N3992" t="s">
        <v>54</v>
      </c>
      <c r="O3992" s="27" t="str">
        <f>HYPERLINK("https://www.ncbi.nlm.nih.gov/nuccore/NC_003155.5?report=graph&amp;from=763570&amp;to=763574", "TTA_codon")</f>
        <v>TTA_codon</v>
      </c>
    </row>
    <row r="3993" spans="1:15" x14ac:dyDescent="0.15">
      <c r="A3993" t="s">
        <v>21</v>
      </c>
      <c r="B3993">
        <v>1000192</v>
      </c>
      <c r="C3993">
        <v>362002</v>
      </c>
      <c r="F3993" s="7">
        <v>1</v>
      </c>
      <c r="G3993" s="7">
        <v>1270</v>
      </c>
      <c r="H3993" s="8">
        <v>1267</v>
      </c>
      <c r="J3993" t="s">
        <v>23</v>
      </c>
      <c r="K3993" s="7">
        <v>1446</v>
      </c>
      <c r="L3993" s="9">
        <v>-1</v>
      </c>
      <c r="M3993" t="s">
        <v>1118</v>
      </c>
      <c r="N3993" t="s">
        <v>187</v>
      </c>
      <c r="O3993" s="27" t="str">
        <f>HYPERLINK("https://www.ncbi.nlm.nih.gov/nuccore/NZ_MAXF01000087.1?report=graph&amp;from=4043&amp;to=4047", "TTA_codon")</f>
        <v>TTA_codon</v>
      </c>
    </row>
    <row r="3994" spans="1:15" x14ac:dyDescent="0.15">
      <c r="A3994" t="s">
        <v>21</v>
      </c>
      <c r="B3994" t="s">
        <v>3162</v>
      </c>
    </row>
    <row r="3995" spans="1:15" x14ac:dyDescent="0.15">
      <c r="A3995" t="s">
        <v>21</v>
      </c>
      <c r="B3995">
        <v>1001354</v>
      </c>
      <c r="C3995">
        <v>360922</v>
      </c>
      <c r="F3995" s="7">
        <v>1</v>
      </c>
      <c r="G3995" s="7">
        <v>499</v>
      </c>
      <c r="H3995" s="8">
        <v>493</v>
      </c>
      <c r="J3995" t="s">
        <v>23</v>
      </c>
      <c r="K3995" s="7">
        <v>1440</v>
      </c>
      <c r="L3995" s="9">
        <v>1</v>
      </c>
      <c r="M3995" t="s">
        <v>2546</v>
      </c>
      <c r="N3995" t="s">
        <v>97</v>
      </c>
      <c r="O3995" s="27" t="str">
        <f>HYPERLINK("https://www.ncbi.nlm.nih.gov/nuccore/NZ_LOHS01000184.1?report=graph&amp;from=1474&amp;to=1478", "TTA_codon")</f>
        <v>TTA_codon</v>
      </c>
    </row>
    <row r="3996" spans="1:15" x14ac:dyDescent="0.15">
      <c r="A3996" t="s">
        <v>21</v>
      </c>
      <c r="B3996">
        <v>1001354</v>
      </c>
      <c r="C3996">
        <v>365552</v>
      </c>
      <c r="F3996" s="7">
        <v>1</v>
      </c>
      <c r="G3996" s="7">
        <v>610</v>
      </c>
      <c r="H3996" s="8">
        <v>553</v>
      </c>
      <c r="J3996" t="s">
        <v>23</v>
      </c>
      <c r="K3996" s="7">
        <v>1416</v>
      </c>
      <c r="L3996" s="9">
        <v>1</v>
      </c>
      <c r="M3996" t="s">
        <v>213</v>
      </c>
      <c r="N3996" t="s">
        <v>214</v>
      </c>
      <c r="O3996" s="27" t="str">
        <f>HYPERLINK("https://www.ncbi.nlm.nih.gov/nuccore/NZ_FNST01000002.1?report=graph&amp;from=2132518&amp;to=2132522", "TTA_codon")</f>
        <v>TTA_codon</v>
      </c>
    </row>
    <row r="3997" spans="1:15" x14ac:dyDescent="0.15">
      <c r="A3997" t="s">
        <v>195</v>
      </c>
      <c r="B3997" t="s">
        <v>3163</v>
      </c>
    </row>
    <row r="3998" spans="1:15" x14ac:dyDescent="0.15">
      <c r="A3998" t="s">
        <v>195</v>
      </c>
      <c r="B3998">
        <v>1001025</v>
      </c>
      <c r="C3998">
        <v>346202</v>
      </c>
      <c r="F3998" s="7">
        <v>2</v>
      </c>
      <c r="G3998" s="7" t="s">
        <v>3164</v>
      </c>
      <c r="H3998" s="8" t="s">
        <v>3165</v>
      </c>
      <c r="J3998" t="s">
        <v>23</v>
      </c>
      <c r="K3998" s="7">
        <v>1251</v>
      </c>
      <c r="L3998" s="9">
        <v>-1</v>
      </c>
      <c r="M3998" t="s">
        <v>3166</v>
      </c>
      <c r="N3998" t="s">
        <v>51</v>
      </c>
      <c r="O3998" s="27" t="str">
        <f>HYPERLINK("https://www.ncbi.nlm.nih.gov/nuccore/NZ_AEJB01000661.1?report=graph&amp;from=2436&amp;to=3001", "TTA_codon")</f>
        <v>TTA_codon</v>
      </c>
    </row>
    <row r="3999" spans="1:15" x14ac:dyDescent="0.15">
      <c r="A3999" t="s">
        <v>21</v>
      </c>
      <c r="B3999">
        <v>1001025</v>
      </c>
      <c r="C3999">
        <v>349477</v>
      </c>
      <c r="F3999" s="7">
        <v>2</v>
      </c>
      <c r="G3999" s="7" t="s">
        <v>3167</v>
      </c>
      <c r="H3999" s="8" t="s">
        <v>3168</v>
      </c>
      <c r="J3999" t="s">
        <v>23</v>
      </c>
      <c r="K3999" s="7">
        <v>1107</v>
      </c>
      <c r="L3999" s="9">
        <v>-1</v>
      </c>
      <c r="M3999" t="s">
        <v>3169</v>
      </c>
      <c r="N3999" t="s">
        <v>64</v>
      </c>
      <c r="O3999" s="27" t="str">
        <f>HYPERLINK("https://www.ncbi.nlm.nih.gov/nuccore/NZ_AEYX01000032.1?report=graph&amp;from=107819&amp;to=108057", "TTA_codon")</f>
        <v>TTA_codon</v>
      </c>
    </row>
    <row r="4000" spans="1:15" x14ac:dyDescent="0.15">
      <c r="A4000" t="s">
        <v>21</v>
      </c>
      <c r="B4000">
        <v>1001025</v>
      </c>
      <c r="C4000">
        <v>354569</v>
      </c>
      <c r="F4000" s="7">
        <v>1</v>
      </c>
      <c r="G4000" s="7">
        <v>358</v>
      </c>
      <c r="H4000" s="8">
        <v>271</v>
      </c>
      <c r="J4000" t="s">
        <v>23</v>
      </c>
      <c r="K4000" s="7">
        <v>2382</v>
      </c>
      <c r="L4000" s="9">
        <v>-1</v>
      </c>
      <c r="M4000" t="s">
        <v>1081</v>
      </c>
      <c r="N4000" t="s">
        <v>272</v>
      </c>
      <c r="O4000" s="27" t="str">
        <f>HYPERLINK("https://www.ncbi.nlm.nih.gov/nuccore/NZ_JOEY01000029.1?report=graph&amp;from=61624&amp;to=61628", "TTA_codon")</f>
        <v>TTA_codon</v>
      </c>
    </row>
    <row r="4001" spans="1:15" x14ac:dyDescent="0.15">
      <c r="A4001" t="s">
        <v>21</v>
      </c>
      <c r="B4001">
        <v>1001025</v>
      </c>
      <c r="C4001">
        <v>356368</v>
      </c>
      <c r="F4001" s="7">
        <v>1</v>
      </c>
      <c r="G4001" s="7">
        <v>598</v>
      </c>
      <c r="H4001" s="8">
        <v>505</v>
      </c>
      <c r="J4001" t="s">
        <v>23</v>
      </c>
      <c r="K4001" s="7">
        <v>2415</v>
      </c>
      <c r="L4001" s="9">
        <v>-1</v>
      </c>
      <c r="M4001" t="s">
        <v>1435</v>
      </c>
      <c r="N4001" t="s">
        <v>354</v>
      </c>
      <c r="O4001" s="27" t="str">
        <f>HYPERLINK("https://www.ncbi.nlm.nih.gov/nuccore/NZ_JQJU01000005.1?report=graph&amp;from=206964&amp;to=206968", "TTA_codon")</f>
        <v>TTA_codon</v>
      </c>
    </row>
    <row r="4002" spans="1:15" x14ac:dyDescent="0.15">
      <c r="A4002" t="s">
        <v>21</v>
      </c>
      <c r="B4002">
        <v>1001025</v>
      </c>
      <c r="C4002">
        <v>359837</v>
      </c>
      <c r="F4002" s="7">
        <v>1</v>
      </c>
      <c r="G4002" s="7">
        <v>694</v>
      </c>
      <c r="H4002" s="8">
        <v>649</v>
      </c>
      <c r="J4002" t="s">
        <v>23</v>
      </c>
      <c r="K4002" s="7">
        <v>1245</v>
      </c>
      <c r="L4002" s="9">
        <v>-1</v>
      </c>
      <c r="M4002" t="s">
        <v>2649</v>
      </c>
      <c r="N4002" t="s">
        <v>91</v>
      </c>
      <c r="O4002" s="27" t="str">
        <f>HYPERLINK("https://www.ncbi.nlm.nih.gov/nuccore/NZ_KQ948312.1?report=graph&amp;from=141925&amp;to=141929", "TTA_codon")</f>
        <v>TTA_codon</v>
      </c>
    </row>
    <row r="4003" spans="1:15" x14ac:dyDescent="0.15">
      <c r="A4003" t="s">
        <v>21</v>
      </c>
      <c r="B4003">
        <v>1001025</v>
      </c>
      <c r="C4003">
        <v>364124</v>
      </c>
      <c r="F4003" s="7">
        <v>1</v>
      </c>
      <c r="G4003" s="7">
        <v>532</v>
      </c>
      <c r="H4003" s="8">
        <v>445</v>
      </c>
      <c r="J4003" t="s">
        <v>23</v>
      </c>
      <c r="K4003" s="7">
        <v>1248</v>
      </c>
      <c r="L4003" s="9">
        <v>-1</v>
      </c>
      <c r="M4003" t="s">
        <v>254</v>
      </c>
      <c r="N4003" t="s">
        <v>255</v>
      </c>
      <c r="O4003" s="27" t="str">
        <f>HYPERLINK("https://www.ncbi.nlm.nih.gov/nuccore/NZ_CP018047.1?report=graph&amp;from=4610660&amp;to=4610664", "TTA_codon")</f>
        <v>TTA_codon</v>
      </c>
    </row>
    <row r="4004" spans="1:15" x14ac:dyDescent="0.15">
      <c r="A4004" t="s">
        <v>21</v>
      </c>
      <c r="B4004">
        <v>1001025</v>
      </c>
      <c r="C4004">
        <v>366388</v>
      </c>
      <c r="F4004" s="7">
        <v>2</v>
      </c>
      <c r="G4004" s="7" t="s">
        <v>3170</v>
      </c>
      <c r="H4004" s="8" t="s">
        <v>3171</v>
      </c>
      <c r="J4004" t="s">
        <v>23</v>
      </c>
      <c r="K4004" s="7">
        <v>2358</v>
      </c>
      <c r="L4004" s="9">
        <v>-1</v>
      </c>
      <c r="M4004" t="s">
        <v>2656</v>
      </c>
      <c r="N4004" t="s">
        <v>375</v>
      </c>
      <c r="O4004" s="27" t="str">
        <f>HYPERLINK("https://www.ncbi.nlm.nih.gov/nuccore/NZ_FONG01000001.1?report=graph&amp;from=286816&amp;to=286991", "TTA_codon")</f>
        <v>TTA_codon</v>
      </c>
    </row>
    <row r="4005" spans="1:15" x14ac:dyDescent="0.15">
      <c r="A4005" t="s">
        <v>21</v>
      </c>
      <c r="B4005">
        <v>1001025</v>
      </c>
      <c r="C4005">
        <v>366778</v>
      </c>
      <c r="F4005" s="7">
        <v>1</v>
      </c>
      <c r="G4005" s="7">
        <v>358</v>
      </c>
      <c r="H4005" s="8">
        <v>250</v>
      </c>
      <c r="J4005" t="s">
        <v>23</v>
      </c>
      <c r="K4005" s="7">
        <v>2316</v>
      </c>
      <c r="L4005" s="9">
        <v>-1</v>
      </c>
      <c r="M4005" t="s">
        <v>1720</v>
      </c>
      <c r="N4005" t="s">
        <v>209</v>
      </c>
      <c r="O4005" s="27" t="str">
        <f>HYPERLINK("https://www.ncbi.nlm.nih.gov/nuccore/NZ_FZOF01000008.1?report=graph&amp;from=265365&amp;to=265369", "TTA_codon")</f>
        <v>TTA_codon</v>
      </c>
    </row>
    <row r="4006" spans="1:15" x14ac:dyDescent="0.15">
      <c r="A4006" t="s">
        <v>21</v>
      </c>
      <c r="B4006" t="s">
        <v>3172</v>
      </c>
    </row>
    <row r="4007" spans="1:15" x14ac:dyDescent="0.15">
      <c r="A4007" t="s">
        <v>21</v>
      </c>
      <c r="B4007">
        <v>1001333</v>
      </c>
      <c r="C4007">
        <v>349553</v>
      </c>
      <c r="F4007" s="7">
        <v>1</v>
      </c>
      <c r="G4007" s="7">
        <v>1084</v>
      </c>
      <c r="H4007" s="8">
        <v>1021</v>
      </c>
      <c r="J4007" t="s">
        <v>23</v>
      </c>
      <c r="K4007" s="7">
        <v>2781</v>
      </c>
      <c r="L4007" s="9">
        <v>1</v>
      </c>
      <c r="M4007" t="s">
        <v>3173</v>
      </c>
      <c r="N4007" t="s">
        <v>64</v>
      </c>
      <c r="O4007" s="27" t="str">
        <f>HYPERLINK("https://www.ncbi.nlm.nih.gov/nuccore/NZ_AEYX01000022.1?report=graph&amp;from=32642&amp;to=32646", "TTA_codon")</f>
        <v>TTA_codon</v>
      </c>
    </row>
    <row r="4008" spans="1:15" x14ac:dyDescent="0.15">
      <c r="A4008" t="s">
        <v>21</v>
      </c>
      <c r="B4008">
        <v>1001333</v>
      </c>
      <c r="C4008">
        <v>360176</v>
      </c>
      <c r="F4008" s="7">
        <v>1</v>
      </c>
      <c r="G4008" s="7">
        <v>955</v>
      </c>
      <c r="H4008" s="8">
        <v>922</v>
      </c>
      <c r="J4008" t="s">
        <v>23</v>
      </c>
      <c r="K4008" s="7">
        <v>2730</v>
      </c>
      <c r="L4008" s="9">
        <v>1</v>
      </c>
      <c r="M4008" t="s">
        <v>3174</v>
      </c>
      <c r="N4008" t="s">
        <v>125</v>
      </c>
      <c r="O4008" s="27" t="str">
        <f>HYPERLINK("https://www.ncbi.nlm.nih.gov/nuccore/NZ_KQ948475.1?report=graph&amp;from=50386&amp;to=50390", "TTA_codon")</f>
        <v>TTA_codon</v>
      </c>
    </row>
    <row r="4009" spans="1:15" x14ac:dyDescent="0.15">
      <c r="A4009" t="s">
        <v>21</v>
      </c>
      <c r="B4009" t="s">
        <v>3175</v>
      </c>
    </row>
    <row r="4010" spans="1:15" x14ac:dyDescent="0.15">
      <c r="A4010" t="s">
        <v>21</v>
      </c>
      <c r="B4010">
        <v>1000949</v>
      </c>
      <c r="C4010">
        <v>353496</v>
      </c>
      <c r="F4010" s="7">
        <v>1</v>
      </c>
      <c r="G4010" s="7">
        <v>2998</v>
      </c>
      <c r="H4010" s="8">
        <v>1834</v>
      </c>
      <c r="J4010" t="s">
        <v>23</v>
      </c>
      <c r="K4010" s="7">
        <v>2421</v>
      </c>
      <c r="L4010" s="9">
        <v>-1</v>
      </c>
      <c r="M4010" t="s">
        <v>3176</v>
      </c>
      <c r="N4010" t="s">
        <v>169</v>
      </c>
      <c r="O4010" s="27" t="str">
        <f>HYPERLINK("https://www.ncbi.nlm.nih.gov/nuccore/NZ_JNWJ01000056.1?report=graph&amp;from=5210&amp;to=5214", "TTA_codon")</f>
        <v>TTA_codon</v>
      </c>
    </row>
    <row r="4011" spans="1:15" x14ac:dyDescent="0.15">
      <c r="A4011" t="s">
        <v>21</v>
      </c>
      <c r="B4011">
        <v>1000949</v>
      </c>
      <c r="C4011">
        <v>363796</v>
      </c>
      <c r="F4011" s="7">
        <v>1</v>
      </c>
      <c r="G4011" s="7">
        <v>2968</v>
      </c>
      <c r="H4011" s="8">
        <v>2968</v>
      </c>
      <c r="J4011" t="s">
        <v>23</v>
      </c>
      <c r="K4011" s="7">
        <v>4746</v>
      </c>
      <c r="L4011" s="9">
        <v>-1</v>
      </c>
      <c r="M4011" t="s">
        <v>101</v>
      </c>
      <c r="N4011" t="s">
        <v>102</v>
      </c>
      <c r="O4011" s="27" t="str">
        <f>HYPERLINK("https://www.ncbi.nlm.nih.gov/nuccore/NZ_CP019458.1?report=graph&amp;from=10020310&amp;to=10020314", "TTA_codon")</f>
        <v>TTA_codon</v>
      </c>
    </row>
    <row r="4012" spans="1:15" x14ac:dyDescent="0.15">
      <c r="A4012" t="s">
        <v>21</v>
      </c>
      <c r="B4012" t="s">
        <v>3177</v>
      </c>
    </row>
    <row r="4013" spans="1:15" x14ac:dyDescent="0.15">
      <c r="A4013" t="s">
        <v>21</v>
      </c>
      <c r="B4013">
        <v>1001305</v>
      </c>
      <c r="C4013">
        <v>359274</v>
      </c>
      <c r="F4013" s="7">
        <v>1</v>
      </c>
      <c r="G4013" s="7">
        <v>205</v>
      </c>
      <c r="H4013" s="8">
        <v>163</v>
      </c>
      <c r="J4013" t="s">
        <v>23</v>
      </c>
      <c r="K4013" s="7">
        <v>1071</v>
      </c>
      <c r="L4013" s="9">
        <v>-1</v>
      </c>
      <c r="M4013" t="s">
        <v>3178</v>
      </c>
      <c r="N4013" t="s">
        <v>89</v>
      </c>
      <c r="O4013" s="27" t="str">
        <f>HYPERLINK("https://www.ncbi.nlm.nih.gov/nuccore/NZ_LIRG01000229.1?report=graph&amp;from=19257&amp;to=19261", "TTA_codon")</f>
        <v>TTA_codon</v>
      </c>
    </row>
    <row r="4014" spans="1:15" x14ac:dyDescent="0.15">
      <c r="A4014" t="s">
        <v>21</v>
      </c>
      <c r="B4014">
        <v>1001305</v>
      </c>
      <c r="C4014">
        <v>359805</v>
      </c>
      <c r="F4014" s="7">
        <v>1</v>
      </c>
      <c r="G4014" s="7">
        <v>205</v>
      </c>
      <c r="H4014" s="8">
        <v>205</v>
      </c>
      <c r="J4014" t="s">
        <v>23</v>
      </c>
      <c r="K4014" s="7">
        <v>1170</v>
      </c>
      <c r="L4014" s="9">
        <v>-1</v>
      </c>
      <c r="M4014" t="s">
        <v>1424</v>
      </c>
      <c r="N4014" t="s">
        <v>91</v>
      </c>
      <c r="O4014" s="27" t="str">
        <f>HYPERLINK("https://www.ncbi.nlm.nih.gov/nuccore/NZ_KQ948327.1?report=graph&amp;from=96292&amp;to=96296", "TTA_codon")</f>
        <v>TTA_codon</v>
      </c>
    </row>
    <row r="4015" spans="1:15" x14ac:dyDescent="0.15">
      <c r="A4015" t="s">
        <v>21</v>
      </c>
      <c r="B4015" t="s">
        <v>3179</v>
      </c>
    </row>
    <row r="4016" spans="1:15" x14ac:dyDescent="0.15">
      <c r="A4016" t="s">
        <v>21</v>
      </c>
      <c r="B4016">
        <v>1001512</v>
      </c>
      <c r="C4016">
        <v>355292</v>
      </c>
      <c r="F4016" s="7">
        <v>1</v>
      </c>
      <c r="G4016" s="7">
        <v>61</v>
      </c>
      <c r="H4016" s="8">
        <v>61</v>
      </c>
      <c r="J4016" t="s">
        <v>23</v>
      </c>
      <c r="K4016" s="7">
        <v>1647</v>
      </c>
      <c r="L4016" s="9">
        <v>-1</v>
      </c>
      <c r="M4016" t="s">
        <v>1534</v>
      </c>
      <c r="N4016" t="s">
        <v>295</v>
      </c>
      <c r="O4016" s="27" t="str">
        <f>HYPERLINK("https://www.ncbi.nlm.nih.gov/nuccore/NZ_JODL01000010.1?report=graph&amp;from=72733&amp;to=72737", "TTA_codon")</f>
        <v>TTA_codon</v>
      </c>
    </row>
    <row r="4017" spans="1:15" x14ac:dyDescent="0.15">
      <c r="A4017" t="s">
        <v>21</v>
      </c>
      <c r="B4017">
        <v>1001512</v>
      </c>
      <c r="C4017">
        <v>366096</v>
      </c>
      <c r="F4017" s="7">
        <v>1</v>
      </c>
      <c r="G4017" s="7">
        <v>55</v>
      </c>
      <c r="H4017" s="8">
        <v>52</v>
      </c>
      <c r="J4017" t="s">
        <v>23</v>
      </c>
      <c r="K4017" s="7">
        <v>1632</v>
      </c>
      <c r="L4017" s="9">
        <v>-1</v>
      </c>
      <c r="M4017" t="s">
        <v>1542</v>
      </c>
      <c r="N4017" t="s">
        <v>257</v>
      </c>
      <c r="O4017" s="27" t="str">
        <f>HYPERLINK("https://www.ncbi.nlm.nih.gov/nuccore/NZ_FOET01000001.1?report=graph&amp;from=649999&amp;to=650003", "TTA_codon")</f>
        <v>TTA_codon</v>
      </c>
    </row>
    <row r="4018" spans="1:15" x14ac:dyDescent="0.15">
      <c r="A4018" t="s">
        <v>195</v>
      </c>
      <c r="B4018" t="s">
        <v>3180</v>
      </c>
    </row>
    <row r="4019" spans="1:15" x14ac:dyDescent="0.15">
      <c r="A4019" t="s">
        <v>195</v>
      </c>
      <c r="B4019">
        <v>1001120</v>
      </c>
      <c r="C4019">
        <v>346465</v>
      </c>
      <c r="F4019" s="7">
        <v>1</v>
      </c>
      <c r="G4019" s="7">
        <v>1699</v>
      </c>
      <c r="H4019" s="8">
        <v>1498</v>
      </c>
      <c r="J4019" t="s">
        <v>23</v>
      </c>
      <c r="K4019" s="7">
        <v>3033</v>
      </c>
      <c r="L4019" s="9">
        <v>1</v>
      </c>
      <c r="M4019" t="s">
        <v>1021</v>
      </c>
      <c r="N4019" t="s">
        <v>75</v>
      </c>
      <c r="O4019" s="27" t="str">
        <f>HYPERLINK("https://www.ncbi.nlm.nih.gov/nuccore/NZ_JOII01000015.1?report=graph&amp;from=92396&amp;to=92400", "TTA_codon")</f>
        <v>TTA_codon</v>
      </c>
    </row>
    <row r="4020" spans="1:15" x14ac:dyDescent="0.15">
      <c r="A4020" t="s">
        <v>21</v>
      </c>
      <c r="B4020">
        <v>1001120</v>
      </c>
      <c r="C4020">
        <v>355098</v>
      </c>
      <c r="F4020" s="7">
        <v>1</v>
      </c>
      <c r="G4020" s="7">
        <v>1699</v>
      </c>
      <c r="H4020" s="8">
        <v>1495</v>
      </c>
      <c r="J4020" t="s">
        <v>23</v>
      </c>
      <c r="K4020" s="7">
        <v>2973</v>
      </c>
      <c r="L4020" s="9">
        <v>1</v>
      </c>
      <c r="M4020" t="s">
        <v>2934</v>
      </c>
      <c r="N4020" t="s">
        <v>433</v>
      </c>
      <c r="O4020" s="27" t="str">
        <f>HYPERLINK("https://www.ncbi.nlm.nih.gov/nuccore/NZ_JOBF01000009.1?report=graph&amp;from=187931&amp;to=187935", "TTA_codon")</f>
        <v>TTA_codon</v>
      </c>
    </row>
    <row r="4021" spans="1:15" x14ac:dyDescent="0.15">
      <c r="A4021" t="s">
        <v>21</v>
      </c>
      <c r="B4021">
        <v>1001120</v>
      </c>
      <c r="C4021">
        <v>355800</v>
      </c>
      <c r="F4021" s="7">
        <v>1</v>
      </c>
      <c r="G4021" s="7">
        <v>1603</v>
      </c>
      <c r="H4021" s="8">
        <v>451</v>
      </c>
      <c r="J4021" t="s">
        <v>23</v>
      </c>
      <c r="K4021" s="7">
        <v>1926</v>
      </c>
      <c r="L4021" s="9">
        <v>1</v>
      </c>
      <c r="M4021" t="s">
        <v>2543</v>
      </c>
      <c r="N4021" t="s">
        <v>75</v>
      </c>
      <c r="O4021" s="27" t="str">
        <f>HYPERLINK("https://www.ncbi.nlm.nih.gov/nuccore/NZ_JOII01000022.1?report=graph&amp;from=132477&amp;to=132481", "TTA_codon")</f>
        <v>TTA_codon</v>
      </c>
    </row>
    <row r="4022" spans="1:15" x14ac:dyDescent="0.15">
      <c r="A4022" t="s">
        <v>21</v>
      </c>
      <c r="B4022">
        <v>1001120</v>
      </c>
      <c r="C4022">
        <v>358132</v>
      </c>
      <c r="F4022" s="7">
        <v>1</v>
      </c>
      <c r="G4022" s="7">
        <v>1699</v>
      </c>
      <c r="H4022" s="8">
        <v>1675</v>
      </c>
      <c r="J4022" t="s">
        <v>23</v>
      </c>
      <c r="K4022" s="7">
        <v>3132</v>
      </c>
      <c r="L4022" s="9">
        <v>1</v>
      </c>
      <c r="M4022" t="s">
        <v>3181</v>
      </c>
      <c r="N4022" t="s">
        <v>119</v>
      </c>
      <c r="O4022" s="27" t="str">
        <f>HYPERLINK("https://www.ncbi.nlm.nih.gov/nuccore/NZ_LIPP01000347.1?report=graph&amp;from=18739&amp;to=18743", "TTA_codon")</f>
        <v>TTA_codon</v>
      </c>
    </row>
    <row r="4023" spans="1:15" x14ac:dyDescent="0.15">
      <c r="A4023" t="s">
        <v>21</v>
      </c>
      <c r="B4023" t="s">
        <v>3182</v>
      </c>
    </row>
    <row r="4024" spans="1:15" x14ac:dyDescent="0.15">
      <c r="A4024" t="s">
        <v>21</v>
      </c>
      <c r="B4024">
        <v>1000618</v>
      </c>
      <c r="C4024">
        <v>348335</v>
      </c>
      <c r="F4024" s="7">
        <v>2</v>
      </c>
      <c r="G4024" s="7" t="s">
        <v>3183</v>
      </c>
      <c r="H4024" s="8" t="s">
        <v>3184</v>
      </c>
      <c r="J4024" t="s">
        <v>23</v>
      </c>
      <c r="K4024" s="7">
        <v>1116</v>
      </c>
      <c r="L4024" s="9">
        <v>1</v>
      </c>
      <c r="M4024" t="s">
        <v>59</v>
      </c>
      <c r="N4024" t="s">
        <v>60</v>
      </c>
      <c r="O4024" s="27" t="str">
        <f>HYPERLINK("https://www.ncbi.nlm.nih.gov/nuccore/NC_016582.1?report=graph&amp;from=9114158&amp;to=9114441", "TTA_codon")</f>
        <v>TTA_codon</v>
      </c>
    </row>
    <row r="4025" spans="1:15" x14ac:dyDescent="0.15">
      <c r="A4025" t="s">
        <v>21</v>
      </c>
      <c r="B4025">
        <v>1000618</v>
      </c>
      <c r="C4025">
        <v>349062</v>
      </c>
      <c r="F4025" s="7">
        <v>1</v>
      </c>
      <c r="G4025" s="7">
        <v>370</v>
      </c>
      <c r="H4025" s="8">
        <v>370</v>
      </c>
      <c r="J4025" t="s">
        <v>23</v>
      </c>
      <c r="K4025" s="7">
        <v>1950</v>
      </c>
      <c r="L4025" s="9">
        <v>1</v>
      </c>
      <c r="M4025" t="s">
        <v>211</v>
      </c>
      <c r="N4025" t="s">
        <v>212</v>
      </c>
      <c r="O4025" s="27" t="str">
        <f>HYPERLINK("https://www.ncbi.nlm.nih.gov/nuccore/NZ_GG657754.1?report=graph&amp;from=2466480&amp;to=2466484", "TTA_codon")</f>
        <v>TTA_codon</v>
      </c>
    </row>
    <row r="4026" spans="1:15" x14ac:dyDescent="0.15">
      <c r="A4026" t="s">
        <v>21</v>
      </c>
      <c r="B4026">
        <v>1000618</v>
      </c>
      <c r="C4026">
        <v>350336</v>
      </c>
      <c r="F4026" s="7">
        <v>1</v>
      </c>
      <c r="G4026" s="7">
        <v>649</v>
      </c>
      <c r="H4026" s="8">
        <v>469</v>
      </c>
      <c r="J4026" t="s">
        <v>23</v>
      </c>
      <c r="K4026" s="7">
        <v>1080</v>
      </c>
      <c r="L4026" s="9">
        <v>1</v>
      </c>
      <c r="M4026" t="s">
        <v>35</v>
      </c>
      <c r="N4026" t="s">
        <v>36</v>
      </c>
      <c r="O4026" s="27" t="str">
        <f>HYPERLINK("https://www.ncbi.nlm.nih.gov/nuccore/NZ_JH725387.1?report=graph&amp;from=5024427&amp;to=5024431", "TTA_codon")</f>
        <v>TTA_codon</v>
      </c>
    </row>
    <row r="4027" spans="1:15" x14ac:dyDescent="0.15">
      <c r="A4027" t="s">
        <v>21</v>
      </c>
      <c r="B4027" t="s">
        <v>3185</v>
      </c>
    </row>
    <row r="4028" spans="1:15" x14ac:dyDescent="0.15">
      <c r="A4028" t="s">
        <v>21</v>
      </c>
      <c r="B4028">
        <v>1001169</v>
      </c>
      <c r="C4028">
        <v>356470</v>
      </c>
      <c r="F4028" s="7">
        <v>1</v>
      </c>
      <c r="G4028" s="7">
        <v>316</v>
      </c>
      <c r="H4028" s="8">
        <v>316</v>
      </c>
      <c r="J4028" t="s">
        <v>23</v>
      </c>
      <c r="K4028" s="7">
        <v>969</v>
      </c>
      <c r="L4028" s="9">
        <v>1</v>
      </c>
      <c r="M4028" t="s">
        <v>1325</v>
      </c>
      <c r="N4028" t="s">
        <v>354</v>
      </c>
      <c r="O4028" s="27" t="str">
        <f>HYPERLINK("https://www.ncbi.nlm.nih.gov/nuccore/NZ_JQJU01000014.1?report=graph&amp;from=98318&amp;to=98322", "TTA_codon")</f>
        <v>TTA_codon</v>
      </c>
    </row>
    <row r="4029" spans="1:15" x14ac:dyDescent="0.15">
      <c r="A4029" t="s">
        <v>21</v>
      </c>
      <c r="B4029">
        <v>1001169</v>
      </c>
      <c r="C4029">
        <v>365085</v>
      </c>
      <c r="F4029" s="7">
        <v>2</v>
      </c>
      <c r="G4029" s="7" t="s">
        <v>3186</v>
      </c>
      <c r="H4029" s="8" t="s">
        <v>3187</v>
      </c>
      <c r="J4029" t="s">
        <v>23</v>
      </c>
      <c r="K4029" s="7">
        <v>924</v>
      </c>
      <c r="L4029" s="9">
        <v>1</v>
      </c>
      <c r="M4029" t="s">
        <v>111</v>
      </c>
      <c r="N4029" t="s">
        <v>112</v>
      </c>
      <c r="O4029" s="27" t="str">
        <f>HYPERLINK("https://www.ncbi.nlm.nih.gov/nuccore/NZ_CP021744.1?report=graph&amp;from=2721444&amp;to=2722033", "TTA_codon")</f>
        <v>TTA_codon</v>
      </c>
    </row>
    <row r="4030" spans="1:15" x14ac:dyDescent="0.15">
      <c r="A4030" t="s">
        <v>21</v>
      </c>
      <c r="B4030" t="s">
        <v>3188</v>
      </c>
    </row>
    <row r="4031" spans="1:15" x14ac:dyDescent="0.15">
      <c r="A4031" t="s">
        <v>21</v>
      </c>
      <c r="B4031">
        <v>1000536</v>
      </c>
      <c r="C4031">
        <v>349671</v>
      </c>
      <c r="F4031" s="7">
        <v>1</v>
      </c>
      <c r="G4031" s="7">
        <v>163</v>
      </c>
      <c r="H4031" s="8">
        <v>160</v>
      </c>
      <c r="J4031" t="s">
        <v>23</v>
      </c>
      <c r="K4031" s="7">
        <v>912</v>
      </c>
      <c r="L4031" s="9">
        <v>1</v>
      </c>
      <c r="M4031" t="s">
        <v>2922</v>
      </c>
      <c r="N4031" t="s">
        <v>335</v>
      </c>
      <c r="O4031" s="27" t="str">
        <f>HYPERLINK("https://www.ncbi.nlm.nih.gov/nuccore/NZ_AGBF01000004.1?report=graph&amp;from=136179&amp;to=136183", "TTA_codon")</f>
        <v>TTA_codon</v>
      </c>
    </row>
    <row r="4032" spans="1:15" x14ac:dyDescent="0.15">
      <c r="A4032" t="s">
        <v>21</v>
      </c>
      <c r="B4032">
        <v>1000536</v>
      </c>
      <c r="C4032">
        <v>350807</v>
      </c>
      <c r="F4032" s="7">
        <v>1</v>
      </c>
      <c r="G4032" s="7">
        <v>73</v>
      </c>
      <c r="H4032" s="8">
        <v>61</v>
      </c>
      <c r="J4032" t="s">
        <v>23</v>
      </c>
      <c r="K4032" s="7">
        <v>900</v>
      </c>
      <c r="L4032" s="9">
        <v>1</v>
      </c>
      <c r="M4032" t="s">
        <v>1817</v>
      </c>
      <c r="N4032" t="s">
        <v>51</v>
      </c>
      <c r="O4032" s="27" t="str">
        <f>HYPERLINK("https://www.ncbi.nlm.nih.gov/nuccore/NZ_AEJB01000070.1?report=graph&amp;from=60610&amp;to=60614", "TTA_codon")</f>
        <v>TTA_codon</v>
      </c>
    </row>
    <row r="4033" spans="1:15" x14ac:dyDescent="0.15">
      <c r="A4033" t="s">
        <v>21</v>
      </c>
      <c r="B4033">
        <v>1000536</v>
      </c>
      <c r="C4033">
        <v>353877</v>
      </c>
      <c r="F4033" s="7">
        <v>2</v>
      </c>
      <c r="G4033" s="7" t="s">
        <v>3189</v>
      </c>
      <c r="H4033" s="8" t="s">
        <v>3190</v>
      </c>
      <c r="J4033" t="s">
        <v>23</v>
      </c>
      <c r="K4033" s="7">
        <v>906</v>
      </c>
      <c r="L4033" s="9">
        <v>1</v>
      </c>
      <c r="M4033" t="s">
        <v>1820</v>
      </c>
      <c r="N4033" t="s">
        <v>246</v>
      </c>
      <c r="O4033" s="27" t="str">
        <f>HYPERLINK("https://www.ncbi.nlm.nih.gov/nuccore/NZ_JNYR01000006.1?report=graph&amp;from=63751&amp;to=64049", "TTA_codon")</f>
        <v>TTA_codon</v>
      </c>
    </row>
    <row r="4034" spans="1:15" x14ac:dyDescent="0.15">
      <c r="A4034" t="s">
        <v>21</v>
      </c>
      <c r="B4034">
        <v>1000536</v>
      </c>
      <c r="C4034">
        <v>358190</v>
      </c>
      <c r="F4034" s="7">
        <v>1</v>
      </c>
      <c r="G4034" s="7">
        <v>163</v>
      </c>
      <c r="H4034" s="8">
        <v>163</v>
      </c>
      <c r="J4034" t="s">
        <v>23</v>
      </c>
      <c r="K4034" s="7">
        <v>915</v>
      </c>
      <c r="L4034" s="9">
        <v>1</v>
      </c>
      <c r="M4034" t="s">
        <v>494</v>
      </c>
      <c r="N4034" t="s">
        <v>119</v>
      </c>
      <c r="O4034" s="27" t="str">
        <f>HYPERLINK("https://www.ncbi.nlm.nih.gov/nuccore/NZ_LIPP01000162.1?report=graph&amp;from=10332&amp;to=10336", "TTA_codon")</f>
        <v>TTA_codon</v>
      </c>
    </row>
    <row r="4035" spans="1:15" x14ac:dyDescent="0.15">
      <c r="A4035" t="s">
        <v>21</v>
      </c>
      <c r="B4035">
        <v>1000536</v>
      </c>
      <c r="C4035">
        <v>364741</v>
      </c>
      <c r="F4035" s="7">
        <v>1</v>
      </c>
      <c r="G4035" s="7">
        <v>163</v>
      </c>
      <c r="H4035" s="8">
        <v>163</v>
      </c>
      <c r="J4035" t="s">
        <v>23</v>
      </c>
      <c r="K4035" s="7">
        <v>915</v>
      </c>
      <c r="L4035" s="9">
        <v>1</v>
      </c>
      <c r="M4035" t="s">
        <v>3191</v>
      </c>
      <c r="N4035" t="s">
        <v>110</v>
      </c>
      <c r="O4035" s="27" t="str">
        <f>HYPERLINK("https://www.ncbi.nlm.nih.gov/nuccore/NZ_MUME01000220.1?report=graph&amp;from=8886&amp;to=8890", "TTA_codon")</f>
        <v>TTA_codon</v>
      </c>
    </row>
    <row r="4036" spans="1:15" x14ac:dyDescent="0.15">
      <c r="A4036" t="s">
        <v>21</v>
      </c>
      <c r="B4036" t="s">
        <v>3192</v>
      </c>
    </row>
    <row r="4037" spans="1:15" x14ac:dyDescent="0.15">
      <c r="A4037" t="s">
        <v>21</v>
      </c>
      <c r="B4037">
        <v>1001195</v>
      </c>
      <c r="C4037">
        <v>356816</v>
      </c>
      <c r="F4037" s="7">
        <v>1</v>
      </c>
      <c r="G4037" s="7">
        <v>331</v>
      </c>
      <c r="H4037" s="8">
        <v>331</v>
      </c>
      <c r="J4037" t="s">
        <v>23</v>
      </c>
      <c r="K4037" s="7">
        <v>1266</v>
      </c>
      <c r="L4037" s="9">
        <v>1</v>
      </c>
      <c r="M4037" t="s">
        <v>147</v>
      </c>
      <c r="N4037" t="s">
        <v>148</v>
      </c>
      <c r="O4037" s="27" t="str">
        <f>HYPERLINK("https://www.ncbi.nlm.nih.gov/nuccore/NZ_CP021080.1?report=graph&amp;from=3575014&amp;to=3575018", "TTA_codon")</f>
        <v>TTA_codon</v>
      </c>
    </row>
    <row r="4038" spans="1:15" x14ac:dyDescent="0.15">
      <c r="A4038" t="s">
        <v>21</v>
      </c>
      <c r="B4038">
        <v>1001195</v>
      </c>
      <c r="C4038">
        <v>358208</v>
      </c>
      <c r="F4038" s="7">
        <v>1</v>
      </c>
      <c r="G4038" s="7">
        <v>331</v>
      </c>
      <c r="H4038" s="8">
        <v>133</v>
      </c>
      <c r="J4038" t="s">
        <v>23</v>
      </c>
      <c r="K4038" s="7">
        <v>1068</v>
      </c>
      <c r="L4038" s="9">
        <v>1</v>
      </c>
      <c r="M4038" t="s">
        <v>1084</v>
      </c>
      <c r="N4038" t="s">
        <v>119</v>
      </c>
      <c r="O4038" s="27" t="str">
        <f>HYPERLINK("https://www.ncbi.nlm.nih.gov/nuccore/NZ_LIPP01000128.1?report=graph&amp;from=203&amp;to=207", "TTA_codon")</f>
        <v>TTA_codon</v>
      </c>
    </row>
    <row r="4039" spans="1:15" x14ac:dyDescent="0.15">
      <c r="A4039" t="s">
        <v>195</v>
      </c>
      <c r="B4039" t="s">
        <v>3193</v>
      </c>
    </row>
    <row r="4040" spans="1:15" x14ac:dyDescent="0.15">
      <c r="A4040" t="s">
        <v>195</v>
      </c>
      <c r="B4040">
        <v>1000084</v>
      </c>
      <c r="C4040">
        <v>346515</v>
      </c>
      <c r="F4040" s="7">
        <v>1</v>
      </c>
      <c r="G4040" s="7">
        <v>169</v>
      </c>
      <c r="H4040" s="8">
        <v>82</v>
      </c>
      <c r="J4040" t="s">
        <v>23</v>
      </c>
      <c r="K4040" s="7">
        <v>1395</v>
      </c>
      <c r="L4040" s="9">
        <v>1</v>
      </c>
      <c r="M4040" t="s">
        <v>508</v>
      </c>
      <c r="N4040" t="s">
        <v>509</v>
      </c>
      <c r="O4040" s="27" t="str">
        <f>HYPERLINK("https://www.ncbi.nlm.nih.gov/nuccore/NZ_CP009438.1?report=graph&amp;from=943616&amp;to=943620", "TTA_codon")</f>
        <v>TTA_codon</v>
      </c>
    </row>
    <row r="4041" spans="1:15" x14ac:dyDescent="0.15">
      <c r="A4041" t="s">
        <v>21</v>
      </c>
      <c r="B4041">
        <v>1000084</v>
      </c>
      <c r="C4041">
        <v>353287</v>
      </c>
      <c r="F4041" s="7">
        <v>1</v>
      </c>
      <c r="G4041" s="7">
        <v>256</v>
      </c>
      <c r="H4041" s="8">
        <v>214</v>
      </c>
      <c r="J4041" t="s">
        <v>23</v>
      </c>
      <c r="K4041" s="7">
        <v>1413</v>
      </c>
      <c r="L4041" s="9">
        <v>1</v>
      </c>
      <c r="M4041" t="s">
        <v>3194</v>
      </c>
      <c r="N4041" t="s">
        <v>169</v>
      </c>
      <c r="O4041" s="27" t="str">
        <f>HYPERLINK("https://www.ncbi.nlm.nih.gov/nuccore/NZ_JNWJ01000042.1?report=graph&amp;from=18392&amp;to=18396", "TTA_codon")</f>
        <v>TTA_codon</v>
      </c>
    </row>
    <row r="4042" spans="1:15" x14ac:dyDescent="0.15">
      <c r="A4042" t="s">
        <v>21</v>
      </c>
      <c r="B4042">
        <v>1000084</v>
      </c>
      <c r="C4042">
        <v>353602</v>
      </c>
      <c r="F4042" s="7">
        <v>1</v>
      </c>
      <c r="G4042" s="7">
        <v>103</v>
      </c>
      <c r="H4042" s="8">
        <v>79</v>
      </c>
      <c r="J4042" t="s">
        <v>23</v>
      </c>
      <c r="K4042" s="7">
        <v>1353</v>
      </c>
      <c r="L4042" s="9">
        <v>1</v>
      </c>
      <c r="M4042" t="s">
        <v>3195</v>
      </c>
      <c r="N4042" t="s">
        <v>140</v>
      </c>
      <c r="O4042" s="27" t="str">
        <f>HYPERLINK("https://www.ncbi.nlm.nih.gov/nuccore/NZ_JNXG01000015.1?report=graph&amp;from=4238&amp;to=4242", "TTA_codon")</f>
        <v>TTA_codon</v>
      </c>
    </row>
    <row r="4043" spans="1:15" x14ac:dyDescent="0.15">
      <c r="A4043" t="s">
        <v>21</v>
      </c>
      <c r="B4043">
        <v>1000084</v>
      </c>
      <c r="C4043">
        <v>361655</v>
      </c>
      <c r="F4043" s="7">
        <v>1</v>
      </c>
      <c r="G4043" s="7">
        <v>160</v>
      </c>
      <c r="H4043" s="8">
        <v>148</v>
      </c>
      <c r="J4043" t="s">
        <v>23</v>
      </c>
      <c r="K4043" s="7">
        <v>1410</v>
      </c>
      <c r="L4043" s="9">
        <v>1</v>
      </c>
      <c r="M4043" t="s">
        <v>37</v>
      </c>
      <c r="N4043" t="s">
        <v>38</v>
      </c>
      <c r="O4043" s="27" t="str">
        <f>HYPERLINK("https://www.ncbi.nlm.nih.gov/nuccore/NZ_CP011533.1?report=graph&amp;from=7226906&amp;to=7226910", "TTA_codon")</f>
        <v>TTA_codon</v>
      </c>
    </row>
    <row r="4044" spans="1:15" x14ac:dyDescent="0.15">
      <c r="A4044" t="s">
        <v>21</v>
      </c>
      <c r="B4044">
        <v>1000084</v>
      </c>
      <c r="C4044">
        <v>362252</v>
      </c>
      <c r="F4044" s="7">
        <v>1</v>
      </c>
      <c r="G4044" s="7">
        <v>127</v>
      </c>
      <c r="H4044" s="8">
        <v>91</v>
      </c>
      <c r="J4044" t="s">
        <v>23</v>
      </c>
      <c r="K4044" s="7">
        <v>1407</v>
      </c>
      <c r="L4044" s="9">
        <v>1</v>
      </c>
      <c r="M4044" t="s">
        <v>39</v>
      </c>
      <c r="N4044" t="s">
        <v>40</v>
      </c>
      <c r="O4044" s="27" t="str">
        <f>HYPERLINK("https://www.ncbi.nlm.nih.gov/nuccore/NZ_CP017157.1?report=graph&amp;from=2563740&amp;to=2563744", "TTA_codon")</f>
        <v>TTA_codon</v>
      </c>
    </row>
    <row r="4045" spans="1:15" x14ac:dyDescent="0.15">
      <c r="A4045" t="s">
        <v>21</v>
      </c>
      <c r="B4045" t="s">
        <v>3196</v>
      </c>
    </row>
    <row r="4046" spans="1:15" x14ac:dyDescent="0.15">
      <c r="A4046" t="s">
        <v>21</v>
      </c>
      <c r="B4046">
        <v>1000827</v>
      </c>
      <c r="C4046">
        <v>348880</v>
      </c>
      <c r="F4046" s="7">
        <v>1</v>
      </c>
      <c r="G4046" s="7">
        <v>190</v>
      </c>
      <c r="H4046" s="8">
        <v>172</v>
      </c>
      <c r="J4046" t="s">
        <v>23</v>
      </c>
      <c r="K4046" s="7">
        <v>1437</v>
      </c>
      <c r="L4046" s="9">
        <v>1</v>
      </c>
      <c r="M4046" t="s">
        <v>211</v>
      </c>
      <c r="N4046" t="s">
        <v>212</v>
      </c>
      <c r="O4046" s="27" t="str">
        <f>HYPERLINK("https://www.ncbi.nlm.nih.gov/nuccore/NZ_GG657754.1?report=graph&amp;from=9288203&amp;to=9288207", "TTA_codon")</f>
        <v>TTA_codon</v>
      </c>
    </row>
    <row r="4047" spans="1:15" x14ac:dyDescent="0.15">
      <c r="A4047" t="s">
        <v>21</v>
      </c>
      <c r="B4047">
        <v>1000827</v>
      </c>
      <c r="C4047">
        <v>351265</v>
      </c>
      <c r="F4047" s="7">
        <v>1</v>
      </c>
      <c r="G4047" s="7">
        <v>184</v>
      </c>
      <c r="H4047" s="8">
        <v>148</v>
      </c>
      <c r="J4047" t="s">
        <v>23</v>
      </c>
      <c r="K4047" s="7">
        <v>1392</v>
      </c>
      <c r="L4047" s="9">
        <v>1</v>
      </c>
      <c r="M4047" t="s">
        <v>65</v>
      </c>
      <c r="N4047" t="s">
        <v>66</v>
      </c>
      <c r="O4047" s="27" t="str">
        <f>HYPERLINK("https://www.ncbi.nlm.nih.gov/nuccore/NC_020504.1?report=graph&amp;from=8760037&amp;to=8760041", "TTA_codon")</f>
        <v>TTA_codon</v>
      </c>
    </row>
    <row r="4048" spans="1:15" x14ac:dyDescent="0.15">
      <c r="A4048" t="s">
        <v>21</v>
      </c>
      <c r="B4048">
        <v>1000827</v>
      </c>
      <c r="C4048">
        <v>352359</v>
      </c>
      <c r="F4048" s="7">
        <v>1</v>
      </c>
      <c r="G4048" s="7">
        <v>205</v>
      </c>
      <c r="H4048" s="8">
        <v>94</v>
      </c>
      <c r="J4048" t="s">
        <v>23</v>
      </c>
      <c r="K4048" s="7">
        <v>987</v>
      </c>
      <c r="L4048" s="9">
        <v>1</v>
      </c>
      <c r="M4048" t="s">
        <v>3197</v>
      </c>
      <c r="N4048" t="s">
        <v>72</v>
      </c>
      <c r="O4048" s="27" t="str">
        <f>HYPERLINK("https://www.ncbi.nlm.nih.gov/nuccore/NZ_KB905820.1?report=graph&amp;from=344675&amp;to=344679", "TTA_codon")</f>
        <v>TTA_codon</v>
      </c>
    </row>
    <row r="4049" spans="1:15" x14ac:dyDescent="0.15">
      <c r="A4049" t="s">
        <v>21</v>
      </c>
      <c r="B4049">
        <v>1000827</v>
      </c>
      <c r="C4049">
        <v>359867</v>
      </c>
      <c r="F4049" s="7">
        <v>1</v>
      </c>
      <c r="G4049" s="7">
        <v>190</v>
      </c>
      <c r="H4049" s="8">
        <v>55</v>
      </c>
      <c r="J4049" t="s">
        <v>23</v>
      </c>
      <c r="K4049" s="7">
        <v>1278</v>
      </c>
      <c r="L4049" s="9">
        <v>1</v>
      </c>
      <c r="M4049" t="s">
        <v>3198</v>
      </c>
      <c r="N4049" t="s">
        <v>91</v>
      </c>
      <c r="O4049" s="27" t="str">
        <f>HYPERLINK("https://www.ncbi.nlm.nih.gov/nuccore/NZ_KQ948325.1?report=graph&amp;from=135527&amp;to=135531", "TTA_codon")</f>
        <v>TTA_codon</v>
      </c>
    </row>
    <row r="4050" spans="1:15" x14ac:dyDescent="0.15">
      <c r="A4050" t="s">
        <v>21</v>
      </c>
      <c r="B4050" t="s">
        <v>3199</v>
      </c>
    </row>
    <row r="4051" spans="1:15" x14ac:dyDescent="0.15">
      <c r="A4051" t="s">
        <v>21</v>
      </c>
      <c r="B4051">
        <v>1001458</v>
      </c>
      <c r="C4051">
        <v>349634</v>
      </c>
      <c r="F4051" s="7">
        <v>1</v>
      </c>
      <c r="G4051" s="7">
        <v>214</v>
      </c>
      <c r="H4051" s="8">
        <v>178</v>
      </c>
      <c r="J4051" t="s">
        <v>23</v>
      </c>
      <c r="K4051" s="7">
        <v>468</v>
      </c>
      <c r="L4051" s="9">
        <v>1</v>
      </c>
      <c r="M4051" t="s">
        <v>3200</v>
      </c>
      <c r="N4051" t="s">
        <v>335</v>
      </c>
      <c r="O4051" s="27" t="str">
        <f>HYPERLINK("https://www.ncbi.nlm.nih.gov/nuccore/NZ_AGBF01000366.1?report=graph&amp;from=423&amp;to=427", "TTA_codon")</f>
        <v>TTA_codon</v>
      </c>
    </row>
    <row r="4052" spans="1:15" x14ac:dyDescent="0.15">
      <c r="A4052" t="s">
        <v>21</v>
      </c>
      <c r="B4052">
        <v>1001458</v>
      </c>
      <c r="C4052">
        <v>351861</v>
      </c>
      <c r="F4052" s="7">
        <v>1</v>
      </c>
      <c r="G4052" s="7">
        <v>214</v>
      </c>
      <c r="H4052" s="8">
        <v>118</v>
      </c>
      <c r="J4052" t="s">
        <v>23</v>
      </c>
      <c r="K4052" s="7">
        <v>408</v>
      </c>
      <c r="L4052" s="9">
        <v>1</v>
      </c>
      <c r="M4052" t="s">
        <v>1468</v>
      </c>
      <c r="N4052" t="s">
        <v>68</v>
      </c>
      <c r="O4052" s="27" t="str">
        <f>HYPERLINK("https://www.ncbi.nlm.nih.gov/nuccore/NZ_BARG01000047.1?report=graph&amp;from=5213&amp;to=5217", "TTA_codon")</f>
        <v>TTA_codon</v>
      </c>
    </row>
    <row r="4053" spans="1:15" x14ac:dyDescent="0.15">
      <c r="A4053" t="s">
        <v>21</v>
      </c>
      <c r="B4053">
        <v>1001458</v>
      </c>
      <c r="C4053">
        <v>352619</v>
      </c>
      <c r="F4053" s="7">
        <v>1</v>
      </c>
      <c r="G4053" s="7">
        <v>403</v>
      </c>
      <c r="H4053" s="8">
        <v>340</v>
      </c>
      <c r="J4053" t="s">
        <v>23</v>
      </c>
      <c r="K4053" s="7">
        <v>471</v>
      </c>
      <c r="L4053" s="9">
        <v>1</v>
      </c>
      <c r="M4053" t="s">
        <v>1568</v>
      </c>
      <c r="N4053" t="s">
        <v>436</v>
      </c>
      <c r="O4053" s="27" t="str">
        <f>HYPERLINK("https://www.ncbi.nlm.nih.gov/nuccore/NZ_AUBE01000008.1?report=graph&amp;from=9264&amp;to=9268", "TTA_codon")</f>
        <v>TTA_codon</v>
      </c>
    </row>
    <row r="4054" spans="1:15" x14ac:dyDescent="0.15">
      <c r="A4054" t="s">
        <v>21</v>
      </c>
      <c r="B4054">
        <v>1001458</v>
      </c>
      <c r="C4054">
        <v>356706</v>
      </c>
      <c r="F4054" s="7">
        <v>2</v>
      </c>
      <c r="G4054" s="7" t="s">
        <v>3201</v>
      </c>
      <c r="H4054" s="8" t="s">
        <v>3202</v>
      </c>
      <c r="J4054" t="s">
        <v>23</v>
      </c>
      <c r="K4054" s="7">
        <v>423</v>
      </c>
      <c r="L4054" s="9">
        <v>1</v>
      </c>
      <c r="M4054" t="s">
        <v>147</v>
      </c>
      <c r="N4054" t="s">
        <v>148</v>
      </c>
      <c r="O4054" s="27" t="str">
        <f>HYPERLINK("https://www.ncbi.nlm.nih.gov/nuccore/NZ_CP021080.1?report=graph&amp;from=6097553&amp;to=6097725", "TTA_codon")</f>
        <v>TTA_codon</v>
      </c>
    </row>
    <row r="4055" spans="1:15" x14ac:dyDescent="0.15">
      <c r="A4055" t="s">
        <v>21</v>
      </c>
      <c r="B4055">
        <v>1001458</v>
      </c>
      <c r="C4055">
        <v>358143</v>
      </c>
      <c r="F4055" s="7">
        <v>1</v>
      </c>
      <c r="G4055" s="7">
        <v>409</v>
      </c>
      <c r="H4055" s="8">
        <v>382</v>
      </c>
      <c r="J4055" t="s">
        <v>23</v>
      </c>
      <c r="K4055" s="7">
        <v>498</v>
      </c>
      <c r="L4055" s="9">
        <v>1</v>
      </c>
      <c r="M4055" t="s">
        <v>3203</v>
      </c>
      <c r="N4055" t="s">
        <v>119</v>
      </c>
      <c r="O4055" s="27" t="str">
        <f>HYPERLINK("https://www.ncbi.nlm.nih.gov/nuccore/NZ_LIPP01000079.1?report=graph&amp;from=5216&amp;to=5220", "TTA_codon")</f>
        <v>TTA_codon</v>
      </c>
    </row>
    <row r="4056" spans="1:15" x14ac:dyDescent="0.15">
      <c r="A4056" t="s">
        <v>21</v>
      </c>
      <c r="B4056">
        <v>1001458</v>
      </c>
      <c r="C4056">
        <v>359115</v>
      </c>
      <c r="F4056" s="7">
        <v>1</v>
      </c>
      <c r="G4056" s="7">
        <v>256</v>
      </c>
      <c r="H4056" s="8">
        <v>238</v>
      </c>
      <c r="J4056" t="s">
        <v>23</v>
      </c>
      <c r="K4056" s="7">
        <v>486</v>
      </c>
      <c r="L4056" s="9">
        <v>1</v>
      </c>
      <c r="M4056" t="s">
        <v>3204</v>
      </c>
      <c r="N4056" t="s">
        <v>451</v>
      </c>
      <c r="O4056" s="27" t="str">
        <f>HYPERLINK("https://www.ncbi.nlm.nih.gov/nuccore/NZ_LIQZ01000200.1?report=graph&amp;from=10445&amp;to=10449", "TTA_codon")</f>
        <v>TTA_codon</v>
      </c>
    </row>
    <row r="4057" spans="1:15" x14ac:dyDescent="0.15">
      <c r="A4057" t="s">
        <v>21</v>
      </c>
      <c r="B4057">
        <v>1001458</v>
      </c>
      <c r="C4057">
        <v>359879</v>
      </c>
      <c r="F4057" s="7">
        <v>1</v>
      </c>
      <c r="G4057" s="7">
        <v>214</v>
      </c>
      <c r="H4057" s="8">
        <v>118</v>
      </c>
      <c r="J4057" t="s">
        <v>23</v>
      </c>
      <c r="K4057" s="7">
        <v>408</v>
      </c>
      <c r="L4057" s="9">
        <v>1</v>
      </c>
      <c r="M4057" t="s">
        <v>1665</v>
      </c>
      <c r="N4057" t="s">
        <v>91</v>
      </c>
      <c r="O4057" s="27" t="str">
        <f>HYPERLINK("https://www.ncbi.nlm.nih.gov/nuccore/NZ_KQ948304.1?report=graph&amp;from=599847&amp;to=599851", "TTA_codon")</f>
        <v>TTA_codon</v>
      </c>
    </row>
    <row r="4058" spans="1:15" x14ac:dyDescent="0.15">
      <c r="A4058" t="s">
        <v>21</v>
      </c>
      <c r="B4058">
        <v>1001458</v>
      </c>
      <c r="C4058">
        <v>360440</v>
      </c>
      <c r="F4058" s="7">
        <v>1</v>
      </c>
      <c r="G4058" s="7">
        <v>256</v>
      </c>
      <c r="H4058" s="8">
        <v>187</v>
      </c>
      <c r="J4058" t="s">
        <v>23</v>
      </c>
      <c r="K4058" s="7">
        <v>435</v>
      </c>
      <c r="L4058" s="9">
        <v>1</v>
      </c>
      <c r="M4058" t="s">
        <v>121</v>
      </c>
      <c r="N4058" t="s">
        <v>122</v>
      </c>
      <c r="O4058" s="27" t="str">
        <f>HYPERLINK("https://www.ncbi.nlm.nih.gov/nuccore/NZ_CP016279.1?report=graph&amp;from=2980483&amp;to=2980487", "TTA_codon")</f>
        <v>TTA_codon</v>
      </c>
    </row>
    <row r="4059" spans="1:15" x14ac:dyDescent="0.15">
      <c r="A4059" t="s">
        <v>21</v>
      </c>
      <c r="B4059">
        <v>1001458</v>
      </c>
      <c r="C4059">
        <v>362012</v>
      </c>
      <c r="F4059" s="7">
        <v>2</v>
      </c>
      <c r="G4059" s="7" t="s">
        <v>3205</v>
      </c>
      <c r="H4059" s="8" t="s">
        <v>3206</v>
      </c>
      <c r="J4059" t="s">
        <v>23</v>
      </c>
      <c r="K4059" s="7">
        <v>411</v>
      </c>
      <c r="L4059" s="9">
        <v>1</v>
      </c>
      <c r="M4059" t="s">
        <v>3207</v>
      </c>
      <c r="N4059" t="s">
        <v>187</v>
      </c>
      <c r="O4059" s="27" t="str">
        <f>HYPERLINK("https://www.ncbi.nlm.nih.gov/nuccore/NZ_MAXF01000118.1?report=graph&amp;from=14525&amp;to=14733", "TTA_codon")</f>
        <v>TTA_codon</v>
      </c>
    </row>
    <row r="4060" spans="1:15" x14ac:dyDescent="0.15">
      <c r="A4060" t="s">
        <v>21</v>
      </c>
      <c r="B4060">
        <v>1001458</v>
      </c>
      <c r="C4060">
        <v>363704</v>
      </c>
      <c r="F4060" s="7">
        <v>1</v>
      </c>
      <c r="G4060" s="7">
        <v>361</v>
      </c>
      <c r="H4060" s="8">
        <v>217</v>
      </c>
      <c r="J4060" t="s">
        <v>23</v>
      </c>
      <c r="K4060" s="7">
        <v>384</v>
      </c>
      <c r="L4060" s="9">
        <v>1</v>
      </c>
      <c r="M4060" t="s">
        <v>101</v>
      </c>
      <c r="N4060" t="s">
        <v>102</v>
      </c>
      <c r="O4060" s="27" t="str">
        <f>HYPERLINK("https://www.ncbi.nlm.nih.gov/nuccore/NZ_CP019458.1?report=graph&amp;from=8215180&amp;to=8215184", "TTA_codon")</f>
        <v>TTA_codon</v>
      </c>
    </row>
    <row r="4061" spans="1:15" x14ac:dyDescent="0.15">
      <c r="A4061" t="s">
        <v>21</v>
      </c>
      <c r="B4061">
        <v>1001458</v>
      </c>
      <c r="C4061">
        <v>365663</v>
      </c>
      <c r="F4061" s="7">
        <v>1</v>
      </c>
      <c r="G4061" s="7">
        <v>361</v>
      </c>
      <c r="H4061" s="8">
        <v>235</v>
      </c>
      <c r="J4061" t="s">
        <v>23</v>
      </c>
      <c r="K4061" s="7">
        <v>402</v>
      </c>
      <c r="L4061" s="9">
        <v>1</v>
      </c>
      <c r="M4061" t="s">
        <v>213</v>
      </c>
      <c r="N4061" t="s">
        <v>214</v>
      </c>
      <c r="O4061" s="27" t="str">
        <f>HYPERLINK("https://www.ncbi.nlm.nih.gov/nuccore/NZ_FNST01000002.1?report=graph&amp;from=5592641&amp;to=5592645", "TTA_codon")</f>
        <v>TTA_codon</v>
      </c>
    </row>
    <row r="4062" spans="1:15" x14ac:dyDescent="0.15">
      <c r="A4062" t="s">
        <v>21</v>
      </c>
      <c r="B4062" t="s">
        <v>3208</v>
      </c>
    </row>
    <row r="4063" spans="1:15" x14ac:dyDescent="0.15">
      <c r="A4063" t="s">
        <v>21</v>
      </c>
      <c r="B4063">
        <v>1000399</v>
      </c>
      <c r="C4063">
        <v>348484</v>
      </c>
      <c r="F4063" s="7">
        <v>1</v>
      </c>
      <c r="G4063" s="7">
        <v>76</v>
      </c>
      <c r="H4063" s="8">
        <v>37</v>
      </c>
      <c r="J4063" t="s">
        <v>23</v>
      </c>
      <c r="K4063" s="7">
        <v>702</v>
      </c>
      <c r="L4063" s="9">
        <v>-1</v>
      </c>
      <c r="M4063" t="s">
        <v>61</v>
      </c>
      <c r="N4063" t="s">
        <v>62</v>
      </c>
      <c r="O4063" s="27" t="str">
        <f>HYPERLINK("https://www.ncbi.nlm.nih.gov/nuccore/NZ_DS999641.1?report=graph&amp;from=154655&amp;to=154659", "TTA_codon")</f>
        <v>TTA_codon</v>
      </c>
    </row>
    <row r="4064" spans="1:15" x14ac:dyDescent="0.15">
      <c r="A4064" t="s">
        <v>21</v>
      </c>
      <c r="B4064">
        <v>1000399</v>
      </c>
      <c r="C4064">
        <v>349448</v>
      </c>
      <c r="F4064" s="7">
        <v>1</v>
      </c>
      <c r="G4064" s="7">
        <v>76</v>
      </c>
      <c r="H4064" s="8">
        <v>58</v>
      </c>
      <c r="J4064" t="s">
        <v>23</v>
      </c>
      <c r="K4064" s="7">
        <v>408</v>
      </c>
      <c r="L4064" s="9">
        <v>-1</v>
      </c>
      <c r="M4064" t="s">
        <v>3209</v>
      </c>
      <c r="N4064" t="s">
        <v>64</v>
      </c>
      <c r="O4064" s="27" t="str">
        <f>HYPERLINK("https://www.ncbi.nlm.nih.gov/nuccore/NZ_AEYX01000021.1?report=graph&amp;from=102380&amp;to=102384", "TTA_codon")</f>
        <v>TTA_codon</v>
      </c>
    </row>
    <row r="4065" spans="1:15" x14ac:dyDescent="0.15">
      <c r="A4065" t="s">
        <v>21</v>
      </c>
      <c r="B4065">
        <v>1000399</v>
      </c>
      <c r="C4065">
        <v>352441</v>
      </c>
      <c r="F4065" s="7">
        <v>1</v>
      </c>
      <c r="G4065" s="7">
        <v>190</v>
      </c>
      <c r="H4065" s="8">
        <v>184</v>
      </c>
      <c r="J4065" t="s">
        <v>23</v>
      </c>
      <c r="K4065" s="7">
        <v>897</v>
      </c>
      <c r="L4065" s="9">
        <v>-1</v>
      </c>
      <c r="M4065" t="s">
        <v>30</v>
      </c>
      <c r="N4065" t="s">
        <v>31</v>
      </c>
      <c r="O4065" s="27" t="str">
        <f>HYPERLINK("https://www.ncbi.nlm.nih.gov/nuccore/NZ_KB913030.1?report=graph&amp;from=7269101&amp;to=7269105", "TTA_codon")</f>
        <v>TTA_codon</v>
      </c>
    </row>
    <row r="4066" spans="1:15" x14ac:dyDescent="0.15">
      <c r="A4066" t="s">
        <v>21</v>
      </c>
      <c r="B4066">
        <v>1000399</v>
      </c>
      <c r="C4066">
        <v>352552</v>
      </c>
      <c r="F4066" s="7">
        <v>1</v>
      </c>
      <c r="G4066" s="7">
        <v>91</v>
      </c>
      <c r="H4066" s="8">
        <v>52</v>
      </c>
      <c r="J4066" t="s">
        <v>23</v>
      </c>
      <c r="K4066" s="7">
        <v>867</v>
      </c>
      <c r="L4066" s="9">
        <v>-1</v>
      </c>
      <c r="M4066" t="s">
        <v>1643</v>
      </c>
      <c r="N4066" t="s">
        <v>436</v>
      </c>
      <c r="O4066" s="27" t="str">
        <f>HYPERLINK("https://www.ncbi.nlm.nih.gov/nuccore/NZ_AUBE01000002.1?report=graph&amp;from=298336&amp;to=298340", "TTA_codon")</f>
        <v>TTA_codon</v>
      </c>
    </row>
    <row r="4067" spans="1:15" x14ac:dyDescent="0.15">
      <c r="A4067" t="s">
        <v>21</v>
      </c>
      <c r="B4067">
        <v>1000399</v>
      </c>
      <c r="C4067">
        <v>355584</v>
      </c>
      <c r="F4067" s="7">
        <v>2</v>
      </c>
      <c r="G4067" s="7" t="s">
        <v>3210</v>
      </c>
      <c r="H4067" s="8" t="s">
        <v>3211</v>
      </c>
      <c r="J4067" t="s">
        <v>23</v>
      </c>
      <c r="K4067" s="7">
        <v>924</v>
      </c>
      <c r="L4067" s="9">
        <v>-1</v>
      </c>
      <c r="M4067" t="s">
        <v>3212</v>
      </c>
      <c r="N4067" t="s">
        <v>278</v>
      </c>
      <c r="O4067" s="27" t="str">
        <f>HYPERLINK("https://www.ncbi.nlm.nih.gov/nuccore/NZ_JOID01000080.1?report=graph&amp;from=374&amp;to=702", "TTA_codon")</f>
        <v>TTA_codon</v>
      </c>
    </row>
    <row r="4068" spans="1:15" x14ac:dyDescent="0.15">
      <c r="A4068" t="s">
        <v>21</v>
      </c>
      <c r="B4068">
        <v>1000399</v>
      </c>
      <c r="C4068">
        <v>355783</v>
      </c>
      <c r="F4068" s="7">
        <v>1</v>
      </c>
      <c r="G4068" s="7">
        <v>76</v>
      </c>
      <c r="H4068" s="8">
        <v>37</v>
      </c>
      <c r="J4068" t="s">
        <v>23</v>
      </c>
      <c r="K4068" s="7">
        <v>867</v>
      </c>
      <c r="L4068" s="9">
        <v>-1</v>
      </c>
      <c r="M4068" t="s">
        <v>1861</v>
      </c>
      <c r="N4068" t="s">
        <v>75</v>
      </c>
      <c r="O4068" s="27" t="str">
        <f>HYPERLINK("https://www.ncbi.nlm.nih.gov/nuccore/NZ_JOII01000006.1?report=graph&amp;from=148880&amp;to=148884", "TTA_codon")</f>
        <v>TTA_codon</v>
      </c>
    </row>
    <row r="4069" spans="1:15" x14ac:dyDescent="0.15">
      <c r="A4069" t="s">
        <v>21</v>
      </c>
      <c r="B4069">
        <v>1000399</v>
      </c>
      <c r="C4069">
        <v>357123</v>
      </c>
      <c r="F4069" s="7">
        <v>1</v>
      </c>
      <c r="G4069" s="7">
        <v>109</v>
      </c>
      <c r="H4069" s="8">
        <v>67</v>
      </c>
      <c r="J4069" t="s">
        <v>23</v>
      </c>
      <c r="K4069" s="7">
        <v>855</v>
      </c>
      <c r="L4069" s="9">
        <v>-1</v>
      </c>
      <c r="M4069" t="s">
        <v>205</v>
      </c>
      <c r="N4069" t="s">
        <v>206</v>
      </c>
      <c r="O4069" s="27" t="str">
        <f>HYPERLINK("https://www.ncbi.nlm.nih.gov/nuccore/NZ_CP010407.1?report=graph&amp;from=8477537&amp;to=8477541", "TTA_codon")</f>
        <v>TTA_codon</v>
      </c>
    </row>
    <row r="4070" spans="1:15" x14ac:dyDescent="0.15">
      <c r="A4070" t="s">
        <v>21</v>
      </c>
      <c r="B4070">
        <v>1000399</v>
      </c>
      <c r="C4070">
        <v>357124</v>
      </c>
      <c r="F4070" s="7">
        <v>1</v>
      </c>
      <c r="G4070" s="7">
        <v>109</v>
      </c>
      <c r="H4070" s="8">
        <v>67</v>
      </c>
      <c r="J4070" t="s">
        <v>23</v>
      </c>
      <c r="K4070" s="7">
        <v>855</v>
      </c>
      <c r="L4070" s="9">
        <v>-1</v>
      </c>
      <c r="M4070" t="s">
        <v>205</v>
      </c>
      <c r="N4070" t="s">
        <v>206</v>
      </c>
      <c r="O4070" s="27" t="str">
        <f>HYPERLINK("https://www.ncbi.nlm.nih.gov/nuccore/NZ_CP010407.1?report=graph&amp;from=7469463&amp;to=7469467", "TTA_codon")</f>
        <v>TTA_codon</v>
      </c>
    </row>
    <row r="4071" spans="1:15" x14ac:dyDescent="0.15">
      <c r="A4071" t="s">
        <v>21</v>
      </c>
      <c r="B4071">
        <v>1000399</v>
      </c>
      <c r="C4071">
        <v>362407</v>
      </c>
      <c r="F4071" s="7">
        <v>1</v>
      </c>
      <c r="G4071" s="7">
        <v>76</v>
      </c>
      <c r="H4071" s="8">
        <v>37</v>
      </c>
      <c r="J4071" t="s">
        <v>23</v>
      </c>
      <c r="K4071" s="7">
        <v>867</v>
      </c>
      <c r="L4071" s="9">
        <v>-1</v>
      </c>
      <c r="M4071" t="s">
        <v>32</v>
      </c>
      <c r="N4071" t="s">
        <v>33</v>
      </c>
      <c r="O4071" s="27" t="str">
        <f>HYPERLINK("https://www.ncbi.nlm.nih.gov/nuccore/NZ_CP017248.1?report=graph&amp;from=9601393&amp;to=9601397", "TTA_codon")</f>
        <v>TTA_codon</v>
      </c>
    </row>
    <row r="4072" spans="1:15" x14ac:dyDescent="0.15">
      <c r="A4072" t="s">
        <v>21</v>
      </c>
      <c r="B4072">
        <v>1000399</v>
      </c>
      <c r="C4072">
        <v>363234</v>
      </c>
      <c r="F4072" s="7">
        <v>1</v>
      </c>
      <c r="G4072" s="7">
        <v>280</v>
      </c>
      <c r="H4072" s="8">
        <v>238</v>
      </c>
      <c r="J4072" t="s">
        <v>23</v>
      </c>
      <c r="K4072" s="7">
        <v>855</v>
      </c>
      <c r="L4072" s="9">
        <v>-1</v>
      </c>
      <c r="M4072" t="s">
        <v>3213</v>
      </c>
      <c r="N4072" t="s">
        <v>28</v>
      </c>
      <c r="O4072" s="27" t="str">
        <f>HYPERLINK("https://www.ncbi.nlm.nih.gov/nuccore/NZ_JUJA01000169.1?report=graph&amp;from=126585&amp;to=126589", "TTA_codon")</f>
        <v>TTA_codon</v>
      </c>
    </row>
    <row r="4073" spans="1:15" x14ac:dyDescent="0.15">
      <c r="A4073" t="s">
        <v>21</v>
      </c>
      <c r="B4073" t="s">
        <v>3214</v>
      </c>
    </row>
    <row r="4074" spans="1:15" x14ac:dyDescent="0.15">
      <c r="A4074" t="s">
        <v>21</v>
      </c>
      <c r="B4074">
        <v>1000391</v>
      </c>
      <c r="C4074">
        <v>348409</v>
      </c>
      <c r="F4074" s="7">
        <v>1</v>
      </c>
      <c r="G4074" s="7">
        <v>430</v>
      </c>
      <c r="H4074" s="8">
        <v>421</v>
      </c>
      <c r="J4074" t="s">
        <v>23</v>
      </c>
      <c r="K4074" s="7">
        <v>828</v>
      </c>
      <c r="L4074" s="9">
        <v>1</v>
      </c>
      <c r="M4074" t="s">
        <v>59</v>
      </c>
      <c r="N4074" t="s">
        <v>60</v>
      </c>
      <c r="O4074" s="27" t="str">
        <f>HYPERLINK("https://www.ncbi.nlm.nih.gov/nuccore/NC_016582.1?report=graph&amp;from=8065868&amp;to=8065872", "TTA_codon")</f>
        <v>TTA_codon</v>
      </c>
    </row>
    <row r="4075" spans="1:15" x14ac:dyDescent="0.15">
      <c r="A4075" t="s">
        <v>21</v>
      </c>
      <c r="B4075">
        <v>1000391</v>
      </c>
      <c r="C4075">
        <v>349228</v>
      </c>
      <c r="F4075" s="7">
        <v>1</v>
      </c>
      <c r="G4075" s="7">
        <v>430</v>
      </c>
      <c r="H4075" s="8">
        <v>430</v>
      </c>
      <c r="J4075" t="s">
        <v>23</v>
      </c>
      <c r="K4075" s="7">
        <v>804</v>
      </c>
      <c r="L4075" s="9">
        <v>1</v>
      </c>
      <c r="M4075" t="s">
        <v>211</v>
      </c>
      <c r="N4075" t="s">
        <v>212</v>
      </c>
      <c r="O4075" s="27" t="str">
        <f>HYPERLINK("https://www.ncbi.nlm.nih.gov/nuccore/NZ_GG657754.1?report=graph&amp;from=6548502&amp;to=6548506", "TTA_codon")</f>
        <v>TTA_codon</v>
      </c>
    </row>
    <row r="4076" spans="1:15" x14ac:dyDescent="0.15">
      <c r="A4076" t="s">
        <v>21</v>
      </c>
      <c r="B4076" t="s">
        <v>3215</v>
      </c>
    </row>
    <row r="4077" spans="1:15" x14ac:dyDescent="0.15">
      <c r="A4077" t="s">
        <v>21</v>
      </c>
      <c r="B4077">
        <v>1001126</v>
      </c>
      <c r="C4077">
        <v>355865</v>
      </c>
      <c r="F4077" s="7">
        <v>1</v>
      </c>
      <c r="G4077" s="7">
        <v>1276</v>
      </c>
      <c r="H4077" s="8">
        <v>1276</v>
      </c>
      <c r="J4077" t="s">
        <v>23</v>
      </c>
      <c r="K4077" s="7">
        <v>1341</v>
      </c>
      <c r="L4077" s="9">
        <v>1</v>
      </c>
      <c r="M4077" t="s">
        <v>1535</v>
      </c>
      <c r="N4077" t="s">
        <v>384</v>
      </c>
      <c r="O4077" s="27" t="str">
        <f>HYPERLINK("https://www.ncbi.nlm.nih.gov/nuccore/NZ_JOAK01000041.1?report=graph&amp;from=55235&amp;to=55239", "TTA_codon")</f>
        <v>TTA_codon</v>
      </c>
    </row>
    <row r="4078" spans="1:15" x14ac:dyDescent="0.15">
      <c r="A4078" t="s">
        <v>21</v>
      </c>
      <c r="B4078">
        <v>1001126</v>
      </c>
      <c r="C4078">
        <v>364410</v>
      </c>
      <c r="F4078" s="7">
        <v>1</v>
      </c>
      <c r="G4078" s="7">
        <v>1276</v>
      </c>
      <c r="H4078" s="8">
        <v>802</v>
      </c>
      <c r="J4078" t="s">
        <v>23</v>
      </c>
      <c r="K4078" s="7">
        <v>927</v>
      </c>
      <c r="L4078" s="9">
        <v>1</v>
      </c>
      <c r="M4078" t="s">
        <v>105</v>
      </c>
      <c r="N4078" t="s">
        <v>106</v>
      </c>
      <c r="O4078" s="27" t="str">
        <f>HYPERLINK("https://www.ncbi.nlm.nih.gov/nuccore/NZ_CP020042.1?report=graph&amp;from=7090648&amp;to=7090652", "TTA_codon")</f>
        <v>TTA_codon</v>
      </c>
    </row>
    <row r="4079" spans="1:15" x14ac:dyDescent="0.15">
      <c r="A4079" t="s">
        <v>21</v>
      </c>
      <c r="B4079" t="s">
        <v>3216</v>
      </c>
    </row>
    <row r="4080" spans="1:15" x14ac:dyDescent="0.15">
      <c r="A4080" t="s">
        <v>21</v>
      </c>
      <c r="B4080">
        <v>1000667</v>
      </c>
      <c r="C4080">
        <v>350726</v>
      </c>
      <c r="F4080" s="7">
        <v>1</v>
      </c>
      <c r="G4080" s="7">
        <v>256</v>
      </c>
      <c r="H4080" s="8">
        <v>241</v>
      </c>
      <c r="J4080" t="s">
        <v>23</v>
      </c>
      <c r="K4080" s="7">
        <v>1491</v>
      </c>
      <c r="L4080" s="9">
        <v>-1</v>
      </c>
      <c r="M4080" t="s">
        <v>2027</v>
      </c>
      <c r="N4080" t="s">
        <v>51</v>
      </c>
      <c r="O4080" s="27" t="str">
        <f>HYPERLINK("https://www.ncbi.nlm.nih.gov/nuccore/NZ_AEJB01000409.1?report=graph&amp;from=3948&amp;to=3952", "TTA_codon")</f>
        <v>TTA_codon</v>
      </c>
    </row>
    <row r="4081" spans="1:15" x14ac:dyDescent="0.15">
      <c r="A4081" t="s">
        <v>21</v>
      </c>
      <c r="B4081">
        <v>1000667</v>
      </c>
      <c r="C4081">
        <v>361562</v>
      </c>
      <c r="F4081" s="7">
        <v>1</v>
      </c>
      <c r="G4081" s="7">
        <v>163</v>
      </c>
      <c r="H4081" s="8">
        <v>163</v>
      </c>
      <c r="J4081" t="s">
        <v>23</v>
      </c>
      <c r="K4081" s="7">
        <v>1437</v>
      </c>
      <c r="L4081" s="9">
        <v>-1</v>
      </c>
      <c r="M4081" t="s">
        <v>37</v>
      </c>
      <c r="N4081" t="s">
        <v>38</v>
      </c>
      <c r="O4081" s="27" t="str">
        <f>HYPERLINK("https://www.ncbi.nlm.nih.gov/nuccore/NZ_CP011533.1?report=graph&amp;from=126162&amp;to=126166", "TTA_codon")</f>
        <v>TTA_codon</v>
      </c>
    </row>
    <row r="4082" spans="1:15" x14ac:dyDescent="0.15">
      <c r="A4082" t="s">
        <v>21</v>
      </c>
      <c r="B4082" t="s">
        <v>3217</v>
      </c>
    </row>
    <row r="4083" spans="1:15" x14ac:dyDescent="0.15">
      <c r="A4083" t="s">
        <v>21</v>
      </c>
      <c r="B4083">
        <v>1000780</v>
      </c>
      <c r="C4083">
        <v>351818</v>
      </c>
      <c r="F4083" s="7">
        <v>1</v>
      </c>
      <c r="G4083" s="7">
        <v>370</v>
      </c>
      <c r="H4083" s="8">
        <v>358</v>
      </c>
      <c r="J4083" t="s">
        <v>23</v>
      </c>
      <c r="K4083" s="7">
        <v>639</v>
      </c>
      <c r="L4083" s="9">
        <v>-1</v>
      </c>
      <c r="M4083" t="s">
        <v>3218</v>
      </c>
      <c r="N4083" t="s">
        <v>68</v>
      </c>
      <c r="O4083" s="27" t="str">
        <f>HYPERLINK("https://www.ncbi.nlm.nih.gov/nuccore/NZ_BARG01000107.1?report=graph&amp;from=32081&amp;to=32085", "TTA_codon")</f>
        <v>TTA_codon</v>
      </c>
    </row>
    <row r="4084" spans="1:15" x14ac:dyDescent="0.15">
      <c r="A4084" t="s">
        <v>21</v>
      </c>
      <c r="B4084">
        <v>1000780</v>
      </c>
      <c r="C4084">
        <v>357732</v>
      </c>
      <c r="F4084" s="7">
        <v>1</v>
      </c>
      <c r="G4084" s="7">
        <v>424</v>
      </c>
      <c r="H4084" s="8">
        <v>409</v>
      </c>
      <c r="J4084" t="s">
        <v>23</v>
      </c>
      <c r="K4084" s="7">
        <v>621</v>
      </c>
      <c r="L4084" s="9">
        <v>-1</v>
      </c>
      <c r="M4084" t="s">
        <v>1497</v>
      </c>
      <c r="N4084" t="s">
        <v>83</v>
      </c>
      <c r="O4084" s="27" t="str">
        <f>HYPERLINK("https://www.ncbi.nlm.nih.gov/nuccore/NZ_DF968243.1?report=graph&amp;from=99304&amp;to=99308", "TTA_codon")</f>
        <v>TTA_codon</v>
      </c>
    </row>
    <row r="4085" spans="1:15" x14ac:dyDescent="0.15">
      <c r="A4085" t="s">
        <v>21</v>
      </c>
      <c r="B4085">
        <v>1000780</v>
      </c>
      <c r="C4085">
        <v>361324</v>
      </c>
      <c r="F4085" s="7">
        <v>1</v>
      </c>
      <c r="G4085" s="7">
        <v>412</v>
      </c>
      <c r="H4085" s="8">
        <v>406</v>
      </c>
      <c r="J4085" t="s">
        <v>23</v>
      </c>
      <c r="K4085" s="7">
        <v>639</v>
      </c>
      <c r="L4085" s="9">
        <v>-1</v>
      </c>
      <c r="M4085" t="s">
        <v>286</v>
      </c>
      <c r="N4085" t="s">
        <v>201</v>
      </c>
      <c r="O4085" s="27" t="str">
        <f>HYPERLINK("https://www.ncbi.nlm.nih.gov/nuccore/NZ_CP016560.1?report=graph&amp;from=423378&amp;to=423382", "TTA_codon")</f>
        <v>TTA_codon</v>
      </c>
    </row>
    <row r="4086" spans="1:15" x14ac:dyDescent="0.15">
      <c r="A4086" t="s">
        <v>21</v>
      </c>
      <c r="B4086" t="s">
        <v>3219</v>
      </c>
    </row>
    <row r="4087" spans="1:15" x14ac:dyDescent="0.15">
      <c r="A4087" t="s">
        <v>21</v>
      </c>
      <c r="B4087">
        <v>1001315</v>
      </c>
      <c r="C4087">
        <v>359554</v>
      </c>
      <c r="F4087" s="7">
        <v>1</v>
      </c>
      <c r="G4087" s="7">
        <v>349</v>
      </c>
      <c r="H4087" s="8">
        <v>325</v>
      </c>
      <c r="J4087" t="s">
        <v>23</v>
      </c>
      <c r="K4087" s="7">
        <v>897</v>
      </c>
      <c r="L4087" s="9">
        <v>-1</v>
      </c>
      <c r="M4087" t="s">
        <v>151</v>
      </c>
      <c r="N4087" t="s">
        <v>152</v>
      </c>
      <c r="O4087" s="27" t="str">
        <f>HYPERLINK("https://www.ncbi.nlm.nih.gov/nuccore/NZ_CP013129.1?report=graph&amp;from=5008372&amp;to=5008376", "TTA_codon")</f>
        <v>TTA_codon</v>
      </c>
    </row>
    <row r="4088" spans="1:15" x14ac:dyDescent="0.15">
      <c r="A4088" t="s">
        <v>21</v>
      </c>
      <c r="B4088">
        <v>1001315</v>
      </c>
      <c r="C4088">
        <v>365778</v>
      </c>
      <c r="F4088" s="7">
        <v>1</v>
      </c>
      <c r="G4088" s="7">
        <v>217</v>
      </c>
      <c r="H4088" s="8">
        <v>211</v>
      </c>
      <c r="J4088" t="s">
        <v>23</v>
      </c>
      <c r="K4088" s="7">
        <v>897</v>
      </c>
      <c r="L4088" s="9">
        <v>-1</v>
      </c>
      <c r="M4088" t="s">
        <v>213</v>
      </c>
      <c r="N4088" t="s">
        <v>214</v>
      </c>
      <c r="O4088" s="27" t="str">
        <f>HYPERLINK("https://www.ncbi.nlm.nih.gov/nuccore/NZ_FNST01000002.1?report=graph&amp;from=7455693&amp;to=7455697", "TTA_codon")</f>
        <v>TTA_codon</v>
      </c>
    </row>
    <row r="4089" spans="1:15" x14ac:dyDescent="0.15">
      <c r="A4089" t="s">
        <v>21</v>
      </c>
      <c r="B4089" t="s">
        <v>3220</v>
      </c>
    </row>
    <row r="4090" spans="1:15" x14ac:dyDescent="0.15">
      <c r="A4090" t="s">
        <v>21</v>
      </c>
      <c r="B4090">
        <v>1000485</v>
      </c>
      <c r="C4090">
        <v>349210</v>
      </c>
      <c r="F4090" s="7">
        <v>1</v>
      </c>
      <c r="G4090" s="7">
        <v>3226</v>
      </c>
      <c r="H4090" s="8">
        <v>109</v>
      </c>
      <c r="J4090" t="s">
        <v>23</v>
      </c>
      <c r="K4090" s="7">
        <v>1416</v>
      </c>
      <c r="L4090" s="9">
        <v>-1</v>
      </c>
      <c r="M4090" t="s">
        <v>211</v>
      </c>
      <c r="N4090" t="s">
        <v>212</v>
      </c>
      <c r="O4090" s="27" t="str">
        <f>HYPERLINK("https://www.ncbi.nlm.nih.gov/nuccore/NZ_GG657754.1?report=graph&amp;from=10156897&amp;to=10156901", "TTA_codon")</f>
        <v>TTA_codon</v>
      </c>
    </row>
    <row r="4091" spans="1:15" x14ac:dyDescent="0.15">
      <c r="A4091" t="s">
        <v>21</v>
      </c>
      <c r="B4091">
        <v>1000485</v>
      </c>
      <c r="C4091">
        <v>354412</v>
      </c>
      <c r="F4091" s="7">
        <v>1</v>
      </c>
      <c r="G4091" s="7">
        <v>3268</v>
      </c>
      <c r="H4091" s="8">
        <v>3268</v>
      </c>
      <c r="J4091" t="s">
        <v>23</v>
      </c>
      <c r="K4091" s="7">
        <v>4656</v>
      </c>
      <c r="L4091" s="9">
        <v>-1</v>
      </c>
      <c r="M4091" t="s">
        <v>2874</v>
      </c>
      <c r="N4091" t="s">
        <v>142</v>
      </c>
      <c r="O4091" s="27" t="str">
        <f>HYPERLINK("https://www.ncbi.nlm.nih.gov/nuccore/NZ_JOEI01000029.1?report=graph&amp;from=108721&amp;to=108725", "TTA_codon")</f>
        <v>TTA_codon</v>
      </c>
    </row>
    <row r="4092" spans="1:15" x14ac:dyDescent="0.15">
      <c r="A4092" t="s">
        <v>21</v>
      </c>
      <c r="B4092" t="s">
        <v>3221</v>
      </c>
    </row>
    <row r="4093" spans="1:15" x14ac:dyDescent="0.15">
      <c r="A4093" t="s">
        <v>21</v>
      </c>
      <c r="B4093">
        <v>1000187</v>
      </c>
      <c r="C4093">
        <v>347307</v>
      </c>
      <c r="F4093" s="7">
        <v>1</v>
      </c>
      <c r="G4093" s="7">
        <v>358</v>
      </c>
      <c r="H4093" s="8">
        <v>238</v>
      </c>
      <c r="J4093" t="s">
        <v>23</v>
      </c>
      <c r="K4093" s="7">
        <v>828</v>
      </c>
      <c r="L4093" s="9">
        <v>-1</v>
      </c>
      <c r="M4093" t="s">
        <v>53</v>
      </c>
      <c r="N4093" t="s">
        <v>54</v>
      </c>
      <c r="O4093" s="27" t="str">
        <f>HYPERLINK("https://www.ncbi.nlm.nih.gov/nuccore/NC_003155.5?report=graph&amp;from=6957558&amp;to=6957562", "TTA_codon")</f>
        <v>TTA_codon</v>
      </c>
    </row>
    <row r="4094" spans="1:15" x14ac:dyDescent="0.15">
      <c r="A4094" t="s">
        <v>21</v>
      </c>
      <c r="B4094">
        <v>1000187</v>
      </c>
      <c r="C4094">
        <v>348147</v>
      </c>
      <c r="F4094" s="7">
        <v>1</v>
      </c>
      <c r="G4094" s="7">
        <v>871</v>
      </c>
      <c r="H4094" s="8">
        <v>712</v>
      </c>
      <c r="J4094" t="s">
        <v>23</v>
      </c>
      <c r="K4094" s="7">
        <v>852</v>
      </c>
      <c r="L4094" s="9">
        <v>-1</v>
      </c>
      <c r="M4094" t="s">
        <v>59</v>
      </c>
      <c r="N4094" t="s">
        <v>60</v>
      </c>
      <c r="O4094" s="27" t="str">
        <f>HYPERLINK("https://www.ncbi.nlm.nih.gov/nuccore/NC_016582.1?report=graph&amp;from=9673958&amp;to=9673962", "TTA_codon")</f>
        <v>TTA_codon</v>
      </c>
    </row>
    <row r="4095" spans="1:15" x14ac:dyDescent="0.15">
      <c r="A4095" t="s">
        <v>21</v>
      </c>
      <c r="B4095">
        <v>1000187</v>
      </c>
      <c r="C4095">
        <v>349622</v>
      </c>
      <c r="F4095" s="7">
        <v>1</v>
      </c>
      <c r="G4095" s="7">
        <v>697</v>
      </c>
      <c r="H4095" s="8">
        <v>649</v>
      </c>
      <c r="J4095" t="s">
        <v>23</v>
      </c>
      <c r="K4095" s="7">
        <v>924</v>
      </c>
      <c r="L4095" s="9">
        <v>-1</v>
      </c>
      <c r="M4095" t="s">
        <v>3222</v>
      </c>
      <c r="N4095" t="s">
        <v>335</v>
      </c>
      <c r="O4095" s="27" t="str">
        <f>HYPERLINK("https://www.ncbi.nlm.nih.gov/nuccore/NZ_AGBF01000068.1?report=graph&amp;from=413&amp;to=417", "TTA_codon")</f>
        <v>TTA_codon</v>
      </c>
    </row>
    <row r="4096" spans="1:15" x14ac:dyDescent="0.15">
      <c r="A4096" t="s">
        <v>21</v>
      </c>
      <c r="B4096">
        <v>1000187</v>
      </c>
      <c r="C4096">
        <v>350295</v>
      </c>
      <c r="F4096" s="7">
        <v>1</v>
      </c>
      <c r="G4096" s="7">
        <v>358</v>
      </c>
      <c r="H4096" s="8">
        <v>241</v>
      </c>
      <c r="J4096" t="s">
        <v>23</v>
      </c>
      <c r="K4096" s="7">
        <v>831</v>
      </c>
      <c r="L4096" s="9">
        <v>-1</v>
      </c>
      <c r="M4096" t="s">
        <v>35</v>
      </c>
      <c r="N4096" t="s">
        <v>36</v>
      </c>
      <c r="O4096" s="27" t="str">
        <f>HYPERLINK("https://www.ncbi.nlm.nih.gov/nuccore/NZ_JH725387.1?report=graph&amp;from=5066188&amp;to=5066192", "TTA_codon")</f>
        <v>TTA_codon</v>
      </c>
    </row>
    <row r="4097" spans="1:15" x14ac:dyDescent="0.15">
      <c r="A4097" t="s">
        <v>21</v>
      </c>
      <c r="B4097">
        <v>1000187</v>
      </c>
      <c r="C4097">
        <v>351252</v>
      </c>
      <c r="F4097" s="7">
        <v>2</v>
      </c>
      <c r="G4097" s="7" t="s">
        <v>3223</v>
      </c>
      <c r="H4097" s="8" t="s">
        <v>3224</v>
      </c>
      <c r="J4097" t="s">
        <v>23</v>
      </c>
      <c r="K4097" s="7">
        <v>828</v>
      </c>
      <c r="L4097" s="9">
        <v>-1</v>
      </c>
      <c r="M4097" t="s">
        <v>65</v>
      </c>
      <c r="N4097" t="s">
        <v>66</v>
      </c>
      <c r="O4097" s="27" t="str">
        <f>HYPERLINK("https://www.ncbi.nlm.nih.gov/nuccore/NC_020504.1?report=graph&amp;from=6657600&amp;to=6657706", "TTA_codon")</f>
        <v>TTA_codon</v>
      </c>
    </row>
    <row r="4098" spans="1:15" x14ac:dyDescent="0.15">
      <c r="A4098" t="s">
        <v>21</v>
      </c>
      <c r="B4098">
        <v>1000187</v>
      </c>
      <c r="C4098">
        <v>352114</v>
      </c>
      <c r="F4098" s="7">
        <v>1</v>
      </c>
      <c r="G4098" s="7">
        <v>793</v>
      </c>
      <c r="H4098" s="8">
        <v>682</v>
      </c>
      <c r="J4098" t="s">
        <v>23</v>
      </c>
      <c r="K4098" s="7">
        <v>864</v>
      </c>
      <c r="L4098" s="9">
        <v>-1</v>
      </c>
      <c r="M4098" t="s">
        <v>1607</v>
      </c>
      <c r="N4098" t="s">
        <v>70</v>
      </c>
      <c r="O4098" s="27" t="str">
        <f>HYPERLINK("https://www.ncbi.nlm.nih.gov/nuccore/NZ_KB904666.1?report=graph&amp;from=56559&amp;to=56563", "TTA_codon")</f>
        <v>TTA_codon</v>
      </c>
    </row>
    <row r="4099" spans="1:15" x14ac:dyDescent="0.15">
      <c r="A4099" t="s">
        <v>21</v>
      </c>
      <c r="B4099">
        <v>1000187</v>
      </c>
      <c r="C4099">
        <v>352115</v>
      </c>
      <c r="F4099" s="7">
        <v>1</v>
      </c>
      <c r="G4099" s="7">
        <v>592</v>
      </c>
      <c r="H4099" s="8">
        <v>469</v>
      </c>
      <c r="J4099" t="s">
        <v>23</v>
      </c>
      <c r="K4099" s="7">
        <v>843</v>
      </c>
      <c r="L4099" s="9">
        <v>-1</v>
      </c>
      <c r="M4099" t="s">
        <v>2782</v>
      </c>
      <c r="N4099" t="s">
        <v>70</v>
      </c>
      <c r="O4099" s="27" t="str">
        <f>HYPERLINK("https://www.ncbi.nlm.nih.gov/nuccore/NZ_KB904690.1?report=graph&amp;from=31106&amp;to=31110", "TTA_codon")</f>
        <v>TTA_codon</v>
      </c>
    </row>
    <row r="4100" spans="1:15" x14ac:dyDescent="0.15">
      <c r="A4100" t="s">
        <v>21</v>
      </c>
      <c r="B4100">
        <v>1000187</v>
      </c>
      <c r="C4100">
        <v>356384</v>
      </c>
      <c r="F4100" s="7">
        <v>1</v>
      </c>
      <c r="G4100" s="7">
        <v>460</v>
      </c>
      <c r="H4100" s="8">
        <v>256</v>
      </c>
      <c r="J4100" t="s">
        <v>23</v>
      </c>
      <c r="K4100" s="7">
        <v>762</v>
      </c>
      <c r="L4100" s="9">
        <v>-1</v>
      </c>
      <c r="M4100" t="s">
        <v>3225</v>
      </c>
      <c r="N4100" t="s">
        <v>354</v>
      </c>
      <c r="O4100" s="27" t="str">
        <f>HYPERLINK("https://www.ncbi.nlm.nih.gov/nuccore/NZ_JQJU01000016.1?report=graph&amp;from=1381&amp;to=1385", "TTA_codon")</f>
        <v>TTA_codon</v>
      </c>
    </row>
    <row r="4101" spans="1:15" x14ac:dyDescent="0.15">
      <c r="A4101" t="s">
        <v>21</v>
      </c>
      <c r="B4101">
        <v>1000187</v>
      </c>
      <c r="C4101">
        <v>356385</v>
      </c>
      <c r="F4101" s="7">
        <v>1</v>
      </c>
      <c r="G4101" s="7">
        <v>499</v>
      </c>
      <c r="H4101" s="8">
        <v>343</v>
      </c>
      <c r="J4101" t="s">
        <v>23</v>
      </c>
      <c r="K4101" s="7">
        <v>810</v>
      </c>
      <c r="L4101" s="9">
        <v>-1</v>
      </c>
      <c r="M4101" t="s">
        <v>3226</v>
      </c>
      <c r="N4101" t="s">
        <v>354</v>
      </c>
      <c r="O4101" s="27" t="str">
        <f>HYPERLINK("https://www.ncbi.nlm.nih.gov/nuccore/NZ_JQJU01000034.1?report=graph&amp;from=22295&amp;to=22299", "TTA_codon")</f>
        <v>TTA_codon</v>
      </c>
    </row>
    <row r="4102" spans="1:15" x14ac:dyDescent="0.15">
      <c r="A4102" t="s">
        <v>21</v>
      </c>
      <c r="B4102">
        <v>1000187</v>
      </c>
      <c r="C4102">
        <v>356530</v>
      </c>
      <c r="F4102" s="7">
        <v>1</v>
      </c>
      <c r="G4102" s="7">
        <v>763</v>
      </c>
      <c r="H4102" s="8">
        <v>646</v>
      </c>
      <c r="J4102" t="s">
        <v>23</v>
      </c>
      <c r="K4102" s="7">
        <v>858</v>
      </c>
      <c r="L4102" s="9">
        <v>-1</v>
      </c>
      <c r="M4102" t="s">
        <v>508</v>
      </c>
      <c r="N4102" t="s">
        <v>509</v>
      </c>
      <c r="O4102" s="27" t="str">
        <f>HYPERLINK("https://www.ncbi.nlm.nih.gov/nuccore/NZ_CP009438.1?report=graph&amp;from=6630967&amp;to=6630971", "TTA_codon")</f>
        <v>TTA_codon</v>
      </c>
    </row>
    <row r="4103" spans="1:15" x14ac:dyDescent="0.15">
      <c r="A4103" t="s">
        <v>21</v>
      </c>
      <c r="B4103">
        <v>1000187</v>
      </c>
      <c r="C4103">
        <v>357149</v>
      </c>
      <c r="F4103" s="7">
        <v>1</v>
      </c>
      <c r="G4103" s="7">
        <v>301</v>
      </c>
      <c r="H4103" s="8">
        <v>184</v>
      </c>
      <c r="J4103" t="s">
        <v>23</v>
      </c>
      <c r="K4103" s="7">
        <v>831</v>
      </c>
      <c r="L4103" s="9">
        <v>-1</v>
      </c>
      <c r="M4103" t="s">
        <v>205</v>
      </c>
      <c r="N4103" t="s">
        <v>206</v>
      </c>
      <c r="O4103" s="27" t="str">
        <f>HYPERLINK("https://www.ncbi.nlm.nih.gov/nuccore/NZ_CP010407.1?report=graph&amp;from=6539870&amp;to=6539874", "TTA_codon")</f>
        <v>TTA_codon</v>
      </c>
    </row>
    <row r="4104" spans="1:15" x14ac:dyDescent="0.15">
      <c r="A4104" t="s">
        <v>21</v>
      </c>
      <c r="B4104">
        <v>1000187</v>
      </c>
      <c r="C4104">
        <v>358394</v>
      </c>
      <c r="F4104" s="7">
        <v>1</v>
      </c>
      <c r="G4104" s="7">
        <v>199</v>
      </c>
      <c r="H4104" s="8">
        <v>70</v>
      </c>
      <c r="J4104" t="s">
        <v>23</v>
      </c>
      <c r="K4104" s="7">
        <v>816</v>
      </c>
      <c r="L4104" s="9">
        <v>-1</v>
      </c>
      <c r="M4104" t="s">
        <v>1016</v>
      </c>
      <c r="N4104" t="s">
        <v>85</v>
      </c>
      <c r="O4104" s="27" t="str">
        <f>HYPERLINK("https://www.ncbi.nlm.nih.gov/nuccore/NZ_LIQX01000019.1?report=graph&amp;from=29332&amp;to=29336", "TTA_codon")</f>
        <v>TTA_codon</v>
      </c>
    </row>
    <row r="4105" spans="1:15" x14ac:dyDescent="0.15">
      <c r="A4105" t="s">
        <v>21</v>
      </c>
      <c r="B4105">
        <v>1000187</v>
      </c>
      <c r="C4105">
        <v>358838</v>
      </c>
      <c r="F4105" s="7">
        <v>1</v>
      </c>
      <c r="G4105" s="7">
        <v>736</v>
      </c>
      <c r="H4105" s="8">
        <v>574</v>
      </c>
      <c r="J4105" t="s">
        <v>23</v>
      </c>
      <c r="K4105" s="7">
        <v>810</v>
      </c>
      <c r="L4105" s="9">
        <v>-1</v>
      </c>
      <c r="M4105" t="s">
        <v>3227</v>
      </c>
      <c r="N4105" t="s">
        <v>87</v>
      </c>
      <c r="O4105" s="27" t="str">
        <f>HYPERLINK("https://www.ncbi.nlm.nih.gov/nuccore/NZ_LIQS01000357.1?report=graph&amp;from=3550&amp;to=3554", "TTA_codon")</f>
        <v>TTA_codon</v>
      </c>
    </row>
    <row r="4106" spans="1:15" x14ac:dyDescent="0.15">
      <c r="A4106" t="s">
        <v>21</v>
      </c>
      <c r="B4106">
        <v>1000187</v>
      </c>
      <c r="C4106">
        <v>361167</v>
      </c>
      <c r="F4106" s="7">
        <v>1</v>
      </c>
      <c r="G4106" s="7">
        <v>355</v>
      </c>
      <c r="H4106" s="8">
        <v>250</v>
      </c>
      <c r="J4106" t="s">
        <v>23</v>
      </c>
      <c r="K4106" s="7">
        <v>858</v>
      </c>
      <c r="L4106" s="9">
        <v>-1</v>
      </c>
      <c r="M4106" t="s">
        <v>98</v>
      </c>
      <c r="N4106" t="s">
        <v>99</v>
      </c>
      <c r="O4106" s="27" t="str">
        <f>HYPERLINK("https://www.ncbi.nlm.nih.gov/nuccore/NZ_CP016438.1?report=graph&amp;from=5886916&amp;to=5886920", "TTA_codon")</f>
        <v>TTA_codon</v>
      </c>
    </row>
    <row r="4107" spans="1:15" x14ac:dyDescent="0.15">
      <c r="A4107" t="s">
        <v>21</v>
      </c>
      <c r="B4107">
        <v>1000187</v>
      </c>
      <c r="C4107">
        <v>361635</v>
      </c>
      <c r="F4107" s="7">
        <v>1</v>
      </c>
      <c r="G4107" s="7">
        <v>502</v>
      </c>
      <c r="H4107" s="8">
        <v>364</v>
      </c>
      <c r="J4107" t="s">
        <v>23</v>
      </c>
      <c r="K4107" s="7">
        <v>828</v>
      </c>
      <c r="L4107" s="9">
        <v>-1</v>
      </c>
      <c r="M4107" t="s">
        <v>37</v>
      </c>
      <c r="N4107" t="s">
        <v>38</v>
      </c>
      <c r="O4107" s="27" t="str">
        <f>HYPERLINK("https://www.ncbi.nlm.nih.gov/nuccore/NZ_CP011533.1?report=graph&amp;from=6622670&amp;to=6622674", "TTA_codon")</f>
        <v>TTA_codon</v>
      </c>
    </row>
    <row r="4108" spans="1:15" x14ac:dyDescent="0.15">
      <c r="A4108" t="s">
        <v>21</v>
      </c>
      <c r="B4108">
        <v>1000187</v>
      </c>
      <c r="C4108">
        <v>362240</v>
      </c>
      <c r="F4108" s="7">
        <v>1</v>
      </c>
      <c r="G4108" s="7">
        <v>502</v>
      </c>
      <c r="H4108" s="8">
        <v>364</v>
      </c>
      <c r="J4108" t="s">
        <v>23</v>
      </c>
      <c r="K4108" s="7">
        <v>828</v>
      </c>
      <c r="L4108" s="9">
        <v>-1</v>
      </c>
      <c r="M4108" t="s">
        <v>39</v>
      </c>
      <c r="N4108" t="s">
        <v>40</v>
      </c>
      <c r="O4108" s="27" t="str">
        <f>HYPERLINK("https://www.ncbi.nlm.nih.gov/nuccore/NZ_CP017157.1?report=graph&amp;from=1872374&amp;to=1872378", "TTA_codon")</f>
        <v>TTA_codon</v>
      </c>
    </row>
    <row r="4109" spans="1:15" x14ac:dyDescent="0.15">
      <c r="A4109" t="s">
        <v>21</v>
      </c>
      <c r="B4109">
        <v>1000187</v>
      </c>
      <c r="C4109">
        <v>362485</v>
      </c>
      <c r="F4109" s="7">
        <v>1</v>
      </c>
      <c r="G4109" s="7">
        <v>502</v>
      </c>
      <c r="H4109" s="8">
        <v>385</v>
      </c>
      <c r="J4109" t="s">
        <v>23</v>
      </c>
      <c r="K4109" s="7">
        <v>849</v>
      </c>
      <c r="L4109" s="9">
        <v>-1</v>
      </c>
      <c r="M4109" t="s">
        <v>32</v>
      </c>
      <c r="N4109" t="s">
        <v>33</v>
      </c>
      <c r="O4109" s="27" t="str">
        <f>HYPERLINK("https://www.ncbi.nlm.nih.gov/nuccore/NZ_CP017248.1?report=graph&amp;from=1669366&amp;to=1669370", "TTA_codon")</f>
        <v>TTA_codon</v>
      </c>
    </row>
    <row r="4110" spans="1:15" x14ac:dyDescent="0.15">
      <c r="A4110" t="s">
        <v>21</v>
      </c>
      <c r="B4110">
        <v>1000187</v>
      </c>
      <c r="C4110">
        <v>363121</v>
      </c>
      <c r="F4110" s="7">
        <v>1</v>
      </c>
      <c r="G4110" s="7">
        <v>100</v>
      </c>
      <c r="H4110" s="8">
        <v>55</v>
      </c>
      <c r="J4110" t="s">
        <v>23</v>
      </c>
      <c r="K4110" s="7">
        <v>876</v>
      </c>
      <c r="L4110" s="9">
        <v>-1</v>
      </c>
      <c r="M4110" t="s">
        <v>1483</v>
      </c>
      <c r="N4110" t="s">
        <v>401</v>
      </c>
      <c r="O4110" s="27" t="str">
        <f>HYPERLINK("https://www.ncbi.nlm.nih.gov/nuccore/NZ_LFBV01000001.1?report=graph&amp;from=1874385&amp;to=1874389", "TTA_codon")</f>
        <v>TTA_codon</v>
      </c>
    </row>
    <row r="4111" spans="1:15" x14ac:dyDescent="0.15">
      <c r="A4111" t="s">
        <v>21</v>
      </c>
      <c r="B4111">
        <v>1000187</v>
      </c>
      <c r="C4111">
        <v>363471</v>
      </c>
      <c r="F4111" s="7">
        <v>1</v>
      </c>
      <c r="G4111" s="7">
        <v>556</v>
      </c>
      <c r="H4111" s="8">
        <v>448</v>
      </c>
      <c r="J4111" t="s">
        <v>23</v>
      </c>
      <c r="K4111" s="7">
        <v>858</v>
      </c>
      <c r="L4111" s="9">
        <v>-1</v>
      </c>
      <c r="M4111" t="s">
        <v>157</v>
      </c>
      <c r="N4111" t="s">
        <v>158</v>
      </c>
      <c r="O4111" s="27" t="str">
        <f>HYPERLINK("https://www.ncbi.nlm.nih.gov/nuccore/NZ_CP015588.1?report=graph&amp;from=6104917&amp;to=6104921", "TTA_codon")</f>
        <v>TTA_codon</v>
      </c>
    </row>
    <row r="4112" spans="1:15" x14ac:dyDescent="0.15">
      <c r="A4112" t="s">
        <v>21</v>
      </c>
      <c r="B4112">
        <v>1000187</v>
      </c>
      <c r="C4112">
        <v>365338</v>
      </c>
      <c r="F4112" s="7">
        <v>1</v>
      </c>
      <c r="G4112" s="7">
        <v>208</v>
      </c>
      <c r="H4112" s="8">
        <v>94</v>
      </c>
      <c r="J4112" t="s">
        <v>23</v>
      </c>
      <c r="K4112" s="7">
        <v>834</v>
      </c>
      <c r="L4112" s="9">
        <v>-1</v>
      </c>
      <c r="M4112" t="s">
        <v>3228</v>
      </c>
      <c r="N4112" t="s">
        <v>129</v>
      </c>
      <c r="O4112" s="27" t="str">
        <f>HYPERLINK("https://www.ncbi.nlm.nih.gov/nuccore/NZ_FNHI01000001.1?report=graph&amp;from=342581&amp;to=342585", "TTA_codon")</f>
        <v>TTA_codon</v>
      </c>
    </row>
    <row r="4113" spans="1:15" x14ac:dyDescent="0.15">
      <c r="A4113" t="s">
        <v>21</v>
      </c>
      <c r="B4113">
        <v>1000187</v>
      </c>
      <c r="C4113">
        <v>365957</v>
      </c>
      <c r="F4113" s="7">
        <v>1</v>
      </c>
      <c r="G4113" s="7">
        <v>358</v>
      </c>
      <c r="H4113" s="8">
        <v>253</v>
      </c>
      <c r="J4113" t="s">
        <v>23</v>
      </c>
      <c r="K4113" s="7">
        <v>852</v>
      </c>
      <c r="L4113" s="9">
        <v>-1</v>
      </c>
      <c r="M4113" t="s">
        <v>3229</v>
      </c>
      <c r="N4113" t="s">
        <v>115</v>
      </c>
      <c r="O4113" s="27" t="str">
        <f>HYPERLINK("https://www.ncbi.nlm.nih.gov/nuccore/NZ_FODD01000065.1?report=graph&amp;from=26763&amp;to=26767", "TTA_codon")</f>
        <v>TTA_codon</v>
      </c>
    </row>
    <row r="4114" spans="1:15" x14ac:dyDescent="0.15">
      <c r="A4114" t="s">
        <v>21</v>
      </c>
      <c r="B4114">
        <v>1000187</v>
      </c>
      <c r="C4114">
        <v>366594</v>
      </c>
      <c r="F4114" s="7">
        <v>1</v>
      </c>
      <c r="G4114" s="7">
        <v>208</v>
      </c>
      <c r="H4114" s="8">
        <v>97</v>
      </c>
      <c r="J4114" t="s">
        <v>23</v>
      </c>
      <c r="K4114" s="7">
        <v>837</v>
      </c>
      <c r="L4114" s="9">
        <v>-1</v>
      </c>
      <c r="M4114" t="s">
        <v>2436</v>
      </c>
      <c r="N4114" t="s">
        <v>180</v>
      </c>
      <c r="O4114" s="27" t="str">
        <f>HYPERLINK("https://www.ncbi.nlm.nih.gov/nuccore/NZ_FRBI01000001.1?report=graph&amp;from=683927&amp;to=683931", "TTA_codon")</f>
        <v>TTA_codon</v>
      </c>
    </row>
    <row r="4115" spans="1:15" x14ac:dyDescent="0.15">
      <c r="A4115" t="s">
        <v>21</v>
      </c>
      <c r="B4115" t="s">
        <v>3230</v>
      </c>
    </row>
    <row r="4116" spans="1:15" x14ac:dyDescent="0.15">
      <c r="A4116" t="s">
        <v>21</v>
      </c>
      <c r="B4116">
        <v>1000571</v>
      </c>
      <c r="C4116">
        <v>349978</v>
      </c>
      <c r="F4116" s="7">
        <v>1</v>
      </c>
      <c r="G4116" s="7">
        <v>283</v>
      </c>
      <c r="H4116" s="8">
        <v>283</v>
      </c>
      <c r="J4116" t="s">
        <v>23</v>
      </c>
      <c r="K4116" s="7">
        <v>2142</v>
      </c>
      <c r="L4116" s="9">
        <v>-1</v>
      </c>
      <c r="M4116" t="s">
        <v>3231</v>
      </c>
      <c r="N4116" t="s">
        <v>249</v>
      </c>
      <c r="O4116" s="27" t="str">
        <f>HYPERLINK("https://www.ncbi.nlm.nih.gov/nuccore/NZ_AHBF01000149.1?report=graph&amp;from=13919&amp;to=13923", "TTA_codon")</f>
        <v>TTA_codon</v>
      </c>
    </row>
    <row r="4117" spans="1:15" x14ac:dyDescent="0.15">
      <c r="A4117" t="s">
        <v>21</v>
      </c>
      <c r="B4117">
        <v>1000571</v>
      </c>
      <c r="C4117">
        <v>354839</v>
      </c>
      <c r="F4117" s="7">
        <v>1</v>
      </c>
      <c r="G4117" s="7">
        <v>184</v>
      </c>
      <c r="H4117" s="8">
        <v>184</v>
      </c>
      <c r="J4117" t="s">
        <v>23</v>
      </c>
      <c r="K4117" s="7">
        <v>2235</v>
      </c>
      <c r="L4117" s="9">
        <v>-1</v>
      </c>
      <c r="M4117" t="s">
        <v>2438</v>
      </c>
      <c r="N4117" t="s">
        <v>25</v>
      </c>
      <c r="O4117" s="27" t="str">
        <f>HYPERLINK("https://www.ncbi.nlm.nih.gov/nuccore/NZ_JOFU01000003.1?report=graph&amp;from=8612&amp;to=8616", "TTA_codon")</f>
        <v>TTA_codon</v>
      </c>
    </row>
    <row r="4118" spans="1:15" x14ac:dyDescent="0.15">
      <c r="A4118" t="s">
        <v>21</v>
      </c>
      <c r="B4118" t="s">
        <v>3232</v>
      </c>
    </row>
    <row r="4119" spans="1:15" x14ac:dyDescent="0.15">
      <c r="A4119" t="s">
        <v>21</v>
      </c>
      <c r="B4119">
        <v>1001480</v>
      </c>
      <c r="C4119">
        <v>364307</v>
      </c>
      <c r="F4119" s="7">
        <v>1</v>
      </c>
      <c r="G4119" s="7">
        <v>307</v>
      </c>
      <c r="H4119" s="8">
        <v>298</v>
      </c>
      <c r="J4119" t="s">
        <v>23</v>
      </c>
      <c r="K4119" s="7">
        <v>1209</v>
      </c>
      <c r="L4119" s="9">
        <v>-1</v>
      </c>
      <c r="M4119" t="s">
        <v>105</v>
      </c>
      <c r="N4119" t="s">
        <v>106</v>
      </c>
      <c r="O4119" s="27" t="str">
        <f>HYPERLINK("https://www.ncbi.nlm.nih.gov/nuccore/NZ_CP020042.1?report=graph&amp;from=2616144&amp;to=2616148", "TTA_codon")</f>
        <v>TTA_codon</v>
      </c>
    </row>
    <row r="4120" spans="1:15" x14ac:dyDescent="0.15">
      <c r="A4120" t="s">
        <v>21</v>
      </c>
      <c r="B4120">
        <v>1001480</v>
      </c>
      <c r="C4120">
        <v>365014</v>
      </c>
      <c r="F4120" s="7">
        <v>2</v>
      </c>
      <c r="G4120" s="7" t="s">
        <v>3233</v>
      </c>
      <c r="H4120" s="8" t="s">
        <v>3234</v>
      </c>
      <c r="J4120" t="s">
        <v>23</v>
      </c>
      <c r="K4120" s="7">
        <v>1197</v>
      </c>
      <c r="L4120" s="9">
        <v>-1</v>
      </c>
      <c r="M4120" t="s">
        <v>111</v>
      </c>
      <c r="N4120" t="s">
        <v>112</v>
      </c>
      <c r="O4120" s="27" t="str">
        <f>HYPERLINK("https://www.ncbi.nlm.nih.gov/nuccore/NZ_CP021744.1?report=graph&amp;from=3877970&amp;to=3878286", "TTA_codon")</f>
        <v>TTA_codon</v>
      </c>
    </row>
    <row r="4121" spans="1:15" x14ac:dyDescent="0.15">
      <c r="A4121" t="s">
        <v>21</v>
      </c>
      <c r="B4121" t="s">
        <v>3235</v>
      </c>
    </row>
    <row r="4122" spans="1:15" x14ac:dyDescent="0.15">
      <c r="A4122" t="s">
        <v>21</v>
      </c>
      <c r="B4122">
        <v>1000690</v>
      </c>
      <c r="C4122">
        <v>350944</v>
      </c>
      <c r="F4122" s="7">
        <v>2</v>
      </c>
      <c r="G4122" s="7" t="s">
        <v>3236</v>
      </c>
      <c r="H4122" s="8" t="s">
        <v>3237</v>
      </c>
      <c r="J4122" t="s">
        <v>23</v>
      </c>
      <c r="K4122" s="7">
        <v>1482</v>
      </c>
      <c r="L4122" s="9">
        <v>1</v>
      </c>
      <c r="M4122" t="s">
        <v>352</v>
      </c>
      <c r="N4122" t="s">
        <v>51</v>
      </c>
      <c r="O4122" s="27" t="str">
        <f>HYPERLINK("https://www.ncbi.nlm.nih.gov/nuccore/NZ_AEJB01000361.1?report=graph&amp;from=569733&amp;to=569758", "TTA_codon")</f>
        <v>TTA_codon</v>
      </c>
    </row>
    <row r="4123" spans="1:15" x14ac:dyDescent="0.15">
      <c r="A4123" t="s">
        <v>21</v>
      </c>
      <c r="B4123">
        <v>1000690</v>
      </c>
      <c r="C4123">
        <v>354120</v>
      </c>
      <c r="F4123" s="7">
        <v>1</v>
      </c>
      <c r="G4123" s="7">
        <v>526</v>
      </c>
      <c r="H4123" s="8">
        <v>505</v>
      </c>
      <c r="J4123" t="s">
        <v>23</v>
      </c>
      <c r="K4123" s="7">
        <v>1467</v>
      </c>
      <c r="L4123" s="9">
        <v>1</v>
      </c>
      <c r="M4123" t="s">
        <v>836</v>
      </c>
      <c r="N4123" t="s">
        <v>270</v>
      </c>
      <c r="O4123" s="27" t="str">
        <f>HYPERLINK("https://www.ncbi.nlm.nih.gov/nuccore/NZ_JOBH01000019.1?report=graph&amp;from=26167&amp;to=26171", "TTA_codon")</f>
        <v>TTA_codon</v>
      </c>
    </row>
    <row r="4124" spans="1:15" x14ac:dyDescent="0.15">
      <c r="A4124" t="s">
        <v>21</v>
      </c>
      <c r="B4124" t="s">
        <v>3238</v>
      </c>
    </row>
    <row r="4125" spans="1:15" x14ac:dyDescent="0.15">
      <c r="A4125" t="s">
        <v>21</v>
      </c>
      <c r="B4125">
        <v>1000829</v>
      </c>
      <c r="C4125">
        <v>352379</v>
      </c>
      <c r="F4125" s="7">
        <v>1</v>
      </c>
      <c r="G4125" s="7">
        <v>88</v>
      </c>
      <c r="H4125" s="8">
        <v>85</v>
      </c>
      <c r="J4125" t="s">
        <v>23</v>
      </c>
      <c r="K4125" s="7">
        <v>498</v>
      </c>
      <c r="L4125" s="9">
        <v>1</v>
      </c>
      <c r="M4125" t="s">
        <v>30</v>
      </c>
      <c r="N4125" t="s">
        <v>31</v>
      </c>
      <c r="O4125" s="27" t="str">
        <f>HYPERLINK("https://www.ncbi.nlm.nih.gov/nuccore/NZ_KB913030.1?report=graph&amp;from=2939285&amp;to=2939289", "TTA_codon")</f>
        <v>TTA_codon</v>
      </c>
    </row>
    <row r="4126" spans="1:15" x14ac:dyDescent="0.15">
      <c r="A4126" t="s">
        <v>21</v>
      </c>
      <c r="B4126">
        <v>1000829</v>
      </c>
      <c r="C4126">
        <v>357121</v>
      </c>
      <c r="F4126" s="7">
        <v>1</v>
      </c>
      <c r="G4126" s="7">
        <v>88</v>
      </c>
      <c r="H4126" s="8">
        <v>79</v>
      </c>
      <c r="J4126" t="s">
        <v>23</v>
      </c>
      <c r="K4126" s="7">
        <v>498</v>
      </c>
      <c r="L4126" s="9">
        <v>1</v>
      </c>
      <c r="M4126" t="s">
        <v>205</v>
      </c>
      <c r="N4126" t="s">
        <v>206</v>
      </c>
      <c r="O4126" s="27" t="str">
        <f>HYPERLINK("https://www.ncbi.nlm.nih.gov/nuccore/NZ_CP010407.1?report=graph&amp;from=3497030&amp;to=3497034", "TTA_codon")</f>
        <v>TTA_codon</v>
      </c>
    </row>
    <row r="4127" spans="1:15" x14ac:dyDescent="0.15">
      <c r="A4127" t="s">
        <v>21</v>
      </c>
      <c r="B4127">
        <v>1000829</v>
      </c>
      <c r="C4127">
        <v>359426</v>
      </c>
      <c r="F4127" s="7">
        <v>1</v>
      </c>
      <c r="G4127" s="7">
        <v>88</v>
      </c>
      <c r="H4127" s="8">
        <v>79</v>
      </c>
      <c r="J4127" t="s">
        <v>23</v>
      </c>
      <c r="K4127" s="7">
        <v>498</v>
      </c>
      <c r="L4127" s="9">
        <v>1</v>
      </c>
      <c r="M4127" t="s">
        <v>151</v>
      </c>
      <c r="N4127" t="s">
        <v>152</v>
      </c>
      <c r="O4127" s="27" t="str">
        <f>HYPERLINK("https://www.ncbi.nlm.nih.gov/nuccore/NZ_CP013129.1?report=graph&amp;from=3719886&amp;to=3719890", "TTA_codon")</f>
        <v>TTA_codon</v>
      </c>
    </row>
    <row r="4128" spans="1:15" x14ac:dyDescent="0.15">
      <c r="A4128" t="s">
        <v>21</v>
      </c>
      <c r="B4128" t="s">
        <v>3239</v>
      </c>
    </row>
    <row r="4129" spans="1:15" x14ac:dyDescent="0.15">
      <c r="A4129" t="s">
        <v>21</v>
      </c>
      <c r="B4129">
        <v>1000783</v>
      </c>
      <c r="C4129">
        <v>351838</v>
      </c>
      <c r="F4129" s="7">
        <v>1</v>
      </c>
      <c r="G4129" s="7">
        <v>172</v>
      </c>
      <c r="H4129" s="8">
        <v>172</v>
      </c>
      <c r="J4129" t="s">
        <v>23</v>
      </c>
      <c r="K4129" s="7">
        <v>360</v>
      </c>
      <c r="L4129" s="9">
        <v>-1</v>
      </c>
      <c r="M4129" t="s">
        <v>631</v>
      </c>
      <c r="N4129" t="s">
        <v>68</v>
      </c>
      <c r="O4129" s="27" t="str">
        <f>HYPERLINK("https://www.ncbi.nlm.nih.gov/nuccore/NZ_BARG01000046.1?report=graph&amp;from=2975&amp;to=2979", "TTA_codon")</f>
        <v>TTA_codon</v>
      </c>
    </row>
    <row r="4130" spans="1:15" x14ac:dyDescent="0.15">
      <c r="A4130" t="s">
        <v>21</v>
      </c>
      <c r="B4130">
        <v>1000783</v>
      </c>
      <c r="C4130">
        <v>354352</v>
      </c>
      <c r="F4130" s="7">
        <v>1</v>
      </c>
      <c r="G4130" s="7">
        <v>181</v>
      </c>
      <c r="H4130" s="8">
        <v>178</v>
      </c>
      <c r="J4130" t="s">
        <v>23</v>
      </c>
      <c r="K4130" s="7">
        <v>357</v>
      </c>
      <c r="L4130" s="9">
        <v>-1</v>
      </c>
      <c r="M4130" t="s">
        <v>141</v>
      </c>
      <c r="N4130" t="s">
        <v>142</v>
      </c>
      <c r="O4130" s="27" t="str">
        <f>HYPERLINK("https://www.ncbi.nlm.nih.gov/nuccore/NZ_JOEI01000002.1?report=graph&amp;from=444677&amp;to=444681", "TTA_codon")</f>
        <v>TTA_codon</v>
      </c>
    </row>
    <row r="4131" spans="1:15" x14ac:dyDescent="0.15">
      <c r="A4131" t="s">
        <v>21</v>
      </c>
      <c r="B4131" t="s">
        <v>3240</v>
      </c>
    </row>
    <row r="4132" spans="1:15" x14ac:dyDescent="0.15">
      <c r="A4132" t="s">
        <v>21</v>
      </c>
      <c r="B4132">
        <v>1001275</v>
      </c>
      <c r="C4132">
        <v>358384</v>
      </c>
      <c r="F4132" s="7">
        <v>1</v>
      </c>
      <c r="G4132" s="7">
        <v>556</v>
      </c>
      <c r="H4132" s="8">
        <v>436</v>
      </c>
      <c r="J4132" t="s">
        <v>23</v>
      </c>
      <c r="K4132" s="7">
        <v>1503</v>
      </c>
      <c r="L4132" s="9">
        <v>-1</v>
      </c>
      <c r="M4132" t="s">
        <v>3241</v>
      </c>
      <c r="N4132" t="s">
        <v>85</v>
      </c>
      <c r="O4132" s="27" t="str">
        <f>HYPERLINK("https://www.ncbi.nlm.nih.gov/nuccore/NZ_LIQX01000201.1?report=graph&amp;from=1834&amp;to=1838", "TTA_codon")</f>
        <v>TTA_codon</v>
      </c>
    </row>
    <row r="4133" spans="1:15" x14ac:dyDescent="0.15">
      <c r="A4133" t="s">
        <v>21</v>
      </c>
      <c r="B4133">
        <v>1001275</v>
      </c>
      <c r="C4133">
        <v>365615</v>
      </c>
      <c r="F4133" s="7">
        <v>1</v>
      </c>
      <c r="G4133" s="7">
        <v>637</v>
      </c>
      <c r="H4133" s="8">
        <v>574</v>
      </c>
      <c r="J4133" t="s">
        <v>23</v>
      </c>
      <c r="K4133" s="7">
        <v>1506</v>
      </c>
      <c r="L4133" s="9">
        <v>-1</v>
      </c>
      <c r="M4133" t="s">
        <v>213</v>
      </c>
      <c r="N4133" t="s">
        <v>214</v>
      </c>
      <c r="O4133" s="27" t="str">
        <f>HYPERLINK("https://www.ncbi.nlm.nih.gov/nuccore/NZ_FNST01000002.1?report=graph&amp;from=8479812&amp;to=8479816", "TTA_codon")</f>
        <v>TTA_codon</v>
      </c>
    </row>
    <row r="4134" spans="1:15" x14ac:dyDescent="0.15">
      <c r="A4134" t="s">
        <v>21</v>
      </c>
      <c r="B4134">
        <v>1001275</v>
      </c>
      <c r="C4134">
        <v>366390</v>
      </c>
      <c r="F4134" s="7">
        <v>1</v>
      </c>
      <c r="G4134" s="7">
        <v>442</v>
      </c>
      <c r="H4134" s="8">
        <v>349</v>
      </c>
      <c r="J4134" t="s">
        <v>23</v>
      </c>
      <c r="K4134" s="7">
        <v>1620</v>
      </c>
      <c r="L4134" s="9">
        <v>-1</v>
      </c>
      <c r="M4134" t="s">
        <v>3242</v>
      </c>
      <c r="N4134" t="s">
        <v>375</v>
      </c>
      <c r="O4134" s="27" t="str">
        <f>HYPERLINK("https://www.ncbi.nlm.nih.gov/nuccore/NZ_FONG01000013.1?report=graph&amp;from=199360&amp;to=199364", "TTA_codon")</f>
        <v>TTA_codon</v>
      </c>
    </row>
    <row r="4135" spans="1:15" x14ac:dyDescent="0.15">
      <c r="A4135" t="s">
        <v>21</v>
      </c>
      <c r="B4135" t="s">
        <v>3243</v>
      </c>
    </row>
    <row r="4136" spans="1:15" x14ac:dyDescent="0.15">
      <c r="A4136" t="s">
        <v>21</v>
      </c>
      <c r="B4136">
        <v>1000626</v>
      </c>
      <c r="C4136">
        <v>350433</v>
      </c>
      <c r="F4136" s="7">
        <v>1</v>
      </c>
      <c r="G4136" s="7">
        <v>166</v>
      </c>
      <c r="H4136" s="8">
        <v>166</v>
      </c>
      <c r="J4136" t="s">
        <v>23</v>
      </c>
      <c r="K4136" s="7">
        <v>441</v>
      </c>
      <c r="L4136" s="9">
        <v>-1</v>
      </c>
      <c r="M4136" t="s">
        <v>35</v>
      </c>
      <c r="N4136" t="s">
        <v>36</v>
      </c>
      <c r="O4136" s="27" t="str">
        <f>HYPERLINK("https://www.ncbi.nlm.nih.gov/nuccore/NZ_JH725387.1?report=graph&amp;from=1059278&amp;to=1059282", "TTA_codon")</f>
        <v>TTA_codon</v>
      </c>
    </row>
    <row r="4137" spans="1:15" x14ac:dyDescent="0.15">
      <c r="A4137" t="s">
        <v>21</v>
      </c>
      <c r="B4137">
        <v>1000626</v>
      </c>
      <c r="C4137">
        <v>362282</v>
      </c>
      <c r="F4137" s="7">
        <v>1</v>
      </c>
      <c r="G4137" s="7">
        <v>274</v>
      </c>
      <c r="H4137" s="8">
        <v>274</v>
      </c>
      <c r="J4137" t="s">
        <v>23</v>
      </c>
      <c r="K4137" s="7">
        <v>441</v>
      </c>
      <c r="L4137" s="9">
        <v>-1</v>
      </c>
      <c r="M4137" t="s">
        <v>39</v>
      </c>
      <c r="N4137" t="s">
        <v>40</v>
      </c>
      <c r="O4137" s="27" t="str">
        <f>HYPERLINK("https://www.ncbi.nlm.nih.gov/nuccore/NZ_CP017157.1?report=graph&amp;from=6080522&amp;to=6080526", "TTA_codon")</f>
        <v>TTA_codon</v>
      </c>
    </row>
    <row r="4138" spans="1:15" x14ac:dyDescent="0.15">
      <c r="A4138" t="s">
        <v>21</v>
      </c>
      <c r="B4138" t="s">
        <v>3244</v>
      </c>
    </row>
    <row r="4139" spans="1:15" x14ac:dyDescent="0.15">
      <c r="A4139" t="s">
        <v>21</v>
      </c>
      <c r="B4139">
        <v>1001082</v>
      </c>
      <c r="C4139">
        <v>352212</v>
      </c>
      <c r="F4139" s="7">
        <v>2</v>
      </c>
      <c r="G4139" s="7" t="s">
        <v>3245</v>
      </c>
      <c r="H4139" s="8" t="s">
        <v>3246</v>
      </c>
      <c r="J4139" t="s">
        <v>23</v>
      </c>
      <c r="K4139" s="7">
        <v>2265</v>
      </c>
      <c r="L4139" s="9">
        <v>-1</v>
      </c>
      <c r="M4139" t="s">
        <v>3247</v>
      </c>
      <c r="N4139" t="s">
        <v>70</v>
      </c>
      <c r="O4139" s="27" t="str">
        <f>HYPERLINK("https://www.ncbi.nlm.nih.gov/nuccore/NZ_KB904673.1?report=graph&amp;from=15991&amp;to=17681", "TTA_codon")</f>
        <v>TTA_codon</v>
      </c>
    </row>
    <row r="4140" spans="1:15" x14ac:dyDescent="0.15">
      <c r="A4140" t="s">
        <v>21</v>
      </c>
      <c r="B4140">
        <v>1001082</v>
      </c>
      <c r="C4140">
        <v>355353</v>
      </c>
      <c r="F4140" s="7">
        <v>1</v>
      </c>
      <c r="G4140" s="7">
        <v>244</v>
      </c>
      <c r="H4140" s="8">
        <v>244</v>
      </c>
      <c r="J4140" t="s">
        <v>23</v>
      </c>
      <c r="K4140" s="7">
        <v>2250</v>
      </c>
      <c r="L4140" s="9">
        <v>-1</v>
      </c>
      <c r="M4140" t="s">
        <v>3248</v>
      </c>
      <c r="N4140" t="s">
        <v>295</v>
      </c>
      <c r="O4140" s="27" t="str">
        <f>HYPERLINK("https://www.ncbi.nlm.nih.gov/nuccore/NZ_JODL01000053.1?report=graph&amp;from=3026&amp;to=3030", "TTA_codon")</f>
        <v>TTA_codon</v>
      </c>
    </row>
    <row r="4141" spans="1:15" x14ac:dyDescent="0.15">
      <c r="A4141" t="s">
        <v>21</v>
      </c>
      <c r="B4141">
        <v>1001082</v>
      </c>
      <c r="C4141">
        <v>364451</v>
      </c>
      <c r="F4141" s="7">
        <v>1</v>
      </c>
      <c r="G4141" s="7">
        <v>328</v>
      </c>
      <c r="H4141" s="8">
        <v>319</v>
      </c>
      <c r="J4141" t="s">
        <v>23</v>
      </c>
      <c r="K4141" s="7">
        <v>2163</v>
      </c>
      <c r="L4141" s="9">
        <v>-1</v>
      </c>
      <c r="M4141" t="s">
        <v>3249</v>
      </c>
      <c r="N4141" t="s">
        <v>326</v>
      </c>
      <c r="O4141" s="27" t="str">
        <f>HYPERLINK("https://www.ncbi.nlm.nih.gov/nuccore/NZ_MUBL01000402.1?report=graph&amp;from=10573&amp;to=10577", "TTA_codon")</f>
        <v>TTA_codon</v>
      </c>
    </row>
    <row r="4142" spans="1:15" x14ac:dyDescent="0.15">
      <c r="A4142" t="s">
        <v>21</v>
      </c>
      <c r="B4142" t="s">
        <v>3250</v>
      </c>
    </row>
    <row r="4143" spans="1:15" x14ac:dyDescent="0.15">
      <c r="A4143" t="s">
        <v>21</v>
      </c>
      <c r="B4143">
        <v>1000654</v>
      </c>
      <c r="C4143">
        <v>350638</v>
      </c>
      <c r="F4143" s="7">
        <v>1</v>
      </c>
      <c r="G4143" s="7">
        <v>565</v>
      </c>
      <c r="H4143" s="8">
        <v>565</v>
      </c>
      <c r="J4143" t="s">
        <v>23</v>
      </c>
      <c r="K4143" s="7">
        <v>1782</v>
      </c>
      <c r="L4143" s="9">
        <v>-1</v>
      </c>
      <c r="M4143" t="s">
        <v>280</v>
      </c>
      <c r="N4143" t="s">
        <v>134</v>
      </c>
      <c r="O4143" s="27" t="str">
        <f>HYPERLINK("https://www.ncbi.nlm.nih.gov/nuccore/NZ_AJSZ01000413.1?report=graph&amp;from=27446&amp;to=27450", "TTA_codon")</f>
        <v>TTA_codon</v>
      </c>
    </row>
    <row r="4144" spans="1:15" x14ac:dyDescent="0.15">
      <c r="A4144" t="s">
        <v>21</v>
      </c>
      <c r="B4144">
        <v>1000654</v>
      </c>
      <c r="C4144">
        <v>354898</v>
      </c>
      <c r="F4144" s="7">
        <v>1</v>
      </c>
      <c r="G4144" s="7">
        <v>565</v>
      </c>
      <c r="H4144" s="8">
        <v>565</v>
      </c>
      <c r="J4144" t="s">
        <v>23</v>
      </c>
      <c r="K4144" s="7">
        <v>1791</v>
      </c>
      <c r="L4144" s="9">
        <v>-1</v>
      </c>
      <c r="M4144" t="s">
        <v>281</v>
      </c>
      <c r="N4144" t="s">
        <v>25</v>
      </c>
      <c r="O4144" s="27" t="str">
        <f>HYPERLINK("https://www.ncbi.nlm.nih.gov/nuccore/NZ_JOFU01000030.1?report=graph&amp;from=89151&amp;to=89155", "TTA_codon")</f>
        <v>TTA_codon</v>
      </c>
    </row>
    <row r="4145" spans="1:15" x14ac:dyDescent="0.15">
      <c r="A4145" t="s">
        <v>195</v>
      </c>
      <c r="B4145" t="s">
        <v>3251</v>
      </c>
    </row>
    <row r="4146" spans="1:15" x14ac:dyDescent="0.15">
      <c r="A4146" t="s">
        <v>195</v>
      </c>
      <c r="B4146">
        <v>1000033</v>
      </c>
      <c r="C4146">
        <v>346164</v>
      </c>
      <c r="F4146" s="7">
        <v>1</v>
      </c>
      <c r="G4146" s="7">
        <v>1360</v>
      </c>
      <c r="H4146" s="8">
        <v>1360</v>
      </c>
      <c r="J4146" t="s">
        <v>23</v>
      </c>
      <c r="K4146" s="7">
        <v>3657</v>
      </c>
      <c r="L4146" s="9">
        <v>-1</v>
      </c>
      <c r="M4146" t="s">
        <v>1457</v>
      </c>
      <c r="N4146" t="s">
        <v>36</v>
      </c>
      <c r="O4146" s="27" t="str">
        <f>HYPERLINK("https://www.ncbi.nlm.nih.gov/nuccore/NZ_JH725388.1?report=graph&amp;from=526027&amp;to=526031", "TTA_codon")</f>
        <v>TTA_codon</v>
      </c>
    </row>
    <row r="4147" spans="1:15" x14ac:dyDescent="0.15">
      <c r="A4147" t="s">
        <v>21</v>
      </c>
      <c r="B4147">
        <v>1000033</v>
      </c>
      <c r="C4147">
        <v>365019</v>
      </c>
      <c r="F4147" s="7">
        <v>1</v>
      </c>
      <c r="G4147" s="7">
        <v>1453</v>
      </c>
      <c r="H4147" s="8">
        <v>1138</v>
      </c>
      <c r="J4147" t="s">
        <v>23</v>
      </c>
      <c r="K4147" s="7">
        <v>3321</v>
      </c>
      <c r="L4147" s="9">
        <v>-1</v>
      </c>
      <c r="M4147" t="s">
        <v>111</v>
      </c>
      <c r="N4147" t="s">
        <v>112</v>
      </c>
      <c r="O4147" s="27" t="str">
        <f>HYPERLINK("https://www.ncbi.nlm.nih.gov/nuccore/NZ_CP021744.1?report=graph&amp;from=6919037&amp;to=6919041", "TTA_codon")</f>
        <v>TTA_codon</v>
      </c>
    </row>
    <row r="4148" spans="1:15" x14ac:dyDescent="0.15">
      <c r="A4148" t="s">
        <v>21</v>
      </c>
      <c r="B4148" t="s">
        <v>3252</v>
      </c>
    </row>
    <row r="4149" spans="1:15" x14ac:dyDescent="0.15">
      <c r="A4149" t="s">
        <v>21</v>
      </c>
      <c r="B4149">
        <v>1000727</v>
      </c>
      <c r="C4149">
        <v>351191</v>
      </c>
      <c r="F4149" s="7">
        <v>1</v>
      </c>
      <c r="G4149" s="7">
        <v>382</v>
      </c>
      <c r="H4149" s="8">
        <v>364</v>
      </c>
      <c r="J4149" t="s">
        <v>23</v>
      </c>
      <c r="K4149" s="7">
        <v>1326</v>
      </c>
      <c r="L4149" s="9">
        <v>-1</v>
      </c>
      <c r="M4149" t="s">
        <v>65</v>
      </c>
      <c r="N4149" t="s">
        <v>66</v>
      </c>
      <c r="O4149" s="27" t="str">
        <f>HYPERLINK("https://www.ncbi.nlm.nih.gov/nuccore/NC_020504.1?report=graph&amp;from=1464671&amp;to=1464675", "TTA_codon")</f>
        <v>TTA_codon</v>
      </c>
    </row>
    <row r="4150" spans="1:15" x14ac:dyDescent="0.15">
      <c r="A4150" t="s">
        <v>21</v>
      </c>
      <c r="B4150">
        <v>1000727</v>
      </c>
      <c r="C4150">
        <v>355791</v>
      </c>
      <c r="F4150" s="7">
        <v>1</v>
      </c>
      <c r="G4150" s="7">
        <v>514</v>
      </c>
      <c r="H4150" s="8">
        <v>496</v>
      </c>
      <c r="J4150" t="s">
        <v>23</v>
      </c>
      <c r="K4150" s="7">
        <v>1329</v>
      </c>
      <c r="L4150" s="9">
        <v>-1</v>
      </c>
      <c r="M4150" t="s">
        <v>74</v>
      </c>
      <c r="N4150" t="s">
        <v>75</v>
      </c>
      <c r="O4150" s="27" t="str">
        <f>HYPERLINK("https://www.ncbi.nlm.nih.gov/nuccore/NZ_JOII01000007.1?report=graph&amp;from=275208&amp;to=275212", "TTA_codon")</f>
        <v>TTA_codon</v>
      </c>
    </row>
    <row r="4151" spans="1:15" x14ac:dyDescent="0.15">
      <c r="A4151" t="s">
        <v>21</v>
      </c>
      <c r="B4151">
        <v>1000727</v>
      </c>
      <c r="C4151">
        <v>366368</v>
      </c>
      <c r="F4151" s="7">
        <v>1</v>
      </c>
      <c r="G4151" s="7">
        <v>556</v>
      </c>
      <c r="H4151" s="8">
        <v>535</v>
      </c>
      <c r="J4151" t="s">
        <v>23</v>
      </c>
      <c r="K4151" s="7">
        <v>1296</v>
      </c>
      <c r="L4151" s="9">
        <v>-1</v>
      </c>
      <c r="M4151" t="s">
        <v>3253</v>
      </c>
      <c r="N4151" t="s">
        <v>375</v>
      </c>
      <c r="O4151" s="27" t="str">
        <f>HYPERLINK("https://www.ncbi.nlm.nih.gov/nuccore/NZ_FONG01000017.1?report=graph&amp;from=62821&amp;to=62825", "TTA_codon")</f>
        <v>TTA_codon</v>
      </c>
    </row>
    <row r="4152" spans="1:15" x14ac:dyDescent="0.15">
      <c r="A4152" t="s">
        <v>21</v>
      </c>
      <c r="B4152" t="s">
        <v>3254</v>
      </c>
    </row>
    <row r="4153" spans="1:15" x14ac:dyDescent="0.15">
      <c r="A4153" t="s">
        <v>21</v>
      </c>
      <c r="B4153">
        <v>1000866</v>
      </c>
      <c r="C4153">
        <v>352590</v>
      </c>
      <c r="F4153" s="7">
        <v>1</v>
      </c>
      <c r="G4153" s="7">
        <v>601</v>
      </c>
      <c r="H4153" s="8">
        <v>142</v>
      </c>
      <c r="J4153" t="s">
        <v>23</v>
      </c>
      <c r="K4153" s="7">
        <v>1332</v>
      </c>
      <c r="L4153" s="9">
        <v>-1</v>
      </c>
      <c r="M4153" t="s">
        <v>1728</v>
      </c>
      <c r="N4153" t="s">
        <v>436</v>
      </c>
      <c r="O4153" s="27" t="str">
        <f>HYPERLINK("https://www.ncbi.nlm.nih.gov/nuccore/NZ_AUBE01000004.1?report=graph&amp;from=225240&amp;to=225244", "TTA_codon")</f>
        <v>TTA_codon</v>
      </c>
    </row>
    <row r="4154" spans="1:15" x14ac:dyDescent="0.15">
      <c r="A4154" t="s">
        <v>21</v>
      </c>
      <c r="B4154">
        <v>1000866</v>
      </c>
      <c r="C4154">
        <v>362825</v>
      </c>
      <c r="F4154" s="7">
        <v>1</v>
      </c>
      <c r="G4154" s="7">
        <v>601</v>
      </c>
      <c r="H4154" s="8">
        <v>586</v>
      </c>
      <c r="J4154" t="s">
        <v>23</v>
      </c>
      <c r="K4154" s="7">
        <v>1764</v>
      </c>
      <c r="L4154" s="9">
        <v>-1</v>
      </c>
      <c r="M4154" t="s">
        <v>3255</v>
      </c>
      <c r="N4154" t="s">
        <v>156</v>
      </c>
      <c r="O4154" s="27" t="str">
        <f>HYPERLINK("https://www.ncbi.nlm.nih.gov/nuccore/NZ_LJGW01000342.1?report=graph&amp;from=14259&amp;to=14263", "TTA_codon")</f>
        <v>TTA_codon</v>
      </c>
    </row>
    <row r="4155" spans="1:15" x14ac:dyDescent="0.15">
      <c r="A4155" t="s">
        <v>21</v>
      </c>
      <c r="B4155">
        <v>1000866</v>
      </c>
      <c r="C4155">
        <v>364123</v>
      </c>
      <c r="F4155" s="7">
        <v>1</v>
      </c>
      <c r="G4155" s="7">
        <v>679</v>
      </c>
      <c r="H4155" s="8">
        <v>163</v>
      </c>
      <c r="J4155" t="s">
        <v>23</v>
      </c>
      <c r="K4155" s="7">
        <v>1260</v>
      </c>
      <c r="L4155" s="9">
        <v>-1</v>
      </c>
      <c r="M4155" t="s">
        <v>254</v>
      </c>
      <c r="N4155" t="s">
        <v>255</v>
      </c>
      <c r="O4155" s="27" t="str">
        <f>HYPERLINK("https://www.ncbi.nlm.nih.gov/nuccore/NZ_CP018047.1?report=graph&amp;from=2473401&amp;to=2473405", "TTA_codon")</f>
        <v>TTA_codon</v>
      </c>
    </row>
    <row r="4156" spans="1:15" x14ac:dyDescent="0.15">
      <c r="A4156" t="s">
        <v>21</v>
      </c>
      <c r="B4156" t="s">
        <v>3256</v>
      </c>
    </row>
    <row r="4157" spans="1:15" x14ac:dyDescent="0.15">
      <c r="A4157" t="s">
        <v>21</v>
      </c>
      <c r="B4157">
        <v>1001252</v>
      </c>
      <c r="C4157">
        <v>357940</v>
      </c>
      <c r="F4157" s="7">
        <v>1</v>
      </c>
      <c r="G4157" s="7">
        <v>1003</v>
      </c>
      <c r="H4157" s="8">
        <v>1003</v>
      </c>
      <c r="J4157" t="s">
        <v>23</v>
      </c>
      <c r="K4157" s="7">
        <v>1950</v>
      </c>
      <c r="L4157" s="9">
        <v>1</v>
      </c>
      <c r="M4157" t="s">
        <v>261</v>
      </c>
      <c r="N4157" t="s">
        <v>262</v>
      </c>
      <c r="O4157" s="27" t="str">
        <f>HYPERLINK("https://www.ncbi.nlm.nih.gov/nuccore/NZ_CP011340.1?report=graph&amp;from=2349085&amp;to=2349089", "TTA_codon")</f>
        <v>TTA_codon</v>
      </c>
    </row>
    <row r="4158" spans="1:15" x14ac:dyDescent="0.15">
      <c r="A4158" t="s">
        <v>21</v>
      </c>
      <c r="B4158">
        <v>1001252</v>
      </c>
      <c r="C4158">
        <v>360371</v>
      </c>
      <c r="F4158" s="7">
        <v>1</v>
      </c>
      <c r="G4158" s="7">
        <v>1003</v>
      </c>
      <c r="H4158" s="8">
        <v>1003</v>
      </c>
      <c r="J4158" t="s">
        <v>23</v>
      </c>
      <c r="K4158" s="7">
        <v>1962</v>
      </c>
      <c r="L4158" s="9">
        <v>1</v>
      </c>
      <c r="M4158" t="s">
        <v>121</v>
      </c>
      <c r="N4158" t="s">
        <v>122</v>
      </c>
      <c r="O4158" s="27" t="str">
        <f>HYPERLINK("https://www.ncbi.nlm.nih.gov/nuccore/NZ_CP016279.1?report=graph&amp;from=7248670&amp;to=7248674", "TTA_codon")</f>
        <v>TTA_codon</v>
      </c>
    </row>
    <row r="4159" spans="1:15" x14ac:dyDescent="0.15">
      <c r="A4159" t="s">
        <v>21</v>
      </c>
      <c r="B4159" t="s">
        <v>3257</v>
      </c>
    </row>
    <row r="4160" spans="1:15" x14ac:dyDescent="0.15">
      <c r="A4160" t="s">
        <v>21</v>
      </c>
      <c r="B4160">
        <v>1000529</v>
      </c>
      <c r="C4160">
        <v>349612</v>
      </c>
      <c r="F4160" s="7">
        <v>1</v>
      </c>
      <c r="G4160" s="7">
        <v>139</v>
      </c>
      <c r="H4160" s="8">
        <v>139</v>
      </c>
      <c r="J4160" t="s">
        <v>23</v>
      </c>
      <c r="K4160" s="7">
        <v>2478</v>
      </c>
      <c r="L4160" s="9">
        <v>1</v>
      </c>
      <c r="M4160" t="s">
        <v>3258</v>
      </c>
      <c r="N4160" t="s">
        <v>335</v>
      </c>
      <c r="O4160" s="27" t="str">
        <f>HYPERLINK("https://www.ncbi.nlm.nih.gov/nuccore/NZ_AGBF01000063.1?report=graph&amp;from=23847&amp;to=23851", "TTA_codon")</f>
        <v>TTA_codon</v>
      </c>
    </row>
    <row r="4161" spans="1:15" x14ac:dyDescent="0.15">
      <c r="A4161" t="s">
        <v>21</v>
      </c>
      <c r="B4161">
        <v>1000529</v>
      </c>
      <c r="C4161">
        <v>364137</v>
      </c>
      <c r="F4161" s="7">
        <v>1</v>
      </c>
      <c r="G4161" s="7">
        <v>139</v>
      </c>
      <c r="H4161" s="8">
        <v>139</v>
      </c>
      <c r="J4161" t="s">
        <v>23</v>
      </c>
      <c r="K4161" s="7">
        <v>2478</v>
      </c>
      <c r="L4161" s="9">
        <v>1</v>
      </c>
      <c r="M4161" t="s">
        <v>254</v>
      </c>
      <c r="N4161" t="s">
        <v>255</v>
      </c>
      <c r="O4161" s="27" t="str">
        <f>HYPERLINK("https://www.ncbi.nlm.nih.gov/nuccore/NZ_CP018047.1?report=graph&amp;from=6986180&amp;to=6986184", "TTA_codon")</f>
        <v>TTA_codon</v>
      </c>
    </row>
    <row r="4162" spans="1:15" x14ac:dyDescent="0.15">
      <c r="A4162" t="s">
        <v>21</v>
      </c>
      <c r="B4162" t="s">
        <v>3259</v>
      </c>
    </row>
    <row r="4163" spans="1:15" x14ac:dyDescent="0.15">
      <c r="A4163" t="s">
        <v>21</v>
      </c>
      <c r="B4163">
        <v>1000576</v>
      </c>
      <c r="C4163">
        <v>350023</v>
      </c>
      <c r="F4163" s="7">
        <v>1</v>
      </c>
      <c r="G4163" s="7">
        <v>295</v>
      </c>
      <c r="H4163" s="8">
        <v>295</v>
      </c>
      <c r="J4163" t="s">
        <v>23</v>
      </c>
      <c r="K4163" s="7">
        <v>363</v>
      </c>
      <c r="L4163" s="9">
        <v>-1</v>
      </c>
      <c r="M4163" t="s">
        <v>1529</v>
      </c>
      <c r="N4163" t="s">
        <v>249</v>
      </c>
      <c r="O4163" s="27" t="str">
        <f>HYPERLINK("https://www.ncbi.nlm.nih.gov/nuccore/NZ_AHBF01000047.1?report=graph&amp;from=94943&amp;to=94947", "TTA_codon")</f>
        <v>TTA_codon</v>
      </c>
    </row>
    <row r="4164" spans="1:15" x14ac:dyDescent="0.15">
      <c r="A4164" t="s">
        <v>21</v>
      </c>
      <c r="B4164">
        <v>1000576</v>
      </c>
      <c r="C4164">
        <v>359869</v>
      </c>
      <c r="F4164" s="7">
        <v>1</v>
      </c>
      <c r="G4164" s="7">
        <v>205</v>
      </c>
      <c r="H4164" s="8">
        <v>205</v>
      </c>
      <c r="J4164" t="s">
        <v>23</v>
      </c>
      <c r="K4164" s="7">
        <v>363</v>
      </c>
      <c r="L4164" s="9">
        <v>-1</v>
      </c>
      <c r="M4164" t="s">
        <v>675</v>
      </c>
      <c r="N4164" t="s">
        <v>91</v>
      </c>
      <c r="O4164" s="27" t="str">
        <f>HYPERLINK("https://www.ncbi.nlm.nih.gov/nuccore/NZ_KQ948306.1?report=graph&amp;from=593603&amp;to=593607", "TTA_codon")</f>
        <v>TTA_codon</v>
      </c>
    </row>
    <row r="4165" spans="1:15" x14ac:dyDescent="0.15">
      <c r="A4165" t="s">
        <v>21</v>
      </c>
      <c r="B4165" t="s">
        <v>3260</v>
      </c>
    </row>
    <row r="4166" spans="1:15" x14ac:dyDescent="0.15">
      <c r="A4166" t="s">
        <v>21</v>
      </c>
      <c r="B4166">
        <v>1000914</v>
      </c>
      <c r="C4166">
        <v>353133</v>
      </c>
      <c r="F4166" s="7">
        <v>1</v>
      </c>
      <c r="G4166" s="7">
        <v>166</v>
      </c>
      <c r="H4166" s="8">
        <v>166</v>
      </c>
      <c r="J4166" t="s">
        <v>23</v>
      </c>
      <c r="K4166" s="7">
        <v>1068</v>
      </c>
      <c r="L4166" s="9">
        <v>1</v>
      </c>
      <c r="M4166" t="s">
        <v>3261</v>
      </c>
      <c r="N4166" t="s">
        <v>306</v>
      </c>
      <c r="O4166" s="27" t="str">
        <f>HYPERLINK("https://www.ncbi.nlm.nih.gov/nuccore/NZ_KL571155.1?report=graph&amp;from=14027&amp;to=14031", "TTA_codon")</f>
        <v>TTA_codon</v>
      </c>
    </row>
    <row r="4167" spans="1:15" x14ac:dyDescent="0.15">
      <c r="A4167" t="s">
        <v>21</v>
      </c>
      <c r="B4167">
        <v>1000914</v>
      </c>
      <c r="C4167">
        <v>353143</v>
      </c>
      <c r="F4167" s="7">
        <v>1</v>
      </c>
      <c r="G4167" s="7">
        <v>166</v>
      </c>
      <c r="H4167" s="8">
        <v>166</v>
      </c>
      <c r="J4167" t="s">
        <v>23</v>
      </c>
      <c r="K4167" s="7">
        <v>1068</v>
      </c>
      <c r="L4167" s="9">
        <v>1</v>
      </c>
      <c r="M4167" t="s">
        <v>3261</v>
      </c>
      <c r="N4167" t="s">
        <v>306</v>
      </c>
      <c r="O4167" s="27" t="str">
        <f>HYPERLINK("https://www.ncbi.nlm.nih.gov/nuccore/NZ_KL571155.1?report=graph&amp;from=79993&amp;to=79997", "TTA_codon")</f>
        <v>TTA_codon</v>
      </c>
    </row>
    <row r="4168" spans="1:15" x14ac:dyDescent="0.15">
      <c r="A4168" t="s">
        <v>21</v>
      </c>
      <c r="B4168" t="s">
        <v>3262</v>
      </c>
    </row>
    <row r="4169" spans="1:15" x14ac:dyDescent="0.15">
      <c r="A4169" t="s">
        <v>21</v>
      </c>
      <c r="B4169">
        <v>1001494</v>
      </c>
      <c r="C4169">
        <v>365001</v>
      </c>
      <c r="F4169" s="7">
        <v>1</v>
      </c>
      <c r="G4169" s="7">
        <v>982</v>
      </c>
      <c r="H4169" s="8">
        <v>913</v>
      </c>
      <c r="J4169" t="s">
        <v>23</v>
      </c>
      <c r="K4169" s="7">
        <v>1890</v>
      </c>
      <c r="L4169" s="9">
        <v>-1</v>
      </c>
      <c r="M4169" t="s">
        <v>111</v>
      </c>
      <c r="N4169" t="s">
        <v>112</v>
      </c>
      <c r="O4169" s="27" t="str">
        <f>HYPERLINK("https://www.ncbi.nlm.nih.gov/nuccore/NZ_CP021744.1?report=graph&amp;from=92549&amp;to=92553", "TTA_codon")</f>
        <v>TTA_codon</v>
      </c>
    </row>
    <row r="4170" spans="1:15" x14ac:dyDescent="0.15">
      <c r="A4170" t="s">
        <v>21</v>
      </c>
      <c r="B4170">
        <v>1001494</v>
      </c>
      <c r="C4170">
        <v>366377</v>
      </c>
      <c r="F4170" s="7">
        <v>1</v>
      </c>
      <c r="G4170" s="7">
        <v>955</v>
      </c>
      <c r="H4170" s="8">
        <v>949</v>
      </c>
      <c r="J4170" t="s">
        <v>23</v>
      </c>
      <c r="K4170" s="7">
        <v>2022</v>
      </c>
      <c r="L4170" s="9">
        <v>-1</v>
      </c>
      <c r="M4170" t="s">
        <v>3263</v>
      </c>
      <c r="N4170" t="s">
        <v>375</v>
      </c>
      <c r="O4170" s="27" t="str">
        <f>HYPERLINK("https://www.ncbi.nlm.nih.gov/nuccore/NZ_FONG01000012.1?report=graph&amp;from=74101&amp;to=74105", "TTA_codon")</f>
        <v>TTA_codon</v>
      </c>
    </row>
    <row r="4171" spans="1:15" x14ac:dyDescent="0.15">
      <c r="A4171" t="s">
        <v>21</v>
      </c>
      <c r="B4171" t="s">
        <v>3264</v>
      </c>
    </row>
    <row r="4172" spans="1:15" x14ac:dyDescent="0.15">
      <c r="A4172" t="s">
        <v>21</v>
      </c>
      <c r="B4172">
        <v>1000516</v>
      </c>
      <c r="C4172">
        <v>349463</v>
      </c>
      <c r="F4172" s="7">
        <v>1</v>
      </c>
      <c r="G4172" s="7">
        <v>49</v>
      </c>
      <c r="H4172" s="8">
        <v>49</v>
      </c>
      <c r="J4172" t="s">
        <v>23</v>
      </c>
      <c r="K4172" s="7">
        <v>447</v>
      </c>
      <c r="L4172" s="9">
        <v>1</v>
      </c>
      <c r="M4172" t="s">
        <v>485</v>
      </c>
      <c r="N4172" t="s">
        <v>64</v>
      </c>
      <c r="O4172" s="27" t="str">
        <f>HYPERLINK("https://www.ncbi.nlm.nih.gov/nuccore/NZ_AEYX01000002.1?report=graph&amp;from=423194&amp;to=423198", "TTA_codon")</f>
        <v>TTA_codon</v>
      </c>
    </row>
    <row r="4173" spans="1:15" x14ac:dyDescent="0.15">
      <c r="A4173" t="s">
        <v>21</v>
      </c>
      <c r="B4173">
        <v>1000516</v>
      </c>
      <c r="C4173">
        <v>351763</v>
      </c>
      <c r="F4173" s="7">
        <v>1</v>
      </c>
      <c r="G4173" s="7">
        <v>49</v>
      </c>
      <c r="H4173" s="8">
        <v>34</v>
      </c>
      <c r="J4173" t="s">
        <v>23</v>
      </c>
      <c r="K4173" s="7">
        <v>432</v>
      </c>
      <c r="L4173" s="9">
        <v>1</v>
      </c>
      <c r="M4173" t="s">
        <v>67</v>
      </c>
      <c r="N4173" t="s">
        <v>68</v>
      </c>
      <c r="O4173" s="27" t="str">
        <f>HYPERLINK("https://www.ncbi.nlm.nih.gov/nuccore/NZ_BARG01000038.1?report=graph&amp;from=294112&amp;to=294116", "TTA_codon")</f>
        <v>TTA_codon</v>
      </c>
    </row>
    <row r="4174" spans="1:15" x14ac:dyDescent="0.15">
      <c r="A4174" t="s">
        <v>21</v>
      </c>
      <c r="B4174" t="s">
        <v>3265</v>
      </c>
    </row>
    <row r="4175" spans="1:15" x14ac:dyDescent="0.15">
      <c r="A4175" t="s">
        <v>21</v>
      </c>
      <c r="B4175">
        <v>1000428</v>
      </c>
      <c r="C4175">
        <v>348680</v>
      </c>
      <c r="F4175" s="7">
        <v>2</v>
      </c>
      <c r="G4175" s="7" t="s">
        <v>3266</v>
      </c>
      <c r="H4175" s="8" t="s">
        <v>3266</v>
      </c>
      <c r="J4175" t="s">
        <v>23</v>
      </c>
      <c r="K4175" s="7">
        <v>780</v>
      </c>
      <c r="L4175" s="9">
        <v>-1</v>
      </c>
      <c r="M4175" t="s">
        <v>211</v>
      </c>
      <c r="N4175" t="s">
        <v>212</v>
      </c>
      <c r="O4175" s="27" t="str">
        <f>HYPERLINK("https://www.ncbi.nlm.nih.gov/nuccore/NZ_GG657754.1?report=graph&amp;from=7738213&amp;to=7738346", "TTA_codon")</f>
        <v>TTA_codon</v>
      </c>
    </row>
    <row r="4176" spans="1:15" x14ac:dyDescent="0.15">
      <c r="A4176" t="s">
        <v>21</v>
      </c>
      <c r="B4176">
        <v>1000428</v>
      </c>
      <c r="C4176">
        <v>361321</v>
      </c>
      <c r="F4176" s="7">
        <v>1</v>
      </c>
      <c r="G4176" s="7">
        <v>238</v>
      </c>
      <c r="H4176" s="8">
        <v>151</v>
      </c>
      <c r="J4176" t="s">
        <v>23</v>
      </c>
      <c r="K4176" s="7">
        <v>693</v>
      </c>
      <c r="L4176" s="9">
        <v>-1</v>
      </c>
      <c r="M4176" t="s">
        <v>200</v>
      </c>
      <c r="N4176" t="s">
        <v>201</v>
      </c>
      <c r="O4176" s="27" t="str">
        <f>HYPERLINK("https://www.ncbi.nlm.nih.gov/nuccore/NZ_CP016559.1?report=graph&amp;from=5217956&amp;to=5217960", "TTA_codon")</f>
        <v>TTA_codon</v>
      </c>
    </row>
    <row r="4177" spans="1:15" x14ac:dyDescent="0.15">
      <c r="A4177" t="s">
        <v>21</v>
      </c>
      <c r="B4177" t="s">
        <v>3267</v>
      </c>
    </row>
    <row r="4178" spans="1:15" x14ac:dyDescent="0.15">
      <c r="A4178" t="s">
        <v>21</v>
      </c>
      <c r="B4178">
        <v>1000978</v>
      </c>
      <c r="C4178">
        <v>353820</v>
      </c>
      <c r="F4178" s="7">
        <v>2</v>
      </c>
      <c r="G4178" s="7" t="s">
        <v>3268</v>
      </c>
      <c r="H4178" s="8" t="s">
        <v>3268</v>
      </c>
      <c r="J4178" t="s">
        <v>23</v>
      </c>
      <c r="K4178" s="7">
        <v>663</v>
      </c>
      <c r="L4178" s="9">
        <v>-1</v>
      </c>
      <c r="M4178" t="s">
        <v>1820</v>
      </c>
      <c r="N4178" t="s">
        <v>246</v>
      </c>
      <c r="O4178" s="27" t="str">
        <f>HYPERLINK("https://www.ncbi.nlm.nih.gov/nuccore/NZ_JNYR01000006.1?report=graph&amp;from=40784&amp;to=40890", "TTA_codon")</f>
        <v>TTA_codon</v>
      </c>
    </row>
    <row r="4179" spans="1:15" x14ac:dyDescent="0.15">
      <c r="A4179" t="s">
        <v>21</v>
      </c>
      <c r="B4179">
        <v>1000978</v>
      </c>
      <c r="C4179">
        <v>356127</v>
      </c>
      <c r="F4179" s="7">
        <v>1</v>
      </c>
      <c r="G4179" s="7">
        <v>205</v>
      </c>
      <c r="H4179" s="8">
        <v>184</v>
      </c>
      <c r="J4179" t="s">
        <v>23</v>
      </c>
      <c r="K4179" s="7">
        <v>690</v>
      </c>
      <c r="L4179" s="9">
        <v>-1</v>
      </c>
      <c r="M4179" t="s">
        <v>3269</v>
      </c>
      <c r="N4179" t="s">
        <v>146</v>
      </c>
      <c r="O4179" s="27" t="str">
        <f>HYPERLINK("https://www.ncbi.nlm.nih.gov/nuccore/NZ_JOFH01000017.1?report=graph&amp;from=151276&amp;to=151280", "TTA_codon")</f>
        <v>TTA_codon</v>
      </c>
    </row>
    <row r="4180" spans="1:15" x14ac:dyDescent="0.15">
      <c r="A4180" t="s">
        <v>21</v>
      </c>
      <c r="B4180" t="s">
        <v>3270</v>
      </c>
    </row>
    <row r="4181" spans="1:15" x14ac:dyDescent="0.15">
      <c r="A4181" t="s">
        <v>21</v>
      </c>
      <c r="B4181">
        <v>1000245</v>
      </c>
      <c r="C4181">
        <v>347635</v>
      </c>
      <c r="F4181" s="7">
        <v>1</v>
      </c>
      <c r="G4181" s="7">
        <v>229</v>
      </c>
      <c r="H4181" s="8">
        <v>127</v>
      </c>
      <c r="J4181" t="s">
        <v>23</v>
      </c>
      <c r="K4181" s="7">
        <v>807</v>
      </c>
      <c r="L4181" s="9">
        <v>-1</v>
      </c>
      <c r="M4181" t="s">
        <v>55</v>
      </c>
      <c r="N4181" t="s">
        <v>56</v>
      </c>
      <c r="O4181" s="27" t="str">
        <f>HYPERLINK("https://www.ncbi.nlm.nih.gov/nuccore/NC_010572.1?report=graph&amp;from=8454378&amp;to=8454382", "TTA_codon")</f>
        <v>TTA_codon</v>
      </c>
    </row>
    <row r="4182" spans="1:15" x14ac:dyDescent="0.15">
      <c r="A4182" t="s">
        <v>21</v>
      </c>
      <c r="B4182">
        <v>1000245</v>
      </c>
      <c r="C4182">
        <v>348065</v>
      </c>
      <c r="F4182" s="7">
        <v>1</v>
      </c>
      <c r="G4182" s="7">
        <v>124</v>
      </c>
      <c r="H4182" s="8">
        <v>40</v>
      </c>
      <c r="J4182" t="s">
        <v>23</v>
      </c>
      <c r="K4182" s="7">
        <v>801</v>
      </c>
      <c r="L4182" s="9">
        <v>-1</v>
      </c>
      <c r="M4182" t="s">
        <v>59</v>
      </c>
      <c r="N4182" t="s">
        <v>60</v>
      </c>
      <c r="O4182" s="27" t="str">
        <f>HYPERLINK("https://www.ncbi.nlm.nih.gov/nuccore/NC_016582.1?report=graph&amp;from=10534077&amp;to=10534081", "TTA_codon")</f>
        <v>TTA_codon</v>
      </c>
    </row>
    <row r="4183" spans="1:15" x14ac:dyDescent="0.15">
      <c r="A4183" t="s">
        <v>21</v>
      </c>
      <c r="B4183">
        <v>1000245</v>
      </c>
      <c r="C4183">
        <v>351540</v>
      </c>
      <c r="F4183" s="7">
        <v>1</v>
      </c>
      <c r="G4183" s="7">
        <v>349</v>
      </c>
      <c r="H4183" s="8">
        <v>346</v>
      </c>
      <c r="J4183" t="s">
        <v>23</v>
      </c>
      <c r="K4183" s="7">
        <v>891</v>
      </c>
      <c r="L4183" s="9">
        <v>-1</v>
      </c>
      <c r="M4183" t="s">
        <v>3271</v>
      </c>
      <c r="N4183" t="s">
        <v>138</v>
      </c>
      <c r="O4183" s="27" t="str">
        <f>HYPERLINK("https://www.ncbi.nlm.nih.gov/nuccore/NZ_KB889691.1?report=graph&amp;from=15331&amp;to=15335", "TTA_codon")</f>
        <v>TTA_codon</v>
      </c>
    </row>
    <row r="4184" spans="1:15" x14ac:dyDescent="0.15">
      <c r="A4184" t="s">
        <v>21</v>
      </c>
      <c r="B4184">
        <v>1000245</v>
      </c>
      <c r="C4184">
        <v>351774</v>
      </c>
      <c r="F4184" s="7">
        <v>1</v>
      </c>
      <c r="G4184" s="7">
        <v>178</v>
      </c>
      <c r="H4184" s="8">
        <v>91</v>
      </c>
      <c r="J4184" t="s">
        <v>23</v>
      </c>
      <c r="K4184" s="7">
        <v>801</v>
      </c>
      <c r="L4184" s="9">
        <v>-1</v>
      </c>
      <c r="M4184" t="s">
        <v>1282</v>
      </c>
      <c r="N4184" t="s">
        <v>68</v>
      </c>
      <c r="O4184" s="27" t="str">
        <f>HYPERLINK("https://www.ncbi.nlm.nih.gov/nuccore/NZ_BARG01000033.1?report=graph&amp;from=289321&amp;to=289325", "TTA_codon")</f>
        <v>TTA_codon</v>
      </c>
    </row>
    <row r="4185" spans="1:15" x14ac:dyDescent="0.15">
      <c r="A4185" t="s">
        <v>21</v>
      </c>
      <c r="B4185">
        <v>1000245</v>
      </c>
      <c r="C4185">
        <v>352887</v>
      </c>
      <c r="F4185" s="7">
        <v>1</v>
      </c>
      <c r="G4185" s="7">
        <v>226</v>
      </c>
      <c r="H4185" s="8">
        <v>127</v>
      </c>
      <c r="J4185" t="s">
        <v>23</v>
      </c>
      <c r="K4185" s="7">
        <v>810</v>
      </c>
      <c r="L4185" s="9">
        <v>-1</v>
      </c>
      <c r="M4185" t="s">
        <v>3272</v>
      </c>
      <c r="N4185" t="s">
        <v>306</v>
      </c>
      <c r="O4185" s="27" t="str">
        <f>HYPERLINK("https://www.ncbi.nlm.nih.gov/nuccore/NZ_KL571106.1?report=graph&amp;from=21115&amp;to=21119", "TTA_codon")</f>
        <v>TTA_codon</v>
      </c>
    </row>
    <row r="4186" spans="1:15" x14ac:dyDescent="0.15">
      <c r="A4186" t="s">
        <v>21</v>
      </c>
      <c r="B4186">
        <v>1000245</v>
      </c>
      <c r="C4186">
        <v>358362</v>
      </c>
      <c r="F4186" s="7">
        <v>1</v>
      </c>
      <c r="G4186" s="7">
        <v>319</v>
      </c>
      <c r="H4186" s="8">
        <v>190</v>
      </c>
      <c r="J4186" t="s">
        <v>23</v>
      </c>
      <c r="K4186" s="7">
        <v>516</v>
      </c>
      <c r="L4186" s="9">
        <v>-1</v>
      </c>
      <c r="M4186" t="s">
        <v>3273</v>
      </c>
      <c r="N4186" t="s">
        <v>85</v>
      </c>
      <c r="O4186" s="27" t="str">
        <f>HYPERLINK("https://www.ncbi.nlm.nih.gov/nuccore/NZ_LIQX01000680.1?report=graph&amp;from=336&amp;to=340", "TTA_codon")</f>
        <v>TTA_codon</v>
      </c>
    </row>
    <row r="4187" spans="1:15" x14ac:dyDescent="0.15">
      <c r="A4187" t="s">
        <v>21</v>
      </c>
      <c r="B4187">
        <v>1000245</v>
      </c>
      <c r="C4187">
        <v>358807</v>
      </c>
      <c r="F4187" s="7">
        <v>1</v>
      </c>
      <c r="G4187" s="7">
        <v>235</v>
      </c>
      <c r="H4187" s="8">
        <v>139</v>
      </c>
      <c r="J4187" t="s">
        <v>23</v>
      </c>
      <c r="K4187" s="7">
        <v>804</v>
      </c>
      <c r="L4187" s="9">
        <v>-1</v>
      </c>
      <c r="M4187" t="s">
        <v>3274</v>
      </c>
      <c r="N4187" t="s">
        <v>87</v>
      </c>
      <c r="O4187" s="27" t="str">
        <f>HYPERLINK("https://www.ncbi.nlm.nih.gov/nuccore/NZ_LIQS01000040.1?report=graph&amp;from=10853&amp;to=10857", "TTA_codon")</f>
        <v>TTA_codon</v>
      </c>
    </row>
    <row r="4188" spans="1:15" x14ac:dyDescent="0.15">
      <c r="A4188" t="s">
        <v>21</v>
      </c>
      <c r="B4188">
        <v>1000245</v>
      </c>
      <c r="C4188">
        <v>359045</v>
      </c>
      <c r="F4188" s="7">
        <v>1</v>
      </c>
      <c r="G4188" s="7">
        <v>376</v>
      </c>
      <c r="H4188" s="8">
        <v>274</v>
      </c>
      <c r="J4188" t="s">
        <v>23</v>
      </c>
      <c r="K4188" s="7">
        <v>801</v>
      </c>
      <c r="L4188" s="9">
        <v>-1</v>
      </c>
      <c r="M4188" t="s">
        <v>2132</v>
      </c>
      <c r="N4188" t="s">
        <v>451</v>
      </c>
      <c r="O4188" s="27" t="str">
        <f>HYPERLINK("https://www.ncbi.nlm.nih.gov/nuccore/NZ_LIQZ01000087.1?report=graph&amp;from=78943&amp;to=78947", "TTA_codon")</f>
        <v>TTA_codon</v>
      </c>
    </row>
    <row r="4189" spans="1:15" x14ac:dyDescent="0.15">
      <c r="A4189" t="s">
        <v>21</v>
      </c>
      <c r="B4189">
        <v>1000245</v>
      </c>
      <c r="C4189">
        <v>361931</v>
      </c>
      <c r="F4189" s="7">
        <v>1</v>
      </c>
      <c r="G4189" s="7">
        <v>124</v>
      </c>
      <c r="H4189" s="8">
        <v>37</v>
      </c>
      <c r="J4189" t="s">
        <v>23</v>
      </c>
      <c r="K4189" s="7">
        <v>798</v>
      </c>
      <c r="L4189" s="9">
        <v>-1</v>
      </c>
      <c r="M4189" t="s">
        <v>3275</v>
      </c>
      <c r="N4189" t="s">
        <v>187</v>
      </c>
      <c r="O4189" s="27" t="str">
        <f>HYPERLINK("https://www.ncbi.nlm.nih.gov/nuccore/NZ_MAXF01000146.1?report=graph&amp;from=26646&amp;to=26650", "TTA_codon")</f>
        <v>TTA_codon</v>
      </c>
    </row>
    <row r="4190" spans="1:15" x14ac:dyDescent="0.15">
      <c r="A4190" t="s">
        <v>21</v>
      </c>
      <c r="B4190">
        <v>1000245</v>
      </c>
      <c r="C4190">
        <v>366392</v>
      </c>
      <c r="F4190" s="7">
        <v>1</v>
      </c>
      <c r="G4190" s="7">
        <v>226</v>
      </c>
      <c r="H4190" s="8">
        <v>127</v>
      </c>
      <c r="J4190" t="s">
        <v>23</v>
      </c>
      <c r="K4190" s="7">
        <v>801</v>
      </c>
      <c r="L4190" s="9">
        <v>-1</v>
      </c>
      <c r="M4190" t="s">
        <v>3276</v>
      </c>
      <c r="N4190" t="s">
        <v>375</v>
      </c>
      <c r="O4190" s="27" t="str">
        <f>HYPERLINK("https://www.ncbi.nlm.nih.gov/nuccore/NZ_FONG01000023.1?report=graph&amp;from=72609&amp;to=72613", "TTA_codon")</f>
        <v>TTA_codon</v>
      </c>
    </row>
    <row r="4191" spans="1:15" x14ac:dyDescent="0.15">
      <c r="A4191" t="s">
        <v>21</v>
      </c>
      <c r="B4191">
        <v>1000245</v>
      </c>
      <c r="C4191">
        <v>366573</v>
      </c>
      <c r="F4191" s="7">
        <v>1</v>
      </c>
      <c r="G4191" s="7">
        <v>349</v>
      </c>
      <c r="H4191" s="8">
        <v>250</v>
      </c>
      <c r="J4191" t="s">
        <v>23</v>
      </c>
      <c r="K4191" s="7">
        <v>804</v>
      </c>
      <c r="L4191" s="9">
        <v>-1</v>
      </c>
      <c r="M4191" t="s">
        <v>3277</v>
      </c>
      <c r="N4191" t="s">
        <v>180</v>
      </c>
      <c r="O4191" s="27" t="str">
        <f>HYPERLINK("https://www.ncbi.nlm.nih.gov/nuccore/NZ_FRBI01000009.1?report=graph&amp;from=59178&amp;to=59182", "TTA_codon")</f>
        <v>TTA_codon</v>
      </c>
    </row>
    <row r="4192" spans="1:15" x14ac:dyDescent="0.15">
      <c r="A4192" t="s">
        <v>195</v>
      </c>
      <c r="B4192" t="s">
        <v>3278</v>
      </c>
    </row>
    <row r="4193" spans="1:15" x14ac:dyDescent="0.15">
      <c r="A4193" t="s">
        <v>195</v>
      </c>
      <c r="B4193">
        <v>1000577</v>
      </c>
      <c r="C4193">
        <v>347210</v>
      </c>
      <c r="F4193" s="7">
        <v>1</v>
      </c>
      <c r="G4193" s="7">
        <v>490</v>
      </c>
      <c r="H4193" s="8">
        <v>355</v>
      </c>
      <c r="J4193" t="s">
        <v>23</v>
      </c>
      <c r="K4193" s="7">
        <v>1767</v>
      </c>
      <c r="L4193" s="9">
        <v>1</v>
      </c>
      <c r="M4193" t="s">
        <v>3279</v>
      </c>
      <c r="N4193" t="s">
        <v>209</v>
      </c>
      <c r="O4193" s="27" t="str">
        <f>HYPERLINK("https://www.ncbi.nlm.nih.gov/nuccore/NZ_FZOF01000049.1?report=graph&amp;from=3697&amp;to=3701", "TTA_codon")</f>
        <v>TTA_codon</v>
      </c>
    </row>
    <row r="4194" spans="1:15" x14ac:dyDescent="0.15">
      <c r="A4194" t="s">
        <v>21</v>
      </c>
      <c r="B4194">
        <v>1000577</v>
      </c>
      <c r="C4194">
        <v>349344</v>
      </c>
      <c r="F4194" s="7">
        <v>1</v>
      </c>
      <c r="G4194" s="7">
        <v>325</v>
      </c>
      <c r="H4194" s="8">
        <v>229</v>
      </c>
      <c r="J4194" t="s">
        <v>23</v>
      </c>
      <c r="K4194" s="7">
        <v>1884</v>
      </c>
      <c r="L4194" s="9">
        <v>1</v>
      </c>
      <c r="M4194" t="s">
        <v>458</v>
      </c>
      <c r="N4194" t="s">
        <v>315</v>
      </c>
      <c r="O4194" s="27" t="str">
        <f>HYPERLINK("https://www.ncbi.nlm.nih.gov/nuccore/NC_003888.3?report=graph&amp;from=4900303&amp;to=4900307", "TTA_codon")</f>
        <v>TTA_codon</v>
      </c>
    </row>
    <row r="4195" spans="1:15" x14ac:dyDescent="0.15">
      <c r="A4195" t="s">
        <v>21</v>
      </c>
      <c r="B4195">
        <v>1000577</v>
      </c>
      <c r="C4195">
        <v>350028</v>
      </c>
      <c r="F4195" s="7">
        <v>1</v>
      </c>
      <c r="G4195" s="7">
        <v>355</v>
      </c>
      <c r="H4195" s="8">
        <v>226</v>
      </c>
      <c r="J4195" t="s">
        <v>23</v>
      </c>
      <c r="K4195" s="7">
        <v>1854</v>
      </c>
      <c r="L4195" s="9">
        <v>1</v>
      </c>
      <c r="M4195" t="s">
        <v>914</v>
      </c>
      <c r="N4195" t="s">
        <v>249</v>
      </c>
      <c r="O4195" s="27" t="str">
        <f>HYPERLINK("https://www.ncbi.nlm.nih.gov/nuccore/NZ_AHBF01000039.1?report=graph&amp;from=31708&amp;to=31712", "TTA_codon")</f>
        <v>TTA_codon</v>
      </c>
    </row>
    <row r="4196" spans="1:15" x14ac:dyDescent="0.15">
      <c r="A4196" t="s">
        <v>21</v>
      </c>
      <c r="B4196">
        <v>1000577</v>
      </c>
      <c r="C4196">
        <v>351847</v>
      </c>
      <c r="F4196" s="7">
        <v>1</v>
      </c>
      <c r="G4196" s="7">
        <v>469</v>
      </c>
      <c r="H4196" s="8">
        <v>403</v>
      </c>
      <c r="J4196" t="s">
        <v>23</v>
      </c>
      <c r="K4196" s="7">
        <v>1314</v>
      </c>
      <c r="L4196" s="9">
        <v>1</v>
      </c>
      <c r="M4196" t="s">
        <v>3280</v>
      </c>
      <c r="N4196" t="s">
        <v>68</v>
      </c>
      <c r="O4196" s="27" t="str">
        <f>HYPERLINK("https://www.ncbi.nlm.nih.gov/nuccore/NZ_BARG01000134.1?report=graph&amp;from=17147&amp;to=17151", "TTA_codon")</f>
        <v>TTA_codon</v>
      </c>
    </row>
    <row r="4197" spans="1:15" x14ac:dyDescent="0.15">
      <c r="A4197" t="s">
        <v>21</v>
      </c>
      <c r="B4197">
        <v>1000577</v>
      </c>
      <c r="C4197">
        <v>354616</v>
      </c>
      <c r="F4197" s="7">
        <v>1</v>
      </c>
      <c r="G4197" s="7">
        <v>469</v>
      </c>
      <c r="H4197" s="8">
        <v>346</v>
      </c>
      <c r="J4197" t="s">
        <v>23</v>
      </c>
      <c r="K4197" s="7">
        <v>2154</v>
      </c>
      <c r="L4197" s="9">
        <v>1</v>
      </c>
      <c r="M4197" t="s">
        <v>2641</v>
      </c>
      <c r="N4197" t="s">
        <v>272</v>
      </c>
      <c r="O4197" s="27" t="str">
        <f>HYPERLINK("https://www.ncbi.nlm.nih.gov/nuccore/NZ_JOEY01000004.1?report=graph&amp;from=65173&amp;to=65177", "TTA_codon")</f>
        <v>TTA_codon</v>
      </c>
    </row>
    <row r="4198" spans="1:15" x14ac:dyDescent="0.15">
      <c r="A4198" t="s">
        <v>21</v>
      </c>
      <c r="B4198">
        <v>1000577</v>
      </c>
      <c r="C4198">
        <v>356223</v>
      </c>
      <c r="F4198" s="7">
        <v>3</v>
      </c>
      <c r="G4198" s="7" t="s">
        <v>3281</v>
      </c>
      <c r="H4198" s="8" t="s">
        <v>3282</v>
      </c>
      <c r="J4198" t="s">
        <v>23</v>
      </c>
      <c r="K4198" s="7">
        <v>1731</v>
      </c>
      <c r="L4198" s="9">
        <v>1</v>
      </c>
      <c r="M4198" t="s">
        <v>340</v>
      </c>
      <c r="N4198" t="s">
        <v>77</v>
      </c>
      <c r="O4198" s="27" t="str">
        <f>HYPERLINK("https://www.ncbi.nlm.nih.gov/nuccore/NZ_JNXD01000002.1?report=graph&amp;from=421024&amp;to=421967", "TTA_codon")</f>
        <v>TTA_codon</v>
      </c>
    </row>
    <row r="4199" spans="1:15" x14ac:dyDescent="0.15">
      <c r="A4199" t="s">
        <v>21</v>
      </c>
      <c r="B4199">
        <v>1000577</v>
      </c>
      <c r="C4199">
        <v>357160</v>
      </c>
      <c r="F4199" s="7">
        <v>2</v>
      </c>
      <c r="G4199" s="7" t="s">
        <v>3283</v>
      </c>
      <c r="H4199" s="8" t="s">
        <v>3284</v>
      </c>
      <c r="J4199" t="s">
        <v>23</v>
      </c>
      <c r="K4199" s="7">
        <v>2262</v>
      </c>
      <c r="L4199" s="9">
        <v>1</v>
      </c>
      <c r="M4199" t="s">
        <v>205</v>
      </c>
      <c r="N4199" t="s">
        <v>206</v>
      </c>
      <c r="O4199" s="27" t="str">
        <f>HYPERLINK("https://www.ncbi.nlm.nih.gov/nuccore/NZ_CP010407.1?report=graph&amp;from=458048&amp;to=458424", "TTA_codon")</f>
        <v>TTA_codon</v>
      </c>
    </row>
    <row r="4200" spans="1:15" x14ac:dyDescent="0.15">
      <c r="A4200" t="s">
        <v>21</v>
      </c>
      <c r="B4200">
        <v>1000577</v>
      </c>
      <c r="C4200">
        <v>358698</v>
      </c>
      <c r="F4200" s="7">
        <v>1</v>
      </c>
      <c r="G4200" s="7">
        <v>265</v>
      </c>
      <c r="H4200" s="8">
        <v>145</v>
      </c>
      <c r="J4200" t="s">
        <v>23</v>
      </c>
      <c r="K4200" s="7">
        <v>3114</v>
      </c>
      <c r="L4200" s="9">
        <v>1</v>
      </c>
      <c r="M4200" t="s">
        <v>3285</v>
      </c>
      <c r="N4200" t="s">
        <v>757</v>
      </c>
      <c r="O4200" s="27" t="str">
        <f>HYPERLINK("https://www.ncbi.nlm.nih.gov/nuccore/NZ_LIQR01000114.1?report=graph&amp;from=3461&amp;to=3465", "TTA_codon")</f>
        <v>TTA_codon</v>
      </c>
    </row>
    <row r="4201" spans="1:15" x14ac:dyDescent="0.15">
      <c r="A4201" t="s">
        <v>21</v>
      </c>
      <c r="B4201" t="s">
        <v>3286</v>
      </c>
    </row>
    <row r="4202" spans="1:15" x14ac:dyDescent="0.15">
      <c r="A4202" t="s">
        <v>21</v>
      </c>
      <c r="B4202">
        <v>1000408</v>
      </c>
      <c r="C4202">
        <v>348524</v>
      </c>
      <c r="F4202" s="7">
        <v>1</v>
      </c>
      <c r="G4202" s="7">
        <v>310</v>
      </c>
      <c r="H4202" s="8">
        <v>229</v>
      </c>
      <c r="J4202" t="s">
        <v>23</v>
      </c>
      <c r="K4202" s="7">
        <v>1131</v>
      </c>
      <c r="L4202" s="9">
        <v>1</v>
      </c>
      <c r="M4202" t="s">
        <v>61</v>
      </c>
      <c r="N4202" t="s">
        <v>62</v>
      </c>
      <c r="O4202" s="27" t="str">
        <f>HYPERLINK("https://www.ncbi.nlm.nih.gov/nuccore/NZ_DS999641.1?report=graph&amp;from=6346624&amp;to=6346628", "TTA_codon")</f>
        <v>TTA_codon</v>
      </c>
    </row>
    <row r="4203" spans="1:15" x14ac:dyDescent="0.15">
      <c r="A4203" t="s">
        <v>21</v>
      </c>
      <c r="B4203">
        <v>1000408</v>
      </c>
      <c r="C4203">
        <v>351228</v>
      </c>
      <c r="F4203" s="7">
        <v>1</v>
      </c>
      <c r="G4203" s="7">
        <v>310</v>
      </c>
      <c r="H4203" s="8">
        <v>229</v>
      </c>
      <c r="J4203" t="s">
        <v>23</v>
      </c>
      <c r="K4203" s="7">
        <v>1122</v>
      </c>
      <c r="L4203" s="9">
        <v>1</v>
      </c>
      <c r="M4203" t="s">
        <v>65</v>
      </c>
      <c r="N4203" t="s">
        <v>66</v>
      </c>
      <c r="O4203" s="27" t="str">
        <f>HYPERLINK("https://www.ncbi.nlm.nih.gov/nuccore/NC_020504.1?report=graph&amp;from=7829666&amp;to=7829670", "TTA_codon")</f>
        <v>TTA_codon</v>
      </c>
    </row>
    <row r="4204" spans="1:15" x14ac:dyDescent="0.15">
      <c r="A4204" t="s">
        <v>21</v>
      </c>
      <c r="B4204">
        <v>1000408</v>
      </c>
      <c r="C4204">
        <v>351787</v>
      </c>
      <c r="F4204" s="7">
        <v>1</v>
      </c>
      <c r="G4204" s="7">
        <v>310</v>
      </c>
      <c r="H4204" s="8">
        <v>229</v>
      </c>
      <c r="J4204" t="s">
        <v>23</v>
      </c>
      <c r="K4204" s="7">
        <v>1122</v>
      </c>
      <c r="L4204" s="9">
        <v>1</v>
      </c>
      <c r="M4204" t="s">
        <v>841</v>
      </c>
      <c r="N4204" t="s">
        <v>68</v>
      </c>
      <c r="O4204" s="27" t="str">
        <f>HYPERLINK("https://www.ncbi.nlm.nih.gov/nuccore/NZ_BARG01000010.1?report=graph&amp;from=1187&amp;to=1191", "TTA_codon")</f>
        <v>TTA_codon</v>
      </c>
    </row>
    <row r="4205" spans="1:15" x14ac:dyDescent="0.15">
      <c r="A4205" t="s">
        <v>21</v>
      </c>
      <c r="B4205">
        <v>1000408</v>
      </c>
      <c r="C4205">
        <v>353210</v>
      </c>
      <c r="F4205" s="7">
        <v>1</v>
      </c>
      <c r="G4205" s="7">
        <v>310</v>
      </c>
      <c r="H4205" s="8">
        <v>238</v>
      </c>
      <c r="J4205" t="s">
        <v>23</v>
      </c>
      <c r="K4205" s="7">
        <v>1131</v>
      </c>
      <c r="L4205" s="9">
        <v>1</v>
      </c>
      <c r="M4205" t="s">
        <v>3287</v>
      </c>
      <c r="N4205" t="s">
        <v>169</v>
      </c>
      <c r="O4205" s="27" t="str">
        <f>HYPERLINK("https://www.ncbi.nlm.nih.gov/nuccore/NZ_JNWJ01000026.1?report=graph&amp;from=102278&amp;to=102282", "TTA_codon")</f>
        <v>TTA_codon</v>
      </c>
    </row>
    <row r="4206" spans="1:15" x14ac:dyDescent="0.15">
      <c r="A4206" t="s">
        <v>21</v>
      </c>
      <c r="B4206">
        <v>1000408</v>
      </c>
      <c r="C4206">
        <v>354547</v>
      </c>
      <c r="F4206" s="7">
        <v>1</v>
      </c>
      <c r="G4206" s="7">
        <v>310</v>
      </c>
      <c r="H4206" s="8">
        <v>229</v>
      </c>
      <c r="J4206" t="s">
        <v>23</v>
      </c>
      <c r="K4206" s="7">
        <v>1122</v>
      </c>
      <c r="L4206" s="9">
        <v>1</v>
      </c>
      <c r="M4206" t="s">
        <v>679</v>
      </c>
      <c r="N4206" t="s">
        <v>272</v>
      </c>
      <c r="O4206" s="27" t="str">
        <f>HYPERLINK("https://www.ncbi.nlm.nih.gov/nuccore/NZ_JOEY01000024.1?report=graph&amp;from=103946&amp;to=103950", "TTA_codon")</f>
        <v>TTA_codon</v>
      </c>
    </row>
    <row r="4207" spans="1:15" x14ac:dyDescent="0.15">
      <c r="A4207" t="s">
        <v>21</v>
      </c>
      <c r="B4207">
        <v>1000408</v>
      </c>
      <c r="C4207">
        <v>355271</v>
      </c>
      <c r="F4207" s="7">
        <v>1</v>
      </c>
      <c r="G4207" s="7">
        <v>400</v>
      </c>
      <c r="H4207" s="8">
        <v>328</v>
      </c>
      <c r="J4207" t="s">
        <v>23</v>
      </c>
      <c r="K4207" s="7">
        <v>1125</v>
      </c>
      <c r="L4207" s="9">
        <v>1</v>
      </c>
      <c r="M4207" t="s">
        <v>3288</v>
      </c>
      <c r="N4207" t="s">
        <v>295</v>
      </c>
      <c r="O4207" s="27" t="str">
        <f>HYPERLINK("https://www.ncbi.nlm.nih.gov/nuccore/NZ_JODL01000006.1?report=graph&amp;from=69533&amp;to=69537", "TTA_codon")</f>
        <v>TTA_codon</v>
      </c>
    </row>
    <row r="4208" spans="1:15" x14ac:dyDescent="0.15">
      <c r="A4208" t="s">
        <v>21</v>
      </c>
      <c r="B4208">
        <v>1000408</v>
      </c>
      <c r="C4208">
        <v>356029</v>
      </c>
      <c r="F4208" s="7">
        <v>1</v>
      </c>
      <c r="G4208" s="7">
        <v>310</v>
      </c>
      <c r="H4208" s="8">
        <v>232</v>
      </c>
      <c r="J4208" t="s">
        <v>23</v>
      </c>
      <c r="K4208" s="7">
        <v>1125</v>
      </c>
      <c r="L4208" s="9">
        <v>1</v>
      </c>
      <c r="M4208" t="s">
        <v>842</v>
      </c>
      <c r="N4208" t="s">
        <v>146</v>
      </c>
      <c r="O4208" s="27" t="str">
        <f>HYPERLINK("https://www.ncbi.nlm.nih.gov/nuccore/NZ_JOFH01000012.1?report=graph&amp;from=8691&amp;to=8695", "TTA_codon")</f>
        <v>TTA_codon</v>
      </c>
    </row>
    <row r="4209" spans="1:15" x14ac:dyDescent="0.15">
      <c r="A4209" t="s">
        <v>21</v>
      </c>
      <c r="B4209">
        <v>1000408</v>
      </c>
      <c r="C4209">
        <v>356184</v>
      </c>
      <c r="F4209" s="7">
        <v>1</v>
      </c>
      <c r="G4209" s="7">
        <v>310</v>
      </c>
      <c r="H4209" s="8">
        <v>235</v>
      </c>
      <c r="J4209" t="s">
        <v>23</v>
      </c>
      <c r="K4209" s="7">
        <v>1137</v>
      </c>
      <c r="L4209" s="9">
        <v>1</v>
      </c>
      <c r="M4209" t="s">
        <v>843</v>
      </c>
      <c r="N4209" t="s">
        <v>77</v>
      </c>
      <c r="O4209" s="27" t="str">
        <f>HYPERLINK("https://www.ncbi.nlm.nih.gov/nuccore/NZ_JNXD01000023.1?report=graph&amp;from=103188&amp;to=103192", "TTA_codon")</f>
        <v>TTA_codon</v>
      </c>
    </row>
    <row r="4210" spans="1:15" x14ac:dyDescent="0.15">
      <c r="A4210" t="s">
        <v>21</v>
      </c>
      <c r="B4210">
        <v>1000408</v>
      </c>
      <c r="C4210">
        <v>358815</v>
      </c>
      <c r="F4210" s="7">
        <v>1</v>
      </c>
      <c r="G4210" s="7">
        <v>310</v>
      </c>
      <c r="H4210" s="8">
        <v>208</v>
      </c>
      <c r="J4210" t="s">
        <v>23</v>
      </c>
      <c r="K4210" s="7">
        <v>1101</v>
      </c>
      <c r="L4210" s="9">
        <v>1</v>
      </c>
      <c r="M4210" t="s">
        <v>3289</v>
      </c>
      <c r="N4210" t="s">
        <v>87</v>
      </c>
      <c r="O4210" s="27" t="str">
        <f>HYPERLINK("https://www.ncbi.nlm.nih.gov/nuccore/NZ_LIQS01000206.1?report=graph&amp;from=1099&amp;to=1103", "TTA_codon")</f>
        <v>TTA_codon</v>
      </c>
    </row>
    <row r="4211" spans="1:15" x14ac:dyDescent="0.15">
      <c r="A4211" t="s">
        <v>21</v>
      </c>
      <c r="B4211">
        <v>1000408</v>
      </c>
      <c r="C4211">
        <v>361941</v>
      </c>
      <c r="F4211" s="7">
        <v>1</v>
      </c>
      <c r="G4211" s="7">
        <v>310</v>
      </c>
      <c r="H4211" s="8">
        <v>259</v>
      </c>
      <c r="J4211" t="s">
        <v>23</v>
      </c>
      <c r="K4211" s="7">
        <v>1161</v>
      </c>
      <c r="L4211" s="9">
        <v>1</v>
      </c>
      <c r="M4211" t="s">
        <v>3290</v>
      </c>
      <c r="N4211" t="s">
        <v>187</v>
      </c>
      <c r="O4211" s="27" t="str">
        <f>HYPERLINK("https://www.ncbi.nlm.nih.gov/nuccore/NZ_MAXF01000126.1?report=graph&amp;from=50577&amp;to=50581", "TTA_codon")</f>
        <v>TTA_codon</v>
      </c>
    </row>
    <row r="4212" spans="1:15" x14ac:dyDescent="0.15">
      <c r="A4212" t="s">
        <v>21</v>
      </c>
      <c r="B4212">
        <v>1000408</v>
      </c>
      <c r="C4212">
        <v>363621</v>
      </c>
      <c r="F4212" s="7">
        <v>1</v>
      </c>
      <c r="G4212" s="7">
        <v>310</v>
      </c>
      <c r="H4212" s="8">
        <v>277</v>
      </c>
      <c r="J4212" t="s">
        <v>23</v>
      </c>
      <c r="K4212" s="7">
        <v>1179</v>
      </c>
      <c r="L4212" s="9">
        <v>1</v>
      </c>
      <c r="M4212" t="s">
        <v>101</v>
      </c>
      <c r="N4212" t="s">
        <v>102</v>
      </c>
      <c r="O4212" s="27" t="str">
        <f>HYPERLINK("https://www.ncbi.nlm.nih.gov/nuccore/NZ_CP019458.1?report=graph&amp;from=8710658&amp;to=8710662", "TTA_codon")</f>
        <v>TTA_codon</v>
      </c>
    </row>
    <row r="4213" spans="1:15" x14ac:dyDescent="0.15">
      <c r="A4213" t="s">
        <v>21</v>
      </c>
      <c r="B4213">
        <v>1000408</v>
      </c>
      <c r="C4213">
        <v>364686</v>
      </c>
      <c r="F4213" s="7">
        <v>1</v>
      </c>
      <c r="G4213" s="7">
        <v>310</v>
      </c>
      <c r="H4213" s="8">
        <v>229</v>
      </c>
      <c r="J4213" t="s">
        <v>23</v>
      </c>
      <c r="K4213" s="7">
        <v>1131</v>
      </c>
      <c r="L4213" s="9">
        <v>1</v>
      </c>
      <c r="M4213" t="s">
        <v>3291</v>
      </c>
      <c r="N4213" t="s">
        <v>110</v>
      </c>
      <c r="O4213" s="27" t="str">
        <f>HYPERLINK("https://www.ncbi.nlm.nih.gov/nuccore/NZ_MUME01000082.1?report=graph&amp;from=1044&amp;to=1048", "TTA_codon")</f>
        <v>TTA_codon</v>
      </c>
    </row>
    <row r="4214" spans="1:15" x14ac:dyDescent="0.15">
      <c r="A4214" t="s">
        <v>21</v>
      </c>
      <c r="B4214">
        <v>1000408</v>
      </c>
      <c r="C4214">
        <v>365594</v>
      </c>
      <c r="F4214" s="7">
        <v>1</v>
      </c>
      <c r="G4214" s="7">
        <v>310</v>
      </c>
      <c r="H4214" s="8">
        <v>277</v>
      </c>
      <c r="J4214" t="s">
        <v>23</v>
      </c>
      <c r="K4214" s="7">
        <v>1182</v>
      </c>
      <c r="L4214" s="9">
        <v>1</v>
      </c>
      <c r="M4214" t="s">
        <v>213</v>
      </c>
      <c r="N4214" t="s">
        <v>214</v>
      </c>
      <c r="O4214" s="27" t="str">
        <f>HYPERLINK("https://www.ncbi.nlm.nih.gov/nuccore/NZ_FNST01000002.1?report=graph&amp;from=6119070&amp;to=6119074", "TTA_codon")</f>
        <v>TTA_codon</v>
      </c>
    </row>
    <row r="4215" spans="1:15" x14ac:dyDescent="0.15">
      <c r="A4215" t="s">
        <v>21</v>
      </c>
      <c r="B4215">
        <v>1000408</v>
      </c>
      <c r="C4215">
        <v>366076</v>
      </c>
      <c r="F4215" s="7">
        <v>1</v>
      </c>
      <c r="G4215" s="7">
        <v>400</v>
      </c>
      <c r="H4215" s="8">
        <v>349</v>
      </c>
      <c r="J4215" t="s">
        <v>23</v>
      </c>
      <c r="K4215" s="7">
        <v>1146</v>
      </c>
      <c r="L4215" s="9">
        <v>1</v>
      </c>
      <c r="M4215" t="s">
        <v>3292</v>
      </c>
      <c r="N4215" t="s">
        <v>257</v>
      </c>
      <c r="O4215" s="27" t="str">
        <f>HYPERLINK("https://www.ncbi.nlm.nih.gov/nuccore/NZ_FOET01000015.1?report=graph&amp;from=42507&amp;to=42511", "TTA_codon")</f>
        <v>TTA_codon</v>
      </c>
    </row>
    <row r="4216" spans="1:15" x14ac:dyDescent="0.15">
      <c r="A4216" t="s">
        <v>21</v>
      </c>
      <c r="B4216" t="s">
        <v>3293</v>
      </c>
    </row>
    <row r="4217" spans="1:15" x14ac:dyDescent="0.15">
      <c r="A4217" t="s">
        <v>21</v>
      </c>
      <c r="B4217">
        <v>1000717</v>
      </c>
      <c r="C4217">
        <v>351133</v>
      </c>
      <c r="F4217" s="7">
        <v>1</v>
      </c>
      <c r="G4217" s="7">
        <v>94</v>
      </c>
      <c r="H4217" s="8">
        <v>94</v>
      </c>
      <c r="J4217" t="s">
        <v>23</v>
      </c>
      <c r="K4217" s="7">
        <v>1482</v>
      </c>
      <c r="L4217" s="9">
        <v>1</v>
      </c>
      <c r="M4217" t="s">
        <v>3294</v>
      </c>
      <c r="N4217" t="s">
        <v>136</v>
      </c>
      <c r="O4217" s="27" t="str">
        <f>HYPERLINK("https://www.ncbi.nlm.nih.gov/nuccore/NZ_AORZ01000056.1?report=graph&amp;from=16548&amp;to=16552", "TTA_codon")</f>
        <v>TTA_codon</v>
      </c>
    </row>
    <row r="4218" spans="1:15" x14ac:dyDescent="0.15">
      <c r="A4218" t="s">
        <v>21</v>
      </c>
      <c r="B4218">
        <v>1000717</v>
      </c>
      <c r="C4218">
        <v>357651</v>
      </c>
      <c r="F4218" s="7">
        <v>1</v>
      </c>
      <c r="G4218" s="7">
        <v>94</v>
      </c>
      <c r="H4218" s="8">
        <v>94</v>
      </c>
      <c r="J4218" t="s">
        <v>23</v>
      </c>
      <c r="K4218" s="7">
        <v>1485</v>
      </c>
      <c r="L4218" s="9">
        <v>1</v>
      </c>
      <c r="M4218" t="s">
        <v>3295</v>
      </c>
      <c r="N4218" t="s">
        <v>378</v>
      </c>
      <c r="O4218" s="27" t="str">
        <f>HYPERLINK("https://www.ncbi.nlm.nih.gov/nuccore/NZ_LFXA01000007.1?report=graph&amp;from=20708&amp;to=20712", "TTA_codon")</f>
        <v>TTA_codon</v>
      </c>
    </row>
    <row r="4219" spans="1:15" x14ac:dyDescent="0.15">
      <c r="A4219" t="s">
        <v>21</v>
      </c>
      <c r="B4219" t="s">
        <v>3296</v>
      </c>
    </row>
    <row r="4220" spans="1:15" x14ac:dyDescent="0.15">
      <c r="A4220" t="s">
        <v>21</v>
      </c>
      <c r="B4220">
        <v>1000655</v>
      </c>
      <c r="C4220">
        <v>350645</v>
      </c>
      <c r="F4220" s="7">
        <v>1</v>
      </c>
      <c r="G4220" s="7">
        <v>160</v>
      </c>
      <c r="H4220" s="8">
        <v>73</v>
      </c>
      <c r="J4220" t="s">
        <v>23</v>
      </c>
      <c r="K4220" s="7">
        <v>282</v>
      </c>
      <c r="L4220" s="9">
        <v>-1</v>
      </c>
      <c r="M4220" t="s">
        <v>3297</v>
      </c>
      <c r="N4220" t="s">
        <v>134</v>
      </c>
      <c r="O4220" s="27" t="str">
        <f>HYPERLINK("https://www.ncbi.nlm.nih.gov/nuccore/NZ_AJSZ01000500.1?report=graph&amp;from=11063&amp;to=11067", "TTA_codon")</f>
        <v>TTA_codon</v>
      </c>
    </row>
    <row r="4221" spans="1:15" x14ac:dyDescent="0.15">
      <c r="A4221" t="s">
        <v>21</v>
      </c>
      <c r="B4221">
        <v>1000655</v>
      </c>
      <c r="C4221">
        <v>365983</v>
      </c>
      <c r="F4221" s="7">
        <v>1</v>
      </c>
      <c r="G4221" s="7">
        <v>160</v>
      </c>
      <c r="H4221" s="8">
        <v>160</v>
      </c>
      <c r="J4221" t="s">
        <v>23</v>
      </c>
      <c r="K4221" s="7">
        <v>372</v>
      </c>
      <c r="L4221" s="9">
        <v>-1</v>
      </c>
      <c r="M4221" t="s">
        <v>3298</v>
      </c>
      <c r="N4221" t="s">
        <v>115</v>
      </c>
      <c r="O4221" s="27" t="str">
        <f>HYPERLINK("https://www.ncbi.nlm.nih.gov/nuccore/NZ_FODD01000095.1?report=graph&amp;from=3971&amp;to=3975", "TTA_codon")</f>
        <v>TTA_codon</v>
      </c>
    </row>
    <row r="4222" spans="1:15" x14ac:dyDescent="0.15">
      <c r="A4222" t="s">
        <v>21</v>
      </c>
      <c r="B4222">
        <v>1000655</v>
      </c>
      <c r="C4222">
        <v>366721</v>
      </c>
      <c r="F4222" s="7">
        <v>1</v>
      </c>
      <c r="G4222" s="7">
        <v>160</v>
      </c>
      <c r="H4222" s="8">
        <v>160</v>
      </c>
      <c r="J4222" t="s">
        <v>23</v>
      </c>
      <c r="K4222" s="7">
        <v>372</v>
      </c>
      <c r="L4222" s="9">
        <v>-1</v>
      </c>
      <c r="M4222" t="s">
        <v>1007</v>
      </c>
      <c r="N4222" t="s">
        <v>180</v>
      </c>
      <c r="O4222" s="27" t="str">
        <f>HYPERLINK("https://www.ncbi.nlm.nih.gov/nuccore/NZ_FRBI01000003.1?report=graph&amp;from=360132&amp;to=360136", "TTA_codon")</f>
        <v>TTA_codon</v>
      </c>
    </row>
    <row r="4223" spans="1:15" x14ac:dyDescent="0.15">
      <c r="A4223" t="s">
        <v>21</v>
      </c>
      <c r="B4223" t="s">
        <v>3299</v>
      </c>
    </row>
    <row r="4224" spans="1:15" x14ac:dyDescent="0.15">
      <c r="A4224" t="s">
        <v>21</v>
      </c>
      <c r="B4224">
        <v>1001181</v>
      </c>
      <c r="C4224">
        <v>356635</v>
      </c>
      <c r="F4224" s="7">
        <v>1</v>
      </c>
      <c r="G4224" s="7">
        <v>1015</v>
      </c>
      <c r="H4224" s="8">
        <v>1015</v>
      </c>
      <c r="J4224" t="s">
        <v>23</v>
      </c>
      <c r="K4224" s="7">
        <v>1572</v>
      </c>
      <c r="L4224" s="9">
        <v>-1</v>
      </c>
      <c r="M4224" t="s">
        <v>147</v>
      </c>
      <c r="N4224" t="s">
        <v>148</v>
      </c>
      <c r="O4224" s="27" t="str">
        <f>HYPERLINK("https://www.ncbi.nlm.nih.gov/nuccore/NZ_CP021080.1?report=graph&amp;from=3071217&amp;to=3071221", "TTA_codon")</f>
        <v>TTA_codon</v>
      </c>
    </row>
    <row r="4225" spans="1:15" x14ac:dyDescent="0.15">
      <c r="A4225" t="s">
        <v>21</v>
      </c>
      <c r="B4225">
        <v>1001181</v>
      </c>
      <c r="C4225">
        <v>356636</v>
      </c>
      <c r="F4225" s="7">
        <v>1</v>
      </c>
      <c r="G4225" s="7">
        <v>1015</v>
      </c>
      <c r="H4225" s="8">
        <v>1015</v>
      </c>
      <c r="J4225" t="s">
        <v>23</v>
      </c>
      <c r="K4225" s="7">
        <v>1572</v>
      </c>
      <c r="L4225" s="9">
        <v>-1</v>
      </c>
      <c r="M4225" t="s">
        <v>147</v>
      </c>
      <c r="N4225" t="s">
        <v>148</v>
      </c>
      <c r="O4225" s="27" t="str">
        <f>HYPERLINK("https://www.ncbi.nlm.nih.gov/nuccore/NZ_CP021080.1?report=graph&amp;from=5628705&amp;to=5628709", "TTA_codon")</f>
        <v>TTA_codon</v>
      </c>
    </row>
    <row r="4226" spans="1:15" x14ac:dyDescent="0.15">
      <c r="A4226" t="s">
        <v>21</v>
      </c>
      <c r="B4226">
        <v>1001181</v>
      </c>
      <c r="C4226">
        <v>361907</v>
      </c>
      <c r="F4226" s="7">
        <v>1</v>
      </c>
      <c r="G4226" s="7">
        <v>1015</v>
      </c>
      <c r="H4226" s="8">
        <v>1012</v>
      </c>
      <c r="J4226" t="s">
        <v>23</v>
      </c>
      <c r="K4226" s="7">
        <v>1569</v>
      </c>
      <c r="L4226" s="9">
        <v>-1</v>
      </c>
      <c r="M4226" t="s">
        <v>3300</v>
      </c>
      <c r="N4226" t="s">
        <v>187</v>
      </c>
      <c r="O4226" s="27" t="str">
        <f>HYPERLINK("https://www.ncbi.nlm.nih.gov/nuccore/NZ_MAXF01000156.1?report=graph&amp;from=636&amp;to=640", "TTA_codon")</f>
        <v>TTA_codon</v>
      </c>
    </row>
    <row r="4227" spans="1:15" x14ac:dyDescent="0.15">
      <c r="A4227" t="s">
        <v>21</v>
      </c>
      <c r="B4227">
        <v>1001181</v>
      </c>
      <c r="C4227">
        <v>361908</v>
      </c>
      <c r="F4227" s="7">
        <v>1</v>
      </c>
      <c r="G4227" s="7">
        <v>1015</v>
      </c>
      <c r="H4227" s="8">
        <v>1012</v>
      </c>
      <c r="J4227" t="s">
        <v>23</v>
      </c>
      <c r="K4227" s="7">
        <v>1569</v>
      </c>
      <c r="L4227" s="9">
        <v>-1</v>
      </c>
      <c r="M4227" t="s">
        <v>3301</v>
      </c>
      <c r="N4227" t="s">
        <v>187</v>
      </c>
      <c r="O4227" s="27" t="str">
        <f>HYPERLINK("https://www.ncbi.nlm.nih.gov/nuccore/NZ_MAXF01000159.1?report=graph&amp;from=33526&amp;to=33530", "TTA_codon")</f>
        <v>TTA_codon</v>
      </c>
    </row>
    <row r="4228" spans="1:15" x14ac:dyDescent="0.15">
      <c r="A4228" t="s">
        <v>21</v>
      </c>
      <c r="B4228">
        <v>1001181</v>
      </c>
      <c r="C4228">
        <v>361909</v>
      </c>
      <c r="F4228" s="7">
        <v>1</v>
      </c>
      <c r="G4228" s="7">
        <v>1015</v>
      </c>
      <c r="H4228" s="8">
        <v>1012</v>
      </c>
      <c r="J4228" t="s">
        <v>23</v>
      </c>
      <c r="K4228" s="7">
        <v>1569</v>
      </c>
      <c r="L4228" s="9">
        <v>-1</v>
      </c>
      <c r="M4228" t="s">
        <v>3302</v>
      </c>
      <c r="N4228" t="s">
        <v>187</v>
      </c>
      <c r="O4228" s="27" t="str">
        <f>HYPERLINK("https://www.ncbi.nlm.nih.gov/nuccore/NZ_MAXF01000039.1?report=graph&amp;from=39566&amp;to=39570", "TTA_codon")</f>
        <v>TTA_codon</v>
      </c>
    </row>
    <row r="4229" spans="1:15" x14ac:dyDescent="0.15">
      <c r="A4229" t="s">
        <v>21</v>
      </c>
      <c r="B4229">
        <v>1001181</v>
      </c>
      <c r="C4229">
        <v>364281</v>
      </c>
      <c r="F4229" s="7">
        <v>1</v>
      </c>
      <c r="G4229" s="7">
        <v>916</v>
      </c>
      <c r="H4229" s="8">
        <v>877</v>
      </c>
      <c r="J4229" t="s">
        <v>23</v>
      </c>
      <c r="K4229" s="7">
        <v>1530</v>
      </c>
      <c r="L4229" s="9">
        <v>-1</v>
      </c>
      <c r="M4229" t="s">
        <v>105</v>
      </c>
      <c r="N4229" t="s">
        <v>106</v>
      </c>
      <c r="O4229" s="27" t="str">
        <f>HYPERLINK("https://www.ncbi.nlm.nih.gov/nuccore/NZ_CP020042.1?report=graph&amp;from=1570462&amp;to=1570466", "TTA_codon")</f>
        <v>TTA_codon</v>
      </c>
    </row>
    <row r="4230" spans="1:15" x14ac:dyDescent="0.15">
      <c r="A4230" t="s">
        <v>21</v>
      </c>
      <c r="B4230">
        <v>1001181</v>
      </c>
      <c r="C4230">
        <v>364283</v>
      </c>
      <c r="F4230" s="7">
        <v>1</v>
      </c>
      <c r="G4230" s="7">
        <v>916</v>
      </c>
      <c r="H4230" s="8">
        <v>877</v>
      </c>
      <c r="J4230" t="s">
        <v>23</v>
      </c>
      <c r="K4230" s="7">
        <v>1530</v>
      </c>
      <c r="L4230" s="9">
        <v>-1</v>
      </c>
      <c r="M4230" t="s">
        <v>105</v>
      </c>
      <c r="N4230" t="s">
        <v>106</v>
      </c>
      <c r="O4230" s="27" t="str">
        <f>HYPERLINK("https://www.ncbi.nlm.nih.gov/nuccore/NZ_CP020042.1?report=graph&amp;from=1031605&amp;to=1031609", "TTA_codon")</f>
        <v>TTA_codon</v>
      </c>
    </row>
    <row r="4231" spans="1:15" x14ac:dyDescent="0.15">
      <c r="A4231" t="s">
        <v>21</v>
      </c>
      <c r="B4231">
        <v>1001181</v>
      </c>
      <c r="C4231">
        <v>364285</v>
      </c>
      <c r="F4231" s="7">
        <v>1</v>
      </c>
      <c r="G4231" s="7">
        <v>916</v>
      </c>
      <c r="H4231" s="8">
        <v>877</v>
      </c>
      <c r="J4231" t="s">
        <v>23</v>
      </c>
      <c r="K4231" s="7">
        <v>1530</v>
      </c>
      <c r="L4231" s="9">
        <v>-1</v>
      </c>
      <c r="M4231" t="s">
        <v>105</v>
      </c>
      <c r="N4231" t="s">
        <v>106</v>
      </c>
      <c r="O4231" s="27" t="str">
        <f>HYPERLINK("https://www.ncbi.nlm.nih.gov/nuccore/NZ_CP020042.1?report=graph&amp;from=7339456&amp;to=7339460", "TTA_codon")</f>
        <v>TTA_codon</v>
      </c>
    </row>
    <row r="4232" spans="1:15" x14ac:dyDescent="0.15">
      <c r="A4232" t="s">
        <v>21</v>
      </c>
      <c r="B4232" t="s">
        <v>3303</v>
      </c>
    </row>
    <row r="4233" spans="1:15" x14ac:dyDescent="0.15">
      <c r="A4233" t="s">
        <v>21</v>
      </c>
      <c r="B4233">
        <v>1000636</v>
      </c>
      <c r="C4233">
        <v>350483</v>
      </c>
      <c r="F4233" s="7">
        <v>1</v>
      </c>
      <c r="G4233" s="7">
        <v>529</v>
      </c>
      <c r="H4233" s="8">
        <v>334</v>
      </c>
      <c r="J4233" t="s">
        <v>23</v>
      </c>
      <c r="K4233" s="7">
        <v>2067</v>
      </c>
      <c r="L4233" s="9">
        <v>1</v>
      </c>
      <c r="M4233" t="s">
        <v>2337</v>
      </c>
      <c r="N4233" t="s">
        <v>134</v>
      </c>
      <c r="O4233" s="27" t="str">
        <f>HYPERLINK("https://www.ncbi.nlm.nih.gov/nuccore/NZ_AJSZ01000445.1?report=graph&amp;from=16032&amp;to=16036", "TTA_codon")</f>
        <v>TTA_codon</v>
      </c>
    </row>
    <row r="4234" spans="1:15" x14ac:dyDescent="0.15">
      <c r="A4234" t="s">
        <v>21</v>
      </c>
      <c r="B4234">
        <v>1000636</v>
      </c>
      <c r="C4234">
        <v>366018</v>
      </c>
      <c r="F4234" s="7">
        <v>1</v>
      </c>
      <c r="G4234" s="7">
        <v>424</v>
      </c>
      <c r="H4234" s="8">
        <v>418</v>
      </c>
      <c r="J4234" t="s">
        <v>23</v>
      </c>
      <c r="K4234" s="7">
        <v>1005</v>
      </c>
      <c r="L4234" s="9">
        <v>1</v>
      </c>
      <c r="M4234" t="s">
        <v>714</v>
      </c>
      <c r="N4234" t="s">
        <v>115</v>
      </c>
      <c r="O4234" s="27" t="str">
        <f>HYPERLINK("https://www.ncbi.nlm.nih.gov/nuccore/NZ_FODD01000057.1?report=graph&amp;from=26222&amp;to=26226", "TTA_codon")</f>
        <v>TTA_codon</v>
      </c>
    </row>
    <row r="4235" spans="1:15" x14ac:dyDescent="0.15">
      <c r="A4235" t="s">
        <v>21</v>
      </c>
      <c r="B4235" t="s">
        <v>3304</v>
      </c>
    </row>
    <row r="4236" spans="1:15" x14ac:dyDescent="0.15">
      <c r="A4236" t="s">
        <v>21</v>
      </c>
      <c r="B4236">
        <v>1000595</v>
      </c>
      <c r="C4236">
        <v>350251</v>
      </c>
      <c r="F4236" s="7">
        <v>1</v>
      </c>
      <c r="G4236" s="7">
        <v>1369</v>
      </c>
      <c r="H4236" s="8">
        <v>1198</v>
      </c>
      <c r="J4236" t="s">
        <v>23</v>
      </c>
      <c r="K4236" s="7">
        <v>1380</v>
      </c>
      <c r="L4236" s="9">
        <v>-1</v>
      </c>
      <c r="M4236" t="s">
        <v>35</v>
      </c>
      <c r="N4236" t="s">
        <v>36</v>
      </c>
      <c r="O4236" s="27" t="str">
        <f>HYPERLINK("https://www.ncbi.nlm.nih.gov/nuccore/NZ_JH725387.1?report=graph&amp;from=4498687&amp;to=4498691", "TTA_codon")</f>
        <v>TTA_codon</v>
      </c>
    </row>
    <row r="4237" spans="1:15" x14ac:dyDescent="0.15">
      <c r="A4237" t="s">
        <v>21</v>
      </c>
      <c r="B4237">
        <v>1000595</v>
      </c>
      <c r="C4237">
        <v>352061</v>
      </c>
      <c r="F4237" s="7">
        <v>1</v>
      </c>
      <c r="G4237" s="7">
        <v>1342</v>
      </c>
      <c r="H4237" s="8">
        <v>1171</v>
      </c>
      <c r="J4237" t="s">
        <v>23</v>
      </c>
      <c r="K4237" s="7">
        <v>1380</v>
      </c>
      <c r="L4237" s="9">
        <v>-1</v>
      </c>
      <c r="M4237" t="s">
        <v>3305</v>
      </c>
      <c r="N4237" t="s">
        <v>70</v>
      </c>
      <c r="O4237" s="27" t="str">
        <f>HYPERLINK("https://www.ncbi.nlm.nih.gov/nuccore/NZ_KB904713.1?report=graph&amp;from=204458&amp;to=204462", "TTA_codon")</f>
        <v>TTA_codon</v>
      </c>
    </row>
    <row r="4238" spans="1:15" x14ac:dyDescent="0.15">
      <c r="A4238" t="s">
        <v>21</v>
      </c>
      <c r="B4238">
        <v>1000595</v>
      </c>
      <c r="C4238">
        <v>364106</v>
      </c>
      <c r="F4238" s="7">
        <v>1</v>
      </c>
      <c r="G4238" s="7">
        <v>1342</v>
      </c>
      <c r="H4238" s="8">
        <v>1315</v>
      </c>
      <c r="J4238" t="s">
        <v>23</v>
      </c>
      <c r="K4238" s="7">
        <v>1521</v>
      </c>
      <c r="L4238" s="9">
        <v>-1</v>
      </c>
      <c r="M4238" t="s">
        <v>254</v>
      </c>
      <c r="N4238" t="s">
        <v>255</v>
      </c>
      <c r="O4238" s="27" t="str">
        <f>HYPERLINK("https://www.ncbi.nlm.nih.gov/nuccore/NZ_CP018047.1?report=graph&amp;from=4222864&amp;to=4222868", "TTA_codon")</f>
        <v>TTA_codon</v>
      </c>
    </row>
    <row r="4239" spans="1:15" x14ac:dyDescent="0.15">
      <c r="A4239" t="s">
        <v>21</v>
      </c>
      <c r="B4239">
        <v>1000595</v>
      </c>
      <c r="C4239">
        <v>364658</v>
      </c>
      <c r="F4239" s="7">
        <v>1</v>
      </c>
      <c r="G4239" s="7">
        <v>1372</v>
      </c>
      <c r="H4239" s="8">
        <v>1126</v>
      </c>
      <c r="J4239" t="s">
        <v>23</v>
      </c>
      <c r="K4239" s="7">
        <v>1317</v>
      </c>
      <c r="L4239" s="9">
        <v>-1</v>
      </c>
      <c r="M4239" t="s">
        <v>3191</v>
      </c>
      <c r="N4239" t="s">
        <v>110</v>
      </c>
      <c r="O4239" s="27" t="str">
        <f>HYPERLINK("https://www.ncbi.nlm.nih.gov/nuccore/NZ_MUME01000220.1?report=graph&amp;from=9902&amp;to=9906", "TTA_codon")</f>
        <v>TTA_codon</v>
      </c>
    </row>
    <row r="4240" spans="1:15" x14ac:dyDescent="0.15">
      <c r="A4240" t="s">
        <v>21</v>
      </c>
      <c r="B4240" t="s">
        <v>3306</v>
      </c>
    </row>
    <row r="4241" spans="1:15" x14ac:dyDescent="0.15">
      <c r="A4241" t="s">
        <v>21</v>
      </c>
      <c r="B4241">
        <v>1000888</v>
      </c>
      <c r="C4241">
        <v>352828</v>
      </c>
      <c r="F4241" s="7">
        <v>1</v>
      </c>
      <c r="G4241" s="7">
        <v>451</v>
      </c>
      <c r="H4241" s="8">
        <v>451</v>
      </c>
      <c r="J4241" t="s">
        <v>23</v>
      </c>
      <c r="K4241" s="7">
        <v>474</v>
      </c>
      <c r="L4241" s="9">
        <v>-1</v>
      </c>
      <c r="M4241" t="s">
        <v>472</v>
      </c>
      <c r="N4241" t="s">
        <v>473</v>
      </c>
      <c r="O4241" s="27" t="str">
        <f>HYPERLINK("https://www.ncbi.nlm.nih.gov/nuccore/NZ_ASHX02000001.1?report=graph&amp;from=3963079&amp;to=3963083", "TTA_codon")</f>
        <v>TTA_codon</v>
      </c>
    </row>
    <row r="4242" spans="1:15" x14ac:dyDescent="0.15">
      <c r="A4242" t="s">
        <v>21</v>
      </c>
      <c r="B4242">
        <v>1000888</v>
      </c>
      <c r="C4242">
        <v>357973</v>
      </c>
      <c r="F4242" s="7">
        <v>1</v>
      </c>
      <c r="G4242" s="7">
        <v>316</v>
      </c>
      <c r="H4242" s="8">
        <v>226</v>
      </c>
      <c r="J4242" t="s">
        <v>23</v>
      </c>
      <c r="K4242" s="7">
        <v>387</v>
      </c>
      <c r="L4242" s="9">
        <v>-1</v>
      </c>
      <c r="M4242" t="s">
        <v>261</v>
      </c>
      <c r="N4242" t="s">
        <v>262</v>
      </c>
      <c r="O4242" s="27" t="str">
        <f>HYPERLINK("https://www.ncbi.nlm.nih.gov/nuccore/NZ_CP011340.1?report=graph&amp;from=5195336&amp;to=5195340", "TTA_codon")</f>
        <v>TTA_codon</v>
      </c>
    </row>
    <row r="4243" spans="1:15" x14ac:dyDescent="0.15">
      <c r="A4243" t="s">
        <v>21</v>
      </c>
      <c r="B4243" t="s">
        <v>3307</v>
      </c>
    </row>
    <row r="4244" spans="1:15" x14ac:dyDescent="0.15">
      <c r="A4244" t="s">
        <v>21</v>
      </c>
      <c r="B4244">
        <v>1000410</v>
      </c>
      <c r="C4244">
        <v>348535</v>
      </c>
      <c r="F4244" s="7">
        <v>1</v>
      </c>
      <c r="G4244" s="7">
        <v>106</v>
      </c>
      <c r="H4244" s="8">
        <v>106</v>
      </c>
      <c r="J4244" t="s">
        <v>23</v>
      </c>
      <c r="K4244" s="7">
        <v>1188</v>
      </c>
      <c r="L4244" s="9">
        <v>-1</v>
      </c>
      <c r="M4244" t="s">
        <v>61</v>
      </c>
      <c r="N4244" t="s">
        <v>62</v>
      </c>
      <c r="O4244" s="27" t="str">
        <f>HYPERLINK("https://www.ncbi.nlm.nih.gov/nuccore/NZ_DS999641.1?report=graph&amp;from=4440229&amp;to=4440233", "TTA_codon")</f>
        <v>TTA_codon</v>
      </c>
    </row>
    <row r="4245" spans="1:15" x14ac:dyDescent="0.15">
      <c r="A4245" t="s">
        <v>21</v>
      </c>
      <c r="B4245">
        <v>1000410</v>
      </c>
      <c r="C4245">
        <v>363648</v>
      </c>
      <c r="F4245" s="7">
        <v>1</v>
      </c>
      <c r="G4245" s="7">
        <v>229</v>
      </c>
      <c r="H4245" s="8">
        <v>205</v>
      </c>
      <c r="J4245" t="s">
        <v>23</v>
      </c>
      <c r="K4245" s="7">
        <v>1140</v>
      </c>
      <c r="L4245" s="9">
        <v>-1</v>
      </c>
      <c r="M4245" t="s">
        <v>101</v>
      </c>
      <c r="N4245" t="s">
        <v>102</v>
      </c>
      <c r="O4245" s="27" t="str">
        <f>HYPERLINK("https://www.ncbi.nlm.nih.gov/nuccore/NZ_CP019458.1?report=graph&amp;from=6515915&amp;to=6515919", "TTA_codon")</f>
        <v>TTA_codon</v>
      </c>
    </row>
    <row r="4246" spans="1:15" x14ac:dyDescent="0.15">
      <c r="A4246" t="s">
        <v>21</v>
      </c>
      <c r="B4246" t="s">
        <v>3308</v>
      </c>
    </row>
    <row r="4247" spans="1:15" x14ac:dyDescent="0.15">
      <c r="A4247" t="s">
        <v>21</v>
      </c>
      <c r="B4247">
        <v>1000230</v>
      </c>
      <c r="C4247">
        <v>347566</v>
      </c>
      <c r="F4247" s="7">
        <v>1</v>
      </c>
      <c r="G4247" s="7">
        <v>79</v>
      </c>
      <c r="H4247" s="8">
        <v>76</v>
      </c>
      <c r="J4247" t="s">
        <v>23</v>
      </c>
      <c r="K4247" s="7">
        <v>585</v>
      </c>
      <c r="L4247" s="9">
        <v>-1</v>
      </c>
      <c r="M4247" t="s">
        <v>53</v>
      </c>
      <c r="N4247" t="s">
        <v>54</v>
      </c>
      <c r="O4247" s="27" t="str">
        <f>HYPERLINK("https://www.ncbi.nlm.nih.gov/nuccore/NC_003155.5?report=graph&amp;from=8547401&amp;to=8547405", "TTA_codon")</f>
        <v>TTA_codon</v>
      </c>
    </row>
    <row r="4248" spans="1:15" x14ac:dyDescent="0.15">
      <c r="A4248" t="s">
        <v>21</v>
      </c>
      <c r="B4248">
        <v>1000230</v>
      </c>
      <c r="C4248">
        <v>349495</v>
      </c>
      <c r="F4248" s="7">
        <v>1</v>
      </c>
      <c r="G4248" s="7">
        <v>37</v>
      </c>
      <c r="H4248" s="8">
        <v>37</v>
      </c>
      <c r="J4248" t="s">
        <v>23</v>
      </c>
      <c r="K4248" s="7">
        <v>585</v>
      </c>
      <c r="L4248" s="9">
        <v>-1</v>
      </c>
      <c r="M4248" t="s">
        <v>63</v>
      </c>
      <c r="N4248" t="s">
        <v>64</v>
      </c>
      <c r="O4248" s="27" t="str">
        <f>HYPERLINK("https://www.ncbi.nlm.nih.gov/nuccore/NZ_AEYX01000046.1?report=graph&amp;from=196507&amp;to=196511", "TTA_codon")</f>
        <v>TTA_codon</v>
      </c>
    </row>
    <row r="4249" spans="1:15" x14ac:dyDescent="0.15">
      <c r="A4249" t="s">
        <v>21</v>
      </c>
      <c r="B4249">
        <v>1000230</v>
      </c>
      <c r="C4249">
        <v>351923</v>
      </c>
      <c r="F4249" s="7">
        <v>1</v>
      </c>
      <c r="G4249" s="7">
        <v>79</v>
      </c>
      <c r="H4249" s="8">
        <v>76</v>
      </c>
      <c r="J4249" t="s">
        <v>23</v>
      </c>
      <c r="K4249" s="7">
        <v>585</v>
      </c>
      <c r="L4249" s="9">
        <v>-1</v>
      </c>
      <c r="M4249" t="s">
        <v>1282</v>
      </c>
      <c r="N4249" t="s">
        <v>68</v>
      </c>
      <c r="O4249" s="27" t="str">
        <f>HYPERLINK("https://www.ncbi.nlm.nih.gov/nuccore/NZ_BARG01000033.1?report=graph&amp;from=60261&amp;to=60265", "TTA_codon")</f>
        <v>TTA_codon</v>
      </c>
    </row>
    <row r="4250" spans="1:15" x14ac:dyDescent="0.15">
      <c r="A4250" t="s">
        <v>21</v>
      </c>
      <c r="B4250">
        <v>1000230</v>
      </c>
      <c r="C4250">
        <v>353388</v>
      </c>
      <c r="F4250" s="7">
        <v>1</v>
      </c>
      <c r="G4250" s="7">
        <v>79</v>
      </c>
      <c r="H4250" s="8">
        <v>70</v>
      </c>
      <c r="J4250" t="s">
        <v>23</v>
      </c>
      <c r="K4250" s="7">
        <v>579</v>
      </c>
      <c r="L4250" s="9">
        <v>-1</v>
      </c>
      <c r="M4250" t="s">
        <v>3309</v>
      </c>
      <c r="N4250" t="s">
        <v>169</v>
      </c>
      <c r="O4250" s="27" t="str">
        <f>HYPERLINK("https://www.ncbi.nlm.nih.gov/nuccore/NZ_JNWJ01000024.1?report=graph&amp;from=57808&amp;to=57812", "TTA_codon")</f>
        <v>TTA_codon</v>
      </c>
    </row>
    <row r="4251" spans="1:15" x14ac:dyDescent="0.15">
      <c r="A4251" t="s">
        <v>21</v>
      </c>
      <c r="B4251">
        <v>1000230</v>
      </c>
      <c r="C4251">
        <v>360271</v>
      </c>
      <c r="F4251" s="7">
        <v>1</v>
      </c>
      <c r="G4251" s="7">
        <v>79</v>
      </c>
      <c r="H4251" s="8">
        <v>79</v>
      </c>
      <c r="J4251" t="s">
        <v>23</v>
      </c>
      <c r="K4251" s="7">
        <v>588</v>
      </c>
      <c r="L4251" s="9">
        <v>-1</v>
      </c>
      <c r="M4251" t="s">
        <v>3310</v>
      </c>
      <c r="N4251" t="s">
        <v>125</v>
      </c>
      <c r="O4251" s="27" t="str">
        <f>HYPERLINK("https://www.ncbi.nlm.nih.gov/nuccore/NZ_KQ948459.1?report=graph&amp;from=10590&amp;to=10594", "TTA_codon")</f>
        <v>TTA_codon</v>
      </c>
    </row>
    <row r="4252" spans="1:15" x14ac:dyDescent="0.15">
      <c r="A4252" t="s">
        <v>195</v>
      </c>
      <c r="B4252" t="s">
        <v>3311</v>
      </c>
    </row>
    <row r="4253" spans="1:15" x14ac:dyDescent="0.15">
      <c r="A4253" t="s">
        <v>195</v>
      </c>
      <c r="B4253">
        <v>1000148</v>
      </c>
      <c r="C4253">
        <v>347107</v>
      </c>
      <c r="F4253" s="7">
        <v>1</v>
      </c>
      <c r="G4253" s="7">
        <v>565</v>
      </c>
      <c r="H4253" s="8">
        <v>532</v>
      </c>
      <c r="J4253" t="s">
        <v>23</v>
      </c>
      <c r="K4253" s="7">
        <v>4554</v>
      </c>
      <c r="L4253" s="9">
        <v>-1</v>
      </c>
      <c r="M4253" t="s">
        <v>2924</v>
      </c>
      <c r="N4253" t="s">
        <v>45</v>
      </c>
      <c r="O4253" s="27" t="str">
        <f>HYPERLINK("https://www.ncbi.nlm.nih.gov/nuccore/NZ_FNIE01000003.1?report=graph&amp;from=265546&amp;to=265550", "TTA_codon")</f>
        <v>TTA_codon</v>
      </c>
    </row>
    <row r="4254" spans="1:15" x14ac:dyDescent="0.15">
      <c r="A4254" t="s">
        <v>21</v>
      </c>
      <c r="B4254">
        <v>1000148</v>
      </c>
      <c r="C4254">
        <v>356511</v>
      </c>
      <c r="F4254" s="7">
        <v>1</v>
      </c>
      <c r="G4254" s="7">
        <v>565</v>
      </c>
      <c r="H4254" s="8">
        <v>487</v>
      </c>
      <c r="J4254" t="s">
        <v>23</v>
      </c>
      <c r="K4254" s="7">
        <v>4386</v>
      </c>
      <c r="L4254" s="9">
        <v>-1</v>
      </c>
      <c r="M4254" t="s">
        <v>508</v>
      </c>
      <c r="N4254" t="s">
        <v>509</v>
      </c>
      <c r="O4254" s="27" t="str">
        <f>HYPERLINK("https://www.ncbi.nlm.nih.gov/nuccore/NZ_CP009438.1?report=graph&amp;from=754651&amp;to=754655", "TTA_codon")</f>
        <v>TTA_codon</v>
      </c>
    </row>
    <row r="4255" spans="1:15" x14ac:dyDescent="0.15">
      <c r="A4255" t="s">
        <v>21</v>
      </c>
      <c r="B4255" t="s">
        <v>3312</v>
      </c>
    </row>
    <row r="4256" spans="1:15" x14ac:dyDescent="0.15">
      <c r="A4256" t="s">
        <v>21</v>
      </c>
      <c r="B4256">
        <v>1001360</v>
      </c>
      <c r="C4256">
        <v>353250</v>
      </c>
      <c r="F4256" s="7">
        <v>1</v>
      </c>
      <c r="G4256" s="7">
        <v>355</v>
      </c>
      <c r="H4256" s="8">
        <v>337</v>
      </c>
      <c r="J4256" t="s">
        <v>23</v>
      </c>
      <c r="K4256" s="7">
        <v>654</v>
      </c>
      <c r="L4256" s="9">
        <v>-1</v>
      </c>
      <c r="M4256" t="s">
        <v>3313</v>
      </c>
      <c r="N4256" t="s">
        <v>169</v>
      </c>
      <c r="O4256" s="27" t="str">
        <f>HYPERLINK("https://www.ncbi.nlm.nih.gov/nuccore/NZ_JNWJ01000107.1?report=graph&amp;from=9335&amp;to=9339", "TTA_codon")</f>
        <v>TTA_codon</v>
      </c>
    </row>
    <row r="4257" spans="1:15" x14ac:dyDescent="0.15">
      <c r="A4257" t="s">
        <v>21</v>
      </c>
      <c r="B4257">
        <v>1001360</v>
      </c>
      <c r="C4257">
        <v>355806</v>
      </c>
      <c r="F4257" s="7">
        <v>1</v>
      </c>
      <c r="G4257" s="7">
        <v>550</v>
      </c>
      <c r="H4257" s="8">
        <v>499</v>
      </c>
      <c r="J4257" t="s">
        <v>23</v>
      </c>
      <c r="K4257" s="7">
        <v>660</v>
      </c>
      <c r="L4257" s="9">
        <v>-1</v>
      </c>
      <c r="M4257" t="s">
        <v>3314</v>
      </c>
      <c r="N4257" t="s">
        <v>75</v>
      </c>
      <c r="O4257" s="27" t="str">
        <f>HYPERLINK("https://www.ncbi.nlm.nih.gov/nuccore/NZ_JOII01000011.1?report=graph&amp;from=142304&amp;to=142308", "TTA_codon")</f>
        <v>TTA_codon</v>
      </c>
    </row>
    <row r="4258" spans="1:15" x14ac:dyDescent="0.15">
      <c r="A4258" t="s">
        <v>21</v>
      </c>
      <c r="B4258">
        <v>1001360</v>
      </c>
      <c r="C4258">
        <v>356529</v>
      </c>
      <c r="F4258" s="7">
        <v>1</v>
      </c>
      <c r="G4258" s="7">
        <v>367</v>
      </c>
      <c r="H4258" s="8">
        <v>364</v>
      </c>
      <c r="J4258" t="s">
        <v>23</v>
      </c>
      <c r="K4258" s="7">
        <v>675</v>
      </c>
      <c r="L4258" s="9">
        <v>-1</v>
      </c>
      <c r="M4258" t="s">
        <v>508</v>
      </c>
      <c r="N4258" t="s">
        <v>509</v>
      </c>
      <c r="O4258" s="27" t="str">
        <f>HYPERLINK("https://www.ncbi.nlm.nih.gov/nuccore/NZ_CP009438.1?report=graph&amp;from=152638&amp;to=152642", "TTA_codon")</f>
        <v>TTA_codon</v>
      </c>
    </row>
    <row r="4259" spans="1:15" x14ac:dyDescent="0.15">
      <c r="A4259" t="s">
        <v>21</v>
      </c>
      <c r="B4259">
        <v>1001360</v>
      </c>
      <c r="C4259">
        <v>360117</v>
      </c>
      <c r="F4259" s="7">
        <v>1</v>
      </c>
      <c r="G4259" s="7">
        <v>421</v>
      </c>
      <c r="H4259" s="8">
        <v>403</v>
      </c>
      <c r="J4259" t="s">
        <v>23</v>
      </c>
      <c r="K4259" s="7">
        <v>657</v>
      </c>
      <c r="L4259" s="9">
        <v>-1</v>
      </c>
      <c r="M4259" t="s">
        <v>3315</v>
      </c>
      <c r="N4259" t="s">
        <v>125</v>
      </c>
      <c r="O4259" s="27" t="str">
        <f>HYPERLINK("https://www.ncbi.nlm.nih.gov/nuccore/NZ_KQ948461.1?report=graph&amp;from=181293&amp;to=181297", "TTA_codon")</f>
        <v>TTA_codon</v>
      </c>
    </row>
    <row r="4260" spans="1:15" x14ac:dyDescent="0.15">
      <c r="A4260" t="s">
        <v>21</v>
      </c>
      <c r="B4260">
        <v>1001360</v>
      </c>
      <c r="C4260">
        <v>361159</v>
      </c>
      <c r="F4260" s="7">
        <v>1</v>
      </c>
      <c r="G4260" s="7">
        <v>232</v>
      </c>
      <c r="H4260" s="8">
        <v>214</v>
      </c>
      <c r="J4260" t="s">
        <v>23</v>
      </c>
      <c r="K4260" s="7">
        <v>684</v>
      </c>
      <c r="L4260" s="9">
        <v>-1</v>
      </c>
      <c r="M4260" t="s">
        <v>98</v>
      </c>
      <c r="N4260" t="s">
        <v>99</v>
      </c>
      <c r="O4260" s="27" t="str">
        <f>HYPERLINK("https://www.ncbi.nlm.nih.gov/nuccore/NZ_CP016438.1?report=graph&amp;from=10283521&amp;to=10283525", "TTA_codon")</f>
        <v>TTA_codon</v>
      </c>
    </row>
    <row r="4261" spans="1:15" x14ac:dyDescent="0.15">
      <c r="A4261" t="s">
        <v>21</v>
      </c>
      <c r="B4261">
        <v>1001360</v>
      </c>
      <c r="C4261">
        <v>362253</v>
      </c>
      <c r="F4261" s="7">
        <v>1</v>
      </c>
      <c r="G4261" s="7">
        <v>448</v>
      </c>
      <c r="H4261" s="8">
        <v>415</v>
      </c>
      <c r="J4261" t="s">
        <v>23</v>
      </c>
      <c r="K4261" s="7">
        <v>669</v>
      </c>
      <c r="L4261" s="9">
        <v>-1</v>
      </c>
      <c r="M4261" t="s">
        <v>39</v>
      </c>
      <c r="N4261" t="s">
        <v>40</v>
      </c>
      <c r="O4261" s="27" t="str">
        <f>HYPERLINK("https://www.ncbi.nlm.nih.gov/nuccore/NZ_CP017157.1?report=graph&amp;from=168944&amp;to=168948", "TTA_codon")</f>
        <v>TTA_codon</v>
      </c>
    </row>
    <row r="4262" spans="1:15" x14ac:dyDescent="0.15">
      <c r="A4262" t="s">
        <v>21</v>
      </c>
      <c r="B4262" t="s">
        <v>3316</v>
      </c>
    </row>
    <row r="4263" spans="1:15" x14ac:dyDescent="0.15">
      <c r="A4263" t="s">
        <v>21</v>
      </c>
      <c r="B4263">
        <v>1001253</v>
      </c>
      <c r="C4263">
        <v>357959</v>
      </c>
      <c r="F4263" s="7">
        <v>1</v>
      </c>
      <c r="G4263" s="7">
        <v>334</v>
      </c>
      <c r="H4263" s="8">
        <v>232</v>
      </c>
      <c r="J4263" t="s">
        <v>23</v>
      </c>
      <c r="K4263" s="7">
        <v>1596</v>
      </c>
      <c r="L4263" s="9">
        <v>-1</v>
      </c>
      <c r="M4263" t="s">
        <v>261</v>
      </c>
      <c r="N4263" t="s">
        <v>262</v>
      </c>
      <c r="O4263" s="27" t="str">
        <f>HYPERLINK("https://www.ncbi.nlm.nih.gov/nuccore/NZ_CP011340.1?report=graph&amp;from=2461703&amp;to=2461707", "TTA_codon")</f>
        <v>TTA_codon</v>
      </c>
    </row>
    <row r="4264" spans="1:15" x14ac:dyDescent="0.15">
      <c r="A4264" t="s">
        <v>21</v>
      </c>
      <c r="B4264">
        <v>1001253</v>
      </c>
      <c r="C4264">
        <v>361626</v>
      </c>
      <c r="F4264" s="7">
        <v>1</v>
      </c>
      <c r="G4264" s="7">
        <v>187</v>
      </c>
      <c r="H4264" s="8">
        <v>187</v>
      </c>
      <c r="J4264" t="s">
        <v>23</v>
      </c>
      <c r="K4264" s="7">
        <v>1710</v>
      </c>
      <c r="L4264" s="9">
        <v>-1</v>
      </c>
      <c r="M4264" t="s">
        <v>37</v>
      </c>
      <c r="N4264" t="s">
        <v>38</v>
      </c>
      <c r="O4264" s="27" t="str">
        <f>HYPERLINK("https://www.ncbi.nlm.nih.gov/nuccore/NZ_CP011533.1?report=graph&amp;from=2299001&amp;to=2299005", "TTA_codon")</f>
        <v>TTA_codon</v>
      </c>
    </row>
    <row r="4265" spans="1:15" x14ac:dyDescent="0.15">
      <c r="A4265" t="s">
        <v>21</v>
      </c>
      <c r="B4265" t="s">
        <v>3317</v>
      </c>
    </row>
    <row r="4266" spans="1:15" x14ac:dyDescent="0.15">
      <c r="A4266" t="s">
        <v>21</v>
      </c>
      <c r="B4266">
        <v>1001078</v>
      </c>
      <c r="C4266">
        <v>355278</v>
      </c>
      <c r="F4266" s="7">
        <v>1</v>
      </c>
      <c r="G4266" s="7">
        <v>370</v>
      </c>
      <c r="H4266" s="8">
        <v>265</v>
      </c>
      <c r="J4266" t="s">
        <v>23</v>
      </c>
      <c r="K4266" s="7">
        <v>747</v>
      </c>
      <c r="L4266" s="9">
        <v>-1</v>
      </c>
      <c r="M4266" t="s">
        <v>1534</v>
      </c>
      <c r="N4266" t="s">
        <v>295</v>
      </c>
      <c r="O4266" s="27" t="str">
        <f>HYPERLINK("https://www.ncbi.nlm.nih.gov/nuccore/NZ_JODL01000010.1?report=graph&amp;from=112210&amp;to=112214", "TTA_codon")</f>
        <v>TTA_codon</v>
      </c>
    </row>
    <row r="4267" spans="1:15" x14ac:dyDescent="0.15">
      <c r="A4267" t="s">
        <v>21</v>
      </c>
      <c r="B4267">
        <v>1001078</v>
      </c>
      <c r="C4267">
        <v>357332</v>
      </c>
      <c r="F4267" s="7">
        <v>1</v>
      </c>
      <c r="G4267" s="7">
        <v>511</v>
      </c>
      <c r="H4267" s="8">
        <v>511</v>
      </c>
      <c r="J4267" t="s">
        <v>23</v>
      </c>
      <c r="K4267" s="7">
        <v>792</v>
      </c>
      <c r="L4267" s="9">
        <v>-1</v>
      </c>
      <c r="M4267" t="s">
        <v>250</v>
      </c>
      <c r="N4267" t="s">
        <v>251</v>
      </c>
      <c r="O4267" s="27" t="str">
        <f>HYPERLINK("https://www.ncbi.nlm.nih.gov/nuccore/NZ_CP009922.2?report=graph&amp;from=4324175&amp;to=4324179", "TTA_codon")</f>
        <v>TTA_codon</v>
      </c>
    </row>
    <row r="4268" spans="1:15" x14ac:dyDescent="0.15">
      <c r="A4268" t="s">
        <v>195</v>
      </c>
      <c r="B4268" t="s">
        <v>3318</v>
      </c>
    </row>
    <row r="4269" spans="1:15" x14ac:dyDescent="0.15">
      <c r="A4269" t="s">
        <v>195</v>
      </c>
      <c r="B4269">
        <v>1000129</v>
      </c>
      <c r="C4269">
        <v>346895</v>
      </c>
      <c r="F4269" s="7">
        <v>1</v>
      </c>
      <c r="G4269" s="7">
        <v>37</v>
      </c>
      <c r="H4269" s="8">
        <v>37</v>
      </c>
      <c r="J4269" t="s">
        <v>23</v>
      </c>
      <c r="K4269" s="7">
        <v>1587</v>
      </c>
      <c r="L4269" s="9">
        <v>-1</v>
      </c>
      <c r="M4269" t="s">
        <v>39</v>
      </c>
      <c r="N4269" t="s">
        <v>40</v>
      </c>
      <c r="O4269" s="27" t="str">
        <f>HYPERLINK("https://www.ncbi.nlm.nih.gov/nuccore/NZ_CP017157.1?report=graph&amp;from=6084086&amp;to=6084090", "TTA_codon")</f>
        <v>TTA_codon</v>
      </c>
    </row>
    <row r="4270" spans="1:15" x14ac:dyDescent="0.15">
      <c r="A4270" t="s">
        <v>21</v>
      </c>
      <c r="B4270">
        <v>1000129</v>
      </c>
      <c r="C4270">
        <v>361556</v>
      </c>
      <c r="F4270" s="7">
        <v>1</v>
      </c>
      <c r="G4270" s="7">
        <v>37</v>
      </c>
      <c r="H4270" s="8">
        <v>37</v>
      </c>
      <c r="J4270" t="s">
        <v>23</v>
      </c>
      <c r="K4270" s="7">
        <v>1422</v>
      </c>
      <c r="L4270" s="9">
        <v>-1</v>
      </c>
      <c r="M4270" t="s">
        <v>37</v>
      </c>
      <c r="N4270" t="s">
        <v>38</v>
      </c>
      <c r="O4270" s="27" t="str">
        <f>HYPERLINK("https://www.ncbi.nlm.nih.gov/nuccore/NZ_CP011533.1?report=graph&amp;from=2753826&amp;to=2753830", "TTA_codon")</f>
        <v>TTA_codon</v>
      </c>
    </row>
    <row r="4271" spans="1:15" x14ac:dyDescent="0.15">
      <c r="A4271" t="s">
        <v>21</v>
      </c>
      <c r="B4271" t="s">
        <v>3319</v>
      </c>
    </row>
    <row r="4272" spans="1:15" x14ac:dyDescent="0.15">
      <c r="A4272" t="s">
        <v>21</v>
      </c>
      <c r="B4272">
        <v>1001261</v>
      </c>
      <c r="C4272">
        <v>350703</v>
      </c>
      <c r="F4272" s="7">
        <v>1</v>
      </c>
      <c r="G4272" s="7">
        <v>1429</v>
      </c>
      <c r="H4272" s="8">
        <v>1234</v>
      </c>
      <c r="J4272" t="s">
        <v>23</v>
      </c>
      <c r="K4272" s="7">
        <v>2991</v>
      </c>
      <c r="L4272" s="9">
        <v>1</v>
      </c>
      <c r="M4272" t="s">
        <v>352</v>
      </c>
      <c r="N4272" t="s">
        <v>51</v>
      </c>
      <c r="O4272" s="27" t="str">
        <f>HYPERLINK("https://www.ncbi.nlm.nih.gov/nuccore/NZ_AEJB01000361.1?report=graph&amp;from=360114&amp;to=360118", "TTA_codon")</f>
        <v>TTA_codon</v>
      </c>
    </row>
    <row r="4273" spans="1:15" x14ac:dyDescent="0.15">
      <c r="A4273" t="s">
        <v>21</v>
      </c>
      <c r="B4273">
        <v>1001261</v>
      </c>
      <c r="C4273">
        <v>352279</v>
      </c>
      <c r="F4273" s="7">
        <v>3</v>
      </c>
      <c r="G4273" s="7" t="s">
        <v>3320</v>
      </c>
      <c r="H4273" s="8" t="s">
        <v>3321</v>
      </c>
      <c r="J4273" t="s">
        <v>23</v>
      </c>
      <c r="K4273" s="7">
        <v>2976</v>
      </c>
      <c r="L4273" s="9">
        <v>1</v>
      </c>
      <c r="M4273" t="s">
        <v>71</v>
      </c>
      <c r="N4273" t="s">
        <v>72</v>
      </c>
      <c r="O4273" s="27" t="str">
        <f>HYPERLINK("https://www.ncbi.nlm.nih.gov/nuccore/NZ_KB905816.1?report=graph&amp;from=537356&amp;to=538437", "TTA_codon")</f>
        <v>TTA_codon</v>
      </c>
    </row>
    <row r="4274" spans="1:15" x14ac:dyDescent="0.15">
      <c r="A4274" t="s">
        <v>21</v>
      </c>
      <c r="B4274">
        <v>1001261</v>
      </c>
      <c r="C4274">
        <v>355580</v>
      </c>
      <c r="F4274" s="7">
        <v>1</v>
      </c>
      <c r="G4274" s="7">
        <v>1267</v>
      </c>
      <c r="H4274" s="8">
        <v>1075</v>
      </c>
      <c r="J4274" t="s">
        <v>23</v>
      </c>
      <c r="K4274" s="7">
        <v>2991</v>
      </c>
      <c r="L4274" s="9">
        <v>1</v>
      </c>
      <c r="M4274" t="s">
        <v>1094</v>
      </c>
      <c r="N4274" t="s">
        <v>278</v>
      </c>
      <c r="O4274" s="27" t="str">
        <f>HYPERLINK("https://www.ncbi.nlm.nih.gov/nuccore/NZ_JOID01000017.1?report=graph&amp;from=4933&amp;to=4937", "TTA_codon")</f>
        <v>TTA_codon</v>
      </c>
    </row>
    <row r="4275" spans="1:15" x14ac:dyDescent="0.15">
      <c r="A4275" t="s">
        <v>21</v>
      </c>
      <c r="B4275">
        <v>1001261</v>
      </c>
      <c r="C4275">
        <v>358052</v>
      </c>
      <c r="F4275" s="7">
        <v>1</v>
      </c>
      <c r="G4275" s="7">
        <v>961</v>
      </c>
      <c r="H4275" s="8">
        <v>796</v>
      </c>
      <c r="J4275" t="s">
        <v>23</v>
      </c>
      <c r="K4275" s="7">
        <v>2886</v>
      </c>
      <c r="L4275" s="9">
        <v>1</v>
      </c>
      <c r="M4275" t="s">
        <v>1939</v>
      </c>
      <c r="N4275" t="s">
        <v>119</v>
      </c>
      <c r="O4275" s="27" t="str">
        <f>HYPERLINK("https://www.ncbi.nlm.nih.gov/nuccore/NZ_LIPP01000159.1?report=graph&amp;from=61494&amp;to=61498", "TTA_codon")</f>
        <v>TTA_codon</v>
      </c>
    </row>
    <row r="4276" spans="1:15" x14ac:dyDescent="0.15">
      <c r="A4276" t="s">
        <v>21</v>
      </c>
      <c r="B4276">
        <v>1001261</v>
      </c>
      <c r="C4276">
        <v>360006</v>
      </c>
      <c r="F4276" s="7">
        <v>1</v>
      </c>
      <c r="G4276" s="7">
        <v>892</v>
      </c>
      <c r="H4276" s="8">
        <v>607</v>
      </c>
      <c r="J4276" t="s">
        <v>23</v>
      </c>
      <c r="K4276" s="7">
        <v>1887</v>
      </c>
      <c r="L4276" s="9">
        <v>1</v>
      </c>
      <c r="M4276" t="s">
        <v>2877</v>
      </c>
      <c r="N4276" t="s">
        <v>125</v>
      </c>
      <c r="O4276" s="27" t="str">
        <f>HYPERLINK("https://www.ncbi.nlm.nih.gov/nuccore/NZ_KQ948477.1?report=graph&amp;from=41271&amp;to=41275", "TTA_codon")</f>
        <v>TTA_codon</v>
      </c>
    </row>
    <row r="4277" spans="1:15" x14ac:dyDescent="0.15">
      <c r="A4277" t="s">
        <v>21</v>
      </c>
      <c r="B4277">
        <v>1001261</v>
      </c>
      <c r="C4277">
        <v>361530</v>
      </c>
      <c r="F4277" s="7">
        <v>1</v>
      </c>
      <c r="G4277" s="7">
        <v>193</v>
      </c>
      <c r="H4277" s="8">
        <v>172</v>
      </c>
      <c r="J4277" t="s">
        <v>23</v>
      </c>
      <c r="K4277" s="7">
        <v>3246</v>
      </c>
      <c r="L4277" s="9">
        <v>1</v>
      </c>
      <c r="M4277" t="s">
        <v>37</v>
      </c>
      <c r="N4277" t="s">
        <v>38</v>
      </c>
      <c r="O4277" s="27" t="str">
        <f>HYPERLINK("https://www.ncbi.nlm.nih.gov/nuccore/NZ_CP011533.1?report=graph&amp;from=900680&amp;to=900684", "TTA_codon")</f>
        <v>TTA_codon</v>
      </c>
    </row>
    <row r="4278" spans="1:15" x14ac:dyDescent="0.15">
      <c r="A4278" t="s">
        <v>21</v>
      </c>
      <c r="B4278">
        <v>1001261</v>
      </c>
      <c r="C4278">
        <v>363065</v>
      </c>
      <c r="F4278" s="7">
        <v>1</v>
      </c>
      <c r="G4278" s="7">
        <v>343</v>
      </c>
      <c r="H4278" s="8">
        <v>181</v>
      </c>
      <c r="J4278" t="s">
        <v>23</v>
      </c>
      <c r="K4278" s="7">
        <v>2946</v>
      </c>
      <c r="L4278" s="9">
        <v>1</v>
      </c>
      <c r="M4278" t="s">
        <v>1921</v>
      </c>
      <c r="N4278" t="s">
        <v>401</v>
      </c>
      <c r="O4278" s="27" t="str">
        <f>HYPERLINK("https://www.ncbi.nlm.nih.gov/nuccore/NZ_LFBV01000012.1?report=graph&amp;from=120865&amp;to=120869", "TTA_codon")</f>
        <v>TTA_codon</v>
      </c>
    </row>
    <row r="4279" spans="1:15" x14ac:dyDescent="0.15">
      <c r="A4279" t="s">
        <v>21</v>
      </c>
      <c r="B4279" t="s">
        <v>3322</v>
      </c>
    </row>
    <row r="4280" spans="1:15" x14ac:dyDescent="0.15">
      <c r="A4280" t="s">
        <v>21</v>
      </c>
      <c r="B4280">
        <v>1000430</v>
      </c>
      <c r="C4280">
        <v>348682</v>
      </c>
      <c r="F4280" s="7">
        <v>1</v>
      </c>
      <c r="G4280" s="7">
        <v>61</v>
      </c>
      <c r="H4280" s="8">
        <v>61</v>
      </c>
      <c r="J4280" t="s">
        <v>23</v>
      </c>
      <c r="K4280" s="7">
        <v>1191</v>
      </c>
      <c r="L4280" s="9">
        <v>-1</v>
      </c>
      <c r="M4280" t="s">
        <v>211</v>
      </c>
      <c r="N4280" t="s">
        <v>212</v>
      </c>
      <c r="O4280" s="27" t="str">
        <f>HYPERLINK("https://www.ncbi.nlm.nih.gov/nuccore/NZ_GG657754.1?report=graph&amp;from=4662903&amp;to=4662907", "TTA_codon")</f>
        <v>TTA_codon</v>
      </c>
    </row>
    <row r="4281" spans="1:15" x14ac:dyDescent="0.15">
      <c r="A4281" t="s">
        <v>21</v>
      </c>
      <c r="B4281">
        <v>1000430</v>
      </c>
      <c r="C4281">
        <v>363064</v>
      </c>
      <c r="F4281" s="7">
        <v>1</v>
      </c>
      <c r="G4281" s="7">
        <v>61</v>
      </c>
      <c r="H4281" s="8">
        <v>61</v>
      </c>
      <c r="J4281" t="s">
        <v>23</v>
      </c>
      <c r="K4281" s="7">
        <v>1209</v>
      </c>
      <c r="L4281" s="9">
        <v>-1</v>
      </c>
      <c r="M4281" t="s">
        <v>705</v>
      </c>
      <c r="N4281" t="s">
        <v>401</v>
      </c>
      <c r="O4281" s="27" t="str">
        <f>HYPERLINK("https://www.ncbi.nlm.nih.gov/nuccore/NZ_LFBV01000008.1?report=graph&amp;from=288655&amp;to=288659", "TTA_codon")</f>
        <v>TTA_codon</v>
      </c>
    </row>
    <row r="4282" spans="1:15" x14ac:dyDescent="0.15">
      <c r="A4282" t="s">
        <v>21</v>
      </c>
      <c r="B4282" t="s">
        <v>3323</v>
      </c>
    </row>
    <row r="4283" spans="1:15" x14ac:dyDescent="0.15">
      <c r="A4283" t="s">
        <v>21</v>
      </c>
      <c r="B4283">
        <v>1001525</v>
      </c>
      <c r="C4283">
        <v>356162</v>
      </c>
      <c r="F4283" s="7">
        <v>1</v>
      </c>
      <c r="G4283" s="7">
        <v>1360</v>
      </c>
      <c r="H4283" s="8">
        <v>1333</v>
      </c>
      <c r="J4283" t="s">
        <v>23</v>
      </c>
      <c r="K4283" s="7">
        <v>1443</v>
      </c>
      <c r="L4283" s="9">
        <v>1</v>
      </c>
      <c r="M4283" t="s">
        <v>3324</v>
      </c>
      <c r="N4283" t="s">
        <v>77</v>
      </c>
      <c r="O4283" s="27" t="str">
        <f>HYPERLINK("https://www.ncbi.nlm.nih.gov/nuccore/NZ_JNXD01000028.1?report=graph&amp;from=10653&amp;to=10657", "TTA_codon")</f>
        <v>TTA_codon</v>
      </c>
    </row>
    <row r="4284" spans="1:15" x14ac:dyDescent="0.15">
      <c r="A4284" t="s">
        <v>21</v>
      </c>
      <c r="B4284">
        <v>1001525</v>
      </c>
      <c r="C4284">
        <v>357680</v>
      </c>
      <c r="F4284" s="7">
        <v>1</v>
      </c>
      <c r="G4284" s="7">
        <v>1360</v>
      </c>
      <c r="H4284" s="8">
        <v>1330</v>
      </c>
      <c r="J4284" t="s">
        <v>23</v>
      </c>
      <c r="K4284" s="7">
        <v>1389</v>
      </c>
      <c r="L4284" s="9">
        <v>1</v>
      </c>
      <c r="M4284" t="s">
        <v>3325</v>
      </c>
      <c r="N4284" t="s">
        <v>83</v>
      </c>
      <c r="O4284" s="27" t="str">
        <f>HYPERLINK("https://www.ncbi.nlm.nih.gov/nuccore/NZ_DF968235.1?report=graph&amp;from=10502&amp;to=10506", "TTA_codon")</f>
        <v>TTA_codon</v>
      </c>
    </row>
    <row r="4285" spans="1:15" x14ac:dyDescent="0.15">
      <c r="A4285" t="s">
        <v>21</v>
      </c>
      <c r="B4285">
        <v>1001525</v>
      </c>
      <c r="C4285">
        <v>366758</v>
      </c>
      <c r="F4285" s="7">
        <v>1</v>
      </c>
      <c r="G4285" s="7">
        <v>1360</v>
      </c>
      <c r="H4285" s="8">
        <v>1345</v>
      </c>
      <c r="J4285" t="s">
        <v>23</v>
      </c>
      <c r="K4285" s="7">
        <v>1443</v>
      </c>
      <c r="L4285" s="9">
        <v>1</v>
      </c>
      <c r="M4285" t="s">
        <v>208</v>
      </c>
      <c r="N4285" t="s">
        <v>209</v>
      </c>
      <c r="O4285" s="27" t="str">
        <f>HYPERLINK("https://www.ncbi.nlm.nih.gov/nuccore/NZ_FZOF01000007.1?report=graph&amp;from=10393&amp;to=10397", "TTA_codon")</f>
        <v>TTA_codon</v>
      </c>
    </row>
    <row r="4286" spans="1:15" x14ac:dyDescent="0.15">
      <c r="A4286" t="s">
        <v>21</v>
      </c>
      <c r="B4286" t="s">
        <v>3326</v>
      </c>
    </row>
    <row r="4287" spans="1:15" x14ac:dyDescent="0.15">
      <c r="A4287" t="s">
        <v>21</v>
      </c>
      <c r="B4287">
        <v>1001013</v>
      </c>
      <c r="C4287">
        <v>354345</v>
      </c>
      <c r="F4287" s="7">
        <v>1</v>
      </c>
      <c r="G4287" s="7">
        <v>661</v>
      </c>
      <c r="H4287" s="8">
        <v>658</v>
      </c>
      <c r="J4287" t="s">
        <v>23</v>
      </c>
      <c r="K4287" s="7">
        <v>762</v>
      </c>
      <c r="L4287" s="9">
        <v>1</v>
      </c>
      <c r="M4287" t="s">
        <v>3327</v>
      </c>
      <c r="N4287" t="s">
        <v>142</v>
      </c>
      <c r="O4287" s="27" t="str">
        <f>HYPERLINK("https://www.ncbi.nlm.nih.gov/nuccore/NZ_JOEI01000017.1?report=graph&amp;from=107160&amp;to=107164", "TTA_codon")</f>
        <v>TTA_codon</v>
      </c>
    </row>
    <row r="4288" spans="1:15" x14ac:dyDescent="0.15">
      <c r="A4288" t="s">
        <v>21</v>
      </c>
      <c r="B4288">
        <v>1001013</v>
      </c>
      <c r="C4288">
        <v>356681</v>
      </c>
      <c r="F4288" s="7">
        <v>1</v>
      </c>
      <c r="G4288" s="7">
        <v>583</v>
      </c>
      <c r="H4288" s="8">
        <v>517</v>
      </c>
      <c r="J4288" t="s">
        <v>23</v>
      </c>
      <c r="K4288" s="7">
        <v>660</v>
      </c>
      <c r="L4288" s="9">
        <v>1</v>
      </c>
      <c r="M4288" t="s">
        <v>147</v>
      </c>
      <c r="N4288" t="s">
        <v>148</v>
      </c>
      <c r="O4288" s="27" t="str">
        <f>HYPERLINK("https://www.ncbi.nlm.nih.gov/nuccore/NZ_CP021080.1?report=graph&amp;from=813316&amp;to=813320", "TTA_codon")</f>
        <v>TTA_codon</v>
      </c>
    </row>
    <row r="4289" spans="1:15" x14ac:dyDescent="0.15">
      <c r="A4289" t="s">
        <v>21</v>
      </c>
      <c r="B4289" t="s">
        <v>3328</v>
      </c>
    </row>
    <row r="4290" spans="1:15" x14ac:dyDescent="0.15">
      <c r="A4290" t="s">
        <v>21</v>
      </c>
      <c r="B4290">
        <v>1000768</v>
      </c>
      <c r="C4290">
        <v>351730</v>
      </c>
      <c r="F4290" s="7">
        <v>1</v>
      </c>
      <c r="G4290" s="7">
        <v>355</v>
      </c>
      <c r="H4290" s="8">
        <v>340</v>
      </c>
      <c r="J4290" t="s">
        <v>23</v>
      </c>
      <c r="K4290" s="7">
        <v>1236</v>
      </c>
      <c r="L4290" s="9">
        <v>-1</v>
      </c>
      <c r="M4290" t="s">
        <v>445</v>
      </c>
      <c r="N4290" t="s">
        <v>68</v>
      </c>
      <c r="O4290" s="27" t="str">
        <f>HYPERLINK("https://www.ncbi.nlm.nih.gov/nuccore/NZ_BARG01000089.1?report=graph&amp;from=21383&amp;to=21387", "TTA_codon")</f>
        <v>TTA_codon</v>
      </c>
    </row>
    <row r="4291" spans="1:15" x14ac:dyDescent="0.15">
      <c r="A4291" t="s">
        <v>21</v>
      </c>
      <c r="B4291">
        <v>1000768</v>
      </c>
      <c r="C4291">
        <v>355041</v>
      </c>
      <c r="F4291" s="7">
        <v>1</v>
      </c>
      <c r="G4291" s="7">
        <v>376</v>
      </c>
      <c r="H4291" s="8">
        <v>376</v>
      </c>
      <c r="J4291" t="s">
        <v>23</v>
      </c>
      <c r="K4291" s="7">
        <v>1245</v>
      </c>
      <c r="L4291" s="9">
        <v>-1</v>
      </c>
      <c r="M4291" t="s">
        <v>3329</v>
      </c>
      <c r="N4291" t="s">
        <v>433</v>
      </c>
      <c r="O4291" s="27" t="str">
        <f>HYPERLINK("https://www.ncbi.nlm.nih.gov/nuccore/NZ_JOBF01000008.1?report=graph&amp;from=116290&amp;to=116294", "TTA_codon")</f>
        <v>TTA_codon</v>
      </c>
    </row>
    <row r="4292" spans="1:15" x14ac:dyDescent="0.15">
      <c r="A4292" t="s">
        <v>21</v>
      </c>
      <c r="B4292" t="s">
        <v>3330</v>
      </c>
    </row>
    <row r="4293" spans="1:15" x14ac:dyDescent="0.15">
      <c r="A4293" t="s">
        <v>21</v>
      </c>
      <c r="B4293">
        <v>1000368</v>
      </c>
      <c r="C4293">
        <v>348229</v>
      </c>
      <c r="F4293" s="7">
        <v>1</v>
      </c>
      <c r="G4293" s="7">
        <v>229</v>
      </c>
      <c r="H4293" s="8">
        <v>208</v>
      </c>
      <c r="J4293" t="s">
        <v>23</v>
      </c>
      <c r="K4293" s="7">
        <v>549</v>
      </c>
      <c r="L4293" s="9">
        <v>-1</v>
      </c>
      <c r="M4293" t="s">
        <v>59</v>
      </c>
      <c r="N4293" t="s">
        <v>60</v>
      </c>
      <c r="O4293" s="27" t="str">
        <f>HYPERLINK("https://www.ncbi.nlm.nih.gov/nuccore/NC_016582.1?report=graph&amp;from=8232010&amp;to=8232014", "TTA_codon")</f>
        <v>TTA_codon</v>
      </c>
    </row>
    <row r="4294" spans="1:15" x14ac:dyDescent="0.15">
      <c r="A4294" t="s">
        <v>21</v>
      </c>
      <c r="B4294">
        <v>1000368</v>
      </c>
      <c r="C4294">
        <v>348935</v>
      </c>
      <c r="F4294" s="7">
        <v>1</v>
      </c>
      <c r="G4294" s="7">
        <v>229</v>
      </c>
      <c r="H4294" s="8">
        <v>208</v>
      </c>
      <c r="J4294" t="s">
        <v>23</v>
      </c>
      <c r="K4294" s="7">
        <v>633</v>
      </c>
      <c r="L4294" s="9">
        <v>-1</v>
      </c>
      <c r="M4294" t="s">
        <v>211</v>
      </c>
      <c r="N4294" t="s">
        <v>212</v>
      </c>
      <c r="O4294" s="27" t="str">
        <f>HYPERLINK("https://www.ncbi.nlm.nih.gov/nuccore/NZ_GG657754.1?report=graph&amp;from=6616272&amp;to=6616276", "TTA_codon")</f>
        <v>TTA_codon</v>
      </c>
    </row>
    <row r="4295" spans="1:15" x14ac:dyDescent="0.15">
      <c r="A4295" t="s">
        <v>21</v>
      </c>
      <c r="B4295">
        <v>1000368</v>
      </c>
      <c r="C4295">
        <v>350454</v>
      </c>
      <c r="F4295" s="7">
        <v>1</v>
      </c>
      <c r="G4295" s="7">
        <v>229</v>
      </c>
      <c r="H4295" s="8">
        <v>223</v>
      </c>
      <c r="J4295" t="s">
        <v>23</v>
      </c>
      <c r="K4295" s="7">
        <v>606</v>
      </c>
      <c r="L4295" s="9">
        <v>-1</v>
      </c>
      <c r="M4295" t="s">
        <v>35</v>
      </c>
      <c r="N4295" t="s">
        <v>36</v>
      </c>
      <c r="O4295" s="27" t="str">
        <f>HYPERLINK("https://www.ncbi.nlm.nih.gov/nuccore/NZ_JH725387.1?report=graph&amp;from=4370916&amp;to=4370920", "TTA_codon")</f>
        <v>TTA_codon</v>
      </c>
    </row>
    <row r="4296" spans="1:15" x14ac:dyDescent="0.15">
      <c r="A4296" t="s">
        <v>21</v>
      </c>
      <c r="B4296">
        <v>1000368</v>
      </c>
      <c r="C4296">
        <v>362907</v>
      </c>
      <c r="F4296" s="7">
        <v>1</v>
      </c>
      <c r="G4296" s="7">
        <v>229</v>
      </c>
      <c r="H4296" s="8">
        <v>142</v>
      </c>
      <c r="J4296" t="s">
        <v>23</v>
      </c>
      <c r="K4296" s="7">
        <v>684</v>
      </c>
      <c r="L4296" s="9">
        <v>-1</v>
      </c>
      <c r="M4296" t="s">
        <v>3331</v>
      </c>
      <c r="N4296" t="s">
        <v>156</v>
      </c>
      <c r="O4296" s="27" t="str">
        <f>HYPERLINK("https://www.ncbi.nlm.nih.gov/nuccore/NZ_LJGW01000312.1?report=graph&amp;from=30479&amp;to=30483", "TTA_codon")</f>
        <v>TTA_codon</v>
      </c>
    </row>
    <row r="4297" spans="1:15" x14ac:dyDescent="0.15">
      <c r="A4297" t="s">
        <v>21</v>
      </c>
      <c r="B4297">
        <v>1000368</v>
      </c>
      <c r="C4297">
        <v>363527</v>
      </c>
      <c r="F4297" s="7">
        <v>1</v>
      </c>
      <c r="G4297" s="7">
        <v>229</v>
      </c>
      <c r="H4297" s="8">
        <v>142</v>
      </c>
      <c r="J4297" t="s">
        <v>23</v>
      </c>
      <c r="K4297" s="7">
        <v>549</v>
      </c>
      <c r="L4297" s="9">
        <v>-1</v>
      </c>
      <c r="M4297" t="s">
        <v>157</v>
      </c>
      <c r="N4297" t="s">
        <v>158</v>
      </c>
      <c r="O4297" s="27" t="str">
        <f>HYPERLINK("https://www.ncbi.nlm.nih.gov/nuccore/NZ_CP015588.1?report=graph&amp;from=5445152&amp;to=5445156", "TTA_codon")</f>
        <v>TTA_codon</v>
      </c>
    </row>
    <row r="4298" spans="1:15" x14ac:dyDescent="0.15">
      <c r="A4298" t="s">
        <v>21</v>
      </c>
      <c r="B4298">
        <v>1000368</v>
      </c>
      <c r="C4298">
        <v>366482</v>
      </c>
      <c r="F4298" s="7">
        <v>1</v>
      </c>
      <c r="G4298" s="7">
        <v>229</v>
      </c>
      <c r="H4298" s="8">
        <v>226</v>
      </c>
      <c r="J4298" t="s">
        <v>23</v>
      </c>
      <c r="K4298" s="7">
        <v>633</v>
      </c>
      <c r="L4298" s="9">
        <v>-1</v>
      </c>
      <c r="M4298" t="s">
        <v>3332</v>
      </c>
      <c r="N4298" t="s">
        <v>375</v>
      </c>
      <c r="O4298" s="27" t="str">
        <f>HYPERLINK("https://www.ncbi.nlm.nih.gov/nuccore/NZ_FONG01000022.1?report=graph&amp;from=131517&amp;to=131521", "TTA_codon")</f>
        <v>TTA_codon</v>
      </c>
    </row>
    <row r="4299" spans="1:15" x14ac:dyDescent="0.15">
      <c r="A4299" t="s">
        <v>21</v>
      </c>
      <c r="B4299" t="s">
        <v>3333</v>
      </c>
    </row>
    <row r="4300" spans="1:15" x14ac:dyDescent="0.15">
      <c r="A4300" t="s">
        <v>21</v>
      </c>
      <c r="B4300">
        <v>1000306</v>
      </c>
      <c r="C4300">
        <v>347946</v>
      </c>
      <c r="F4300" s="7">
        <v>1</v>
      </c>
      <c r="G4300" s="7">
        <v>130</v>
      </c>
      <c r="H4300" s="8">
        <v>130</v>
      </c>
      <c r="J4300" t="s">
        <v>23</v>
      </c>
      <c r="K4300" s="7">
        <v>396</v>
      </c>
      <c r="L4300" s="9">
        <v>1</v>
      </c>
      <c r="M4300" t="s">
        <v>57</v>
      </c>
      <c r="N4300" t="s">
        <v>58</v>
      </c>
      <c r="O4300" s="27" t="str">
        <f>HYPERLINK("https://www.ncbi.nlm.nih.gov/nuccore/NC_013929.1?report=graph&amp;from=9534526&amp;to=9534530", "TTA_codon")</f>
        <v>TTA_codon</v>
      </c>
    </row>
    <row r="4301" spans="1:15" x14ac:dyDescent="0.15">
      <c r="A4301" t="s">
        <v>21</v>
      </c>
      <c r="B4301">
        <v>1000306</v>
      </c>
      <c r="C4301">
        <v>348562</v>
      </c>
      <c r="F4301" s="7">
        <v>1</v>
      </c>
      <c r="G4301" s="7">
        <v>175</v>
      </c>
      <c r="H4301" s="8">
        <v>175</v>
      </c>
      <c r="J4301" t="s">
        <v>23</v>
      </c>
      <c r="K4301" s="7">
        <v>396</v>
      </c>
      <c r="L4301" s="9">
        <v>1</v>
      </c>
      <c r="M4301" t="s">
        <v>61</v>
      </c>
      <c r="N4301" t="s">
        <v>62</v>
      </c>
      <c r="O4301" s="27" t="str">
        <f>HYPERLINK("https://www.ncbi.nlm.nih.gov/nuccore/NZ_DS999641.1?report=graph&amp;from=7052039&amp;to=7052043", "TTA_codon")</f>
        <v>TTA_codon</v>
      </c>
    </row>
    <row r="4302" spans="1:15" x14ac:dyDescent="0.15">
      <c r="A4302" t="s">
        <v>21</v>
      </c>
      <c r="B4302">
        <v>1000306</v>
      </c>
      <c r="C4302">
        <v>349429</v>
      </c>
      <c r="F4302" s="7">
        <v>1</v>
      </c>
      <c r="G4302" s="7">
        <v>175</v>
      </c>
      <c r="H4302" s="8">
        <v>175</v>
      </c>
      <c r="J4302" t="s">
        <v>23</v>
      </c>
      <c r="K4302" s="7">
        <v>396</v>
      </c>
      <c r="L4302" s="9">
        <v>1</v>
      </c>
      <c r="M4302" t="s">
        <v>458</v>
      </c>
      <c r="N4302" t="s">
        <v>315</v>
      </c>
      <c r="O4302" s="27" t="str">
        <f>HYPERLINK("https://www.ncbi.nlm.nih.gov/nuccore/NC_003888.3?report=graph&amp;from=8082065&amp;to=8082069", "TTA_codon")</f>
        <v>TTA_codon</v>
      </c>
    </row>
    <row r="4303" spans="1:15" x14ac:dyDescent="0.15">
      <c r="A4303" t="s">
        <v>21</v>
      </c>
      <c r="B4303">
        <v>1000306</v>
      </c>
      <c r="C4303">
        <v>349515</v>
      </c>
      <c r="F4303" s="7">
        <v>1</v>
      </c>
      <c r="G4303" s="7">
        <v>130</v>
      </c>
      <c r="H4303" s="8">
        <v>130</v>
      </c>
      <c r="J4303" t="s">
        <v>23</v>
      </c>
      <c r="K4303" s="7">
        <v>396</v>
      </c>
      <c r="L4303" s="9">
        <v>1</v>
      </c>
      <c r="M4303" t="s">
        <v>3334</v>
      </c>
      <c r="N4303" t="s">
        <v>64</v>
      </c>
      <c r="O4303" s="27" t="str">
        <f>HYPERLINK("https://www.ncbi.nlm.nih.gov/nuccore/NZ_AEYX01000034.1?report=graph&amp;from=4176&amp;to=4180", "TTA_codon")</f>
        <v>TTA_codon</v>
      </c>
    </row>
    <row r="4304" spans="1:15" x14ac:dyDescent="0.15">
      <c r="A4304" t="s">
        <v>21</v>
      </c>
      <c r="B4304">
        <v>1000306</v>
      </c>
      <c r="C4304">
        <v>351394</v>
      </c>
      <c r="F4304" s="7">
        <v>1</v>
      </c>
      <c r="G4304" s="7">
        <v>94</v>
      </c>
      <c r="H4304" s="8">
        <v>94</v>
      </c>
      <c r="J4304" t="s">
        <v>23</v>
      </c>
      <c r="K4304" s="7">
        <v>396</v>
      </c>
      <c r="L4304" s="9">
        <v>1</v>
      </c>
      <c r="M4304" t="s">
        <v>65</v>
      </c>
      <c r="N4304" t="s">
        <v>66</v>
      </c>
      <c r="O4304" s="27" t="str">
        <f>HYPERLINK("https://www.ncbi.nlm.nih.gov/nuccore/NC_020504.1?report=graph&amp;from=9213819&amp;to=9213823", "TTA_codon")</f>
        <v>TTA_codon</v>
      </c>
    </row>
    <row r="4305" spans="1:15" x14ac:dyDescent="0.15">
      <c r="A4305" t="s">
        <v>21</v>
      </c>
      <c r="B4305">
        <v>1000306</v>
      </c>
      <c r="C4305">
        <v>351890</v>
      </c>
      <c r="F4305" s="7">
        <v>2</v>
      </c>
      <c r="G4305" s="7" t="s">
        <v>3335</v>
      </c>
      <c r="H4305" s="8" t="s">
        <v>3335</v>
      </c>
      <c r="J4305" t="s">
        <v>23</v>
      </c>
      <c r="K4305" s="7">
        <v>396</v>
      </c>
      <c r="L4305" s="9">
        <v>1</v>
      </c>
      <c r="M4305" t="s">
        <v>167</v>
      </c>
      <c r="N4305" t="s">
        <v>68</v>
      </c>
      <c r="O4305" s="27" t="str">
        <f>HYPERLINK("https://www.ncbi.nlm.nih.gov/nuccore/NZ_BARG01000031.1?report=graph&amp;from=258393&amp;to=258514", "TTA_codon")</f>
        <v>TTA_codon</v>
      </c>
    </row>
    <row r="4306" spans="1:15" x14ac:dyDescent="0.15">
      <c r="A4306" t="s">
        <v>21</v>
      </c>
      <c r="B4306">
        <v>1000306</v>
      </c>
      <c r="C4306">
        <v>353345</v>
      </c>
      <c r="F4306" s="7">
        <v>1</v>
      </c>
      <c r="G4306" s="7">
        <v>115</v>
      </c>
      <c r="H4306" s="8">
        <v>115</v>
      </c>
      <c r="J4306" t="s">
        <v>23</v>
      </c>
      <c r="K4306" s="7">
        <v>396</v>
      </c>
      <c r="L4306" s="9">
        <v>1</v>
      </c>
      <c r="M4306" t="s">
        <v>168</v>
      </c>
      <c r="N4306" t="s">
        <v>169</v>
      </c>
      <c r="O4306" s="27" t="str">
        <f>HYPERLINK("https://www.ncbi.nlm.nih.gov/nuccore/NZ_JNWJ01000008.1?report=graph&amp;from=64507&amp;to=64511", "TTA_codon")</f>
        <v>TTA_codon</v>
      </c>
    </row>
    <row r="4307" spans="1:15" x14ac:dyDescent="0.15">
      <c r="A4307" t="s">
        <v>21</v>
      </c>
      <c r="B4307">
        <v>1000306</v>
      </c>
      <c r="C4307">
        <v>356260</v>
      </c>
      <c r="F4307" s="7">
        <v>1</v>
      </c>
      <c r="G4307" s="7">
        <v>175</v>
      </c>
      <c r="H4307" s="8">
        <v>175</v>
      </c>
      <c r="J4307" t="s">
        <v>23</v>
      </c>
      <c r="K4307" s="7">
        <v>396</v>
      </c>
      <c r="L4307" s="9">
        <v>1</v>
      </c>
      <c r="M4307" t="s">
        <v>170</v>
      </c>
      <c r="N4307" t="s">
        <v>77</v>
      </c>
      <c r="O4307" s="27" t="str">
        <f>HYPERLINK("https://www.ncbi.nlm.nih.gov/nuccore/NZ_JNXD01000021.1?report=graph&amp;from=58163&amp;to=58167", "TTA_codon")</f>
        <v>TTA_codon</v>
      </c>
    </row>
    <row r="4308" spans="1:15" x14ac:dyDescent="0.15">
      <c r="A4308" t="s">
        <v>21</v>
      </c>
      <c r="B4308">
        <v>1000306</v>
      </c>
      <c r="C4308">
        <v>357773</v>
      </c>
      <c r="F4308" s="7">
        <v>1</v>
      </c>
      <c r="G4308" s="7">
        <v>175</v>
      </c>
      <c r="H4308" s="8">
        <v>175</v>
      </c>
      <c r="J4308" t="s">
        <v>23</v>
      </c>
      <c r="K4308" s="7">
        <v>396</v>
      </c>
      <c r="L4308" s="9">
        <v>1</v>
      </c>
      <c r="M4308" t="s">
        <v>173</v>
      </c>
      <c r="N4308" t="s">
        <v>83</v>
      </c>
      <c r="O4308" s="27" t="str">
        <f>HYPERLINK("https://www.ncbi.nlm.nih.gov/nuccore/NZ_DF968216.1?report=graph&amp;from=78780&amp;to=78784", "TTA_codon")</f>
        <v>TTA_codon</v>
      </c>
    </row>
    <row r="4309" spans="1:15" x14ac:dyDescent="0.15">
      <c r="A4309" t="s">
        <v>21</v>
      </c>
      <c r="B4309">
        <v>1000306</v>
      </c>
      <c r="C4309">
        <v>358535</v>
      </c>
      <c r="F4309" s="7">
        <v>1</v>
      </c>
      <c r="G4309" s="7">
        <v>130</v>
      </c>
      <c r="H4309" s="8">
        <v>130</v>
      </c>
      <c r="J4309" t="s">
        <v>23</v>
      </c>
      <c r="K4309" s="7">
        <v>396</v>
      </c>
      <c r="L4309" s="9">
        <v>1</v>
      </c>
      <c r="M4309" t="s">
        <v>3336</v>
      </c>
      <c r="N4309" t="s">
        <v>85</v>
      </c>
      <c r="O4309" s="27" t="str">
        <f>HYPERLINK("https://www.ncbi.nlm.nih.gov/nuccore/NZ_LIQX01000289.1?report=graph&amp;from=3779&amp;to=3783", "TTA_codon")</f>
        <v>TTA_codon</v>
      </c>
    </row>
    <row r="4310" spans="1:15" x14ac:dyDescent="0.15">
      <c r="A4310" t="s">
        <v>21</v>
      </c>
      <c r="B4310">
        <v>1000306</v>
      </c>
      <c r="C4310">
        <v>358940</v>
      </c>
      <c r="F4310" s="7">
        <v>1</v>
      </c>
      <c r="G4310" s="7">
        <v>115</v>
      </c>
      <c r="H4310" s="8">
        <v>115</v>
      </c>
      <c r="J4310" t="s">
        <v>23</v>
      </c>
      <c r="K4310" s="7">
        <v>396</v>
      </c>
      <c r="L4310" s="9">
        <v>1</v>
      </c>
      <c r="M4310" t="s">
        <v>3337</v>
      </c>
      <c r="N4310" t="s">
        <v>87</v>
      </c>
      <c r="O4310" s="27" t="str">
        <f>HYPERLINK("https://www.ncbi.nlm.nih.gov/nuccore/NZ_LIQS01000117.1?report=graph&amp;from=4592&amp;to=4596", "TTA_codon")</f>
        <v>TTA_codon</v>
      </c>
    </row>
    <row r="4311" spans="1:15" x14ac:dyDescent="0.15">
      <c r="A4311" t="s">
        <v>21</v>
      </c>
      <c r="B4311">
        <v>1000306</v>
      </c>
      <c r="C4311">
        <v>359186</v>
      </c>
      <c r="F4311" s="7">
        <v>1</v>
      </c>
      <c r="G4311" s="7">
        <v>115</v>
      </c>
      <c r="H4311" s="8">
        <v>115</v>
      </c>
      <c r="J4311" t="s">
        <v>23</v>
      </c>
      <c r="K4311" s="7">
        <v>396</v>
      </c>
      <c r="L4311" s="9">
        <v>1</v>
      </c>
      <c r="M4311" t="s">
        <v>3338</v>
      </c>
      <c r="N4311" t="s">
        <v>451</v>
      </c>
      <c r="O4311" s="27" t="str">
        <f>HYPERLINK("https://www.ncbi.nlm.nih.gov/nuccore/NZ_LIQZ01000690.1?report=graph&amp;from=963&amp;to=967", "TTA_codon")</f>
        <v>TTA_codon</v>
      </c>
    </row>
    <row r="4312" spans="1:15" x14ac:dyDescent="0.15">
      <c r="A4312" t="s">
        <v>21</v>
      </c>
      <c r="B4312">
        <v>1000306</v>
      </c>
      <c r="C4312">
        <v>364619</v>
      </c>
      <c r="F4312" s="7">
        <v>1</v>
      </c>
      <c r="G4312" s="7">
        <v>175</v>
      </c>
      <c r="H4312" s="8">
        <v>175</v>
      </c>
      <c r="J4312" t="s">
        <v>23</v>
      </c>
      <c r="K4312" s="7">
        <v>396</v>
      </c>
      <c r="L4312" s="9">
        <v>1</v>
      </c>
      <c r="M4312" t="s">
        <v>3339</v>
      </c>
      <c r="N4312" t="s">
        <v>108</v>
      </c>
      <c r="O4312" s="27" t="str">
        <f>HYPERLINK("https://www.ncbi.nlm.nih.gov/nuccore/NZ_MUMD01000222.1?report=graph&amp;from=47575&amp;to=47579", "TTA_codon")</f>
        <v>TTA_codon</v>
      </c>
    </row>
    <row r="4313" spans="1:15" x14ac:dyDescent="0.15">
      <c r="A4313" t="s">
        <v>195</v>
      </c>
      <c r="B4313" t="s">
        <v>3340</v>
      </c>
    </row>
    <row r="4314" spans="1:15" x14ac:dyDescent="0.15">
      <c r="A4314" t="s">
        <v>195</v>
      </c>
      <c r="B4314">
        <v>1000009</v>
      </c>
      <c r="C4314">
        <v>346014</v>
      </c>
      <c r="F4314" s="7">
        <v>1</v>
      </c>
      <c r="G4314" s="7">
        <v>319</v>
      </c>
      <c r="H4314" s="8">
        <v>319</v>
      </c>
      <c r="J4314" t="s">
        <v>23</v>
      </c>
      <c r="K4314" s="7">
        <v>2001</v>
      </c>
      <c r="L4314" s="9">
        <v>-1</v>
      </c>
      <c r="M4314" t="s">
        <v>53</v>
      </c>
      <c r="N4314" t="s">
        <v>54</v>
      </c>
      <c r="O4314" s="27" t="str">
        <f>HYPERLINK("https://www.ncbi.nlm.nih.gov/nuccore/NC_003155.5?report=graph&amp;from=7749762&amp;to=7749766", "TTA_codon")</f>
        <v>TTA_codon</v>
      </c>
    </row>
    <row r="4315" spans="1:15" x14ac:dyDescent="0.15">
      <c r="A4315" t="s">
        <v>195</v>
      </c>
      <c r="B4315">
        <v>1000009</v>
      </c>
      <c r="C4315">
        <v>346699</v>
      </c>
      <c r="F4315" s="7">
        <v>1</v>
      </c>
      <c r="G4315" s="7">
        <v>319</v>
      </c>
      <c r="H4315" s="8">
        <v>319</v>
      </c>
      <c r="J4315" t="s">
        <v>23</v>
      </c>
      <c r="K4315" s="7">
        <v>1947</v>
      </c>
      <c r="L4315" s="9">
        <v>-1</v>
      </c>
      <c r="M4315" t="s">
        <v>3341</v>
      </c>
      <c r="N4315" t="s">
        <v>451</v>
      </c>
      <c r="O4315" s="27" t="str">
        <f>HYPERLINK("https://www.ncbi.nlm.nih.gov/nuccore/NZ_LIQZ01000224.1?report=graph&amp;from=22706&amp;to=22710", "TTA_codon")</f>
        <v>TTA_codon</v>
      </c>
    </row>
    <row r="4316" spans="1:15" x14ac:dyDescent="0.15">
      <c r="A4316" t="s">
        <v>21</v>
      </c>
      <c r="B4316">
        <v>1000009</v>
      </c>
      <c r="C4316">
        <v>354049</v>
      </c>
      <c r="F4316" s="7">
        <v>1</v>
      </c>
      <c r="G4316" s="7">
        <v>319</v>
      </c>
      <c r="H4316" s="8">
        <v>310</v>
      </c>
      <c r="J4316" t="s">
        <v>23</v>
      </c>
      <c r="K4316" s="7">
        <v>1608</v>
      </c>
      <c r="L4316" s="9">
        <v>-1</v>
      </c>
      <c r="M4316" t="s">
        <v>3342</v>
      </c>
      <c r="N4316" t="s">
        <v>270</v>
      </c>
      <c r="O4316" s="27" t="str">
        <f>HYPERLINK("https://www.ncbi.nlm.nih.gov/nuccore/NZ_JOBH01000018.1?report=graph&amp;from=149957&amp;to=149961", "TTA_codon")</f>
        <v>TTA_codon</v>
      </c>
    </row>
    <row r="4317" spans="1:15" x14ac:dyDescent="0.15">
      <c r="A4317" t="s">
        <v>21</v>
      </c>
      <c r="B4317" t="s">
        <v>3343</v>
      </c>
    </row>
    <row r="4318" spans="1:15" x14ac:dyDescent="0.15">
      <c r="A4318" t="s">
        <v>21</v>
      </c>
      <c r="B4318">
        <v>1001103</v>
      </c>
      <c r="C4318">
        <v>355610</v>
      </c>
      <c r="F4318" s="7">
        <v>1</v>
      </c>
      <c r="G4318" s="7">
        <v>337</v>
      </c>
      <c r="H4318" s="8">
        <v>319</v>
      </c>
      <c r="J4318" t="s">
        <v>23</v>
      </c>
      <c r="K4318" s="7">
        <v>975</v>
      </c>
      <c r="L4318" s="9">
        <v>1</v>
      </c>
      <c r="M4318" t="s">
        <v>3344</v>
      </c>
      <c r="N4318" t="s">
        <v>278</v>
      </c>
      <c r="O4318" s="27" t="str">
        <f>HYPERLINK("https://www.ncbi.nlm.nih.gov/nuccore/NZ_JOID01000018.1?report=graph&amp;from=49464&amp;to=49468", "TTA_codon")</f>
        <v>TTA_codon</v>
      </c>
    </row>
    <row r="4319" spans="1:15" x14ac:dyDescent="0.15">
      <c r="A4319" t="s">
        <v>21</v>
      </c>
      <c r="B4319">
        <v>1001103</v>
      </c>
      <c r="C4319">
        <v>355901</v>
      </c>
      <c r="F4319" s="7">
        <v>1</v>
      </c>
      <c r="G4319" s="7">
        <v>382</v>
      </c>
      <c r="H4319" s="8">
        <v>382</v>
      </c>
      <c r="J4319" t="s">
        <v>23</v>
      </c>
      <c r="K4319" s="7">
        <v>999</v>
      </c>
      <c r="L4319" s="9">
        <v>1</v>
      </c>
      <c r="M4319" t="s">
        <v>3345</v>
      </c>
      <c r="N4319" t="s">
        <v>384</v>
      </c>
      <c r="O4319" s="27" t="str">
        <f>HYPERLINK("https://www.ncbi.nlm.nih.gov/nuccore/NZ_JOAK01000010.1?report=graph&amp;from=265005&amp;to=265009", "TTA_codon")</f>
        <v>TTA_codon</v>
      </c>
    </row>
    <row r="4320" spans="1:15" x14ac:dyDescent="0.15">
      <c r="A4320" t="s">
        <v>21</v>
      </c>
      <c r="B4320" t="s">
        <v>3346</v>
      </c>
    </row>
    <row r="4321" spans="1:15" x14ac:dyDescent="0.15">
      <c r="A4321" t="s">
        <v>21</v>
      </c>
      <c r="B4321">
        <v>1000697</v>
      </c>
      <c r="C4321">
        <v>351009</v>
      </c>
      <c r="F4321" s="7">
        <v>1</v>
      </c>
      <c r="G4321" s="7">
        <v>328</v>
      </c>
      <c r="H4321" s="8">
        <v>301</v>
      </c>
      <c r="J4321" t="s">
        <v>23</v>
      </c>
      <c r="K4321" s="7">
        <v>1197</v>
      </c>
      <c r="L4321" s="9">
        <v>-1</v>
      </c>
      <c r="M4321" t="s">
        <v>3347</v>
      </c>
      <c r="N4321" t="s">
        <v>136</v>
      </c>
      <c r="O4321" s="27" t="str">
        <f>HYPERLINK("https://www.ncbi.nlm.nih.gov/nuccore/NZ_AORZ01000042.1?report=graph&amp;from=906&amp;to=910", "TTA_codon")</f>
        <v>TTA_codon</v>
      </c>
    </row>
    <row r="4322" spans="1:15" x14ac:dyDescent="0.15">
      <c r="A4322" t="s">
        <v>21</v>
      </c>
      <c r="B4322">
        <v>1000697</v>
      </c>
      <c r="C4322">
        <v>352045</v>
      </c>
      <c r="F4322" s="7">
        <v>1</v>
      </c>
      <c r="G4322" s="7">
        <v>334</v>
      </c>
      <c r="H4322" s="8">
        <v>316</v>
      </c>
      <c r="J4322" t="s">
        <v>23</v>
      </c>
      <c r="K4322" s="7">
        <v>1197</v>
      </c>
      <c r="L4322" s="9">
        <v>-1</v>
      </c>
      <c r="M4322" t="s">
        <v>3348</v>
      </c>
      <c r="N4322" t="s">
        <v>70</v>
      </c>
      <c r="O4322" s="27" t="str">
        <f>HYPERLINK("https://www.ncbi.nlm.nih.gov/nuccore/NZ_KB904735.1?report=graph&amp;from=202686&amp;to=202690", "TTA_codon")</f>
        <v>TTA_codon</v>
      </c>
    </row>
    <row r="4323" spans="1:15" x14ac:dyDescent="0.15">
      <c r="A4323" t="s">
        <v>21</v>
      </c>
      <c r="B4323">
        <v>1000697</v>
      </c>
      <c r="C4323">
        <v>357256</v>
      </c>
      <c r="F4323" s="7">
        <v>1</v>
      </c>
      <c r="G4323" s="7">
        <v>442</v>
      </c>
      <c r="H4323" s="8">
        <v>430</v>
      </c>
      <c r="J4323" t="s">
        <v>23</v>
      </c>
      <c r="K4323" s="7">
        <v>1338</v>
      </c>
      <c r="L4323" s="9">
        <v>-1</v>
      </c>
      <c r="M4323" t="s">
        <v>250</v>
      </c>
      <c r="N4323" t="s">
        <v>251</v>
      </c>
      <c r="O4323" s="27" t="str">
        <f>HYPERLINK("https://www.ncbi.nlm.nih.gov/nuccore/NZ_CP009922.2?report=graph&amp;from=2677087&amp;to=2677091", "TTA_codon")</f>
        <v>TTA_codon</v>
      </c>
    </row>
    <row r="4324" spans="1:15" x14ac:dyDescent="0.15">
      <c r="A4324" t="s">
        <v>21</v>
      </c>
      <c r="B4324" t="s">
        <v>3349</v>
      </c>
    </row>
    <row r="4325" spans="1:15" x14ac:dyDescent="0.15">
      <c r="A4325" t="s">
        <v>21</v>
      </c>
      <c r="B4325">
        <v>1001367</v>
      </c>
      <c r="C4325">
        <v>361323</v>
      </c>
      <c r="F4325" s="7">
        <v>1</v>
      </c>
      <c r="G4325" s="7">
        <v>2284</v>
      </c>
      <c r="H4325" s="8">
        <v>2251</v>
      </c>
      <c r="J4325" t="s">
        <v>23</v>
      </c>
      <c r="K4325" s="7">
        <v>3042</v>
      </c>
      <c r="L4325" s="9">
        <v>-1</v>
      </c>
      <c r="M4325" t="s">
        <v>200</v>
      </c>
      <c r="N4325" t="s">
        <v>201</v>
      </c>
      <c r="O4325" s="27" t="str">
        <f>HYPERLINK("https://www.ncbi.nlm.nih.gov/nuccore/NZ_CP016559.1?report=graph&amp;from=1803861&amp;to=1803865", "TTA_codon")</f>
        <v>TTA_codon</v>
      </c>
    </row>
    <row r="4326" spans="1:15" x14ac:dyDescent="0.15">
      <c r="A4326" t="s">
        <v>21</v>
      </c>
      <c r="B4326">
        <v>1001367</v>
      </c>
      <c r="C4326">
        <v>362981</v>
      </c>
      <c r="F4326" s="7">
        <v>1</v>
      </c>
      <c r="G4326" s="7">
        <v>2269</v>
      </c>
      <c r="H4326" s="8">
        <v>2239</v>
      </c>
      <c r="J4326" t="s">
        <v>23</v>
      </c>
      <c r="K4326" s="7">
        <v>3063</v>
      </c>
      <c r="L4326" s="9">
        <v>-1</v>
      </c>
      <c r="M4326" t="s">
        <v>3350</v>
      </c>
      <c r="N4326" t="s">
        <v>1726</v>
      </c>
      <c r="O4326" s="27" t="str">
        <f>HYPERLINK("https://www.ncbi.nlm.nih.gov/nuccore/NZ_MLCF01000054.1?report=graph&amp;from=12171&amp;to=12175", "TTA_codon")</f>
        <v>TTA_codon</v>
      </c>
    </row>
    <row r="4327" spans="1:15" x14ac:dyDescent="0.15">
      <c r="A4327" t="s">
        <v>21</v>
      </c>
      <c r="B4327" t="s">
        <v>3351</v>
      </c>
    </row>
    <row r="4328" spans="1:15" x14ac:dyDescent="0.15">
      <c r="A4328" t="s">
        <v>21</v>
      </c>
      <c r="B4328">
        <v>1001203</v>
      </c>
      <c r="C4328">
        <v>356961</v>
      </c>
      <c r="F4328" s="7">
        <v>3</v>
      </c>
      <c r="G4328" s="7" t="s">
        <v>3352</v>
      </c>
      <c r="H4328" s="8" t="s">
        <v>3353</v>
      </c>
      <c r="J4328" t="s">
        <v>23</v>
      </c>
      <c r="K4328" s="7">
        <v>840</v>
      </c>
      <c r="L4328" s="9">
        <v>1</v>
      </c>
      <c r="M4328" t="s">
        <v>78</v>
      </c>
      <c r="N4328" t="s">
        <v>79</v>
      </c>
      <c r="O4328" s="27" t="str">
        <f>HYPERLINK("https://www.ncbi.nlm.nih.gov/nuccore/NZ_CP009313.1?report=graph&amp;from=58728&amp;to=58840", "TTA_codon")</f>
        <v>TTA_codon</v>
      </c>
    </row>
    <row r="4329" spans="1:15" x14ac:dyDescent="0.15">
      <c r="A4329" t="s">
        <v>21</v>
      </c>
      <c r="B4329">
        <v>1001203</v>
      </c>
      <c r="C4329">
        <v>359701</v>
      </c>
      <c r="F4329" s="7">
        <v>1</v>
      </c>
      <c r="G4329" s="7">
        <v>145</v>
      </c>
      <c r="H4329" s="8">
        <v>133</v>
      </c>
      <c r="J4329" t="s">
        <v>23</v>
      </c>
      <c r="K4329" s="7">
        <v>918</v>
      </c>
      <c r="L4329" s="9">
        <v>1</v>
      </c>
      <c r="M4329" t="s">
        <v>837</v>
      </c>
      <c r="N4329" t="s">
        <v>651</v>
      </c>
      <c r="O4329" s="27" t="str">
        <f>HYPERLINK("https://www.ncbi.nlm.nih.gov/nuccore/NZ_LN929896.1?report=graph&amp;from=135180&amp;to=135184", "TTA_codon")</f>
        <v>TTA_codon</v>
      </c>
    </row>
    <row r="4330" spans="1:15" x14ac:dyDescent="0.15">
      <c r="A4330" t="s">
        <v>21</v>
      </c>
      <c r="B4330" t="s">
        <v>3354</v>
      </c>
    </row>
    <row r="4331" spans="1:15" x14ac:dyDescent="0.15">
      <c r="A4331" t="s">
        <v>21</v>
      </c>
      <c r="B4331">
        <v>1000953</v>
      </c>
      <c r="C4331">
        <v>353529</v>
      </c>
      <c r="F4331" s="7">
        <v>1</v>
      </c>
      <c r="G4331" s="7">
        <v>1402</v>
      </c>
      <c r="H4331" s="8">
        <v>1390</v>
      </c>
      <c r="J4331" t="s">
        <v>23</v>
      </c>
      <c r="K4331" s="7">
        <v>2589</v>
      </c>
      <c r="L4331" s="9">
        <v>1</v>
      </c>
      <c r="M4331" t="s">
        <v>3355</v>
      </c>
      <c r="N4331" t="s">
        <v>169</v>
      </c>
      <c r="O4331" s="27" t="str">
        <f>HYPERLINK("https://www.ncbi.nlm.nih.gov/nuccore/NZ_JNWJ01000006.1?report=graph&amp;from=108624&amp;to=108628", "TTA_codon")</f>
        <v>TTA_codon</v>
      </c>
    </row>
    <row r="4332" spans="1:15" x14ac:dyDescent="0.15">
      <c r="A4332" t="s">
        <v>21</v>
      </c>
      <c r="B4332">
        <v>1000953</v>
      </c>
      <c r="C4332">
        <v>356799</v>
      </c>
      <c r="F4332" s="7">
        <v>1</v>
      </c>
      <c r="G4332" s="7">
        <v>1318</v>
      </c>
      <c r="H4332" s="8">
        <v>1318</v>
      </c>
      <c r="J4332" t="s">
        <v>23</v>
      </c>
      <c r="K4332" s="7">
        <v>2601</v>
      </c>
      <c r="L4332" s="9">
        <v>1</v>
      </c>
      <c r="M4332" t="s">
        <v>147</v>
      </c>
      <c r="N4332" t="s">
        <v>148</v>
      </c>
      <c r="O4332" s="27" t="str">
        <f>HYPERLINK("https://www.ncbi.nlm.nih.gov/nuccore/NZ_CP021080.1?report=graph&amp;from=505337&amp;to=505341", "TTA_codon")</f>
        <v>TTA_codon</v>
      </c>
    </row>
    <row r="4333" spans="1:15" x14ac:dyDescent="0.15">
      <c r="A4333" t="s">
        <v>21</v>
      </c>
      <c r="B4333" t="s">
        <v>3356</v>
      </c>
    </row>
    <row r="4334" spans="1:15" x14ac:dyDescent="0.15">
      <c r="A4334" t="s">
        <v>21</v>
      </c>
      <c r="B4334">
        <v>1000817</v>
      </c>
      <c r="C4334">
        <v>352169</v>
      </c>
      <c r="F4334" s="7">
        <v>1</v>
      </c>
      <c r="G4334" s="7">
        <v>217</v>
      </c>
      <c r="H4334" s="8">
        <v>217</v>
      </c>
      <c r="J4334" t="s">
        <v>23</v>
      </c>
      <c r="K4334" s="7">
        <v>1092</v>
      </c>
      <c r="L4334" s="9">
        <v>1</v>
      </c>
      <c r="M4334" t="s">
        <v>1607</v>
      </c>
      <c r="N4334" t="s">
        <v>70</v>
      </c>
      <c r="O4334" s="27" t="str">
        <f>HYPERLINK("https://www.ncbi.nlm.nih.gov/nuccore/NZ_KB904666.1?report=graph&amp;from=48257&amp;to=48261", "TTA_codon")</f>
        <v>TTA_codon</v>
      </c>
    </row>
    <row r="4335" spans="1:15" x14ac:dyDescent="0.15">
      <c r="A4335" t="s">
        <v>21</v>
      </c>
      <c r="B4335">
        <v>1000817</v>
      </c>
      <c r="C4335">
        <v>366344</v>
      </c>
      <c r="F4335" s="7">
        <v>1</v>
      </c>
      <c r="G4335" s="7">
        <v>217</v>
      </c>
      <c r="H4335" s="8">
        <v>202</v>
      </c>
      <c r="J4335" t="s">
        <v>23</v>
      </c>
      <c r="K4335" s="7">
        <v>1080</v>
      </c>
      <c r="L4335" s="9">
        <v>1</v>
      </c>
      <c r="M4335" t="s">
        <v>3357</v>
      </c>
      <c r="N4335" t="s">
        <v>47</v>
      </c>
      <c r="O4335" s="27" t="str">
        <f>HYPERLINK("https://www.ncbi.nlm.nih.gov/nuccore/NZ_FOLM01000019.1?report=graph&amp;from=44152&amp;to=44156", "TTA_codon")</f>
        <v>TTA_codon</v>
      </c>
    </row>
    <row r="4336" spans="1:15" x14ac:dyDescent="0.15">
      <c r="A4336" t="s">
        <v>21</v>
      </c>
      <c r="B4336" t="s">
        <v>3358</v>
      </c>
    </row>
    <row r="4337" spans="1:15" x14ac:dyDescent="0.15">
      <c r="A4337" t="s">
        <v>21</v>
      </c>
      <c r="B4337">
        <v>1000500</v>
      </c>
      <c r="C4337">
        <v>349337</v>
      </c>
      <c r="F4337" s="7">
        <v>1</v>
      </c>
      <c r="G4337" s="7">
        <v>46</v>
      </c>
      <c r="H4337" s="8">
        <v>46</v>
      </c>
      <c r="J4337" t="s">
        <v>23</v>
      </c>
      <c r="K4337" s="7">
        <v>1635</v>
      </c>
      <c r="L4337" s="9">
        <v>-1</v>
      </c>
      <c r="M4337" t="s">
        <v>458</v>
      </c>
      <c r="N4337" t="s">
        <v>315</v>
      </c>
      <c r="O4337" s="27" t="str">
        <f>HYPERLINK("https://www.ncbi.nlm.nih.gov/nuccore/NC_003888.3?report=graph&amp;from=8647489&amp;to=8647493", "TTA_codon")</f>
        <v>TTA_codon</v>
      </c>
    </row>
    <row r="4338" spans="1:15" x14ac:dyDescent="0.15">
      <c r="A4338" t="s">
        <v>21</v>
      </c>
      <c r="B4338">
        <v>1000500</v>
      </c>
      <c r="C4338">
        <v>352602</v>
      </c>
      <c r="F4338" s="7">
        <v>2</v>
      </c>
      <c r="G4338" s="7" t="s">
        <v>3359</v>
      </c>
      <c r="H4338" s="8" t="s">
        <v>3359</v>
      </c>
      <c r="J4338" t="s">
        <v>23</v>
      </c>
      <c r="K4338" s="7">
        <v>1635</v>
      </c>
      <c r="L4338" s="9">
        <v>-1</v>
      </c>
      <c r="M4338" t="s">
        <v>3360</v>
      </c>
      <c r="N4338" t="s">
        <v>436</v>
      </c>
      <c r="O4338" s="27" t="str">
        <f>HYPERLINK("https://www.ncbi.nlm.nih.gov/nuccore/NZ_AUBE01000045.1?report=graph&amp;from=3611&amp;to=4854", "TTA_codon")</f>
        <v>TTA_codon</v>
      </c>
    </row>
    <row r="4339" spans="1:15" x14ac:dyDescent="0.15">
      <c r="A4339" t="s">
        <v>21</v>
      </c>
      <c r="B4339" t="s">
        <v>3361</v>
      </c>
    </row>
    <row r="4340" spans="1:15" x14ac:dyDescent="0.15">
      <c r="A4340" t="s">
        <v>21</v>
      </c>
      <c r="B4340">
        <v>1000744</v>
      </c>
      <c r="C4340">
        <v>351358</v>
      </c>
      <c r="F4340" s="7">
        <v>1</v>
      </c>
      <c r="G4340" s="7">
        <v>217</v>
      </c>
      <c r="H4340" s="8">
        <v>214</v>
      </c>
      <c r="J4340" t="s">
        <v>23</v>
      </c>
      <c r="K4340" s="7">
        <v>1095</v>
      </c>
      <c r="L4340" s="9">
        <v>1</v>
      </c>
      <c r="M4340" t="s">
        <v>65</v>
      </c>
      <c r="N4340" t="s">
        <v>66</v>
      </c>
      <c r="O4340" s="27" t="str">
        <f>HYPERLINK("https://www.ncbi.nlm.nih.gov/nuccore/NC_020504.1?report=graph&amp;from=8815824&amp;to=8815828", "TTA_codon")</f>
        <v>TTA_codon</v>
      </c>
    </row>
    <row r="4341" spans="1:15" x14ac:dyDescent="0.15">
      <c r="A4341" t="s">
        <v>21</v>
      </c>
      <c r="B4341">
        <v>1000744</v>
      </c>
      <c r="C4341">
        <v>364238</v>
      </c>
      <c r="F4341" s="7">
        <v>1</v>
      </c>
      <c r="G4341" s="7">
        <v>88</v>
      </c>
      <c r="H4341" s="8">
        <v>49</v>
      </c>
      <c r="J4341" t="s">
        <v>23</v>
      </c>
      <c r="K4341" s="7">
        <v>1062</v>
      </c>
      <c r="L4341" s="9">
        <v>1</v>
      </c>
      <c r="M4341" t="s">
        <v>254</v>
      </c>
      <c r="N4341" t="s">
        <v>255</v>
      </c>
      <c r="O4341" s="27" t="str">
        <f>HYPERLINK("https://www.ncbi.nlm.nih.gov/nuccore/NZ_CP018047.1?report=graph&amp;from=4958242&amp;to=4958246", "TTA_codon")</f>
        <v>TTA_codon</v>
      </c>
    </row>
    <row r="4342" spans="1:15" x14ac:dyDescent="0.15">
      <c r="A4342" t="s">
        <v>21</v>
      </c>
      <c r="B4342" t="s">
        <v>3362</v>
      </c>
    </row>
    <row r="4343" spans="1:15" x14ac:dyDescent="0.15">
      <c r="A4343" t="s">
        <v>21</v>
      </c>
      <c r="B4343">
        <v>1001555</v>
      </c>
      <c r="C4343">
        <v>367019</v>
      </c>
      <c r="F4343" s="7">
        <v>1</v>
      </c>
      <c r="G4343" s="7">
        <v>142</v>
      </c>
      <c r="H4343" s="8">
        <v>142</v>
      </c>
      <c r="J4343" t="s">
        <v>23</v>
      </c>
      <c r="K4343" s="7">
        <v>396</v>
      </c>
      <c r="L4343" s="9">
        <v>1</v>
      </c>
      <c r="M4343" t="s">
        <v>3363</v>
      </c>
      <c r="N4343" t="s">
        <v>3364</v>
      </c>
      <c r="O4343" s="27" t="str">
        <f>HYPERLINK("https://www.ncbi.nlm.nih.gov/nuccore/MK620896.1?report=graph&amp;from=1217&amp;to=1221", "TTA_codon")</f>
        <v>TTA_codon</v>
      </c>
    </row>
    <row r="4344" spans="1:15" x14ac:dyDescent="0.15">
      <c r="A4344" t="s">
        <v>21</v>
      </c>
      <c r="B4344">
        <v>1001555</v>
      </c>
      <c r="C4344">
        <v>367020</v>
      </c>
      <c r="F4344" s="7">
        <v>1</v>
      </c>
      <c r="G4344" s="7">
        <v>142</v>
      </c>
      <c r="H4344" s="8">
        <v>142</v>
      </c>
      <c r="J4344" t="s">
        <v>23</v>
      </c>
      <c r="K4344" s="7">
        <v>396</v>
      </c>
      <c r="L4344" s="9">
        <v>1</v>
      </c>
      <c r="M4344" t="s">
        <v>3363</v>
      </c>
      <c r="N4344" t="s">
        <v>3364</v>
      </c>
      <c r="O4344" s="27" t="str">
        <f>HYPERLINK("https://www.ncbi.nlm.nih.gov/nuccore/MK620896.1?report=graph&amp;from=125544&amp;to=125548", "TTA_codon")</f>
        <v>TTA_codon</v>
      </c>
    </row>
    <row r="4345" spans="1:15" x14ac:dyDescent="0.15">
      <c r="A4345" t="s">
        <v>21</v>
      </c>
      <c r="B4345" t="s">
        <v>3365</v>
      </c>
    </row>
    <row r="4346" spans="1:15" x14ac:dyDescent="0.15">
      <c r="A4346" t="s">
        <v>21</v>
      </c>
      <c r="B4346">
        <v>1000526</v>
      </c>
      <c r="C4346">
        <v>349579</v>
      </c>
      <c r="F4346" s="7">
        <v>1</v>
      </c>
      <c r="G4346" s="7">
        <v>265</v>
      </c>
      <c r="H4346" s="8">
        <v>211</v>
      </c>
      <c r="J4346" t="s">
        <v>23</v>
      </c>
      <c r="K4346" s="7">
        <v>1377</v>
      </c>
      <c r="L4346" s="9">
        <v>-1</v>
      </c>
      <c r="M4346" t="s">
        <v>3366</v>
      </c>
      <c r="N4346" t="s">
        <v>335</v>
      </c>
      <c r="O4346" s="27" t="str">
        <f>HYPERLINK("https://www.ncbi.nlm.nih.gov/nuccore/NZ_AGBF01000009.1?report=graph&amp;from=57562&amp;to=57566", "TTA_codon")</f>
        <v>TTA_codon</v>
      </c>
    </row>
    <row r="4347" spans="1:15" x14ac:dyDescent="0.15">
      <c r="A4347" t="s">
        <v>21</v>
      </c>
      <c r="B4347">
        <v>1000526</v>
      </c>
      <c r="C4347">
        <v>351181</v>
      </c>
      <c r="F4347" s="7">
        <v>1</v>
      </c>
      <c r="G4347" s="7">
        <v>124</v>
      </c>
      <c r="H4347" s="8">
        <v>124</v>
      </c>
      <c r="J4347" t="s">
        <v>23</v>
      </c>
      <c r="K4347" s="7">
        <v>1362</v>
      </c>
      <c r="L4347" s="9">
        <v>-1</v>
      </c>
      <c r="M4347" t="s">
        <v>65</v>
      </c>
      <c r="N4347" t="s">
        <v>66</v>
      </c>
      <c r="O4347" s="27" t="str">
        <f>HYPERLINK("https://www.ncbi.nlm.nih.gov/nuccore/NC_020504.1?report=graph&amp;from=4401880&amp;to=4401884", "TTA_codon")</f>
        <v>TTA_codon</v>
      </c>
    </row>
    <row r="4348" spans="1:15" x14ac:dyDescent="0.15">
      <c r="A4348" t="s">
        <v>21</v>
      </c>
      <c r="B4348" t="s">
        <v>3367</v>
      </c>
    </row>
    <row r="4349" spans="1:15" x14ac:dyDescent="0.15">
      <c r="A4349" t="s">
        <v>21</v>
      </c>
      <c r="B4349">
        <v>1000198</v>
      </c>
      <c r="C4349">
        <v>347342</v>
      </c>
      <c r="F4349" s="7">
        <v>1</v>
      </c>
      <c r="G4349" s="7">
        <v>70</v>
      </c>
      <c r="H4349" s="8">
        <v>70</v>
      </c>
      <c r="J4349" t="s">
        <v>23</v>
      </c>
      <c r="K4349" s="7">
        <v>894</v>
      </c>
      <c r="L4349" s="9">
        <v>1</v>
      </c>
      <c r="M4349" t="s">
        <v>217</v>
      </c>
      <c r="N4349" t="s">
        <v>218</v>
      </c>
      <c r="O4349" s="27" t="str">
        <f>HYPERLINK("https://www.ncbi.nlm.nih.gov/nuccore/NC_021985.1?report=graph&amp;from=2995627&amp;to=2995631", "TTA_codon")</f>
        <v>TTA_codon</v>
      </c>
    </row>
    <row r="4350" spans="1:15" x14ac:dyDescent="0.15">
      <c r="A4350" t="s">
        <v>21</v>
      </c>
      <c r="B4350">
        <v>1000198</v>
      </c>
      <c r="C4350">
        <v>347618</v>
      </c>
      <c r="F4350" s="7">
        <v>1</v>
      </c>
      <c r="G4350" s="7">
        <v>55</v>
      </c>
      <c r="H4350" s="8">
        <v>55</v>
      </c>
      <c r="J4350" t="s">
        <v>23</v>
      </c>
      <c r="K4350" s="7">
        <v>882</v>
      </c>
      <c r="L4350" s="9">
        <v>1</v>
      </c>
      <c r="M4350" t="s">
        <v>55</v>
      </c>
      <c r="N4350" t="s">
        <v>56</v>
      </c>
      <c r="O4350" s="27" t="str">
        <f>HYPERLINK("https://www.ncbi.nlm.nih.gov/nuccore/NC_010572.1?report=graph&amp;from=4729343&amp;to=4729347", "TTA_codon")</f>
        <v>TTA_codon</v>
      </c>
    </row>
    <row r="4351" spans="1:15" x14ac:dyDescent="0.15">
      <c r="A4351" t="s">
        <v>21</v>
      </c>
      <c r="B4351">
        <v>1000198</v>
      </c>
      <c r="C4351">
        <v>354536</v>
      </c>
      <c r="F4351" s="7">
        <v>1</v>
      </c>
      <c r="G4351" s="7">
        <v>82</v>
      </c>
      <c r="H4351" s="8">
        <v>82</v>
      </c>
      <c r="J4351" t="s">
        <v>23</v>
      </c>
      <c r="K4351" s="7">
        <v>885</v>
      </c>
      <c r="L4351" s="9">
        <v>1</v>
      </c>
      <c r="M4351" t="s">
        <v>3368</v>
      </c>
      <c r="N4351" t="s">
        <v>272</v>
      </c>
      <c r="O4351" s="27" t="str">
        <f>HYPERLINK("https://www.ncbi.nlm.nih.gov/nuccore/NZ_JOEY01000016.1?report=graph&amp;from=183511&amp;to=183515", "TTA_codon")</f>
        <v>TTA_codon</v>
      </c>
    </row>
    <row r="4352" spans="1:15" x14ac:dyDescent="0.15">
      <c r="A4352" t="s">
        <v>21</v>
      </c>
      <c r="B4352">
        <v>1000198</v>
      </c>
      <c r="C4352">
        <v>355390</v>
      </c>
      <c r="F4352" s="7">
        <v>1</v>
      </c>
      <c r="G4352" s="7">
        <v>55</v>
      </c>
      <c r="H4352" s="8">
        <v>55</v>
      </c>
      <c r="J4352" t="s">
        <v>23</v>
      </c>
      <c r="K4352" s="7">
        <v>879</v>
      </c>
      <c r="L4352" s="9">
        <v>1</v>
      </c>
      <c r="M4352" t="s">
        <v>2496</v>
      </c>
      <c r="N4352" t="s">
        <v>198</v>
      </c>
      <c r="O4352" s="27" t="str">
        <f>HYPERLINK("https://www.ncbi.nlm.nih.gov/nuccore/NZ_JOFL01000009.1?report=graph&amp;from=128622&amp;to=128626", "TTA_codon")</f>
        <v>TTA_codon</v>
      </c>
    </row>
    <row r="4353" spans="1:15" x14ac:dyDescent="0.15">
      <c r="A4353" t="s">
        <v>21</v>
      </c>
      <c r="B4353">
        <v>1000198</v>
      </c>
      <c r="C4353">
        <v>355793</v>
      </c>
      <c r="F4353" s="7">
        <v>1</v>
      </c>
      <c r="G4353" s="7">
        <v>175</v>
      </c>
      <c r="H4353" s="8">
        <v>172</v>
      </c>
      <c r="J4353" t="s">
        <v>23</v>
      </c>
      <c r="K4353" s="7">
        <v>846</v>
      </c>
      <c r="L4353" s="9">
        <v>1</v>
      </c>
      <c r="M4353" t="s">
        <v>3369</v>
      </c>
      <c r="N4353" t="s">
        <v>75</v>
      </c>
      <c r="O4353" s="27" t="str">
        <f>HYPERLINK("https://www.ncbi.nlm.nih.gov/nuccore/NZ_JOII01000001.1?report=graph&amp;from=329776&amp;to=329780", "TTA_codon")</f>
        <v>TTA_codon</v>
      </c>
    </row>
    <row r="4354" spans="1:15" x14ac:dyDescent="0.15">
      <c r="A4354" t="s">
        <v>21</v>
      </c>
      <c r="B4354">
        <v>1000198</v>
      </c>
      <c r="C4354">
        <v>356348</v>
      </c>
      <c r="F4354" s="7">
        <v>1</v>
      </c>
      <c r="G4354" s="7">
        <v>283</v>
      </c>
      <c r="H4354" s="8">
        <v>277</v>
      </c>
      <c r="J4354" t="s">
        <v>23</v>
      </c>
      <c r="K4354" s="7">
        <v>906</v>
      </c>
      <c r="L4354" s="9">
        <v>1</v>
      </c>
      <c r="M4354" t="s">
        <v>3225</v>
      </c>
      <c r="N4354" t="s">
        <v>354</v>
      </c>
      <c r="O4354" s="27" t="str">
        <f>HYPERLINK("https://www.ncbi.nlm.nih.gov/nuccore/NZ_JQJU01000016.1?report=graph&amp;from=65369&amp;to=65373", "TTA_codon")</f>
        <v>TTA_codon</v>
      </c>
    </row>
    <row r="4355" spans="1:15" x14ac:dyDescent="0.15">
      <c r="A4355" t="s">
        <v>21</v>
      </c>
      <c r="B4355">
        <v>1000198</v>
      </c>
      <c r="C4355">
        <v>356501</v>
      </c>
      <c r="F4355" s="7">
        <v>1</v>
      </c>
      <c r="G4355" s="7">
        <v>70</v>
      </c>
      <c r="H4355" s="8">
        <v>70</v>
      </c>
      <c r="J4355" t="s">
        <v>23</v>
      </c>
      <c r="K4355" s="7">
        <v>894</v>
      </c>
      <c r="L4355" s="9">
        <v>1</v>
      </c>
      <c r="M4355" t="s">
        <v>508</v>
      </c>
      <c r="N4355" t="s">
        <v>509</v>
      </c>
      <c r="O4355" s="27" t="str">
        <f>HYPERLINK("https://www.ncbi.nlm.nih.gov/nuccore/NZ_CP009438.1?report=graph&amp;from=2872968&amp;to=2872972", "TTA_codon")</f>
        <v>TTA_codon</v>
      </c>
    </row>
    <row r="4356" spans="1:15" x14ac:dyDescent="0.15">
      <c r="A4356" t="s">
        <v>21</v>
      </c>
      <c r="B4356">
        <v>1000198</v>
      </c>
      <c r="C4356">
        <v>360036</v>
      </c>
      <c r="F4356" s="7">
        <v>1</v>
      </c>
      <c r="G4356" s="7">
        <v>94</v>
      </c>
      <c r="H4356" s="8">
        <v>91</v>
      </c>
      <c r="J4356" t="s">
        <v>23</v>
      </c>
      <c r="K4356" s="7">
        <v>855</v>
      </c>
      <c r="L4356" s="9">
        <v>1</v>
      </c>
      <c r="M4356" t="s">
        <v>1494</v>
      </c>
      <c r="N4356" t="s">
        <v>125</v>
      </c>
      <c r="O4356" s="27" t="str">
        <f>HYPERLINK("https://www.ncbi.nlm.nih.gov/nuccore/NZ_KQ948464.1?report=graph&amp;from=121941&amp;to=121945", "TTA_codon")</f>
        <v>TTA_codon</v>
      </c>
    </row>
    <row r="4357" spans="1:15" x14ac:dyDescent="0.15">
      <c r="A4357" t="s">
        <v>21</v>
      </c>
      <c r="B4357">
        <v>1000198</v>
      </c>
      <c r="C4357">
        <v>363591</v>
      </c>
      <c r="F4357" s="7">
        <v>1</v>
      </c>
      <c r="G4357" s="7">
        <v>55</v>
      </c>
      <c r="H4357" s="8">
        <v>55</v>
      </c>
      <c r="J4357" t="s">
        <v>23</v>
      </c>
      <c r="K4357" s="7">
        <v>924</v>
      </c>
      <c r="L4357" s="9">
        <v>1</v>
      </c>
      <c r="M4357" t="s">
        <v>101</v>
      </c>
      <c r="N4357" t="s">
        <v>102</v>
      </c>
      <c r="O4357" s="27" t="str">
        <f>HYPERLINK("https://www.ncbi.nlm.nih.gov/nuccore/NZ_CP019458.1?report=graph&amp;from=5335471&amp;to=5335475", "TTA_codon")</f>
        <v>TTA_codon</v>
      </c>
    </row>
    <row r="4358" spans="1:15" x14ac:dyDescent="0.15">
      <c r="A4358" t="s">
        <v>21</v>
      </c>
      <c r="B4358">
        <v>1000198</v>
      </c>
      <c r="C4358">
        <v>364109</v>
      </c>
      <c r="F4358" s="7">
        <v>1</v>
      </c>
      <c r="G4358" s="7">
        <v>208</v>
      </c>
      <c r="H4358" s="8">
        <v>202</v>
      </c>
      <c r="J4358" t="s">
        <v>23</v>
      </c>
      <c r="K4358" s="7">
        <v>882</v>
      </c>
      <c r="L4358" s="9">
        <v>1</v>
      </c>
      <c r="M4358" t="s">
        <v>254</v>
      </c>
      <c r="N4358" t="s">
        <v>255</v>
      </c>
      <c r="O4358" s="27" t="str">
        <f>HYPERLINK("https://www.ncbi.nlm.nih.gov/nuccore/NZ_CP018047.1?report=graph&amp;from=3059318&amp;to=3059322", "TTA_codon")</f>
        <v>TTA_codon</v>
      </c>
    </row>
    <row r="4359" spans="1:15" x14ac:dyDescent="0.15">
      <c r="A4359" t="s">
        <v>21</v>
      </c>
      <c r="B4359">
        <v>1000198</v>
      </c>
      <c r="C4359">
        <v>365563</v>
      </c>
      <c r="F4359" s="7">
        <v>1</v>
      </c>
      <c r="G4359" s="7">
        <v>55</v>
      </c>
      <c r="H4359" s="8">
        <v>55</v>
      </c>
      <c r="J4359" t="s">
        <v>23</v>
      </c>
      <c r="K4359" s="7">
        <v>879</v>
      </c>
      <c r="L4359" s="9">
        <v>1</v>
      </c>
      <c r="M4359" t="s">
        <v>213</v>
      </c>
      <c r="N4359" t="s">
        <v>214</v>
      </c>
      <c r="O4359" s="27" t="str">
        <f>HYPERLINK("https://www.ncbi.nlm.nih.gov/nuccore/NZ_FNST01000002.1?report=graph&amp;from=2948147&amp;to=2948151", "TTA_codon")</f>
        <v>TTA_codon</v>
      </c>
    </row>
    <row r="4360" spans="1:15" x14ac:dyDescent="0.15">
      <c r="A4360" t="s">
        <v>21</v>
      </c>
      <c r="B4360">
        <v>1000198</v>
      </c>
      <c r="C4360">
        <v>365918</v>
      </c>
      <c r="F4360" s="7">
        <v>1</v>
      </c>
      <c r="G4360" s="7">
        <v>301</v>
      </c>
      <c r="H4360" s="8">
        <v>295</v>
      </c>
      <c r="J4360" t="s">
        <v>23</v>
      </c>
      <c r="K4360" s="7">
        <v>858</v>
      </c>
      <c r="L4360" s="9">
        <v>1</v>
      </c>
      <c r="M4360" t="s">
        <v>3370</v>
      </c>
      <c r="N4360" t="s">
        <v>115</v>
      </c>
      <c r="O4360" s="27" t="str">
        <f>HYPERLINK("https://www.ncbi.nlm.nih.gov/nuccore/NZ_FODD01000019.1?report=graph&amp;from=152083&amp;to=152087", "TTA_codon")</f>
        <v>TTA_codon</v>
      </c>
    </row>
    <row r="4361" spans="1:15" x14ac:dyDescent="0.15">
      <c r="A4361" t="s">
        <v>21</v>
      </c>
      <c r="B4361" t="s">
        <v>3371</v>
      </c>
    </row>
    <row r="4362" spans="1:15" x14ac:dyDescent="0.15">
      <c r="A4362" t="s">
        <v>21</v>
      </c>
      <c r="B4362">
        <v>1001308</v>
      </c>
      <c r="C4362">
        <v>359364</v>
      </c>
      <c r="F4362" s="7">
        <v>2</v>
      </c>
      <c r="G4362" s="7" t="s">
        <v>1787</v>
      </c>
      <c r="H4362" s="8" t="s">
        <v>1787</v>
      </c>
      <c r="J4362" t="s">
        <v>23</v>
      </c>
      <c r="K4362" s="7">
        <v>1239</v>
      </c>
      <c r="L4362" s="9">
        <v>-1</v>
      </c>
      <c r="M4362" t="s">
        <v>3372</v>
      </c>
      <c r="N4362" t="s">
        <v>89</v>
      </c>
      <c r="O4362" s="27" t="str">
        <f>HYPERLINK("https://www.ncbi.nlm.nih.gov/nuccore/NZ_LIRG01000705.1?report=graph&amp;from=1270&amp;to=1301", "TTA_codon")</f>
        <v>TTA_codon</v>
      </c>
    </row>
    <row r="4363" spans="1:15" x14ac:dyDescent="0.15">
      <c r="A4363" t="s">
        <v>21</v>
      </c>
      <c r="B4363">
        <v>1001308</v>
      </c>
      <c r="C4363">
        <v>361916</v>
      </c>
      <c r="F4363" s="7">
        <v>2</v>
      </c>
      <c r="G4363" s="7" t="s">
        <v>1787</v>
      </c>
      <c r="H4363" s="8" t="s">
        <v>1787</v>
      </c>
      <c r="J4363" t="s">
        <v>23</v>
      </c>
      <c r="K4363" s="7">
        <v>1230</v>
      </c>
      <c r="L4363" s="9">
        <v>-1</v>
      </c>
      <c r="M4363" t="s">
        <v>3373</v>
      </c>
      <c r="N4363" t="s">
        <v>187</v>
      </c>
      <c r="O4363" s="27" t="str">
        <f>HYPERLINK("https://www.ncbi.nlm.nih.gov/nuccore/NZ_MAXF01000094.1?report=graph&amp;from=14393&amp;to=14424", "TTA_codon")</f>
        <v>TTA_codon</v>
      </c>
    </row>
    <row r="4364" spans="1:15" x14ac:dyDescent="0.15">
      <c r="A4364" t="s">
        <v>21</v>
      </c>
      <c r="B4364" t="s">
        <v>3374</v>
      </c>
    </row>
    <row r="4365" spans="1:15" x14ac:dyDescent="0.15">
      <c r="A4365" t="s">
        <v>21</v>
      </c>
      <c r="B4365">
        <v>1000692</v>
      </c>
      <c r="C4365">
        <v>350980</v>
      </c>
      <c r="F4365" s="7">
        <v>1</v>
      </c>
      <c r="G4365" s="7">
        <v>148</v>
      </c>
      <c r="H4365" s="8">
        <v>148</v>
      </c>
      <c r="J4365" t="s">
        <v>23</v>
      </c>
      <c r="K4365" s="7">
        <v>549</v>
      </c>
      <c r="L4365" s="9">
        <v>1</v>
      </c>
      <c r="M4365" t="s">
        <v>3375</v>
      </c>
      <c r="N4365" t="s">
        <v>51</v>
      </c>
      <c r="O4365" s="27" t="str">
        <f>HYPERLINK("https://www.ncbi.nlm.nih.gov/nuccore/NZ_AEJB01000629.1?report=graph&amp;from=12653&amp;to=12657", "TTA_codon")</f>
        <v>TTA_codon</v>
      </c>
    </row>
    <row r="4366" spans="1:15" x14ac:dyDescent="0.15">
      <c r="A4366" t="s">
        <v>21</v>
      </c>
      <c r="B4366">
        <v>1000692</v>
      </c>
      <c r="C4366">
        <v>353397</v>
      </c>
      <c r="F4366" s="7">
        <v>1</v>
      </c>
      <c r="G4366" s="7">
        <v>148</v>
      </c>
      <c r="H4366" s="8">
        <v>148</v>
      </c>
      <c r="J4366" t="s">
        <v>23</v>
      </c>
      <c r="K4366" s="7">
        <v>549</v>
      </c>
      <c r="L4366" s="9">
        <v>1</v>
      </c>
      <c r="M4366" t="s">
        <v>1452</v>
      </c>
      <c r="N4366" t="s">
        <v>169</v>
      </c>
      <c r="O4366" s="27" t="str">
        <f>HYPERLINK("https://www.ncbi.nlm.nih.gov/nuccore/NZ_JNWJ01000084.1?report=graph&amp;from=30744&amp;to=30748", "TTA_codon")</f>
        <v>TTA_codon</v>
      </c>
    </row>
    <row r="4367" spans="1:15" x14ac:dyDescent="0.15">
      <c r="A4367" t="s">
        <v>21</v>
      </c>
      <c r="B4367">
        <v>1000692</v>
      </c>
      <c r="C4367">
        <v>362360</v>
      </c>
      <c r="F4367" s="7">
        <v>1</v>
      </c>
      <c r="G4367" s="7">
        <v>148</v>
      </c>
      <c r="H4367" s="8">
        <v>145</v>
      </c>
      <c r="J4367" t="s">
        <v>23</v>
      </c>
      <c r="K4367" s="7">
        <v>546</v>
      </c>
      <c r="L4367" s="9">
        <v>1</v>
      </c>
      <c r="M4367" t="s">
        <v>39</v>
      </c>
      <c r="N4367" t="s">
        <v>40</v>
      </c>
      <c r="O4367" s="27" t="str">
        <f>HYPERLINK("https://www.ncbi.nlm.nih.gov/nuccore/NZ_CP017157.1?report=graph&amp;from=4947731&amp;to=4947735", "TTA_codon")</f>
        <v>TTA_codon</v>
      </c>
    </row>
    <row r="4368" spans="1:15" x14ac:dyDescent="0.15">
      <c r="A4368" t="s">
        <v>21</v>
      </c>
      <c r="B4368" t="s">
        <v>3376</v>
      </c>
    </row>
    <row r="4369" spans="1:15" x14ac:dyDescent="0.15">
      <c r="A4369" t="s">
        <v>21</v>
      </c>
      <c r="B4369">
        <v>1000504</v>
      </c>
      <c r="C4369">
        <v>349375</v>
      </c>
      <c r="F4369" s="7">
        <v>1</v>
      </c>
      <c r="G4369" s="7">
        <v>154</v>
      </c>
      <c r="H4369" s="8">
        <v>94</v>
      </c>
      <c r="J4369" t="s">
        <v>23</v>
      </c>
      <c r="K4369" s="7">
        <v>1542</v>
      </c>
      <c r="L4369" s="9">
        <v>1</v>
      </c>
      <c r="M4369" t="s">
        <v>458</v>
      </c>
      <c r="N4369" t="s">
        <v>315</v>
      </c>
      <c r="O4369" s="27" t="str">
        <f>HYPERLINK("https://www.ncbi.nlm.nih.gov/nuccore/NC_003888.3?report=graph&amp;from=2823747&amp;to=2823751", "TTA_codon")</f>
        <v>TTA_codon</v>
      </c>
    </row>
    <row r="4370" spans="1:15" x14ac:dyDescent="0.15">
      <c r="A4370" t="s">
        <v>21</v>
      </c>
      <c r="B4370">
        <v>1000504</v>
      </c>
      <c r="C4370">
        <v>350924</v>
      </c>
      <c r="F4370" s="7">
        <v>1</v>
      </c>
      <c r="G4370" s="7">
        <v>154</v>
      </c>
      <c r="H4370" s="8">
        <v>145</v>
      </c>
      <c r="J4370" t="s">
        <v>23</v>
      </c>
      <c r="K4370" s="7">
        <v>1599</v>
      </c>
      <c r="L4370" s="9">
        <v>1</v>
      </c>
      <c r="M4370" t="s">
        <v>3377</v>
      </c>
      <c r="N4370" t="s">
        <v>51</v>
      </c>
      <c r="O4370" s="27" t="str">
        <f>HYPERLINK("https://www.ncbi.nlm.nih.gov/nuccore/NZ_AEJB01000577.1?report=graph&amp;from=277&amp;to=281", "TTA_codon")</f>
        <v>TTA_codon</v>
      </c>
    </row>
    <row r="4371" spans="1:15" x14ac:dyDescent="0.15">
      <c r="A4371" t="s">
        <v>21</v>
      </c>
      <c r="B4371">
        <v>1000504</v>
      </c>
      <c r="C4371">
        <v>358497</v>
      </c>
      <c r="F4371" s="7">
        <v>1</v>
      </c>
      <c r="G4371" s="7">
        <v>127</v>
      </c>
      <c r="H4371" s="8">
        <v>112</v>
      </c>
      <c r="J4371" t="s">
        <v>23</v>
      </c>
      <c r="K4371" s="7">
        <v>1599</v>
      </c>
      <c r="L4371" s="9">
        <v>1</v>
      </c>
      <c r="M4371" t="s">
        <v>575</v>
      </c>
      <c r="N4371" t="s">
        <v>85</v>
      </c>
      <c r="O4371" s="27" t="str">
        <f>HYPERLINK("https://www.ncbi.nlm.nih.gov/nuccore/NZ_LIQX01000120.1?report=graph&amp;from=11586&amp;to=11590", "TTA_codon")</f>
        <v>TTA_codon</v>
      </c>
    </row>
    <row r="4372" spans="1:15" x14ac:dyDescent="0.15">
      <c r="A4372" t="s">
        <v>21</v>
      </c>
      <c r="B4372">
        <v>1000504</v>
      </c>
      <c r="C4372">
        <v>359385</v>
      </c>
      <c r="F4372" s="7">
        <v>1</v>
      </c>
      <c r="G4372" s="7">
        <v>88</v>
      </c>
      <c r="H4372" s="8">
        <v>79</v>
      </c>
      <c r="J4372" t="s">
        <v>23</v>
      </c>
      <c r="K4372" s="7">
        <v>1605</v>
      </c>
      <c r="L4372" s="9">
        <v>1</v>
      </c>
      <c r="M4372" t="s">
        <v>578</v>
      </c>
      <c r="N4372" t="s">
        <v>89</v>
      </c>
      <c r="O4372" s="27" t="str">
        <f>HYPERLINK("https://www.ncbi.nlm.nih.gov/nuccore/NZ_LIRG01000031.1?report=graph&amp;from=489&amp;to=493", "TTA_codon")</f>
        <v>TTA_codon</v>
      </c>
    </row>
    <row r="4373" spans="1:15" x14ac:dyDescent="0.15">
      <c r="A4373" t="s">
        <v>21</v>
      </c>
      <c r="B4373">
        <v>1000504</v>
      </c>
      <c r="C4373">
        <v>366896</v>
      </c>
      <c r="F4373" s="7">
        <v>1</v>
      </c>
      <c r="G4373" s="7">
        <v>127</v>
      </c>
      <c r="H4373" s="8">
        <v>88</v>
      </c>
      <c r="J4373" t="s">
        <v>23</v>
      </c>
      <c r="K4373" s="7">
        <v>1563</v>
      </c>
      <c r="L4373" s="9">
        <v>1</v>
      </c>
      <c r="M4373" t="s">
        <v>3069</v>
      </c>
      <c r="N4373" t="s">
        <v>3070</v>
      </c>
      <c r="O4373" s="27" t="str">
        <f>HYPERLINK("https://www.ncbi.nlm.nih.gov/nuccore/KX507344.1?report=graph&amp;from=35200&amp;to=35204", "TTA_codon")</f>
        <v>TTA_codon</v>
      </c>
    </row>
    <row r="4374" spans="1:15" x14ac:dyDescent="0.15">
      <c r="A4374" t="s">
        <v>21</v>
      </c>
      <c r="B4374">
        <v>1000504</v>
      </c>
      <c r="C4374">
        <v>366941</v>
      </c>
      <c r="F4374" s="7">
        <v>1</v>
      </c>
      <c r="G4374" s="7">
        <v>97</v>
      </c>
      <c r="H4374" s="8">
        <v>94</v>
      </c>
      <c r="J4374" t="s">
        <v>23</v>
      </c>
      <c r="K4374" s="7">
        <v>1608</v>
      </c>
      <c r="L4374" s="9">
        <v>1</v>
      </c>
      <c r="M4374" t="s">
        <v>3093</v>
      </c>
      <c r="N4374" t="s">
        <v>3094</v>
      </c>
      <c r="O4374" s="27" t="str">
        <f>HYPERLINK("https://www.ncbi.nlm.nih.gov/nuccore/MH171095.1?report=graph&amp;from=36294&amp;to=36298", "TTA_codon")</f>
        <v>TTA_codon</v>
      </c>
    </row>
    <row r="4375" spans="1:15" x14ac:dyDescent="0.15">
      <c r="A4375" t="s">
        <v>21</v>
      </c>
      <c r="B4375">
        <v>1000504</v>
      </c>
      <c r="C4375">
        <v>367221</v>
      </c>
      <c r="F4375" s="7">
        <v>1</v>
      </c>
      <c r="G4375" s="7">
        <v>97</v>
      </c>
      <c r="H4375" s="8">
        <v>85</v>
      </c>
      <c r="J4375" t="s">
        <v>23</v>
      </c>
      <c r="K4375" s="7">
        <v>1599</v>
      </c>
      <c r="L4375" s="9">
        <v>1</v>
      </c>
      <c r="M4375" t="s">
        <v>3119</v>
      </c>
      <c r="N4375" t="s">
        <v>3120</v>
      </c>
      <c r="O4375" s="27" t="str">
        <f>HYPERLINK("https://www.ncbi.nlm.nih.gov/nuccore/MW365951.1?report=graph&amp;from=36264&amp;to=36268", "TTA_codon")</f>
        <v>TTA_codon</v>
      </c>
    </row>
    <row r="4376" spans="1:15" x14ac:dyDescent="0.15">
      <c r="A4376" t="s">
        <v>21</v>
      </c>
      <c r="B4376">
        <v>1000504</v>
      </c>
      <c r="C4376">
        <v>367250</v>
      </c>
      <c r="F4376" s="7">
        <v>1</v>
      </c>
      <c r="G4376" s="7">
        <v>127</v>
      </c>
      <c r="H4376" s="8">
        <v>88</v>
      </c>
      <c r="J4376" t="s">
        <v>23</v>
      </c>
      <c r="K4376" s="7">
        <v>1563</v>
      </c>
      <c r="L4376" s="9">
        <v>1</v>
      </c>
      <c r="M4376" t="s">
        <v>3123</v>
      </c>
      <c r="N4376" t="s">
        <v>3124</v>
      </c>
      <c r="O4376" s="27" t="str">
        <f>HYPERLINK("https://www.ncbi.nlm.nih.gov/nuccore/NC_021304.1?report=graph&amp;from=35491&amp;to=35495", "TTA_codon")</f>
        <v>TTA_codon</v>
      </c>
    </row>
    <row r="4377" spans="1:15" x14ac:dyDescent="0.15">
      <c r="A4377" t="s">
        <v>21</v>
      </c>
      <c r="B4377">
        <v>1000504</v>
      </c>
      <c r="C4377">
        <v>367398</v>
      </c>
      <c r="F4377" s="7">
        <v>1</v>
      </c>
      <c r="G4377" s="7">
        <v>97</v>
      </c>
      <c r="H4377" s="8">
        <v>85</v>
      </c>
      <c r="J4377" t="s">
        <v>23</v>
      </c>
      <c r="K4377" s="7">
        <v>1599</v>
      </c>
      <c r="L4377" s="9">
        <v>1</v>
      </c>
      <c r="M4377" t="s">
        <v>3151</v>
      </c>
      <c r="N4377" t="s">
        <v>3152</v>
      </c>
      <c r="O4377" s="27" t="str">
        <f>HYPERLINK("https://www.ncbi.nlm.nih.gov/nuccore/NC_054678.1?report=graph&amp;from=36313&amp;to=36317", "TTA_codon")</f>
        <v>TTA_codon</v>
      </c>
    </row>
    <row r="4378" spans="1:15" x14ac:dyDescent="0.15">
      <c r="A4378" t="s">
        <v>21</v>
      </c>
      <c r="B4378">
        <v>1000504</v>
      </c>
      <c r="C4378">
        <v>367417</v>
      </c>
      <c r="F4378" s="7">
        <v>1</v>
      </c>
      <c r="G4378" s="7">
        <v>97</v>
      </c>
      <c r="H4378" s="8">
        <v>85</v>
      </c>
      <c r="J4378" t="s">
        <v>23</v>
      </c>
      <c r="K4378" s="7">
        <v>1599</v>
      </c>
      <c r="L4378" s="9">
        <v>1</v>
      </c>
      <c r="M4378" t="s">
        <v>3157</v>
      </c>
      <c r="N4378" t="s">
        <v>3158</v>
      </c>
      <c r="O4378" s="27" t="str">
        <f>HYPERLINK("https://www.ncbi.nlm.nih.gov/nuccore/NC_054679.1?report=graph&amp;from=36261&amp;to=36265", "TTA_codon")</f>
        <v>TTA_codon</v>
      </c>
    </row>
    <row r="4379" spans="1:15" x14ac:dyDescent="0.15">
      <c r="A4379" t="s">
        <v>21</v>
      </c>
      <c r="B4379" t="s">
        <v>3378</v>
      </c>
    </row>
    <row r="4380" spans="1:15" x14ac:dyDescent="0.15">
      <c r="A4380" t="s">
        <v>21</v>
      </c>
      <c r="B4380">
        <v>1000613</v>
      </c>
      <c r="C4380">
        <v>350313</v>
      </c>
      <c r="F4380" s="7">
        <v>1</v>
      </c>
      <c r="G4380" s="7">
        <v>232</v>
      </c>
      <c r="H4380" s="8">
        <v>232</v>
      </c>
      <c r="J4380" t="s">
        <v>23</v>
      </c>
      <c r="K4380" s="7">
        <v>1770</v>
      </c>
      <c r="L4380" s="9">
        <v>-1</v>
      </c>
      <c r="M4380" t="s">
        <v>35</v>
      </c>
      <c r="N4380" t="s">
        <v>36</v>
      </c>
      <c r="O4380" s="27" t="str">
        <f>HYPERLINK("https://www.ncbi.nlm.nih.gov/nuccore/NZ_JH725387.1?report=graph&amp;from=110372&amp;to=110376", "TTA_codon")</f>
        <v>TTA_codon</v>
      </c>
    </row>
    <row r="4381" spans="1:15" x14ac:dyDescent="0.15">
      <c r="A4381" t="s">
        <v>21</v>
      </c>
      <c r="B4381">
        <v>1000613</v>
      </c>
      <c r="C4381">
        <v>353799</v>
      </c>
      <c r="F4381" s="7">
        <v>1</v>
      </c>
      <c r="G4381" s="7">
        <v>127</v>
      </c>
      <c r="H4381" s="8">
        <v>79</v>
      </c>
      <c r="J4381" t="s">
        <v>23</v>
      </c>
      <c r="K4381" s="7">
        <v>1686</v>
      </c>
      <c r="L4381" s="9">
        <v>-1</v>
      </c>
      <c r="M4381" t="s">
        <v>3379</v>
      </c>
      <c r="N4381" t="s">
        <v>246</v>
      </c>
      <c r="O4381" s="27" t="str">
        <f>HYPERLINK("https://www.ncbi.nlm.nih.gov/nuccore/NZ_JNYR01000011.1?report=graph&amp;from=108442&amp;to=108446", "TTA_codon")</f>
        <v>TTA_codon</v>
      </c>
    </row>
    <row r="4382" spans="1:15" x14ac:dyDescent="0.15">
      <c r="A4382" t="s">
        <v>21</v>
      </c>
      <c r="B4382" t="s">
        <v>3380</v>
      </c>
    </row>
    <row r="4383" spans="1:15" x14ac:dyDescent="0.15">
      <c r="A4383" t="s">
        <v>21</v>
      </c>
      <c r="B4383">
        <v>1000300</v>
      </c>
      <c r="C4383">
        <v>347904</v>
      </c>
      <c r="F4383" s="7">
        <v>1</v>
      </c>
      <c r="G4383" s="7">
        <v>211</v>
      </c>
      <c r="H4383" s="8">
        <v>151</v>
      </c>
      <c r="J4383" t="s">
        <v>23</v>
      </c>
      <c r="K4383" s="7">
        <v>1440</v>
      </c>
      <c r="L4383" s="9">
        <v>1</v>
      </c>
      <c r="M4383" t="s">
        <v>57</v>
      </c>
      <c r="N4383" t="s">
        <v>58</v>
      </c>
      <c r="O4383" s="27" t="str">
        <f>HYPERLINK("https://www.ncbi.nlm.nih.gov/nuccore/NC_013929.1?report=graph&amp;from=1756740&amp;to=1756744", "TTA_codon")</f>
        <v>TTA_codon</v>
      </c>
    </row>
    <row r="4384" spans="1:15" x14ac:dyDescent="0.15">
      <c r="A4384" t="s">
        <v>21</v>
      </c>
      <c r="B4384">
        <v>1000300</v>
      </c>
      <c r="C4384">
        <v>349881</v>
      </c>
      <c r="F4384" s="7">
        <v>1</v>
      </c>
      <c r="G4384" s="7">
        <v>334</v>
      </c>
      <c r="H4384" s="8">
        <v>286</v>
      </c>
      <c r="J4384" t="s">
        <v>23</v>
      </c>
      <c r="K4384" s="7">
        <v>1539</v>
      </c>
      <c r="L4384" s="9">
        <v>1</v>
      </c>
      <c r="M4384" t="s">
        <v>265</v>
      </c>
      <c r="N4384" t="s">
        <v>266</v>
      </c>
      <c r="O4384" s="27" t="str">
        <f>HYPERLINK("https://www.ncbi.nlm.nih.gov/nuccore/NC_017586.1?report=graph&amp;from=1286729&amp;to=1286733", "TTA_codon")</f>
        <v>TTA_codon</v>
      </c>
    </row>
    <row r="4385" spans="1:15" x14ac:dyDescent="0.15">
      <c r="A4385" t="s">
        <v>21</v>
      </c>
      <c r="B4385">
        <v>1000300</v>
      </c>
      <c r="C4385">
        <v>351112</v>
      </c>
      <c r="F4385" s="7">
        <v>1</v>
      </c>
      <c r="G4385" s="7">
        <v>241</v>
      </c>
      <c r="H4385" s="8">
        <v>214</v>
      </c>
      <c r="J4385" t="s">
        <v>23</v>
      </c>
      <c r="K4385" s="7">
        <v>1587</v>
      </c>
      <c r="L4385" s="9">
        <v>1</v>
      </c>
      <c r="M4385" t="s">
        <v>3381</v>
      </c>
      <c r="N4385" t="s">
        <v>136</v>
      </c>
      <c r="O4385" s="27" t="str">
        <f>HYPERLINK("https://www.ncbi.nlm.nih.gov/nuccore/NZ_AORZ01000196.1?report=graph&amp;from=6212&amp;to=6216", "TTA_codon")</f>
        <v>TTA_codon</v>
      </c>
    </row>
    <row r="4386" spans="1:15" x14ac:dyDescent="0.15">
      <c r="A4386" t="s">
        <v>21</v>
      </c>
      <c r="B4386">
        <v>1000300</v>
      </c>
      <c r="C4386">
        <v>352350</v>
      </c>
      <c r="F4386" s="7">
        <v>1</v>
      </c>
      <c r="G4386" s="7">
        <v>784</v>
      </c>
      <c r="H4386" s="8">
        <v>658</v>
      </c>
      <c r="J4386" t="s">
        <v>23</v>
      </c>
      <c r="K4386" s="7">
        <v>1677</v>
      </c>
      <c r="L4386" s="9">
        <v>1</v>
      </c>
      <c r="M4386" t="s">
        <v>3382</v>
      </c>
      <c r="N4386" t="s">
        <v>72</v>
      </c>
      <c r="O4386" s="27" t="str">
        <f>HYPERLINK("https://www.ncbi.nlm.nih.gov/nuccore/NZ_KB905815.1?report=graph&amp;from=296498&amp;to=296502", "TTA_codon")</f>
        <v>TTA_codon</v>
      </c>
    </row>
    <row r="4387" spans="1:15" x14ac:dyDescent="0.15">
      <c r="A4387" t="s">
        <v>21</v>
      </c>
      <c r="B4387">
        <v>1000300</v>
      </c>
      <c r="C4387">
        <v>353012</v>
      </c>
      <c r="F4387" s="7">
        <v>1</v>
      </c>
      <c r="G4387" s="7">
        <v>301</v>
      </c>
      <c r="H4387" s="8">
        <v>247</v>
      </c>
      <c r="J4387" t="s">
        <v>23</v>
      </c>
      <c r="K4387" s="7">
        <v>1746</v>
      </c>
      <c r="L4387" s="9">
        <v>1</v>
      </c>
      <c r="M4387" t="s">
        <v>3383</v>
      </c>
      <c r="N4387" t="s">
        <v>306</v>
      </c>
      <c r="O4387" s="27" t="str">
        <f>HYPERLINK("https://www.ncbi.nlm.nih.gov/nuccore/NZ_KL571082.1?report=graph&amp;from=59730&amp;to=59734", "TTA_codon")</f>
        <v>TTA_codon</v>
      </c>
    </row>
    <row r="4388" spans="1:15" x14ac:dyDescent="0.15">
      <c r="A4388" t="s">
        <v>21</v>
      </c>
      <c r="B4388">
        <v>1000300</v>
      </c>
      <c r="C4388">
        <v>355774</v>
      </c>
      <c r="F4388" s="7">
        <v>1</v>
      </c>
      <c r="G4388" s="7">
        <v>211</v>
      </c>
      <c r="H4388" s="8">
        <v>190</v>
      </c>
      <c r="J4388" t="s">
        <v>23</v>
      </c>
      <c r="K4388" s="7">
        <v>1587</v>
      </c>
      <c r="L4388" s="9">
        <v>1</v>
      </c>
      <c r="M4388" t="s">
        <v>425</v>
      </c>
      <c r="N4388" t="s">
        <v>278</v>
      </c>
      <c r="O4388" s="27" t="str">
        <f>HYPERLINK("https://www.ncbi.nlm.nih.gov/nuccore/NZ_JOID01000005.1?report=graph&amp;from=54928&amp;to=54932", "TTA_codon")</f>
        <v>TTA_codon</v>
      </c>
    </row>
    <row r="4389" spans="1:15" x14ac:dyDescent="0.15">
      <c r="A4389" t="s">
        <v>21</v>
      </c>
      <c r="B4389">
        <v>1000300</v>
      </c>
      <c r="C4389">
        <v>362076</v>
      </c>
      <c r="F4389" s="7">
        <v>1</v>
      </c>
      <c r="G4389" s="7">
        <v>535</v>
      </c>
      <c r="H4389" s="8">
        <v>508</v>
      </c>
      <c r="J4389" t="s">
        <v>23</v>
      </c>
      <c r="K4389" s="7">
        <v>1581</v>
      </c>
      <c r="L4389" s="9">
        <v>1</v>
      </c>
      <c r="M4389" t="s">
        <v>3384</v>
      </c>
      <c r="N4389" t="s">
        <v>187</v>
      </c>
      <c r="O4389" s="27" t="str">
        <f>HYPERLINK("https://www.ncbi.nlm.nih.gov/nuccore/NZ_MAXF01000016.1?report=graph&amp;from=38639&amp;to=38643", "TTA_codon")</f>
        <v>TTA_codon</v>
      </c>
    </row>
    <row r="4390" spans="1:15" x14ac:dyDescent="0.15">
      <c r="A4390" t="s">
        <v>21</v>
      </c>
      <c r="B4390">
        <v>1000300</v>
      </c>
      <c r="C4390">
        <v>362773</v>
      </c>
      <c r="F4390" s="7">
        <v>1</v>
      </c>
      <c r="G4390" s="7">
        <v>412</v>
      </c>
      <c r="H4390" s="8">
        <v>394</v>
      </c>
      <c r="J4390" t="s">
        <v>23</v>
      </c>
      <c r="K4390" s="7">
        <v>1611</v>
      </c>
      <c r="L4390" s="9">
        <v>1</v>
      </c>
      <c r="M4390" t="s">
        <v>3385</v>
      </c>
      <c r="N4390" t="s">
        <v>985</v>
      </c>
      <c r="O4390" s="27" t="str">
        <f>HYPERLINK("https://www.ncbi.nlm.nih.gov/nuccore/NZ_LJGU01000132.1?report=graph&amp;from=96515&amp;to=96519", "TTA_codon")</f>
        <v>TTA_codon</v>
      </c>
    </row>
    <row r="4391" spans="1:15" x14ac:dyDescent="0.15">
      <c r="A4391" t="s">
        <v>21</v>
      </c>
      <c r="B4391">
        <v>1000300</v>
      </c>
      <c r="C4391">
        <v>363824</v>
      </c>
      <c r="F4391" s="7">
        <v>1</v>
      </c>
      <c r="G4391" s="7">
        <v>520</v>
      </c>
      <c r="H4391" s="8">
        <v>493</v>
      </c>
      <c r="J4391" t="s">
        <v>23</v>
      </c>
      <c r="K4391" s="7">
        <v>1581</v>
      </c>
      <c r="L4391" s="9">
        <v>1</v>
      </c>
      <c r="M4391" t="s">
        <v>101</v>
      </c>
      <c r="N4391" t="s">
        <v>102</v>
      </c>
      <c r="O4391" s="27" t="str">
        <f>HYPERLINK("https://www.ncbi.nlm.nih.gov/nuccore/NZ_CP019458.1?report=graph&amp;from=3406213&amp;to=3406217", "TTA_codon")</f>
        <v>TTA_codon</v>
      </c>
    </row>
    <row r="4392" spans="1:15" x14ac:dyDescent="0.15">
      <c r="A4392" t="s">
        <v>21</v>
      </c>
      <c r="B4392">
        <v>1000300</v>
      </c>
      <c r="C4392">
        <v>365731</v>
      </c>
      <c r="F4392" s="7">
        <v>1</v>
      </c>
      <c r="G4392" s="7">
        <v>520</v>
      </c>
      <c r="H4392" s="8">
        <v>493</v>
      </c>
      <c r="J4392" t="s">
        <v>23</v>
      </c>
      <c r="K4392" s="7">
        <v>1581</v>
      </c>
      <c r="L4392" s="9">
        <v>1</v>
      </c>
      <c r="M4392" t="s">
        <v>213</v>
      </c>
      <c r="N4392" t="s">
        <v>214</v>
      </c>
      <c r="O4392" s="27" t="str">
        <f>HYPERLINK("https://www.ncbi.nlm.nih.gov/nuccore/NZ_FNST01000002.1?report=graph&amp;from=1034638&amp;to=1034642", "TTA_codon")</f>
        <v>TTA_codon</v>
      </c>
    </row>
    <row r="4393" spans="1:15" x14ac:dyDescent="0.15">
      <c r="A4393" t="s">
        <v>21</v>
      </c>
      <c r="B4393">
        <v>1000300</v>
      </c>
      <c r="C4393">
        <v>365986</v>
      </c>
      <c r="F4393" s="7">
        <v>1</v>
      </c>
      <c r="G4393" s="7">
        <v>520</v>
      </c>
      <c r="H4393" s="8">
        <v>454</v>
      </c>
      <c r="J4393" t="s">
        <v>23</v>
      </c>
      <c r="K4393" s="7">
        <v>1530</v>
      </c>
      <c r="L4393" s="9">
        <v>1</v>
      </c>
      <c r="M4393" t="s">
        <v>3386</v>
      </c>
      <c r="N4393" t="s">
        <v>115</v>
      </c>
      <c r="O4393" s="27" t="str">
        <f>HYPERLINK("https://www.ncbi.nlm.nih.gov/nuccore/NZ_FODD01000008.1?report=graph&amp;from=134064&amp;to=134068", "TTA_codon")</f>
        <v>TTA_codon</v>
      </c>
    </row>
    <row r="4394" spans="1:15" x14ac:dyDescent="0.15">
      <c r="A4394" t="s">
        <v>21</v>
      </c>
      <c r="B4394">
        <v>1000300</v>
      </c>
      <c r="C4394">
        <v>366221</v>
      </c>
      <c r="F4394" s="7">
        <v>1</v>
      </c>
      <c r="G4394" s="7">
        <v>361</v>
      </c>
      <c r="H4394" s="8">
        <v>328</v>
      </c>
      <c r="J4394" t="s">
        <v>23</v>
      </c>
      <c r="K4394" s="7">
        <v>1551</v>
      </c>
      <c r="L4394" s="9">
        <v>1</v>
      </c>
      <c r="M4394" t="s">
        <v>3387</v>
      </c>
      <c r="N4394" t="s">
        <v>178</v>
      </c>
      <c r="O4394" s="27" t="str">
        <f>HYPERLINK("https://www.ncbi.nlm.nih.gov/nuccore/NZ_FOGO01000018.1?report=graph&amp;from=87665&amp;to=87669", "TTA_codon")</f>
        <v>TTA_codon</v>
      </c>
    </row>
    <row r="4395" spans="1:15" x14ac:dyDescent="0.15">
      <c r="A4395" t="s">
        <v>21</v>
      </c>
      <c r="B4395" t="s">
        <v>3388</v>
      </c>
    </row>
    <row r="4396" spans="1:15" x14ac:dyDescent="0.15">
      <c r="A4396" t="s">
        <v>21</v>
      </c>
      <c r="B4396">
        <v>1000678</v>
      </c>
      <c r="C4396">
        <v>348181</v>
      </c>
      <c r="F4396" s="7">
        <v>2</v>
      </c>
      <c r="G4396" s="7" t="s">
        <v>3389</v>
      </c>
      <c r="H4396" s="8" t="s">
        <v>3390</v>
      </c>
      <c r="J4396" t="s">
        <v>23</v>
      </c>
      <c r="K4396" s="7">
        <v>1005</v>
      </c>
      <c r="L4396" s="9">
        <v>1</v>
      </c>
      <c r="M4396" t="s">
        <v>59</v>
      </c>
      <c r="N4396" t="s">
        <v>60</v>
      </c>
      <c r="O4396" s="27" t="str">
        <f>HYPERLINK("https://www.ncbi.nlm.nih.gov/nuccore/NC_016582.1?report=graph&amp;from=8152779&amp;to=8152786", "TTA_codon")</f>
        <v>TTA_codon</v>
      </c>
    </row>
    <row r="4397" spans="1:15" x14ac:dyDescent="0.15">
      <c r="A4397" t="s">
        <v>21</v>
      </c>
      <c r="B4397">
        <v>1000678</v>
      </c>
      <c r="C4397">
        <v>350547</v>
      </c>
      <c r="F4397" s="7">
        <v>1</v>
      </c>
      <c r="G4397" s="7">
        <v>160</v>
      </c>
      <c r="H4397" s="8">
        <v>154</v>
      </c>
      <c r="J4397" t="s">
        <v>23</v>
      </c>
      <c r="K4397" s="7">
        <v>912</v>
      </c>
      <c r="L4397" s="9">
        <v>1</v>
      </c>
      <c r="M4397" t="s">
        <v>3391</v>
      </c>
      <c r="N4397" t="s">
        <v>134</v>
      </c>
      <c r="O4397" s="27" t="str">
        <f>HYPERLINK("https://www.ncbi.nlm.nih.gov/nuccore/NZ_AJSZ01000062.1?report=graph&amp;from=571&amp;to=575", "TTA_codon")</f>
        <v>TTA_codon</v>
      </c>
    </row>
    <row r="4398" spans="1:15" x14ac:dyDescent="0.15">
      <c r="A4398" t="s">
        <v>21</v>
      </c>
      <c r="B4398">
        <v>1000678</v>
      </c>
      <c r="C4398">
        <v>350805</v>
      </c>
      <c r="F4398" s="7">
        <v>2</v>
      </c>
      <c r="G4398" s="7" t="s">
        <v>3392</v>
      </c>
      <c r="H4398" s="8" t="s">
        <v>3393</v>
      </c>
      <c r="J4398" t="s">
        <v>23</v>
      </c>
      <c r="K4398" s="7">
        <v>987</v>
      </c>
      <c r="L4398" s="9">
        <v>1</v>
      </c>
      <c r="M4398" t="s">
        <v>3394</v>
      </c>
      <c r="N4398" t="s">
        <v>51</v>
      </c>
      <c r="O4398" s="27" t="str">
        <f>HYPERLINK("https://www.ncbi.nlm.nih.gov/nuccore/NZ_AEJB01000045.1?report=graph&amp;from=18797&amp;to=18804", "TTA_codon")</f>
        <v>TTA_codon</v>
      </c>
    </row>
    <row r="4399" spans="1:15" x14ac:dyDescent="0.15">
      <c r="A4399" t="s">
        <v>21</v>
      </c>
      <c r="B4399">
        <v>1000678</v>
      </c>
      <c r="C4399">
        <v>351274</v>
      </c>
      <c r="F4399" s="7">
        <v>1</v>
      </c>
      <c r="G4399" s="7">
        <v>604</v>
      </c>
      <c r="H4399" s="8">
        <v>571</v>
      </c>
      <c r="J4399" t="s">
        <v>23</v>
      </c>
      <c r="K4399" s="7">
        <v>963</v>
      </c>
      <c r="L4399" s="9">
        <v>1</v>
      </c>
      <c r="M4399" t="s">
        <v>65</v>
      </c>
      <c r="N4399" t="s">
        <v>66</v>
      </c>
      <c r="O4399" s="27" t="str">
        <f>HYPERLINK("https://www.ncbi.nlm.nih.gov/nuccore/NC_020504.1?report=graph&amp;from=6792162&amp;to=6792166", "TTA_codon")</f>
        <v>TTA_codon</v>
      </c>
    </row>
    <row r="4400" spans="1:15" x14ac:dyDescent="0.15">
      <c r="A4400" t="s">
        <v>21</v>
      </c>
      <c r="B4400">
        <v>1000678</v>
      </c>
      <c r="C4400">
        <v>364855</v>
      </c>
      <c r="F4400" s="7">
        <v>2</v>
      </c>
      <c r="G4400" s="7" t="s">
        <v>3395</v>
      </c>
      <c r="H4400" s="8" t="s">
        <v>3396</v>
      </c>
      <c r="J4400" t="s">
        <v>23</v>
      </c>
      <c r="K4400" s="7">
        <v>984</v>
      </c>
      <c r="L4400" s="9">
        <v>1</v>
      </c>
      <c r="M4400" t="s">
        <v>126</v>
      </c>
      <c r="N4400" t="s">
        <v>127</v>
      </c>
      <c r="O4400" s="27" t="str">
        <f>HYPERLINK("https://www.ncbi.nlm.nih.gov/nuccore/NZ_CP021748.1?report=graph&amp;from=69149&amp;to=69168", "TTA_codon")</f>
        <v>TTA_codon</v>
      </c>
    </row>
    <row r="4401" spans="1:15" x14ac:dyDescent="0.15">
      <c r="A4401" t="s">
        <v>21</v>
      </c>
      <c r="B4401" t="s">
        <v>3397</v>
      </c>
    </row>
    <row r="4402" spans="1:15" x14ac:dyDescent="0.15">
      <c r="A4402" t="s">
        <v>21</v>
      </c>
      <c r="B4402">
        <v>1000988</v>
      </c>
      <c r="C4402">
        <v>354017</v>
      </c>
      <c r="F4402" s="7">
        <v>1</v>
      </c>
      <c r="G4402" s="7">
        <v>475</v>
      </c>
      <c r="H4402" s="8">
        <v>466</v>
      </c>
      <c r="J4402" t="s">
        <v>23</v>
      </c>
      <c r="K4402" s="7">
        <v>1536</v>
      </c>
      <c r="L4402" s="9">
        <v>-1</v>
      </c>
      <c r="M4402" t="s">
        <v>1887</v>
      </c>
      <c r="N4402" t="s">
        <v>270</v>
      </c>
      <c r="O4402" s="27" t="str">
        <f>HYPERLINK("https://www.ncbi.nlm.nih.gov/nuccore/NZ_JOBH01000008.1?report=graph&amp;from=201784&amp;to=201788", "TTA_codon")</f>
        <v>TTA_codon</v>
      </c>
    </row>
    <row r="4403" spans="1:15" x14ac:dyDescent="0.15">
      <c r="A4403" t="s">
        <v>21</v>
      </c>
      <c r="B4403">
        <v>1000988</v>
      </c>
      <c r="C4403">
        <v>356941</v>
      </c>
      <c r="F4403" s="7">
        <v>1</v>
      </c>
      <c r="G4403" s="7">
        <v>364</v>
      </c>
      <c r="H4403" s="8">
        <v>364</v>
      </c>
      <c r="J4403" t="s">
        <v>23</v>
      </c>
      <c r="K4403" s="7">
        <v>1485</v>
      </c>
      <c r="L4403" s="9">
        <v>-1</v>
      </c>
      <c r="M4403" t="s">
        <v>78</v>
      </c>
      <c r="N4403" t="s">
        <v>79</v>
      </c>
      <c r="O4403" s="27" t="str">
        <f>HYPERLINK("https://www.ncbi.nlm.nih.gov/nuccore/NZ_CP009313.1?report=graph&amp;from=1034522&amp;to=1034526", "TTA_codon")</f>
        <v>TTA_codon</v>
      </c>
    </row>
    <row r="4404" spans="1:15" x14ac:dyDescent="0.15">
      <c r="A4404" t="s">
        <v>21</v>
      </c>
      <c r="B4404">
        <v>1000988</v>
      </c>
      <c r="C4404">
        <v>362331</v>
      </c>
      <c r="F4404" s="7">
        <v>1</v>
      </c>
      <c r="G4404" s="7">
        <v>481</v>
      </c>
      <c r="H4404" s="8">
        <v>472</v>
      </c>
      <c r="J4404" t="s">
        <v>23</v>
      </c>
      <c r="K4404" s="7">
        <v>1503</v>
      </c>
      <c r="L4404" s="9">
        <v>-1</v>
      </c>
      <c r="M4404" t="s">
        <v>39</v>
      </c>
      <c r="N4404" t="s">
        <v>40</v>
      </c>
      <c r="O4404" s="27" t="str">
        <f>HYPERLINK("https://www.ncbi.nlm.nih.gov/nuccore/NZ_CP017157.1?report=graph&amp;from=177115&amp;to=177119", "TTA_codon")</f>
        <v>TTA_codon</v>
      </c>
    </row>
    <row r="4405" spans="1:15" x14ac:dyDescent="0.15">
      <c r="A4405" t="s">
        <v>21</v>
      </c>
      <c r="B4405" t="s">
        <v>3398</v>
      </c>
    </row>
    <row r="4406" spans="1:15" x14ac:dyDescent="0.15">
      <c r="A4406" t="s">
        <v>21</v>
      </c>
      <c r="B4406">
        <v>1000760</v>
      </c>
      <c r="C4406">
        <v>351549</v>
      </c>
      <c r="F4406" s="7">
        <v>1</v>
      </c>
      <c r="G4406" s="7">
        <v>175</v>
      </c>
      <c r="H4406" s="8">
        <v>145</v>
      </c>
      <c r="J4406" t="s">
        <v>23</v>
      </c>
      <c r="K4406" s="7">
        <v>1563</v>
      </c>
      <c r="L4406" s="9">
        <v>1</v>
      </c>
      <c r="M4406" t="s">
        <v>1567</v>
      </c>
      <c r="N4406" t="s">
        <v>138</v>
      </c>
      <c r="O4406" s="27" t="str">
        <f>HYPERLINK("https://www.ncbi.nlm.nih.gov/nuccore/NZ_KB889561.1?report=graph&amp;from=247864&amp;to=247868", "TTA_codon")</f>
        <v>TTA_codon</v>
      </c>
    </row>
    <row r="4407" spans="1:15" x14ac:dyDescent="0.15">
      <c r="A4407" t="s">
        <v>21</v>
      </c>
      <c r="B4407">
        <v>1000760</v>
      </c>
      <c r="C4407">
        <v>354016</v>
      </c>
      <c r="F4407" s="7">
        <v>1</v>
      </c>
      <c r="G4407" s="7">
        <v>199</v>
      </c>
      <c r="H4407" s="8">
        <v>157</v>
      </c>
      <c r="J4407" t="s">
        <v>23</v>
      </c>
      <c r="K4407" s="7">
        <v>1551</v>
      </c>
      <c r="L4407" s="9">
        <v>1</v>
      </c>
      <c r="M4407" t="s">
        <v>1887</v>
      </c>
      <c r="N4407" t="s">
        <v>270</v>
      </c>
      <c r="O4407" s="27" t="str">
        <f>HYPERLINK("https://www.ncbi.nlm.nih.gov/nuccore/NZ_JOBH01000008.1?report=graph&amp;from=42691&amp;to=42695", "TTA_codon")</f>
        <v>TTA_codon</v>
      </c>
    </row>
    <row r="4408" spans="1:15" x14ac:dyDescent="0.15">
      <c r="A4408" t="s">
        <v>21</v>
      </c>
      <c r="B4408">
        <v>1000760</v>
      </c>
      <c r="C4408">
        <v>364559</v>
      </c>
      <c r="F4408" s="7">
        <v>1</v>
      </c>
      <c r="G4408" s="7">
        <v>175</v>
      </c>
      <c r="H4408" s="8">
        <v>175</v>
      </c>
      <c r="J4408" t="s">
        <v>23</v>
      </c>
      <c r="K4408" s="7">
        <v>1590</v>
      </c>
      <c r="L4408" s="9">
        <v>1</v>
      </c>
      <c r="M4408" t="s">
        <v>3399</v>
      </c>
      <c r="N4408" t="s">
        <v>108</v>
      </c>
      <c r="O4408" s="27" t="str">
        <f>HYPERLINK("https://www.ncbi.nlm.nih.gov/nuccore/NZ_MUMD01000170.1?report=graph&amp;from=7408&amp;to=7412", "TTA_codon")</f>
        <v>TTA_codon</v>
      </c>
    </row>
    <row r="4409" spans="1:15" x14ac:dyDescent="0.15">
      <c r="A4409" t="s">
        <v>21</v>
      </c>
      <c r="B4409" t="s">
        <v>3400</v>
      </c>
    </row>
    <row r="4410" spans="1:15" x14ac:dyDescent="0.15">
      <c r="A4410" t="s">
        <v>21</v>
      </c>
      <c r="B4410">
        <v>1001379</v>
      </c>
      <c r="C4410">
        <v>361641</v>
      </c>
      <c r="F4410" s="7">
        <v>3</v>
      </c>
      <c r="G4410" s="7" t="s">
        <v>3401</v>
      </c>
      <c r="H4410" s="8" t="s">
        <v>3401</v>
      </c>
      <c r="J4410" t="s">
        <v>23</v>
      </c>
      <c r="K4410" s="7">
        <v>942</v>
      </c>
      <c r="L4410" s="9">
        <v>1</v>
      </c>
      <c r="M4410" t="s">
        <v>37</v>
      </c>
      <c r="N4410" t="s">
        <v>38</v>
      </c>
      <c r="O4410" s="27" t="str">
        <f>HYPERLINK("https://www.ncbi.nlm.nih.gov/nuccore/NZ_CP011533.1?report=graph&amp;from=9512050&amp;to=9512846", "TTA_codon")</f>
        <v>TTA_codon</v>
      </c>
    </row>
    <row r="4411" spans="1:15" x14ac:dyDescent="0.15">
      <c r="A4411" t="s">
        <v>21</v>
      </c>
      <c r="B4411">
        <v>1001379</v>
      </c>
      <c r="C4411">
        <v>361642</v>
      </c>
      <c r="F4411" s="7">
        <v>3</v>
      </c>
      <c r="G4411" s="7" t="s">
        <v>3401</v>
      </c>
      <c r="H4411" s="8" t="s">
        <v>3401</v>
      </c>
      <c r="J4411" t="s">
        <v>23</v>
      </c>
      <c r="K4411" s="7">
        <v>942</v>
      </c>
      <c r="L4411" s="9">
        <v>1</v>
      </c>
      <c r="M4411" t="s">
        <v>37</v>
      </c>
      <c r="N4411" t="s">
        <v>38</v>
      </c>
      <c r="O4411" s="27" t="str">
        <f>HYPERLINK("https://www.ncbi.nlm.nih.gov/nuccore/NZ_CP011533.1?report=graph&amp;from=9560804&amp;to=9561600", "TTA_codon")</f>
        <v>TTA_codon</v>
      </c>
    </row>
    <row r="4412" spans="1:15" x14ac:dyDescent="0.15">
      <c r="A4412" t="s">
        <v>21</v>
      </c>
      <c r="B4412" t="s">
        <v>3402</v>
      </c>
    </row>
    <row r="4413" spans="1:15" x14ac:dyDescent="0.15">
      <c r="A4413" t="s">
        <v>21</v>
      </c>
      <c r="B4413">
        <v>1000687</v>
      </c>
      <c r="C4413">
        <v>348301</v>
      </c>
      <c r="F4413" s="7">
        <v>1</v>
      </c>
      <c r="G4413" s="7">
        <v>40</v>
      </c>
      <c r="H4413" s="8">
        <v>40</v>
      </c>
      <c r="J4413" t="s">
        <v>23</v>
      </c>
      <c r="K4413" s="7">
        <v>633</v>
      </c>
      <c r="L4413" s="9">
        <v>-1</v>
      </c>
      <c r="M4413" t="s">
        <v>59</v>
      </c>
      <c r="N4413" t="s">
        <v>60</v>
      </c>
      <c r="O4413" s="27" t="str">
        <f>HYPERLINK("https://www.ncbi.nlm.nih.gov/nuccore/NC_016582.1?report=graph&amp;from=9482711&amp;to=9482715", "TTA_codon")</f>
        <v>TTA_codon</v>
      </c>
    </row>
    <row r="4414" spans="1:15" x14ac:dyDescent="0.15">
      <c r="A4414" t="s">
        <v>21</v>
      </c>
      <c r="B4414">
        <v>1000687</v>
      </c>
      <c r="C4414">
        <v>348951</v>
      </c>
      <c r="F4414" s="7">
        <v>1</v>
      </c>
      <c r="G4414" s="7">
        <v>40</v>
      </c>
      <c r="H4414" s="8">
        <v>40</v>
      </c>
      <c r="J4414" t="s">
        <v>23</v>
      </c>
      <c r="K4414" s="7">
        <v>627</v>
      </c>
      <c r="L4414" s="9">
        <v>-1</v>
      </c>
      <c r="M4414" t="s">
        <v>211</v>
      </c>
      <c r="N4414" t="s">
        <v>212</v>
      </c>
      <c r="O4414" s="27" t="str">
        <f>HYPERLINK("https://www.ncbi.nlm.nih.gov/nuccore/NZ_GG657754.1?report=graph&amp;from=7964797&amp;to=7964801", "TTA_codon")</f>
        <v>TTA_codon</v>
      </c>
    </row>
    <row r="4415" spans="1:15" x14ac:dyDescent="0.15">
      <c r="A4415" t="s">
        <v>21</v>
      </c>
      <c r="B4415">
        <v>1000687</v>
      </c>
      <c r="C4415">
        <v>349150</v>
      </c>
      <c r="F4415" s="7">
        <v>1</v>
      </c>
      <c r="G4415" s="7">
        <v>40</v>
      </c>
      <c r="H4415" s="8">
        <v>40</v>
      </c>
      <c r="J4415" t="s">
        <v>23</v>
      </c>
      <c r="K4415" s="7">
        <v>645</v>
      </c>
      <c r="L4415" s="9">
        <v>-1</v>
      </c>
      <c r="M4415" t="s">
        <v>211</v>
      </c>
      <c r="N4415" t="s">
        <v>212</v>
      </c>
      <c r="O4415" s="27" t="str">
        <f>HYPERLINK("https://www.ncbi.nlm.nih.gov/nuccore/NZ_GG657754.1?report=graph&amp;from=7964094&amp;to=7964098", "TTA_codon")</f>
        <v>TTA_codon</v>
      </c>
    </row>
    <row r="4416" spans="1:15" x14ac:dyDescent="0.15">
      <c r="A4416" t="s">
        <v>21</v>
      </c>
      <c r="B4416">
        <v>1000687</v>
      </c>
      <c r="C4416">
        <v>350912</v>
      </c>
      <c r="F4416" s="7">
        <v>1</v>
      </c>
      <c r="G4416" s="7">
        <v>40</v>
      </c>
      <c r="H4416" s="8">
        <v>40</v>
      </c>
      <c r="J4416" t="s">
        <v>23</v>
      </c>
      <c r="K4416" s="7">
        <v>615</v>
      </c>
      <c r="L4416" s="9">
        <v>-1</v>
      </c>
      <c r="M4416" t="s">
        <v>3403</v>
      </c>
      <c r="N4416" t="s">
        <v>51</v>
      </c>
      <c r="O4416" s="27" t="str">
        <f>HYPERLINK("https://www.ncbi.nlm.nih.gov/nuccore/NZ_AEJB01000441.1?report=graph&amp;from=31835&amp;to=31839", "TTA_codon")</f>
        <v>TTA_codon</v>
      </c>
    </row>
    <row r="4417" spans="1:15" x14ac:dyDescent="0.15">
      <c r="A4417" t="s">
        <v>21</v>
      </c>
      <c r="B4417" t="s">
        <v>3404</v>
      </c>
    </row>
    <row r="4418" spans="1:15" x14ac:dyDescent="0.15">
      <c r="A4418" t="s">
        <v>21</v>
      </c>
      <c r="B4418">
        <v>1001155</v>
      </c>
      <c r="C4418">
        <v>356293</v>
      </c>
      <c r="F4418" s="7">
        <v>1</v>
      </c>
      <c r="G4418" s="7">
        <v>145</v>
      </c>
      <c r="H4418" s="8">
        <v>145</v>
      </c>
      <c r="J4418" t="s">
        <v>23</v>
      </c>
      <c r="K4418" s="7">
        <v>387</v>
      </c>
      <c r="L4418" s="9">
        <v>-1</v>
      </c>
      <c r="M4418" t="s">
        <v>2196</v>
      </c>
      <c r="N4418" t="s">
        <v>77</v>
      </c>
      <c r="O4418" s="27" t="str">
        <f>HYPERLINK("https://www.ncbi.nlm.nih.gov/nuccore/NZ_JNXD01000008.1?report=graph&amp;from=114616&amp;to=114620", "TTA_codon")</f>
        <v>TTA_codon</v>
      </c>
    </row>
    <row r="4419" spans="1:15" x14ac:dyDescent="0.15">
      <c r="A4419" t="s">
        <v>21</v>
      </c>
      <c r="B4419">
        <v>1001155</v>
      </c>
      <c r="C4419">
        <v>357826</v>
      </c>
      <c r="F4419" s="7">
        <v>1</v>
      </c>
      <c r="G4419" s="7">
        <v>145</v>
      </c>
      <c r="H4419" s="8">
        <v>145</v>
      </c>
      <c r="J4419" t="s">
        <v>23</v>
      </c>
      <c r="K4419" s="7">
        <v>387</v>
      </c>
      <c r="L4419" s="9">
        <v>-1</v>
      </c>
      <c r="M4419" t="s">
        <v>3405</v>
      </c>
      <c r="N4419" t="s">
        <v>83</v>
      </c>
      <c r="O4419" s="27" t="str">
        <f>HYPERLINK("https://www.ncbi.nlm.nih.gov/nuccore/NZ_DF968363.1?report=graph&amp;from=22806&amp;to=22810", "TTA_codon")</f>
        <v>TTA_codon</v>
      </c>
    </row>
    <row r="4420" spans="1:15" x14ac:dyDescent="0.15">
      <c r="A4420" t="s">
        <v>21</v>
      </c>
      <c r="B4420" t="s">
        <v>3406</v>
      </c>
    </row>
    <row r="4421" spans="1:15" x14ac:dyDescent="0.15">
      <c r="A4421" t="s">
        <v>21</v>
      </c>
      <c r="B4421">
        <v>1000796</v>
      </c>
      <c r="C4421">
        <v>351947</v>
      </c>
      <c r="F4421" s="7">
        <v>1</v>
      </c>
      <c r="G4421" s="7">
        <v>1663</v>
      </c>
      <c r="H4421" s="8">
        <v>1663</v>
      </c>
      <c r="J4421" t="s">
        <v>23</v>
      </c>
      <c r="K4421" s="7">
        <v>3102</v>
      </c>
      <c r="L4421" s="9">
        <v>-1</v>
      </c>
      <c r="M4421" t="s">
        <v>2678</v>
      </c>
      <c r="N4421" t="s">
        <v>68</v>
      </c>
      <c r="O4421" s="27" t="str">
        <f>HYPERLINK("https://www.ncbi.nlm.nih.gov/nuccore/NZ_BARG01000002.1?report=graph&amp;from=88333&amp;to=88337", "TTA_codon")</f>
        <v>TTA_codon</v>
      </c>
    </row>
    <row r="4422" spans="1:15" x14ac:dyDescent="0.15">
      <c r="A4422" t="s">
        <v>21</v>
      </c>
      <c r="B4422">
        <v>1000796</v>
      </c>
      <c r="C4422">
        <v>358180</v>
      </c>
      <c r="F4422" s="7">
        <v>2</v>
      </c>
      <c r="G4422" s="7" t="s">
        <v>3407</v>
      </c>
      <c r="H4422" s="8" t="s">
        <v>3407</v>
      </c>
      <c r="J4422" t="s">
        <v>23</v>
      </c>
      <c r="K4422" s="7">
        <v>3102</v>
      </c>
      <c r="L4422" s="9">
        <v>-1</v>
      </c>
      <c r="M4422" t="s">
        <v>1480</v>
      </c>
      <c r="N4422" t="s">
        <v>119</v>
      </c>
      <c r="O4422" s="27" t="str">
        <f>HYPERLINK("https://www.ncbi.nlm.nih.gov/nuccore/NZ_LIPP01000311.1?report=graph&amp;from=14781&amp;to=14926", "TTA_codon")</f>
        <v>TTA_codon</v>
      </c>
    </row>
    <row r="4423" spans="1:15" x14ac:dyDescent="0.15">
      <c r="A4423" t="s">
        <v>21</v>
      </c>
      <c r="B4423" t="s">
        <v>3408</v>
      </c>
    </row>
    <row r="4424" spans="1:15" x14ac:dyDescent="0.15">
      <c r="A4424" t="s">
        <v>21</v>
      </c>
      <c r="B4424">
        <v>1000437</v>
      </c>
      <c r="C4424">
        <v>348004</v>
      </c>
      <c r="F4424" s="7">
        <v>1</v>
      </c>
      <c r="G4424" s="7">
        <v>214</v>
      </c>
      <c r="H4424" s="8">
        <v>205</v>
      </c>
      <c r="J4424" t="s">
        <v>23</v>
      </c>
      <c r="K4424" s="7">
        <v>1098</v>
      </c>
      <c r="L4424" s="9">
        <v>-1</v>
      </c>
      <c r="M4424" t="s">
        <v>59</v>
      </c>
      <c r="N4424" t="s">
        <v>60</v>
      </c>
      <c r="O4424" s="27" t="str">
        <f>HYPERLINK("https://www.ncbi.nlm.nih.gov/nuccore/NC_016582.1?report=graph&amp;from=10257235&amp;to=10257239", "TTA_codon")</f>
        <v>TTA_codon</v>
      </c>
    </row>
    <row r="4425" spans="1:15" x14ac:dyDescent="0.15">
      <c r="A4425" t="s">
        <v>21</v>
      </c>
      <c r="B4425">
        <v>1000437</v>
      </c>
      <c r="C4425">
        <v>348007</v>
      </c>
      <c r="F4425" s="7">
        <v>2</v>
      </c>
      <c r="G4425" s="7" t="s">
        <v>3409</v>
      </c>
      <c r="H4425" s="8" t="s">
        <v>2928</v>
      </c>
      <c r="J4425" t="s">
        <v>23</v>
      </c>
      <c r="K4425" s="7">
        <v>1083</v>
      </c>
      <c r="L4425" s="9">
        <v>-1</v>
      </c>
      <c r="M4425" t="s">
        <v>59</v>
      </c>
      <c r="N4425" t="s">
        <v>60</v>
      </c>
      <c r="O4425" s="27" t="str">
        <f>HYPERLINK("https://www.ncbi.nlm.nih.gov/nuccore/NC_016582.1?report=graph&amp;from=10315895&amp;to=10316703", "TTA_codon")</f>
        <v>TTA_codon</v>
      </c>
    </row>
    <row r="4426" spans="1:15" x14ac:dyDescent="0.15">
      <c r="A4426" t="s">
        <v>21</v>
      </c>
      <c r="B4426">
        <v>1000437</v>
      </c>
      <c r="C4426">
        <v>348008</v>
      </c>
      <c r="F4426" s="7">
        <v>3</v>
      </c>
      <c r="G4426" s="7" t="s">
        <v>3410</v>
      </c>
      <c r="H4426" s="8" t="s">
        <v>3411</v>
      </c>
      <c r="J4426" t="s">
        <v>23</v>
      </c>
      <c r="K4426" s="7">
        <v>1083</v>
      </c>
      <c r="L4426" s="9">
        <v>-1</v>
      </c>
      <c r="M4426" t="s">
        <v>59</v>
      </c>
      <c r="N4426" t="s">
        <v>60</v>
      </c>
      <c r="O4426" s="27" t="str">
        <f>HYPERLINK("https://www.ncbi.nlm.nih.gov/nuccore/NC_016582.1?report=graph&amp;from=1637372&amp;to=1638180", "TTA_codon")</f>
        <v>TTA_codon</v>
      </c>
    </row>
    <row r="4427" spans="1:15" x14ac:dyDescent="0.15">
      <c r="A4427" t="s">
        <v>21</v>
      </c>
      <c r="B4427">
        <v>1000437</v>
      </c>
      <c r="C4427">
        <v>348723</v>
      </c>
      <c r="F4427" s="7">
        <v>1</v>
      </c>
      <c r="G4427" s="7">
        <v>223</v>
      </c>
      <c r="H4427" s="8">
        <v>223</v>
      </c>
      <c r="J4427" t="s">
        <v>23</v>
      </c>
      <c r="K4427" s="7">
        <v>306</v>
      </c>
      <c r="L4427" s="9">
        <v>-1</v>
      </c>
      <c r="M4427" t="s">
        <v>211</v>
      </c>
      <c r="N4427" t="s">
        <v>212</v>
      </c>
      <c r="O4427" s="27" t="str">
        <f>HYPERLINK("https://www.ncbi.nlm.nih.gov/nuccore/NZ_GG657754.1?report=graph&amp;from=8563008&amp;to=8563012", "TTA_codon")</f>
        <v>TTA_codon</v>
      </c>
    </row>
    <row r="4428" spans="1:15" x14ac:dyDescent="0.15">
      <c r="A4428" t="s">
        <v>21</v>
      </c>
      <c r="B4428">
        <v>1000437</v>
      </c>
      <c r="C4428">
        <v>348725</v>
      </c>
      <c r="F4428" s="7">
        <v>2</v>
      </c>
      <c r="G4428" s="7" t="s">
        <v>3409</v>
      </c>
      <c r="H4428" s="8" t="s">
        <v>3412</v>
      </c>
      <c r="J4428" t="s">
        <v>23</v>
      </c>
      <c r="K4428" s="7">
        <v>942</v>
      </c>
      <c r="L4428" s="9">
        <v>-1</v>
      </c>
      <c r="M4428" t="s">
        <v>211</v>
      </c>
      <c r="N4428" t="s">
        <v>212</v>
      </c>
      <c r="O4428" s="27" t="str">
        <f>HYPERLINK("https://www.ncbi.nlm.nih.gov/nuccore/NZ_GG657754.1?report=graph&amp;from=8579176&amp;to=8579984", "TTA_codon")</f>
        <v>TTA_codon</v>
      </c>
    </row>
    <row r="4429" spans="1:15" x14ac:dyDescent="0.15">
      <c r="A4429" t="s">
        <v>21</v>
      </c>
      <c r="B4429">
        <v>1000437</v>
      </c>
      <c r="C4429">
        <v>348885</v>
      </c>
      <c r="F4429" s="7">
        <v>1</v>
      </c>
      <c r="G4429" s="7">
        <v>1042</v>
      </c>
      <c r="H4429" s="8">
        <v>697</v>
      </c>
      <c r="J4429" t="s">
        <v>23</v>
      </c>
      <c r="K4429" s="7">
        <v>753</v>
      </c>
      <c r="L4429" s="9">
        <v>-1</v>
      </c>
      <c r="M4429" t="s">
        <v>211</v>
      </c>
      <c r="N4429" t="s">
        <v>212</v>
      </c>
      <c r="O4429" s="27" t="str">
        <f>HYPERLINK("https://www.ncbi.nlm.nih.gov/nuccore/NZ_GG657754.1?report=graph&amp;from=8562204&amp;to=8562208", "TTA_codon")</f>
        <v>TTA_codon</v>
      </c>
    </row>
    <row r="4430" spans="1:15" x14ac:dyDescent="0.15">
      <c r="A4430" t="s">
        <v>21</v>
      </c>
      <c r="B4430">
        <v>1000437</v>
      </c>
      <c r="C4430">
        <v>351525</v>
      </c>
      <c r="F4430" s="7">
        <v>1</v>
      </c>
      <c r="G4430" s="7">
        <v>988</v>
      </c>
      <c r="H4430" s="8">
        <v>973</v>
      </c>
      <c r="J4430" t="s">
        <v>23</v>
      </c>
      <c r="K4430" s="7">
        <v>1071</v>
      </c>
      <c r="L4430" s="9">
        <v>-1</v>
      </c>
      <c r="M4430" t="s">
        <v>3413</v>
      </c>
      <c r="N4430" t="s">
        <v>138</v>
      </c>
      <c r="O4430" s="27" t="str">
        <f>HYPERLINK("https://www.ncbi.nlm.nih.gov/nuccore/NZ_KB889600.1?report=graph&amp;from=2098&amp;to=2102", "TTA_codon")</f>
        <v>TTA_codon</v>
      </c>
    </row>
    <row r="4431" spans="1:15" x14ac:dyDescent="0.15">
      <c r="A4431" t="s">
        <v>21</v>
      </c>
      <c r="B4431">
        <v>1000437</v>
      </c>
      <c r="C4431">
        <v>361900</v>
      </c>
      <c r="F4431" s="7">
        <v>1</v>
      </c>
      <c r="G4431" s="7">
        <v>214</v>
      </c>
      <c r="H4431" s="8">
        <v>205</v>
      </c>
      <c r="J4431" t="s">
        <v>23</v>
      </c>
      <c r="K4431" s="7">
        <v>1098</v>
      </c>
      <c r="L4431" s="9">
        <v>-1</v>
      </c>
      <c r="M4431" t="s">
        <v>1342</v>
      </c>
      <c r="N4431" t="s">
        <v>187</v>
      </c>
      <c r="O4431" s="27" t="str">
        <f>HYPERLINK("https://www.ncbi.nlm.nih.gov/nuccore/NZ_MAXF01000223.1?report=graph&amp;from=14537&amp;to=14541", "TTA_codon")</f>
        <v>TTA_codon</v>
      </c>
    </row>
    <row r="4432" spans="1:15" x14ac:dyDescent="0.15">
      <c r="A4432" t="s">
        <v>21</v>
      </c>
      <c r="B4432">
        <v>1000437</v>
      </c>
      <c r="C4432">
        <v>361901</v>
      </c>
      <c r="F4432" s="7">
        <v>1</v>
      </c>
      <c r="G4432" s="7">
        <v>214</v>
      </c>
      <c r="H4432" s="8">
        <v>205</v>
      </c>
      <c r="J4432" t="s">
        <v>23</v>
      </c>
      <c r="K4432" s="7">
        <v>945</v>
      </c>
      <c r="L4432" s="9">
        <v>-1</v>
      </c>
      <c r="M4432" t="s">
        <v>3414</v>
      </c>
      <c r="N4432" t="s">
        <v>187</v>
      </c>
      <c r="O4432" s="27" t="str">
        <f>HYPERLINK("https://www.ncbi.nlm.nih.gov/nuccore/NZ_MAXF01000225.1?report=graph&amp;from=752&amp;to=756", "TTA_codon")</f>
        <v>TTA_codon</v>
      </c>
    </row>
    <row r="4433" spans="1:15" x14ac:dyDescent="0.15">
      <c r="A4433" t="s">
        <v>21</v>
      </c>
      <c r="B4433" t="s">
        <v>3415</v>
      </c>
    </row>
    <row r="4434" spans="1:15" x14ac:dyDescent="0.15">
      <c r="A4434" t="s">
        <v>21</v>
      </c>
      <c r="B4434">
        <v>1001553</v>
      </c>
      <c r="C4434">
        <v>366987</v>
      </c>
      <c r="F4434" s="7">
        <v>2</v>
      </c>
      <c r="G4434" s="7" t="s">
        <v>3416</v>
      </c>
      <c r="H4434" s="8" t="s">
        <v>3416</v>
      </c>
      <c r="J4434" t="s">
        <v>23</v>
      </c>
      <c r="K4434" s="7">
        <v>234</v>
      </c>
      <c r="L4434" s="9">
        <v>1</v>
      </c>
      <c r="M4434" t="s">
        <v>222</v>
      </c>
      <c r="N4434" t="s">
        <v>223</v>
      </c>
      <c r="O4434" s="27" t="str">
        <f>HYPERLINK("https://www.ncbi.nlm.nih.gov/nuccore/MK359332.1?report=graph&amp;from=85899&amp;to=85942", "TTA_codon")</f>
        <v>TTA_codon</v>
      </c>
    </row>
    <row r="4435" spans="1:15" x14ac:dyDescent="0.15">
      <c r="A4435" t="s">
        <v>21</v>
      </c>
      <c r="B4435">
        <v>1001553</v>
      </c>
      <c r="C4435">
        <v>366998</v>
      </c>
      <c r="F4435" s="7">
        <v>2</v>
      </c>
      <c r="G4435" s="7" t="s">
        <v>3416</v>
      </c>
      <c r="H4435" s="8" t="s">
        <v>3416</v>
      </c>
      <c r="J4435" t="s">
        <v>23</v>
      </c>
      <c r="K4435" s="7">
        <v>234</v>
      </c>
      <c r="L4435" s="9">
        <v>1</v>
      </c>
      <c r="M4435" t="s">
        <v>224</v>
      </c>
      <c r="N4435" t="s">
        <v>225</v>
      </c>
      <c r="O4435" s="27" t="str">
        <f>HYPERLINK("https://www.ncbi.nlm.nih.gov/nuccore/MK359351.1?report=graph&amp;from=85785&amp;to=85828", "TTA_codon")</f>
        <v>TTA_codon</v>
      </c>
    </row>
    <row r="4436" spans="1:15" x14ac:dyDescent="0.15">
      <c r="A4436" t="s">
        <v>21</v>
      </c>
      <c r="B4436">
        <v>1001553</v>
      </c>
      <c r="C4436">
        <v>367031</v>
      </c>
      <c r="F4436" s="7">
        <v>1</v>
      </c>
      <c r="G4436" s="7">
        <v>91</v>
      </c>
      <c r="H4436" s="8">
        <v>91</v>
      </c>
      <c r="J4436" t="s">
        <v>23</v>
      </c>
      <c r="K4436" s="7">
        <v>234</v>
      </c>
      <c r="L4436" s="9">
        <v>1</v>
      </c>
      <c r="M4436" t="s">
        <v>226</v>
      </c>
      <c r="N4436" t="s">
        <v>227</v>
      </c>
      <c r="O4436" s="27" t="str">
        <f>HYPERLINK("https://www.ncbi.nlm.nih.gov/nuccore/MK801722.1?report=graph&amp;from=83343&amp;to=83347", "TTA_codon")</f>
        <v>TTA_codon</v>
      </c>
    </row>
    <row r="4437" spans="1:15" x14ac:dyDescent="0.15">
      <c r="A4437" t="s">
        <v>21</v>
      </c>
      <c r="B4437">
        <v>1001553</v>
      </c>
      <c r="C4437">
        <v>367365</v>
      </c>
      <c r="F4437" s="7">
        <v>1</v>
      </c>
      <c r="G4437" s="7">
        <v>91</v>
      </c>
      <c r="H4437" s="8">
        <v>91</v>
      </c>
      <c r="J4437" t="s">
        <v>23</v>
      </c>
      <c r="K4437" s="7">
        <v>234</v>
      </c>
      <c r="L4437" s="9">
        <v>1</v>
      </c>
      <c r="M4437" t="s">
        <v>240</v>
      </c>
      <c r="N4437" t="s">
        <v>241</v>
      </c>
      <c r="O4437" s="27" t="str">
        <f>HYPERLINK("https://www.ncbi.nlm.nih.gov/nuccore/NC_048724.1?report=graph&amp;from=85722&amp;to=85726", "TTA_codon")</f>
        <v>TTA_codon</v>
      </c>
    </row>
    <row r="4438" spans="1:15" x14ac:dyDescent="0.15">
      <c r="A4438" t="s">
        <v>21</v>
      </c>
      <c r="B4438">
        <v>1001553</v>
      </c>
      <c r="C4438">
        <v>367378</v>
      </c>
      <c r="F4438" s="7">
        <v>2</v>
      </c>
      <c r="G4438" s="7" t="s">
        <v>3416</v>
      </c>
      <c r="H4438" s="8" t="s">
        <v>3416</v>
      </c>
      <c r="J4438" t="s">
        <v>23</v>
      </c>
      <c r="K4438" s="7">
        <v>234</v>
      </c>
      <c r="L4438" s="9">
        <v>1</v>
      </c>
      <c r="M4438" t="s">
        <v>242</v>
      </c>
      <c r="N4438" t="s">
        <v>243</v>
      </c>
      <c r="O4438" s="27" t="str">
        <f>HYPERLINK("https://www.ncbi.nlm.nih.gov/nuccore/NC_048730.1?report=graph&amp;from=85361&amp;to=85404", "TTA_codon")</f>
        <v>TTA_codon</v>
      </c>
    </row>
    <row r="4439" spans="1:15" x14ac:dyDescent="0.15">
      <c r="A4439" t="s">
        <v>21</v>
      </c>
      <c r="B4439" t="s">
        <v>3417</v>
      </c>
    </row>
    <row r="4440" spans="1:15" x14ac:dyDescent="0.15">
      <c r="A4440" t="s">
        <v>21</v>
      </c>
      <c r="B4440">
        <v>1000616</v>
      </c>
      <c r="C4440">
        <v>350330</v>
      </c>
      <c r="F4440" s="7">
        <v>1</v>
      </c>
      <c r="G4440" s="7">
        <v>253</v>
      </c>
      <c r="H4440" s="8">
        <v>208</v>
      </c>
      <c r="J4440" t="s">
        <v>23</v>
      </c>
      <c r="K4440" s="7">
        <v>486</v>
      </c>
      <c r="L4440" s="9">
        <v>1</v>
      </c>
      <c r="M4440" t="s">
        <v>35</v>
      </c>
      <c r="N4440" t="s">
        <v>36</v>
      </c>
      <c r="O4440" s="27" t="str">
        <f>HYPERLINK("https://www.ncbi.nlm.nih.gov/nuccore/NZ_JH725387.1?report=graph&amp;from=3931123&amp;to=3931127", "TTA_codon")</f>
        <v>TTA_codon</v>
      </c>
    </row>
    <row r="4441" spans="1:15" x14ac:dyDescent="0.15">
      <c r="A4441" t="s">
        <v>21</v>
      </c>
      <c r="B4441">
        <v>1000616</v>
      </c>
      <c r="C4441">
        <v>361687</v>
      </c>
      <c r="F4441" s="7">
        <v>1</v>
      </c>
      <c r="G4441" s="7">
        <v>103</v>
      </c>
      <c r="H4441" s="8">
        <v>103</v>
      </c>
      <c r="J4441" t="s">
        <v>23</v>
      </c>
      <c r="K4441" s="7">
        <v>522</v>
      </c>
      <c r="L4441" s="9">
        <v>1</v>
      </c>
      <c r="M4441" t="s">
        <v>37</v>
      </c>
      <c r="N4441" t="s">
        <v>38</v>
      </c>
      <c r="O4441" s="27" t="str">
        <f>HYPERLINK("https://www.ncbi.nlm.nih.gov/nuccore/NZ_CP011533.1?report=graph&amp;from=5490862&amp;to=5490866", "TTA_codon")</f>
        <v>TTA_codon</v>
      </c>
    </row>
    <row r="4442" spans="1:15" x14ac:dyDescent="0.15">
      <c r="A4442" t="s">
        <v>21</v>
      </c>
      <c r="B4442" t="s">
        <v>3418</v>
      </c>
    </row>
    <row r="4443" spans="1:15" x14ac:dyDescent="0.15">
      <c r="A4443" t="s">
        <v>21</v>
      </c>
      <c r="B4443">
        <v>1001548</v>
      </c>
      <c r="C4443">
        <v>366962</v>
      </c>
      <c r="F4443" s="7">
        <v>1</v>
      </c>
      <c r="G4443" s="7">
        <v>58</v>
      </c>
      <c r="H4443" s="8">
        <v>58</v>
      </c>
      <c r="J4443" t="s">
        <v>23</v>
      </c>
      <c r="K4443" s="7">
        <v>489</v>
      </c>
      <c r="L4443" s="9">
        <v>1</v>
      </c>
      <c r="M4443" t="s">
        <v>3419</v>
      </c>
      <c r="N4443" t="s">
        <v>3420</v>
      </c>
      <c r="O4443" s="27" t="str">
        <f>HYPERLINK("https://www.ncbi.nlm.nih.gov/nuccore/MH590589.1?report=graph&amp;from=66653&amp;to=66657", "TTA_codon")</f>
        <v>TTA_codon</v>
      </c>
    </row>
    <row r="4444" spans="1:15" x14ac:dyDescent="0.15">
      <c r="A4444" t="s">
        <v>21</v>
      </c>
      <c r="B4444">
        <v>1001548</v>
      </c>
      <c r="C4444">
        <v>367112</v>
      </c>
      <c r="F4444" s="7">
        <v>1</v>
      </c>
      <c r="G4444" s="7">
        <v>58</v>
      </c>
      <c r="H4444" s="8">
        <v>58</v>
      </c>
      <c r="J4444" t="s">
        <v>23</v>
      </c>
      <c r="K4444" s="7">
        <v>504</v>
      </c>
      <c r="L4444" s="9">
        <v>1</v>
      </c>
      <c r="M4444" t="s">
        <v>801</v>
      </c>
      <c r="N4444" t="s">
        <v>802</v>
      </c>
      <c r="O4444" s="27" t="str">
        <f>HYPERLINK("https://www.ncbi.nlm.nih.gov/nuccore/MN369754.1?report=graph&amp;from=64817&amp;to=64821", "TTA_codon")</f>
        <v>TTA_codon</v>
      </c>
    </row>
    <row r="4445" spans="1:15" x14ac:dyDescent="0.15">
      <c r="A4445" t="s">
        <v>21</v>
      </c>
      <c r="B4445">
        <v>1001548</v>
      </c>
      <c r="C4445">
        <v>367140</v>
      </c>
      <c r="F4445" s="7">
        <v>1</v>
      </c>
      <c r="G4445" s="7">
        <v>58</v>
      </c>
      <c r="H4445" s="8">
        <v>58</v>
      </c>
      <c r="J4445" t="s">
        <v>23</v>
      </c>
      <c r="K4445" s="7">
        <v>507</v>
      </c>
      <c r="L4445" s="9">
        <v>1</v>
      </c>
      <c r="M4445" t="s">
        <v>3421</v>
      </c>
      <c r="N4445" t="s">
        <v>3422</v>
      </c>
      <c r="O4445" s="27" t="str">
        <f>HYPERLINK("https://www.ncbi.nlm.nih.gov/nuccore/MT114162.1?report=graph&amp;from=66679&amp;to=66683", "TTA_codon")</f>
        <v>TTA_codon</v>
      </c>
    </row>
    <row r="4446" spans="1:15" x14ac:dyDescent="0.15">
      <c r="A4446" t="s">
        <v>21</v>
      </c>
      <c r="B4446">
        <v>1001548</v>
      </c>
      <c r="C4446">
        <v>367191</v>
      </c>
      <c r="F4446" s="7">
        <v>1</v>
      </c>
      <c r="G4446" s="7">
        <v>58</v>
      </c>
      <c r="H4446" s="8">
        <v>58</v>
      </c>
      <c r="J4446" t="s">
        <v>23</v>
      </c>
      <c r="K4446" s="7">
        <v>504</v>
      </c>
      <c r="L4446" s="9">
        <v>1</v>
      </c>
      <c r="M4446" t="s">
        <v>3423</v>
      </c>
      <c r="N4446" t="s">
        <v>3424</v>
      </c>
      <c r="O4446" s="27" t="str">
        <f>HYPERLINK("https://www.ncbi.nlm.nih.gov/nuccore/MT952852.1?report=graph&amp;from=65371&amp;to=65375", "TTA_codon")</f>
        <v>TTA_codon</v>
      </c>
    </row>
    <row r="4447" spans="1:15" x14ac:dyDescent="0.15">
      <c r="A4447" t="s">
        <v>21</v>
      </c>
      <c r="B4447">
        <v>1001548</v>
      </c>
      <c r="C4447">
        <v>367215</v>
      </c>
      <c r="F4447" s="7">
        <v>1</v>
      </c>
      <c r="G4447" s="7">
        <v>58</v>
      </c>
      <c r="H4447" s="8">
        <v>58</v>
      </c>
      <c r="J4447" t="s">
        <v>23</v>
      </c>
      <c r="K4447" s="7">
        <v>489</v>
      </c>
      <c r="L4447" s="9">
        <v>1</v>
      </c>
      <c r="M4447" t="s">
        <v>3425</v>
      </c>
      <c r="N4447" t="s">
        <v>3426</v>
      </c>
      <c r="O4447" s="27" t="str">
        <f>HYPERLINK("https://www.ncbi.nlm.nih.gov/nuccore/MW365952.1?report=graph&amp;from=67036&amp;to=67040", "TTA_codon")</f>
        <v>TTA_codon</v>
      </c>
    </row>
    <row r="4448" spans="1:15" x14ac:dyDescent="0.15">
      <c r="A4448" t="s">
        <v>21</v>
      </c>
      <c r="B4448">
        <v>1001548</v>
      </c>
      <c r="C4448">
        <v>367223</v>
      </c>
      <c r="F4448" s="7">
        <v>1</v>
      </c>
      <c r="G4448" s="7">
        <v>58</v>
      </c>
      <c r="H4448" s="8">
        <v>58</v>
      </c>
      <c r="J4448" t="s">
        <v>23</v>
      </c>
      <c r="K4448" s="7">
        <v>507</v>
      </c>
      <c r="L4448" s="9">
        <v>1</v>
      </c>
      <c r="M4448" t="s">
        <v>3427</v>
      </c>
      <c r="N4448" t="s">
        <v>3428</v>
      </c>
      <c r="O4448" s="27" t="str">
        <f>HYPERLINK("https://www.ncbi.nlm.nih.gov/nuccore/MW435853.1?report=graph&amp;from=64744&amp;to=64748", "TTA_codon")</f>
        <v>TTA_codon</v>
      </c>
    </row>
    <row r="4449" spans="1:15" x14ac:dyDescent="0.15">
      <c r="A4449" t="s">
        <v>21</v>
      </c>
      <c r="B4449">
        <v>1001548</v>
      </c>
      <c r="C4449">
        <v>367316</v>
      </c>
      <c r="F4449" s="7">
        <v>1</v>
      </c>
      <c r="G4449" s="7">
        <v>58</v>
      </c>
      <c r="H4449" s="8">
        <v>58</v>
      </c>
      <c r="J4449" t="s">
        <v>23</v>
      </c>
      <c r="K4449" s="7">
        <v>504</v>
      </c>
      <c r="L4449" s="9">
        <v>1</v>
      </c>
      <c r="M4449" t="s">
        <v>803</v>
      </c>
      <c r="N4449" t="s">
        <v>804</v>
      </c>
      <c r="O4449" s="27" t="str">
        <f>HYPERLINK("https://www.ncbi.nlm.nih.gov/nuccore/NC_048719.1?report=graph&amp;from=64818&amp;to=64822", "TTA_codon")</f>
        <v>TTA_codon</v>
      </c>
    </row>
    <row r="4450" spans="1:15" x14ac:dyDescent="0.15">
      <c r="A4450" t="s">
        <v>21</v>
      </c>
      <c r="B4450">
        <v>1001548</v>
      </c>
      <c r="C4450">
        <v>367321</v>
      </c>
      <c r="F4450" s="7">
        <v>1</v>
      </c>
      <c r="G4450" s="7">
        <v>58</v>
      </c>
      <c r="H4450" s="8">
        <v>58</v>
      </c>
      <c r="J4450" t="s">
        <v>23</v>
      </c>
      <c r="K4450" s="7">
        <v>504</v>
      </c>
      <c r="L4450" s="9">
        <v>1</v>
      </c>
      <c r="M4450" t="s">
        <v>3429</v>
      </c>
      <c r="N4450" t="s">
        <v>3430</v>
      </c>
      <c r="O4450" s="27" t="str">
        <f>HYPERLINK("https://www.ncbi.nlm.nih.gov/nuccore/NC_048720.1?report=graph&amp;from=64771&amp;to=64775", "TTA_codon")</f>
        <v>TTA_codon</v>
      </c>
    </row>
    <row r="4451" spans="1:15" x14ac:dyDescent="0.15">
      <c r="A4451" t="s">
        <v>21</v>
      </c>
      <c r="B4451">
        <v>1001548</v>
      </c>
      <c r="C4451">
        <v>367368</v>
      </c>
      <c r="F4451" s="7">
        <v>1</v>
      </c>
      <c r="G4451" s="7">
        <v>58</v>
      </c>
      <c r="H4451" s="8">
        <v>58</v>
      </c>
      <c r="J4451" t="s">
        <v>23</v>
      </c>
      <c r="K4451" s="7">
        <v>489</v>
      </c>
      <c r="L4451" s="9">
        <v>1</v>
      </c>
      <c r="M4451" t="s">
        <v>3431</v>
      </c>
      <c r="N4451" t="s">
        <v>3432</v>
      </c>
      <c r="O4451" s="27" t="str">
        <f>HYPERLINK("https://www.ncbi.nlm.nih.gov/nuccore/NC_048728.1?report=graph&amp;from=66652&amp;to=66656", "TTA_codon")</f>
        <v>TTA_codon</v>
      </c>
    </row>
    <row r="4452" spans="1:15" x14ac:dyDescent="0.15">
      <c r="A4452" t="s">
        <v>21</v>
      </c>
      <c r="B4452">
        <v>1001548</v>
      </c>
      <c r="C4452">
        <v>367393</v>
      </c>
      <c r="F4452" s="7">
        <v>1</v>
      </c>
      <c r="G4452" s="7">
        <v>58</v>
      </c>
      <c r="H4452" s="8">
        <v>58</v>
      </c>
      <c r="J4452" t="s">
        <v>23</v>
      </c>
      <c r="K4452" s="7">
        <v>507</v>
      </c>
      <c r="L4452" s="9">
        <v>1</v>
      </c>
      <c r="M4452" t="s">
        <v>3433</v>
      </c>
      <c r="N4452" t="s">
        <v>3434</v>
      </c>
      <c r="O4452" s="27" t="str">
        <f>HYPERLINK("https://www.ncbi.nlm.nih.gov/nuccore/NC_048742.1?report=graph&amp;from=65383&amp;to=65387", "TTA_codon")</f>
        <v>TTA_codon</v>
      </c>
    </row>
    <row r="4453" spans="1:15" x14ac:dyDescent="0.15">
      <c r="A4453" t="s">
        <v>21</v>
      </c>
      <c r="B4453" t="s">
        <v>3435</v>
      </c>
    </row>
    <row r="4454" spans="1:15" x14ac:dyDescent="0.15">
      <c r="A4454" t="s">
        <v>21</v>
      </c>
      <c r="B4454">
        <v>1000811</v>
      </c>
      <c r="C4454">
        <v>351029</v>
      </c>
      <c r="F4454" s="7">
        <v>1</v>
      </c>
      <c r="G4454" s="7">
        <v>436</v>
      </c>
      <c r="H4454" s="8">
        <v>397</v>
      </c>
      <c r="J4454" t="s">
        <v>23</v>
      </c>
      <c r="K4454" s="7">
        <v>1509</v>
      </c>
      <c r="L4454" s="9">
        <v>-1</v>
      </c>
      <c r="M4454" t="s">
        <v>3436</v>
      </c>
      <c r="N4454" t="s">
        <v>136</v>
      </c>
      <c r="O4454" s="27" t="str">
        <f>HYPERLINK("https://www.ncbi.nlm.nih.gov/nuccore/NZ_AORZ01000122.1?report=graph&amp;from=8896&amp;to=8900", "TTA_codon")</f>
        <v>TTA_codon</v>
      </c>
    </row>
    <row r="4455" spans="1:15" x14ac:dyDescent="0.15">
      <c r="A4455" t="s">
        <v>21</v>
      </c>
      <c r="B4455">
        <v>1000811</v>
      </c>
      <c r="C4455">
        <v>352079</v>
      </c>
      <c r="F4455" s="7">
        <v>1</v>
      </c>
      <c r="G4455" s="7">
        <v>295</v>
      </c>
      <c r="H4455" s="8">
        <v>256</v>
      </c>
      <c r="J4455" t="s">
        <v>23</v>
      </c>
      <c r="K4455" s="7">
        <v>1476</v>
      </c>
      <c r="L4455" s="9">
        <v>-1</v>
      </c>
      <c r="M4455" t="s">
        <v>1109</v>
      </c>
      <c r="N4455" t="s">
        <v>70</v>
      </c>
      <c r="O4455" s="27" t="str">
        <f>HYPERLINK("https://www.ncbi.nlm.nih.gov/nuccore/NZ_KB904634.1?report=graph&amp;from=256977&amp;to=256981", "TTA_codon")</f>
        <v>TTA_codon</v>
      </c>
    </row>
    <row r="4456" spans="1:15" x14ac:dyDescent="0.15">
      <c r="A4456" t="s">
        <v>21</v>
      </c>
      <c r="B4456">
        <v>1000811</v>
      </c>
      <c r="C4456">
        <v>357545</v>
      </c>
      <c r="F4456" s="7">
        <v>1</v>
      </c>
      <c r="G4456" s="7">
        <v>436</v>
      </c>
      <c r="H4456" s="8">
        <v>397</v>
      </c>
      <c r="J4456" t="s">
        <v>23</v>
      </c>
      <c r="K4456" s="7">
        <v>1509</v>
      </c>
      <c r="L4456" s="9">
        <v>-1</v>
      </c>
      <c r="M4456" t="s">
        <v>957</v>
      </c>
      <c r="N4456" t="s">
        <v>378</v>
      </c>
      <c r="O4456" s="27" t="str">
        <f>HYPERLINK("https://www.ncbi.nlm.nih.gov/nuccore/NZ_LFXA01000017.1?report=graph&amp;from=473608&amp;to=473612", "TTA_codon")</f>
        <v>TTA_codon</v>
      </c>
    </row>
    <row r="4457" spans="1:15" x14ac:dyDescent="0.15">
      <c r="A4457" t="s">
        <v>21</v>
      </c>
      <c r="B4457">
        <v>1000811</v>
      </c>
      <c r="C4457">
        <v>358588</v>
      </c>
      <c r="F4457" s="7">
        <v>1</v>
      </c>
      <c r="G4457" s="7">
        <v>493</v>
      </c>
      <c r="H4457" s="8">
        <v>421</v>
      </c>
      <c r="J4457" t="s">
        <v>23</v>
      </c>
      <c r="K4457" s="7">
        <v>1437</v>
      </c>
      <c r="L4457" s="9">
        <v>-1</v>
      </c>
      <c r="M4457" t="s">
        <v>3437</v>
      </c>
      <c r="N4457" t="s">
        <v>299</v>
      </c>
      <c r="O4457" s="27" t="str">
        <f>HYPERLINK("https://www.ncbi.nlm.nih.gov/nuccore/NZ_LIQY01000064.1?report=graph&amp;from=7362&amp;to=7366", "TTA_codon")</f>
        <v>TTA_codon</v>
      </c>
    </row>
    <row r="4458" spans="1:15" x14ac:dyDescent="0.15">
      <c r="A4458" t="s">
        <v>21</v>
      </c>
      <c r="B4458">
        <v>1000811</v>
      </c>
      <c r="C4458">
        <v>359291</v>
      </c>
      <c r="F4458" s="7">
        <v>1</v>
      </c>
      <c r="G4458" s="7">
        <v>292</v>
      </c>
      <c r="H4458" s="8">
        <v>190</v>
      </c>
      <c r="J4458" t="s">
        <v>23</v>
      </c>
      <c r="K4458" s="7">
        <v>1389</v>
      </c>
      <c r="L4458" s="9">
        <v>-1</v>
      </c>
      <c r="M4458" t="s">
        <v>3438</v>
      </c>
      <c r="N4458" t="s">
        <v>89</v>
      </c>
      <c r="O4458" s="27" t="str">
        <f>HYPERLINK("https://www.ncbi.nlm.nih.gov/nuccore/NZ_LIRG01000338.1?report=graph&amp;from=12716&amp;to=12720", "TTA_codon")</f>
        <v>TTA_codon</v>
      </c>
    </row>
    <row r="4459" spans="1:15" x14ac:dyDescent="0.15">
      <c r="A4459" t="s">
        <v>21</v>
      </c>
      <c r="B4459">
        <v>1000811</v>
      </c>
      <c r="C4459">
        <v>360056</v>
      </c>
      <c r="F4459" s="7">
        <v>1</v>
      </c>
      <c r="G4459" s="7">
        <v>292</v>
      </c>
      <c r="H4459" s="8">
        <v>190</v>
      </c>
      <c r="J4459" t="s">
        <v>23</v>
      </c>
      <c r="K4459" s="7">
        <v>1389</v>
      </c>
      <c r="L4459" s="9">
        <v>-1</v>
      </c>
      <c r="M4459" t="s">
        <v>2877</v>
      </c>
      <c r="N4459" t="s">
        <v>125</v>
      </c>
      <c r="O4459" s="27" t="str">
        <f>HYPERLINK("https://www.ncbi.nlm.nih.gov/nuccore/NZ_KQ948477.1?report=graph&amp;from=11952&amp;to=11956", "TTA_codon")</f>
        <v>TTA_codon</v>
      </c>
    </row>
    <row r="4460" spans="1:15" x14ac:dyDescent="0.15">
      <c r="A4460" t="s">
        <v>21</v>
      </c>
      <c r="B4460" t="s">
        <v>3439</v>
      </c>
    </row>
    <row r="4461" spans="1:15" x14ac:dyDescent="0.15">
      <c r="A4461" t="s">
        <v>21</v>
      </c>
      <c r="B4461">
        <v>1000599</v>
      </c>
      <c r="C4461">
        <v>350265</v>
      </c>
      <c r="F4461" s="7">
        <v>1</v>
      </c>
      <c r="G4461" s="7">
        <v>421</v>
      </c>
      <c r="H4461" s="8">
        <v>415</v>
      </c>
      <c r="J4461" t="s">
        <v>23</v>
      </c>
      <c r="K4461" s="7">
        <v>1245</v>
      </c>
      <c r="L4461" s="9">
        <v>-1</v>
      </c>
      <c r="M4461" t="s">
        <v>1224</v>
      </c>
      <c r="N4461" t="s">
        <v>36</v>
      </c>
      <c r="O4461" s="27" t="str">
        <f>HYPERLINK("https://www.ncbi.nlm.nih.gov/nuccore/NZ_JH725389.1?report=graph&amp;from=172662&amp;to=172666", "TTA_codon")</f>
        <v>TTA_codon</v>
      </c>
    </row>
    <row r="4462" spans="1:15" x14ac:dyDescent="0.15">
      <c r="A4462" t="s">
        <v>21</v>
      </c>
      <c r="B4462">
        <v>1000599</v>
      </c>
      <c r="C4462">
        <v>355878</v>
      </c>
      <c r="F4462" s="7">
        <v>1</v>
      </c>
      <c r="G4462" s="7">
        <v>262</v>
      </c>
      <c r="H4462" s="8">
        <v>256</v>
      </c>
      <c r="J4462" t="s">
        <v>23</v>
      </c>
      <c r="K4462" s="7">
        <v>1242</v>
      </c>
      <c r="L4462" s="9">
        <v>-1</v>
      </c>
      <c r="M4462" t="s">
        <v>3440</v>
      </c>
      <c r="N4462" t="s">
        <v>384</v>
      </c>
      <c r="O4462" s="27" t="str">
        <f>HYPERLINK("https://www.ncbi.nlm.nih.gov/nuccore/NZ_JOAK01000014.1?report=graph&amp;from=35013&amp;to=35017", "TTA_codon")</f>
        <v>TTA_codon</v>
      </c>
    </row>
    <row r="4463" spans="1:15" x14ac:dyDescent="0.15">
      <c r="A4463" t="s">
        <v>21</v>
      </c>
      <c r="B4463">
        <v>1000599</v>
      </c>
      <c r="C4463">
        <v>364679</v>
      </c>
      <c r="F4463" s="7">
        <v>1</v>
      </c>
      <c r="G4463" s="7">
        <v>388</v>
      </c>
      <c r="H4463" s="8">
        <v>379</v>
      </c>
      <c r="J4463" t="s">
        <v>23</v>
      </c>
      <c r="K4463" s="7">
        <v>1236</v>
      </c>
      <c r="L4463" s="9">
        <v>-1</v>
      </c>
      <c r="M4463" t="s">
        <v>3441</v>
      </c>
      <c r="N4463" t="s">
        <v>110</v>
      </c>
      <c r="O4463" s="27" t="str">
        <f>HYPERLINK("https://www.ncbi.nlm.nih.gov/nuccore/NZ_MUME01000398.1?report=graph&amp;from=3772&amp;to=3776", "TTA_codon")</f>
        <v>TTA_codon</v>
      </c>
    </row>
    <row r="4464" spans="1:15" x14ac:dyDescent="0.15">
      <c r="A4464" t="s">
        <v>21</v>
      </c>
      <c r="B4464" t="s">
        <v>3442</v>
      </c>
    </row>
    <row r="4465" spans="1:15" x14ac:dyDescent="0.15">
      <c r="A4465" t="s">
        <v>21</v>
      </c>
      <c r="B4465">
        <v>1001498</v>
      </c>
      <c r="C4465">
        <v>353616</v>
      </c>
      <c r="F4465" s="7">
        <v>1</v>
      </c>
      <c r="G4465" s="7">
        <v>46</v>
      </c>
      <c r="H4465" s="8">
        <v>46</v>
      </c>
      <c r="J4465" t="s">
        <v>23</v>
      </c>
      <c r="K4465" s="7">
        <v>1215</v>
      </c>
      <c r="L4465" s="9">
        <v>-1</v>
      </c>
      <c r="M4465" t="s">
        <v>474</v>
      </c>
      <c r="N4465" t="s">
        <v>140</v>
      </c>
      <c r="O4465" s="27" t="str">
        <f>HYPERLINK("https://www.ncbi.nlm.nih.gov/nuccore/NZ_JNXG01000012.1?report=graph&amp;from=9352&amp;to=9356", "TTA_codon")</f>
        <v>TTA_codon</v>
      </c>
    </row>
    <row r="4466" spans="1:15" x14ac:dyDescent="0.15">
      <c r="A4466" t="s">
        <v>21</v>
      </c>
      <c r="B4466">
        <v>1001498</v>
      </c>
      <c r="C4466">
        <v>365261</v>
      </c>
      <c r="F4466" s="7">
        <v>1</v>
      </c>
      <c r="G4466" s="7">
        <v>46</v>
      </c>
      <c r="H4466" s="8">
        <v>46</v>
      </c>
      <c r="J4466" t="s">
        <v>23</v>
      </c>
      <c r="K4466" s="7">
        <v>1194</v>
      </c>
      <c r="L4466" s="9">
        <v>-1</v>
      </c>
      <c r="M4466" t="s">
        <v>3443</v>
      </c>
      <c r="N4466" t="s">
        <v>347</v>
      </c>
      <c r="O4466" s="27" t="str">
        <f>HYPERLINK("https://www.ncbi.nlm.nih.gov/nuccore/NZ_FNFF01000026.1?report=graph&amp;from=28714&amp;to=28718", "TTA_codon")</f>
        <v>TTA_codon</v>
      </c>
    </row>
    <row r="4467" spans="1:15" x14ac:dyDescent="0.15">
      <c r="A4467" t="s">
        <v>195</v>
      </c>
      <c r="B4467" t="s">
        <v>3444</v>
      </c>
    </row>
    <row r="4468" spans="1:15" x14ac:dyDescent="0.15">
      <c r="A4468" t="s">
        <v>195</v>
      </c>
      <c r="B4468">
        <v>1000344</v>
      </c>
      <c r="C4468">
        <v>346250</v>
      </c>
      <c r="F4468" s="7">
        <v>1</v>
      </c>
      <c r="G4468" s="7">
        <v>3406</v>
      </c>
      <c r="H4468" s="8">
        <v>1861</v>
      </c>
      <c r="J4468" t="s">
        <v>23</v>
      </c>
      <c r="K4468" s="7">
        <v>3852</v>
      </c>
      <c r="L4468" s="9">
        <v>-1</v>
      </c>
      <c r="M4468" t="s">
        <v>1772</v>
      </c>
      <c r="N4468" t="s">
        <v>68</v>
      </c>
      <c r="O4468" s="27" t="str">
        <f>HYPERLINK("https://www.ncbi.nlm.nih.gov/nuccore/NZ_BARG01000061.1?report=graph&amp;from=114523&amp;to=114527", "TTA_codon")</f>
        <v>TTA_codon</v>
      </c>
    </row>
    <row r="4469" spans="1:15" x14ac:dyDescent="0.15">
      <c r="A4469" t="s">
        <v>195</v>
      </c>
      <c r="B4469">
        <v>1000344</v>
      </c>
      <c r="C4469">
        <v>347041</v>
      </c>
      <c r="F4469" s="7">
        <v>1</v>
      </c>
      <c r="G4469" s="7">
        <v>1192</v>
      </c>
      <c r="H4469" s="8">
        <v>478</v>
      </c>
      <c r="J4469" t="s">
        <v>23</v>
      </c>
      <c r="K4469" s="7">
        <v>4362</v>
      </c>
      <c r="L4469" s="9">
        <v>-1</v>
      </c>
      <c r="M4469" t="s">
        <v>126</v>
      </c>
      <c r="N4469" t="s">
        <v>127</v>
      </c>
      <c r="O4469" s="27" t="str">
        <f>HYPERLINK("https://www.ncbi.nlm.nih.gov/nuccore/NZ_CP021748.1?report=graph&amp;from=610555&amp;to=610559", "TTA_codon")</f>
        <v>TTA_codon</v>
      </c>
    </row>
    <row r="4470" spans="1:15" x14ac:dyDescent="0.15">
      <c r="A4470" t="s">
        <v>21</v>
      </c>
      <c r="B4470">
        <v>1000344</v>
      </c>
      <c r="C4470">
        <v>347368</v>
      </c>
      <c r="F4470" s="7">
        <v>2</v>
      </c>
      <c r="G4470" s="7" t="s">
        <v>3445</v>
      </c>
      <c r="H4470" s="8" t="s">
        <v>3446</v>
      </c>
      <c r="J4470" t="s">
        <v>23</v>
      </c>
      <c r="K4470" s="7">
        <v>3819</v>
      </c>
      <c r="L4470" s="9">
        <v>-1</v>
      </c>
      <c r="M4470" t="s">
        <v>3447</v>
      </c>
      <c r="N4470" t="s">
        <v>218</v>
      </c>
      <c r="O4470" s="27" t="str">
        <f>HYPERLINK("https://www.ncbi.nlm.nih.gov/nuccore/NC_022001.1?report=graph&amp;from=55377&amp;to=56335", "TTA_codon")</f>
        <v>TTA_codon</v>
      </c>
    </row>
    <row r="4471" spans="1:15" x14ac:dyDescent="0.15">
      <c r="A4471" t="s">
        <v>21</v>
      </c>
      <c r="B4471">
        <v>1000344</v>
      </c>
      <c r="C4471">
        <v>347809</v>
      </c>
      <c r="F4471" s="7">
        <v>1</v>
      </c>
      <c r="G4471" s="7">
        <v>676</v>
      </c>
      <c r="H4471" s="8">
        <v>67</v>
      </c>
      <c r="J4471" t="s">
        <v>23</v>
      </c>
      <c r="K4471" s="7">
        <v>3693</v>
      </c>
      <c r="L4471" s="9">
        <v>-1</v>
      </c>
      <c r="M4471" t="s">
        <v>57</v>
      </c>
      <c r="N4471" t="s">
        <v>58</v>
      </c>
      <c r="O4471" s="27" t="str">
        <f>HYPERLINK("https://www.ncbi.nlm.nih.gov/nuccore/NC_013929.1?report=graph&amp;from=409706&amp;to=409710", "TTA_codon")</f>
        <v>TTA_codon</v>
      </c>
    </row>
    <row r="4472" spans="1:15" x14ac:dyDescent="0.15">
      <c r="A4472" t="s">
        <v>21</v>
      </c>
      <c r="B4472">
        <v>1000344</v>
      </c>
      <c r="C4472">
        <v>348028</v>
      </c>
      <c r="F4472" s="7">
        <v>1</v>
      </c>
      <c r="G4472" s="7">
        <v>1234</v>
      </c>
      <c r="H4472" s="8">
        <v>508</v>
      </c>
      <c r="J4472" t="s">
        <v>23</v>
      </c>
      <c r="K4472" s="7">
        <v>3867</v>
      </c>
      <c r="L4472" s="9">
        <v>-1</v>
      </c>
      <c r="M4472" t="s">
        <v>59</v>
      </c>
      <c r="N4472" t="s">
        <v>60</v>
      </c>
      <c r="O4472" s="27" t="str">
        <f>HYPERLINK("https://www.ncbi.nlm.nih.gov/nuccore/NC_016582.1?report=graph&amp;from=4777978&amp;to=4777982", "TTA_codon")</f>
        <v>TTA_codon</v>
      </c>
    </row>
    <row r="4473" spans="1:15" x14ac:dyDescent="0.15">
      <c r="A4473" t="s">
        <v>21</v>
      </c>
      <c r="B4473">
        <v>1000344</v>
      </c>
      <c r="C4473">
        <v>348118</v>
      </c>
      <c r="F4473" s="7">
        <v>2</v>
      </c>
      <c r="G4473" s="7" t="s">
        <v>3448</v>
      </c>
      <c r="H4473" s="8" t="s">
        <v>3449</v>
      </c>
      <c r="J4473" t="s">
        <v>23</v>
      </c>
      <c r="K4473" s="7">
        <v>3825</v>
      </c>
      <c r="L4473" s="9">
        <v>-1</v>
      </c>
      <c r="M4473" t="s">
        <v>59</v>
      </c>
      <c r="N4473" t="s">
        <v>60</v>
      </c>
      <c r="O4473" s="27" t="str">
        <f>HYPERLINK("https://www.ncbi.nlm.nih.gov/nuccore/NC_016582.1?report=graph&amp;from=2166334&amp;to=2168288", "TTA_codon")</f>
        <v>TTA_codon</v>
      </c>
    </row>
    <row r="4474" spans="1:15" x14ac:dyDescent="0.15">
      <c r="A4474" t="s">
        <v>21</v>
      </c>
      <c r="B4474">
        <v>1000344</v>
      </c>
      <c r="C4474">
        <v>348119</v>
      </c>
      <c r="F4474" s="7">
        <v>1</v>
      </c>
      <c r="G4474" s="7">
        <v>4081</v>
      </c>
      <c r="H4474" s="8">
        <v>2179</v>
      </c>
      <c r="J4474" t="s">
        <v>23</v>
      </c>
      <c r="K4474" s="7">
        <v>3804</v>
      </c>
      <c r="L4474" s="9">
        <v>-1</v>
      </c>
      <c r="M4474" t="s">
        <v>59</v>
      </c>
      <c r="N4474" t="s">
        <v>60</v>
      </c>
      <c r="O4474" s="27" t="str">
        <f>HYPERLINK("https://www.ncbi.nlm.nih.gov/nuccore/NC_016582.1?report=graph&amp;from=5778131&amp;to=5778135", "TTA_codon")</f>
        <v>TTA_codon</v>
      </c>
    </row>
    <row r="4475" spans="1:15" x14ac:dyDescent="0.15">
      <c r="A4475" t="s">
        <v>21</v>
      </c>
      <c r="B4475">
        <v>1000344</v>
      </c>
      <c r="C4475">
        <v>348120</v>
      </c>
      <c r="F4475" s="7">
        <v>1</v>
      </c>
      <c r="G4475" s="7">
        <v>1588</v>
      </c>
      <c r="H4475" s="8">
        <v>706</v>
      </c>
      <c r="J4475" t="s">
        <v>23</v>
      </c>
      <c r="K4475" s="7">
        <v>3663</v>
      </c>
      <c r="L4475" s="9">
        <v>-1</v>
      </c>
      <c r="M4475" t="s">
        <v>59</v>
      </c>
      <c r="N4475" t="s">
        <v>60</v>
      </c>
      <c r="O4475" s="27" t="str">
        <f>HYPERLINK("https://www.ncbi.nlm.nih.gov/nuccore/NC_016582.1?report=graph&amp;from=6401809&amp;to=6401813", "TTA_codon")</f>
        <v>TTA_codon</v>
      </c>
    </row>
    <row r="4476" spans="1:15" x14ac:dyDescent="0.15">
      <c r="A4476" t="s">
        <v>21</v>
      </c>
      <c r="B4476">
        <v>1000344</v>
      </c>
      <c r="C4476">
        <v>348835</v>
      </c>
      <c r="F4476" s="7">
        <v>1</v>
      </c>
      <c r="G4476" s="7">
        <v>1588</v>
      </c>
      <c r="H4476" s="8">
        <v>697</v>
      </c>
      <c r="J4476" t="s">
        <v>23</v>
      </c>
      <c r="K4476" s="7">
        <v>3663</v>
      </c>
      <c r="L4476" s="9">
        <v>-1</v>
      </c>
      <c r="M4476" t="s">
        <v>211</v>
      </c>
      <c r="N4476" t="s">
        <v>212</v>
      </c>
      <c r="O4476" s="27" t="str">
        <f>HYPERLINK("https://www.ncbi.nlm.nih.gov/nuccore/NZ_GG657754.1?report=graph&amp;from=102783&amp;to=102787", "TTA_codon")</f>
        <v>TTA_codon</v>
      </c>
    </row>
    <row r="4477" spans="1:15" x14ac:dyDescent="0.15">
      <c r="A4477" t="s">
        <v>21</v>
      </c>
      <c r="B4477">
        <v>1000344</v>
      </c>
      <c r="C4477">
        <v>349995</v>
      </c>
      <c r="F4477" s="7">
        <v>1</v>
      </c>
      <c r="G4477" s="7">
        <v>796</v>
      </c>
      <c r="H4477" s="8">
        <v>172</v>
      </c>
      <c r="J4477" t="s">
        <v>23</v>
      </c>
      <c r="K4477" s="7">
        <v>4161</v>
      </c>
      <c r="L4477" s="9">
        <v>-1</v>
      </c>
      <c r="M4477" t="s">
        <v>3450</v>
      </c>
      <c r="N4477" t="s">
        <v>249</v>
      </c>
      <c r="O4477" s="27" t="str">
        <f>HYPERLINK("https://www.ncbi.nlm.nih.gov/nuccore/NZ_AHBF01000013.1?report=graph&amp;from=35894&amp;to=35898", "TTA_codon")</f>
        <v>TTA_codon</v>
      </c>
    </row>
    <row r="4478" spans="1:15" x14ac:dyDescent="0.15">
      <c r="A4478" t="s">
        <v>21</v>
      </c>
      <c r="B4478">
        <v>1000344</v>
      </c>
      <c r="C4478">
        <v>350524</v>
      </c>
      <c r="F4478" s="7">
        <v>2</v>
      </c>
      <c r="G4478" s="7" t="s">
        <v>3451</v>
      </c>
      <c r="H4478" s="8" t="s">
        <v>3452</v>
      </c>
      <c r="J4478" t="s">
        <v>23</v>
      </c>
      <c r="K4478" s="7">
        <v>3870</v>
      </c>
      <c r="L4478" s="9">
        <v>-1</v>
      </c>
      <c r="M4478" t="s">
        <v>3453</v>
      </c>
      <c r="N4478" t="s">
        <v>134</v>
      </c>
      <c r="O4478" s="27" t="str">
        <f>HYPERLINK("https://www.ncbi.nlm.nih.gov/nuccore/NZ_AJSZ01000838.1?report=graph&amp;from=19183&amp;to=21467", "TTA_codon")</f>
        <v>TTA_codon</v>
      </c>
    </row>
    <row r="4479" spans="1:15" x14ac:dyDescent="0.15">
      <c r="A4479" t="s">
        <v>21</v>
      </c>
      <c r="B4479">
        <v>1000344</v>
      </c>
      <c r="C4479">
        <v>352403</v>
      </c>
      <c r="F4479" s="7">
        <v>1</v>
      </c>
      <c r="G4479" s="7">
        <v>1168</v>
      </c>
      <c r="H4479" s="8">
        <v>940</v>
      </c>
      <c r="J4479" t="s">
        <v>23</v>
      </c>
      <c r="K4479" s="7">
        <v>4398</v>
      </c>
      <c r="L4479" s="9">
        <v>-1</v>
      </c>
      <c r="M4479" t="s">
        <v>30</v>
      </c>
      <c r="N4479" t="s">
        <v>31</v>
      </c>
      <c r="O4479" s="27" t="str">
        <f>HYPERLINK("https://www.ncbi.nlm.nih.gov/nuccore/NZ_KB913030.1?report=graph&amp;from=1950885&amp;to=1950889", "TTA_codon")</f>
        <v>TTA_codon</v>
      </c>
    </row>
    <row r="4480" spans="1:15" x14ac:dyDescent="0.15">
      <c r="A4480" t="s">
        <v>21</v>
      </c>
      <c r="B4480">
        <v>1000344</v>
      </c>
      <c r="C4480">
        <v>352904</v>
      </c>
      <c r="F4480" s="7">
        <v>1</v>
      </c>
      <c r="G4480" s="7">
        <v>2335</v>
      </c>
      <c r="H4480" s="8">
        <v>1342</v>
      </c>
      <c r="J4480" t="s">
        <v>23</v>
      </c>
      <c r="K4480" s="7">
        <v>3630</v>
      </c>
      <c r="L4480" s="9">
        <v>-1</v>
      </c>
      <c r="M4480" t="s">
        <v>1640</v>
      </c>
      <c r="N4480" t="s">
        <v>306</v>
      </c>
      <c r="O4480" s="27" t="str">
        <f>HYPERLINK("https://www.ncbi.nlm.nih.gov/nuccore/NZ_KL571057.1?report=graph&amp;from=4448&amp;to=4452", "TTA_codon")</f>
        <v>TTA_codon</v>
      </c>
    </row>
    <row r="4481" spans="1:15" x14ac:dyDescent="0.15">
      <c r="A4481" t="s">
        <v>21</v>
      </c>
      <c r="B4481">
        <v>1000344</v>
      </c>
      <c r="C4481">
        <v>353992</v>
      </c>
      <c r="F4481" s="7">
        <v>1</v>
      </c>
      <c r="G4481" s="7">
        <v>3100</v>
      </c>
      <c r="H4481" s="8">
        <v>2107</v>
      </c>
      <c r="J4481" t="s">
        <v>23</v>
      </c>
      <c r="K4481" s="7">
        <v>4548</v>
      </c>
      <c r="L4481" s="9">
        <v>-1</v>
      </c>
      <c r="M4481" t="s">
        <v>836</v>
      </c>
      <c r="N4481" t="s">
        <v>270</v>
      </c>
      <c r="O4481" s="27" t="str">
        <f>HYPERLINK("https://www.ncbi.nlm.nih.gov/nuccore/NZ_JOBH01000019.1?report=graph&amp;from=126582&amp;to=126586", "TTA_codon")</f>
        <v>TTA_codon</v>
      </c>
    </row>
    <row r="4482" spans="1:15" x14ac:dyDescent="0.15">
      <c r="A4482" t="s">
        <v>21</v>
      </c>
      <c r="B4482">
        <v>1000344</v>
      </c>
      <c r="C4482">
        <v>354590</v>
      </c>
      <c r="F4482" s="7">
        <v>3</v>
      </c>
      <c r="G4482" s="7" t="s">
        <v>3454</v>
      </c>
      <c r="H4482" s="8" t="s">
        <v>3455</v>
      </c>
      <c r="J4482" t="s">
        <v>23</v>
      </c>
      <c r="K4482" s="7">
        <v>2799</v>
      </c>
      <c r="L4482" s="9">
        <v>-1</v>
      </c>
      <c r="M4482" t="s">
        <v>865</v>
      </c>
      <c r="N4482" t="s">
        <v>272</v>
      </c>
      <c r="O4482" s="27" t="str">
        <f>HYPERLINK("https://www.ncbi.nlm.nih.gov/nuccore/NZ_JOEY01000002.1?report=graph&amp;from=353980&amp;to=355640", "TTA_codon")</f>
        <v>TTA_codon</v>
      </c>
    </row>
    <row r="4483" spans="1:15" x14ac:dyDescent="0.15">
      <c r="A4483" t="s">
        <v>21</v>
      </c>
      <c r="B4483">
        <v>1000344</v>
      </c>
      <c r="C4483">
        <v>355088</v>
      </c>
      <c r="F4483" s="7">
        <v>2</v>
      </c>
      <c r="G4483" s="7" t="s">
        <v>3456</v>
      </c>
      <c r="H4483" s="8" t="s">
        <v>3457</v>
      </c>
      <c r="J4483" t="s">
        <v>23</v>
      </c>
      <c r="K4483" s="7">
        <v>1698</v>
      </c>
      <c r="L4483" s="9">
        <v>-1</v>
      </c>
      <c r="M4483" t="s">
        <v>1257</v>
      </c>
      <c r="N4483" t="s">
        <v>433</v>
      </c>
      <c r="O4483" s="27" t="str">
        <f>HYPERLINK("https://www.ncbi.nlm.nih.gov/nuccore/NZ_JOBF01000002.1?report=graph&amp;from=81016&amp;to=81314", "TTA_codon")</f>
        <v>TTA_codon</v>
      </c>
    </row>
    <row r="4484" spans="1:15" x14ac:dyDescent="0.15">
      <c r="A4484" t="s">
        <v>21</v>
      </c>
      <c r="B4484">
        <v>1000344</v>
      </c>
      <c r="C4484">
        <v>356502</v>
      </c>
      <c r="F4484" s="7">
        <v>1</v>
      </c>
      <c r="G4484" s="7">
        <v>2032</v>
      </c>
      <c r="H4484" s="8">
        <v>679</v>
      </c>
      <c r="J4484" t="s">
        <v>23</v>
      </c>
      <c r="K4484" s="7">
        <v>3309</v>
      </c>
      <c r="L4484" s="9">
        <v>-1</v>
      </c>
      <c r="M4484" t="s">
        <v>508</v>
      </c>
      <c r="N4484" t="s">
        <v>509</v>
      </c>
      <c r="O4484" s="27" t="str">
        <f>HYPERLINK("https://www.ncbi.nlm.nih.gov/nuccore/NZ_CP009438.1?report=graph&amp;from=4194000&amp;to=4194004", "TTA_codon")</f>
        <v>TTA_codon</v>
      </c>
    </row>
    <row r="4485" spans="1:15" x14ac:dyDescent="0.15">
      <c r="A4485" t="s">
        <v>21</v>
      </c>
      <c r="B4485">
        <v>1000344</v>
      </c>
      <c r="C4485">
        <v>356503</v>
      </c>
      <c r="F4485" s="7">
        <v>2</v>
      </c>
      <c r="G4485" s="7" t="s">
        <v>3458</v>
      </c>
      <c r="H4485" s="8" t="s">
        <v>3459</v>
      </c>
      <c r="J4485" t="s">
        <v>23</v>
      </c>
      <c r="K4485" s="7">
        <v>3810</v>
      </c>
      <c r="L4485" s="9">
        <v>-1</v>
      </c>
      <c r="M4485" t="s">
        <v>3460</v>
      </c>
      <c r="N4485" t="s">
        <v>509</v>
      </c>
      <c r="O4485" s="27" t="str">
        <f>HYPERLINK("https://www.ncbi.nlm.nih.gov/nuccore/NZ_CP009439.1?report=graph&amp;from=80589&amp;to=81514", "TTA_codon")</f>
        <v>TTA_codon</v>
      </c>
    </row>
    <row r="4486" spans="1:15" x14ac:dyDescent="0.15">
      <c r="A4486" t="s">
        <v>21</v>
      </c>
      <c r="B4486">
        <v>1000344</v>
      </c>
      <c r="C4486">
        <v>358831</v>
      </c>
      <c r="F4486" s="7">
        <v>2</v>
      </c>
      <c r="G4486" s="7" t="s">
        <v>3461</v>
      </c>
      <c r="H4486" s="8" t="s">
        <v>3462</v>
      </c>
      <c r="J4486" t="s">
        <v>23</v>
      </c>
      <c r="K4486" s="7">
        <v>3618</v>
      </c>
      <c r="L4486" s="9">
        <v>-1</v>
      </c>
      <c r="M4486" t="s">
        <v>2571</v>
      </c>
      <c r="N4486" t="s">
        <v>87</v>
      </c>
      <c r="O4486" s="27" t="str">
        <f>HYPERLINK("https://www.ncbi.nlm.nih.gov/nuccore/NZ_LIQS01000200.1?report=graph&amp;from=31807&amp;to=33965", "TTA_codon")</f>
        <v>TTA_codon</v>
      </c>
    </row>
    <row r="4487" spans="1:15" x14ac:dyDescent="0.15">
      <c r="A4487" t="s">
        <v>21</v>
      </c>
      <c r="B4487">
        <v>1000344</v>
      </c>
      <c r="C4487">
        <v>359078</v>
      </c>
      <c r="F4487" s="7">
        <v>1</v>
      </c>
      <c r="G4487" s="7">
        <v>676</v>
      </c>
      <c r="H4487" s="8">
        <v>127</v>
      </c>
      <c r="J4487" t="s">
        <v>23</v>
      </c>
      <c r="K4487" s="7">
        <v>3756</v>
      </c>
      <c r="L4487" s="9">
        <v>-1</v>
      </c>
      <c r="M4487" t="s">
        <v>3463</v>
      </c>
      <c r="N4487" t="s">
        <v>451</v>
      </c>
      <c r="O4487" s="27" t="str">
        <f>HYPERLINK("https://www.ncbi.nlm.nih.gov/nuccore/NZ_LIQZ01000536.1?report=graph&amp;from=3807&amp;to=3811", "TTA_codon")</f>
        <v>TTA_codon</v>
      </c>
    </row>
    <row r="4488" spans="1:15" x14ac:dyDescent="0.15">
      <c r="A4488" t="s">
        <v>21</v>
      </c>
      <c r="B4488">
        <v>1000344</v>
      </c>
      <c r="C4488">
        <v>360407</v>
      </c>
      <c r="F4488" s="7">
        <v>1</v>
      </c>
      <c r="G4488" s="7">
        <v>2302</v>
      </c>
      <c r="H4488" s="8">
        <v>1387</v>
      </c>
      <c r="J4488" t="s">
        <v>23</v>
      </c>
      <c r="K4488" s="7">
        <v>3819</v>
      </c>
      <c r="L4488" s="9">
        <v>-1</v>
      </c>
      <c r="M4488" t="s">
        <v>121</v>
      </c>
      <c r="N4488" t="s">
        <v>122</v>
      </c>
      <c r="O4488" s="27" t="str">
        <f>HYPERLINK("https://www.ncbi.nlm.nih.gov/nuccore/NZ_CP016279.1?report=graph&amp;from=5375237&amp;to=5375241", "TTA_codon")</f>
        <v>TTA_codon</v>
      </c>
    </row>
    <row r="4489" spans="1:15" x14ac:dyDescent="0.15">
      <c r="A4489" t="s">
        <v>21</v>
      </c>
      <c r="B4489">
        <v>1000344</v>
      </c>
      <c r="C4489">
        <v>360408</v>
      </c>
      <c r="F4489" s="7">
        <v>1</v>
      </c>
      <c r="G4489" s="7">
        <v>1867</v>
      </c>
      <c r="H4489" s="8">
        <v>1042</v>
      </c>
      <c r="J4489" t="s">
        <v>23</v>
      </c>
      <c r="K4489" s="7">
        <v>3945</v>
      </c>
      <c r="L4489" s="9">
        <v>-1</v>
      </c>
      <c r="M4489" t="s">
        <v>121</v>
      </c>
      <c r="N4489" t="s">
        <v>122</v>
      </c>
      <c r="O4489" s="27" t="str">
        <f>HYPERLINK("https://www.ncbi.nlm.nih.gov/nuccore/NZ_CP016279.1?report=graph&amp;from=5026679&amp;to=5026683", "TTA_codon")</f>
        <v>TTA_codon</v>
      </c>
    </row>
    <row r="4490" spans="1:15" x14ac:dyDescent="0.15">
      <c r="A4490" t="s">
        <v>21</v>
      </c>
      <c r="B4490">
        <v>1000344</v>
      </c>
      <c r="C4490">
        <v>360702</v>
      </c>
      <c r="F4490" s="7">
        <v>2</v>
      </c>
      <c r="G4490" s="7" t="s">
        <v>3464</v>
      </c>
      <c r="H4490" s="8" t="s">
        <v>3465</v>
      </c>
      <c r="J4490" t="s">
        <v>23</v>
      </c>
      <c r="K4490" s="7">
        <v>4635</v>
      </c>
      <c r="L4490" s="9">
        <v>-1</v>
      </c>
      <c r="M4490" t="s">
        <v>94</v>
      </c>
      <c r="N4490" t="s">
        <v>95</v>
      </c>
      <c r="O4490" s="27" t="str">
        <f>HYPERLINK("https://www.ncbi.nlm.nih.gov/nuccore/NZ_JYIJ01000019.1?report=graph&amp;from=591832&amp;to=592676", "TTA_codon")</f>
        <v>TTA_codon</v>
      </c>
    </row>
    <row r="4491" spans="1:15" x14ac:dyDescent="0.15">
      <c r="A4491" t="s">
        <v>21</v>
      </c>
      <c r="B4491">
        <v>1000344</v>
      </c>
      <c r="C4491">
        <v>361153</v>
      </c>
      <c r="F4491" s="7">
        <v>1</v>
      </c>
      <c r="G4491" s="7">
        <v>676</v>
      </c>
      <c r="H4491" s="8">
        <v>64</v>
      </c>
      <c r="J4491" t="s">
        <v>23</v>
      </c>
      <c r="K4491" s="7">
        <v>2910</v>
      </c>
      <c r="L4491" s="9">
        <v>-1</v>
      </c>
      <c r="M4491" t="s">
        <v>98</v>
      </c>
      <c r="N4491" t="s">
        <v>99</v>
      </c>
      <c r="O4491" s="27" t="str">
        <f>HYPERLINK("https://www.ncbi.nlm.nih.gov/nuccore/NZ_CP016438.1?report=graph&amp;from=9179911&amp;to=9179915", "TTA_codon")</f>
        <v>TTA_codon</v>
      </c>
    </row>
    <row r="4492" spans="1:15" x14ac:dyDescent="0.15">
      <c r="A4492" t="s">
        <v>21</v>
      </c>
      <c r="B4492">
        <v>1000344</v>
      </c>
      <c r="C4492">
        <v>361960</v>
      </c>
      <c r="F4492" s="7">
        <v>1</v>
      </c>
      <c r="G4492" s="7">
        <v>1588</v>
      </c>
      <c r="H4492" s="8">
        <v>718</v>
      </c>
      <c r="J4492" t="s">
        <v>23</v>
      </c>
      <c r="K4492" s="7">
        <v>3837</v>
      </c>
      <c r="L4492" s="9">
        <v>-1</v>
      </c>
      <c r="M4492" t="s">
        <v>3466</v>
      </c>
      <c r="N4492" t="s">
        <v>187</v>
      </c>
      <c r="O4492" s="27" t="str">
        <f>HYPERLINK("https://www.ncbi.nlm.nih.gov/nuccore/NZ_MAXF01000008.1?report=graph&amp;from=28867&amp;to=28871", "TTA_codon")</f>
        <v>TTA_codon</v>
      </c>
    </row>
    <row r="4493" spans="1:15" x14ac:dyDescent="0.15">
      <c r="A4493" t="s">
        <v>21</v>
      </c>
      <c r="B4493">
        <v>1000344</v>
      </c>
      <c r="C4493">
        <v>363944</v>
      </c>
      <c r="F4493" s="7">
        <v>1</v>
      </c>
      <c r="G4493" s="7">
        <v>685</v>
      </c>
      <c r="H4493" s="8">
        <v>73</v>
      </c>
      <c r="J4493" t="s">
        <v>23</v>
      </c>
      <c r="K4493" s="7">
        <v>3987</v>
      </c>
      <c r="L4493" s="9">
        <v>-1</v>
      </c>
      <c r="M4493" t="s">
        <v>3467</v>
      </c>
      <c r="N4493" t="s">
        <v>104</v>
      </c>
      <c r="O4493" s="27" t="str">
        <f>HYPERLINK("https://www.ncbi.nlm.nih.gov/nuccore/NZ_MVFC01000031.1?report=graph&amp;from=51506&amp;to=51510", "TTA_codon")</f>
        <v>TTA_codon</v>
      </c>
    </row>
    <row r="4494" spans="1:15" x14ac:dyDescent="0.15">
      <c r="A4494" t="s">
        <v>21</v>
      </c>
      <c r="B4494" t="s">
        <v>3468</v>
      </c>
    </row>
    <row r="4495" spans="1:15" x14ac:dyDescent="0.15">
      <c r="A4495" t="s">
        <v>21</v>
      </c>
      <c r="B4495">
        <v>1000246</v>
      </c>
      <c r="C4495">
        <v>347636</v>
      </c>
      <c r="F4495" s="7">
        <v>1</v>
      </c>
      <c r="G4495" s="7">
        <v>220</v>
      </c>
      <c r="H4495" s="8">
        <v>127</v>
      </c>
      <c r="J4495" t="s">
        <v>23</v>
      </c>
      <c r="K4495" s="7">
        <v>807</v>
      </c>
      <c r="L4495" s="9">
        <v>1</v>
      </c>
      <c r="M4495" t="s">
        <v>55</v>
      </c>
      <c r="N4495" t="s">
        <v>56</v>
      </c>
      <c r="O4495" s="27" t="str">
        <f>HYPERLINK("https://www.ncbi.nlm.nih.gov/nuccore/NC_010572.1?report=graph&amp;from=91547&amp;to=91551", "TTA_codon")</f>
        <v>TTA_codon</v>
      </c>
    </row>
    <row r="4496" spans="1:15" x14ac:dyDescent="0.15">
      <c r="A4496" t="s">
        <v>21</v>
      </c>
      <c r="B4496">
        <v>1000246</v>
      </c>
      <c r="C4496">
        <v>347779</v>
      </c>
      <c r="F4496" s="7">
        <v>1</v>
      </c>
      <c r="G4496" s="7">
        <v>310</v>
      </c>
      <c r="H4496" s="8">
        <v>190</v>
      </c>
      <c r="J4496" t="s">
        <v>23</v>
      </c>
      <c r="K4496" s="7">
        <v>762</v>
      </c>
      <c r="L4496" s="9">
        <v>1</v>
      </c>
      <c r="M4496" t="s">
        <v>57</v>
      </c>
      <c r="N4496" t="s">
        <v>58</v>
      </c>
      <c r="O4496" s="27" t="str">
        <f>HYPERLINK("https://www.ncbi.nlm.nih.gov/nuccore/NC_013929.1?report=graph&amp;from=1069871&amp;to=1069875", "TTA_codon")</f>
        <v>TTA_codon</v>
      </c>
    </row>
    <row r="4497" spans="1:15" x14ac:dyDescent="0.15">
      <c r="A4497" t="s">
        <v>21</v>
      </c>
      <c r="B4497">
        <v>1000246</v>
      </c>
      <c r="C4497">
        <v>347780</v>
      </c>
      <c r="F4497" s="7">
        <v>1</v>
      </c>
      <c r="G4497" s="7">
        <v>445</v>
      </c>
      <c r="H4497" s="8">
        <v>352</v>
      </c>
      <c r="J4497" t="s">
        <v>23</v>
      </c>
      <c r="K4497" s="7">
        <v>801</v>
      </c>
      <c r="L4497" s="9">
        <v>1</v>
      </c>
      <c r="M4497" t="s">
        <v>57</v>
      </c>
      <c r="N4497" t="s">
        <v>58</v>
      </c>
      <c r="O4497" s="27" t="str">
        <f>HYPERLINK("https://www.ncbi.nlm.nih.gov/nuccore/NC_013929.1?report=graph&amp;from=2312607&amp;to=2312611", "TTA_codon")</f>
        <v>TTA_codon</v>
      </c>
    </row>
    <row r="4498" spans="1:15" x14ac:dyDescent="0.15">
      <c r="A4498" t="s">
        <v>21</v>
      </c>
      <c r="B4498">
        <v>1000246</v>
      </c>
      <c r="C4498">
        <v>348087</v>
      </c>
      <c r="F4498" s="7">
        <v>2</v>
      </c>
      <c r="G4498" s="7" t="s">
        <v>3469</v>
      </c>
      <c r="H4498" s="8" t="s">
        <v>3470</v>
      </c>
      <c r="J4498" t="s">
        <v>23</v>
      </c>
      <c r="K4498" s="7">
        <v>774</v>
      </c>
      <c r="L4498" s="9">
        <v>1</v>
      </c>
      <c r="M4498" t="s">
        <v>59</v>
      </c>
      <c r="N4498" t="s">
        <v>60</v>
      </c>
      <c r="O4498" s="27" t="str">
        <f>HYPERLINK("https://www.ncbi.nlm.nih.gov/nuccore/NC_016582.1?report=graph&amp;from=10121789&amp;to=10121823", "TTA_codon")</f>
        <v>TTA_codon</v>
      </c>
    </row>
    <row r="4499" spans="1:15" x14ac:dyDescent="0.15">
      <c r="A4499" t="s">
        <v>21</v>
      </c>
      <c r="B4499">
        <v>1000246</v>
      </c>
      <c r="C4499">
        <v>348789</v>
      </c>
      <c r="F4499" s="7">
        <v>1</v>
      </c>
      <c r="G4499" s="7">
        <v>661</v>
      </c>
      <c r="H4499" s="8">
        <v>553</v>
      </c>
      <c r="J4499" t="s">
        <v>23</v>
      </c>
      <c r="K4499" s="7">
        <v>804</v>
      </c>
      <c r="L4499" s="9">
        <v>1</v>
      </c>
      <c r="M4499" t="s">
        <v>211</v>
      </c>
      <c r="N4499" t="s">
        <v>212</v>
      </c>
      <c r="O4499" s="27" t="str">
        <f>HYPERLINK("https://www.ncbi.nlm.nih.gov/nuccore/NZ_GG657754.1?report=graph&amp;from=1035835&amp;to=1035839", "TTA_codon")</f>
        <v>TTA_codon</v>
      </c>
    </row>
    <row r="4500" spans="1:15" x14ac:dyDescent="0.15">
      <c r="A4500" t="s">
        <v>21</v>
      </c>
      <c r="B4500">
        <v>1000246</v>
      </c>
      <c r="C4500">
        <v>349472</v>
      </c>
      <c r="F4500" s="7">
        <v>1</v>
      </c>
      <c r="G4500" s="7">
        <v>427</v>
      </c>
      <c r="H4500" s="8">
        <v>331</v>
      </c>
      <c r="J4500" t="s">
        <v>23</v>
      </c>
      <c r="K4500" s="7">
        <v>783</v>
      </c>
      <c r="L4500" s="9">
        <v>1</v>
      </c>
      <c r="M4500" t="s">
        <v>3169</v>
      </c>
      <c r="N4500" t="s">
        <v>64</v>
      </c>
      <c r="O4500" s="27" t="str">
        <f>HYPERLINK("https://www.ncbi.nlm.nih.gov/nuccore/NZ_AEYX01000032.1?report=graph&amp;from=51011&amp;to=51015", "TTA_codon")</f>
        <v>TTA_codon</v>
      </c>
    </row>
    <row r="4501" spans="1:15" x14ac:dyDescent="0.15">
      <c r="A4501" t="s">
        <v>21</v>
      </c>
      <c r="B4501">
        <v>1000246</v>
      </c>
      <c r="C4501">
        <v>349750</v>
      </c>
      <c r="F4501" s="7">
        <v>1</v>
      </c>
      <c r="G4501" s="7">
        <v>706</v>
      </c>
      <c r="H4501" s="8">
        <v>595</v>
      </c>
      <c r="J4501" t="s">
        <v>23</v>
      </c>
      <c r="K4501" s="7">
        <v>828</v>
      </c>
      <c r="L4501" s="9">
        <v>1</v>
      </c>
      <c r="M4501" t="s">
        <v>265</v>
      </c>
      <c r="N4501" t="s">
        <v>266</v>
      </c>
      <c r="O4501" s="27" t="str">
        <f>HYPERLINK("https://www.ncbi.nlm.nih.gov/nuccore/NC_017586.1?report=graph&amp;from=5975080&amp;to=5975084", "TTA_codon")</f>
        <v>TTA_codon</v>
      </c>
    </row>
    <row r="4502" spans="1:15" x14ac:dyDescent="0.15">
      <c r="A4502" t="s">
        <v>21</v>
      </c>
      <c r="B4502">
        <v>1000246</v>
      </c>
      <c r="C4502">
        <v>351034</v>
      </c>
      <c r="F4502" s="7">
        <v>2</v>
      </c>
      <c r="G4502" s="7" t="s">
        <v>3471</v>
      </c>
      <c r="H4502" s="8" t="s">
        <v>3472</v>
      </c>
      <c r="J4502" t="s">
        <v>23</v>
      </c>
      <c r="K4502" s="7">
        <v>825</v>
      </c>
      <c r="L4502" s="9">
        <v>1</v>
      </c>
      <c r="M4502" t="s">
        <v>3473</v>
      </c>
      <c r="N4502" t="s">
        <v>136</v>
      </c>
      <c r="O4502" s="27" t="str">
        <f>HYPERLINK("https://www.ncbi.nlm.nih.gov/nuccore/NZ_AORZ01000011.1?report=graph&amp;from=86641&amp;to=86648", "TTA_codon")</f>
        <v>TTA_codon</v>
      </c>
    </row>
    <row r="4503" spans="1:15" x14ac:dyDescent="0.15">
      <c r="A4503" t="s">
        <v>21</v>
      </c>
      <c r="B4503">
        <v>1000246</v>
      </c>
      <c r="C4503">
        <v>351522</v>
      </c>
      <c r="F4503" s="7">
        <v>1</v>
      </c>
      <c r="G4503" s="7">
        <v>217</v>
      </c>
      <c r="H4503" s="8">
        <v>214</v>
      </c>
      <c r="J4503" t="s">
        <v>23</v>
      </c>
      <c r="K4503" s="7">
        <v>867</v>
      </c>
      <c r="L4503" s="9">
        <v>1</v>
      </c>
      <c r="M4503" t="s">
        <v>1567</v>
      </c>
      <c r="N4503" t="s">
        <v>138</v>
      </c>
      <c r="O4503" s="27" t="str">
        <f>HYPERLINK("https://www.ncbi.nlm.nih.gov/nuccore/NZ_KB889561.1?report=graph&amp;from=376715&amp;to=376719", "TTA_codon")</f>
        <v>TTA_codon</v>
      </c>
    </row>
    <row r="4504" spans="1:15" x14ac:dyDescent="0.15">
      <c r="A4504" t="s">
        <v>21</v>
      </c>
      <c r="B4504">
        <v>1000246</v>
      </c>
      <c r="C4504">
        <v>351792</v>
      </c>
      <c r="F4504" s="7">
        <v>1</v>
      </c>
      <c r="G4504" s="7">
        <v>124</v>
      </c>
      <c r="H4504" s="8">
        <v>43</v>
      </c>
      <c r="J4504" t="s">
        <v>23</v>
      </c>
      <c r="K4504" s="7">
        <v>813</v>
      </c>
      <c r="L4504" s="9">
        <v>1</v>
      </c>
      <c r="M4504" t="s">
        <v>3474</v>
      </c>
      <c r="N4504" t="s">
        <v>68</v>
      </c>
      <c r="O4504" s="27" t="str">
        <f>HYPERLINK("https://www.ncbi.nlm.nih.gov/nuccore/NZ_BARG01000043.1?report=graph&amp;from=27624&amp;to=27628", "TTA_codon")</f>
        <v>TTA_codon</v>
      </c>
    </row>
    <row r="4505" spans="1:15" x14ac:dyDescent="0.15">
      <c r="A4505" t="s">
        <v>21</v>
      </c>
      <c r="B4505">
        <v>1000246</v>
      </c>
      <c r="C4505">
        <v>352077</v>
      </c>
      <c r="F4505" s="7">
        <v>1</v>
      </c>
      <c r="G4505" s="7">
        <v>421</v>
      </c>
      <c r="H4505" s="8">
        <v>322</v>
      </c>
      <c r="J4505" t="s">
        <v>23</v>
      </c>
      <c r="K4505" s="7">
        <v>783</v>
      </c>
      <c r="L4505" s="9">
        <v>1</v>
      </c>
      <c r="M4505" t="s">
        <v>3475</v>
      </c>
      <c r="N4505" t="s">
        <v>70</v>
      </c>
      <c r="O4505" s="27" t="str">
        <f>HYPERLINK("https://www.ncbi.nlm.nih.gov/nuccore/NZ_KB904696.1?report=graph&amp;from=30000&amp;to=30004", "TTA_codon")</f>
        <v>TTA_codon</v>
      </c>
    </row>
    <row r="4506" spans="1:15" x14ac:dyDescent="0.15">
      <c r="A4506" t="s">
        <v>21</v>
      </c>
      <c r="B4506">
        <v>1000246</v>
      </c>
      <c r="C4506">
        <v>352078</v>
      </c>
      <c r="F4506" s="7">
        <v>1</v>
      </c>
      <c r="G4506" s="7">
        <v>124</v>
      </c>
      <c r="H4506" s="8">
        <v>55</v>
      </c>
      <c r="J4506" t="s">
        <v>23</v>
      </c>
      <c r="K4506" s="7">
        <v>834</v>
      </c>
      <c r="L4506" s="9">
        <v>1</v>
      </c>
      <c r="M4506" t="s">
        <v>3476</v>
      </c>
      <c r="N4506" t="s">
        <v>70</v>
      </c>
      <c r="O4506" s="27" t="str">
        <f>HYPERLINK("https://www.ncbi.nlm.nih.gov/nuccore/NZ_KB904724.1?report=graph&amp;from=98748&amp;to=98752", "TTA_codon")</f>
        <v>TTA_codon</v>
      </c>
    </row>
    <row r="4507" spans="1:15" x14ac:dyDescent="0.15">
      <c r="A4507" t="s">
        <v>21</v>
      </c>
      <c r="B4507">
        <v>1000246</v>
      </c>
      <c r="C4507">
        <v>353577</v>
      </c>
      <c r="F4507" s="7">
        <v>2</v>
      </c>
      <c r="G4507" s="7" t="s">
        <v>3477</v>
      </c>
      <c r="H4507" s="8" t="s">
        <v>3478</v>
      </c>
      <c r="J4507" t="s">
        <v>23</v>
      </c>
      <c r="K4507" s="7">
        <v>807</v>
      </c>
      <c r="L4507" s="9">
        <v>1</v>
      </c>
      <c r="M4507" t="s">
        <v>1027</v>
      </c>
      <c r="N4507" t="s">
        <v>140</v>
      </c>
      <c r="O4507" s="27" t="str">
        <f>HYPERLINK("https://www.ncbi.nlm.nih.gov/nuccore/NZ_JNXG01000025.1?report=graph&amp;from=63329&amp;to=63414", "TTA_codon")</f>
        <v>TTA_codon</v>
      </c>
    </row>
    <row r="4508" spans="1:15" x14ac:dyDescent="0.15">
      <c r="A4508" t="s">
        <v>21</v>
      </c>
      <c r="B4508">
        <v>1000246</v>
      </c>
      <c r="C4508">
        <v>354177</v>
      </c>
      <c r="F4508" s="7">
        <v>1</v>
      </c>
      <c r="G4508" s="7">
        <v>244</v>
      </c>
      <c r="H4508" s="8">
        <v>154</v>
      </c>
      <c r="J4508" t="s">
        <v>23</v>
      </c>
      <c r="K4508" s="7">
        <v>813</v>
      </c>
      <c r="L4508" s="9">
        <v>1</v>
      </c>
      <c r="M4508" t="s">
        <v>3479</v>
      </c>
      <c r="N4508" t="s">
        <v>361</v>
      </c>
      <c r="O4508" s="27" t="str">
        <f>HYPERLINK("https://www.ncbi.nlm.nih.gov/nuccore/NZ_JODY01000020.1?report=graph&amp;from=72777&amp;to=72781", "TTA_codon")</f>
        <v>TTA_codon</v>
      </c>
    </row>
    <row r="4509" spans="1:15" x14ac:dyDescent="0.15">
      <c r="A4509" t="s">
        <v>21</v>
      </c>
      <c r="B4509">
        <v>1000246</v>
      </c>
      <c r="C4509">
        <v>355274</v>
      </c>
      <c r="F4509" s="7">
        <v>1</v>
      </c>
      <c r="G4509" s="7">
        <v>772</v>
      </c>
      <c r="H4509" s="8">
        <v>640</v>
      </c>
      <c r="J4509" t="s">
        <v>23</v>
      </c>
      <c r="K4509" s="7">
        <v>816</v>
      </c>
      <c r="L4509" s="9">
        <v>1</v>
      </c>
      <c r="M4509" t="s">
        <v>3480</v>
      </c>
      <c r="N4509" t="s">
        <v>295</v>
      </c>
      <c r="O4509" s="27" t="str">
        <f>HYPERLINK("https://www.ncbi.nlm.nih.gov/nuccore/NZ_JODL01000022.1?report=graph&amp;from=59316&amp;to=59320", "TTA_codon")</f>
        <v>TTA_codon</v>
      </c>
    </row>
    <row r="4510" spans="1:15" x14ac:dyDescent="0.15">
      <c r="A4510" t="s">
        <v>21</v>
      </c>
      <c r="B4510">
        <v>1000246</v>
      </c>
      <c r="C4510">
        <v>357012</v>
      </c>
      <c r="F4510" s="7">
        <v>1</v>
      </c>
      <c r="G4510" s="7">
        <v>166</v>
      </c>
      <c r="H4510" s="8">
        <v>76</v>
      </c>
      <c r="J4510" t="s">
        <v>23</v>
      </c>
      <c r="K4510" s="7">
        <v>810</v>
      </c>
      <c r="L4510" s="9">
        <v>1</v>
      </c>
      <c r="M4510" t="s">
        <v>162</v>
      </c>
      <c r="N4510" t="s">
        <v>163</v>
      </c>
      <c r="O4510" s="27" t="str">
        <f>HYPERLINK("https://www.ncbi.nlm.nih.gov/nuccore/NZ_CP010519.1?report=graph&amp;from=8038521&amp;to=8038525", "TTA_codon")</f>
        <v>TTA_codon</v>
      </c>
    </row>
    <row r="4511" spans="1:15" x14ac:dyDescent="0.15">
      <c r="A4511" t="s">
        <v>21</v>
      </c>
      <c r="B4511">
        <v>1000246</v>
      </c>
      <c r="C4511">
        <v>357391</v>
      </c>
      <c r="F4511" s="7">
        <v>1</v>
      </c>
      <c r="G4511" s="7">
        <v>124</v>
      </c>
      <c r="H4511" s="8">
        <v>58</v>
      </c>
      <c r="J4511" t="s">
        <v>23</v>
      </c>
      <c r="K4511" s="7">
        <v>828</v>
      </c>
      <c r="L4511" s="9">
        <v>1</v>
      </c>
      <c r="M4511" t="s">
        <v>80</v>
      </c>
      <c r="N4511" t="s">
        <v>81</v>
      </c>
      <c r="O4511" s="27" t="str">
        <f>HYPERLINK("https://www.ncbi.nlm.nih.gov/nuccore/NZ_LN831790.1?report=graph&amp;from=2951395&amp;to=2951399", "TTA_codon")</f>
        <v>TTA_codon</v>
      </c>
    </row>
    <row r="4512" spans="1:15" x14ac:dyDescent="0.15">
      <c r="A4512" t="s">
        <v>21</v>
      </c>
      <c r="B4512">
        <v>1000246</v>
      </c>
      <c r="C4512">
        <v>358092</v>
      </c>
      <c r="F4512" s="7">
        <v>1</v>
      </c>
      <c r="G4512" s="7">
        <v>292</v>
      </c>
      <c r="H4512" s="8">
        <v>199</v>
      </c>
      <c r="J4512" t="s">
        <v>23</v>
      </c>
      <c r="K4512" s="7">
        <v>789</v>
      </c>
      <c r="L4512" s="9">
        <v>1</v>
      </c>
      <c r="M4512" t="s">
        <v>3481</v>
      </c>
      <c r="N4512" t="s">
        <v>119</v>
      </c>
      <c r="O4512" s="27" t="str">
        <f>HYPERLINK("https://www.ncbi.nlm.nih.gov/nuccore/NZ_LIPP01000129.1?report=graph&amp;from=11453&amp;to=11457", "TTA_codon")</f>
        <v>TTA_codon</v>
      </c>
    </row>
    <row r="4513" spans="1:15" x14ac:dyDescent="0.15">
      <c r="A4513" t="s">
        <v>21</v>
      </c>
      <c r="B4513">
        <v>1000246</v>
      </c>
      <c r="C4513">
        <v>360055</v>
      </c>
      <c r="F4513" s="7">
        <v>1</v>
      </c>
      <c r="G4513" s="7">
        <v>445</v>
      </c>
      <c r="H4513" s="8">
        <v>352</v>
      </c>
      <c r="J4513" t="s">
        <v>23</v>
      </c>
      <c r="K4513" s="7">
        <v>798</v>
      </c>
      <c r="L4513" s="9">
        <v>1</v>
      </c>
      <c r="M4513" t="s">
        <v>300</v>
      </c>
      <c r="N4513" t="s">
        <v>125</v>
      </c>
      <c r="O4513" s="27" t="str">
        <f>HYPERLINK("https://www.ncbi.nlm.nih.gov/nuccore/NZ_KQ948466.1?report=graph&amp;from=173318&amp;to=173322", "TTA_codon")</f>
        <v>TTA_codon</v>
      </c>
    </row>
    <row r="4514" spans="1:15" x14ac:dyDescent="0.15">
      <c r="A4514" t="s">
        <v>21</v>
      </c>
      <c r="B4514">
        <v>1000246</v>
      </c>
      <c r="C4514">
        <v>360374</v>
      </c>
      <c r="F4514" s="7">
        <v>1</v>
      </c>
      <c r="G4514" s="7">
        <v>856</v>
      </c>
      <c r="H4514" s="8">
        <v>688</v>
      </c>
      <c r="J4514" t="s">
        <v>23</v>
      </c>
      <c r="K4514" s="7">
        <v>780</v>
      </c>
      <c r="L4514" s="9">
        <v>1</v>
      </c>
      <c r="M4514" t="s">
        <v>121</v>
      </c>
      <c r="N4514" t="s">
        <v>122</v>
      </c>
      <c r="O4514" s="27" t="str">
        <f>HYPERLINK("https://www.ncbi.nlm.nih.gov/nuccore/NZ_CP016279.1?report=graph&amp;from=4763027&amp;to=4763031", "TTA_codon")</f>
        <v>TTA_codon</v>
      </c>
    </row>
    <row r="4515" spans="1:15" x14ac:dyDescent="0.15">
      <c r="A4515" t="s">
        <v>21</v>
      </c>
      <c r="B4515">
        <v>1000246</v>
      </c>
      <c r="C4515">
        <v>362822</v>
      </c>
      <c r="F4515" s="7">
        <v>1</v>
      </c>
      <c r="G4515" s="7">
        <v>169</v>
      </c>
      <c r="H4515" s="8">
        <v>64</v>
      </c>
      <c r="J4515" t="s">
        <v>23</v>
      </c>
      <c r="K4515" s="7">
        <v>783</v>
      </c>
      <c r="L4515" s="9">
        <v>1</v>
      </c>
      <c r="M4515" t="s">
        <v>3482</v>
      </c>
      <c r="N4515" t="s">
        <v>156</v>
      </c>
      <c r="O4515" s="27" t="str">
        <f>HYPERLINK("https://www.ncbi.nlm.nih.gov/nuccore/NZ_LJGW01000375.1?report=graph&amp;from=18054&amp;to=18058", "TTA_codon")</f>
        <v>TTA_codon</v>
      </c>
    </row>
    <row r="4516" spans="1:15" x14ac:dyDescent="0.15">
      <c r="A4516" t="s">
        <v>21</v>
      </c>
      <c r="B4516">
        <v>1000246</v>
      </c>
      <c r="C4516">
        <v>363460</v>
      </c>
      <c r="F4516" s="7">
        <v>2</v>
      </c>
      <c r="G4516" s="7" t="s">
        <v>3483</v>
      </c>
      <c r="H4516" s="8" t="s">
        <v>3484</v>
      </c>
      <c r="J4516" t="s">
        <v>23</v>
      </c>
      <c r="K4516" s="7">
        <v>816</v>
      </c>
      <c r="L4516" s="9">
        <v>1</v>
      </c>
      <c r="M4516" t="s">
        <v>157</v>
      </c>
      <c r="N4516" t="s">
        <v>158</v>
      </c>
      <c r="O4516" s="27" t="str">
        <f>HYPERLINK("https://www.ncbi.nlm.nih.gov/nuccore/NZ_CP015588.1?report=graph&amp;from=1877658&amp;to=1878178", "TTA_codon")</f>
        <v>TTA_codon</v>
      </c>
    </row>
    <row r="4517" spans="1:15" x14ac:dyDescent="0.15">
      <c r="A4517" t="s">
        <v>21</v>
      </c>
      <c r="B4517">
        <v>1000246</v>
      </c>
      <c r="C4517">
        <v>364129</v>
      </c>
      <c r="F4517" s="7">
        <v>1</v>
      </c>
      <c r="G4517" s="7">
        <v>217</v>
      </c>
      <c r="H4517" s="8">
        <v>64</v>
      </c>
      <c r="J4517" t="s">
        <v>23</v>
      </c>
      <c r="K4517" s="7">
        <v>744</v>
      </c>
      <c r="L4517" s="9">
        <v>1</v>
      </c>
      <c r="M4517" t="s">
        <v>254</v>
      </c>
      <c r="N4517" t="s">
        <v>255</v>
      </c>
      <c r="O4517" s="27" t="str">
        <f>HYPERLINK("https://www.ncbi.nlm.nih.gov/nuccore/NZ_CP018047.1?report=graph&amp;from=7492295&amp;to=7492299", "TTA_codon")</f>
        <v>TTA_codon</v>
      </c>
    </row>
    <row r="4518" spans="1:15" x14ac:dyDescent="0.15">
      <c r="A4518" t="s">
        <v>21</v>
      </c>
      <c r="B4518">
        <v>1000246</v>
      </c>
      <c r="C4518">
        <v>364821</v>
      </c>
      <c r="F4518" s="7">
        <v>1</v>
      </c>
      <c r="G4518" s="7">
        <v>586</v>
      </c>
      <c r="H4518" s="8">
        <v>463</v>
      </c>
      <c r="J4518" t="s">
        <v>23</v>
      </c>
      <c r="K4518" s="7">
        <v>780</v>
      </c>
      <c r="L4518" s="9">
        <v>1</v>
      </c>
      <c r="M4518" t="s">
        <v>126</v>
      </c>
      <c r="N4518" t="s">
        <v>127</v>
      </c>
      <c r="O4518" s="27" t="str">
        <f>HYPERLINK("https://www.ncbi.nlm.nih.gov/nuccore/NZ_CP021748.1?report=graph&amp;from=624549&amp;to=624553", "TTA_codon")</f>
        <v>TTA_codon</v>
      </c>
    </row>
    <row r="4519" spans="1:15" x14ac:dyDescent="0.15">
      <c r="A4519" t="s">
        <v>21</v>
      </c>
      <c r="B4519">
        <v>1000246</v>
      </c>
      <c r="C4519">
        <v>364822</v>
      </c>
      <c r="F4519" s="7">
        <v>1</v>
      </c>
      <c r="G4519" s="7">
        <v>322</v>
      </c>
      <c r="H4519" s="8">
        <v>211</v>
      </c>
      <c r="J4519" t="s">
        <v>23</v>
      </c>
      <c r="K4519" s="7">
        <v>771</v>
      </c>
      <c r="L4519" s="9">
        <v>1</v>
      </c>
      <c r="M4519" t="s">
        <v>3485</v>
      </c>
      <c r="N4519" t="s">
        <v>127</v>
      </c>
      <c r="O4519" s="27" t="str">
        <f>HYPERLINK("https://www.ncbi.nlm.nih.gov/nuccore/NZ_CP023976.1?report=graph&amp;from=129085&amp;to=129089", "TTA_codon")</f>
        <v>TTA_codon</v>
      </c>
    </row>
    <row r="4520" spans="1:15" x14ac:dyDescent="0.15">
      <c r="A4520" t="s">
        <v>21</v>
      </c>
      <c r="B4520">
        <v>1000246</v>
      </c>
      <c r="C4520">
        <v>364830</v>
      </c>
      <c r="F4520" s="7">
        <v>1</v>
      </c>
      <c r="G4520" s="7">
        <v>589</v>
      </c>
      <c r="H4520" s="8">
        <v>466</v>
      </c>
      <c r="J4520" t="s">
        <v>23</v>
      </c>
      <c r="K4520" s="7">
        <v>798</v>
      </c>
      <c r="L4520" s="9">
        <v>1</v>
      </c>
      <c r="M4520" t="s">
        <v>126</v>
      </c>
      <c r="N4520" t="s">
        <v>127</v>
      </c>
      <c r="O4520" s="27" t="str">
        <f>HYPERLINK("https://www.ncbi.nlm.nih.gov/nuccore/NZ_CP021748.1?report=graph&amp;from=8497029&amp;to=8497033", "TTA_codon")</f>
        <v>TTA_codon</v>
      </c>
    </row>
    <row r="4521" spans="1:15" x14ac:dyDescent="0.15">
      <c r="A4521" t="s">
        <v>21</v>
      </c>
      <c r="B4521">
        <v>1000246</v>
      </c>
      <c r="C4521">
        <v>365427</v>
      </c>
      <c r="F4521" s="7">
        <v>1</v>
      </c>
      <c r="G4521" s="7">
        <v>124</v>
      </c>
      <c r="H4521" s="8">
        <v>82</v>
      </c>
      <c r="J4521" t="s">
        <v>23</v>
      </c>
      <c r="K4521" s="7">
        <v>855</v>
      </c>
      <c r="L4521" s="9">
        <v>1</v>
      </c>
      <c r="M4521" t="s">
        <v>3486</v>
      </c>
      <c r="N4521" t="s">
        <v>45</v>
      </c>
      <c r="O4521" s="27" t="str">
        <f>HYPERLINK("https://www.ncbi.nlm.nih.gov/nuccore/NZ_FNIE01000001.1?report=graph&amp;from=333917&amp;to=333921", "TTA_codon")</f>
        <v>TTA_codon</v>
      </c>
    </row>
    <row r="4522" spans="1:15" x14ac:dyDescent="0.15">
      <c r="A4522" t="s">
        <v>21</v>
      </c>
      <c r="B4522" t="s">
        <v>3487</v>
      </c>
    </row>
    <row r="4523" spans="1:15" x14ac:dyDescent="0.15">
      <c r="A4523" t="s">
        <v>21</v>
      </c>
      <c r="B4523">
        <v>1000807</v>
      </c>
      <c r="C4523">
        <v>352052</v>
      </c>
      <c r="F4523" s="7">
        <v>1</v>
      </c>
      <c r="G4523" s="7">
        <v>556</v>
      </c>
      <c r="H4523" s="8">
        <v>556</v>
      </c>
      <c r="J4523" t="s">
        <v>23</v>
      </c>
      <c r="K4523" s="7">
        <v>816</v>
      </c>
      <c r="L4523" s="9">
        <v>-1</v>
      </c>
      <c r="M4523" t="s">
        <v>1076</v>
      </c>
      <c r="N4523" t="s">
        <v>70</v>
      </c>
      <c r="O4523" s="27" t="str">
        <f>HYPERLINK("https://www.ncbi.nlm.nih.gov/nuccore/NZ_KB904670.1?report=graph&amp;from=45144&amp;to=45148", "TTA_codon")</f>
        <v>TTA_codon</v>
      </c>
    </row>
    <row r="4524" spans="1:15" x14ac:dyDescent="0.15">
      <c r="A4524" t="s">
        <v>21</v>
      </c>
      <c r="B4524">
        <v>1000807</v>
      </c>
      <c r="C4524">
        <v>365322</v>
      </c>
      <c r="F4524" s="7">
        <v>1</v>
      </c>
      <c r="G4524" s="7">
        <v>706</v>
      </c>
      <c r="H4524" s="8">
        <v>703</v>
      </c>
      <c r="J4524" t="s">
        <v>23</v>
      </c>
      <c r="K4524" s="7">
        <v>828</v>
      </c>
      <c r="L4524" s="9">
        <v>-1</v>
      </c>
      <c r="M4524" t="s">
        <v>3488</v>
      </c>
      <c r="N4524" t="s">
        <v>129</v>
      </c>
      <c r="O4524" s="27" t="str">
        <f>HYPERLINK("https://www.ncbi.nlm.nih.gov/nuccore/NZ_FNHI01000015.1?report=graph&amp;from=3510&amp;to=3514", "TTA_codon")</f>
        <v>TTA_codon</v>
      </c>
    </row>
    <row r="4525" spans="1:15" x14ac:dyDescent="0.15">
      <c r="A4525" t="s">
        <v>21</v>
      </c>
      <c r="B4525" t="s">
        <v>3489</v>
      </c>
    </row>
    <row r="4526" spans="1:15" x14ac:dyDescent="0.15">
      <c r="A4526" t="s">
        <v>21</v>
      </c>
      <c r="B4526">
        <v>1001435</v>
      </c>
      <c r="C4526">
        <v>356763</v>
      </c>
      <c r="F4526" s="7">
        <v>1</v>
      </c>
      <c r="G4526" s="7">
        <v>151</v>
      </c>
      <c r="H4526" s="8">
        <v>139</v>
      </c>
      <c r="J4526" t="s">
        <v>23</v>
      </c>
      <c r="K4526" s="7">
        <v>1983</v>
      </c>
      <c r="L4526" s="9">
        <v>1</v>
      </c>
      <c r="M4526" t="s">
        <v>147</v>
      </c>
      <c r="N4526" t="s">
        <v>148</v>
      </c>
      <c r="O4526" s="27" t="str">
        <f>HYPERLINK("https://www.ncbi.nlm.nih.gov/nuccore/NZ_CP021080.1?report=graph&amp;from=746205&amp;to=746209", "TTA_codon")</f>
        <v>TTA_codon</v>
      </c>
    </row>
    <row r="4527" spans="1:15" x14ac:dyDescent="0.15">
      <c r="A4527" t="s">
        <v>21</v>
      </c>
      <c r="B4527">
        <v>1001435</v>
      </c>
      <c r="C4527">
        <v>363373</v>
      </c>
      <c r="F4527" s="7">
        <v>1</v>
      </c>
      <c r="G4527" s="7">
        <v>94</v>
      </c>
      <c r="H4527" s="8">
        <v>91</v>
      </c>
      <c r="J4527" t="s">
        <v>23</v>
      </c>
      <c r="K4527" s="7">
        <v>1968</v>
      </c>
      <c r="L4527" s="9">
        <v>1</v>
      </c>
      <c r="M4527" t="s">
        <v>3490</v>
      </c>
      <c r="N4527" t="s">
        <v>28</v>
      </c>
      <c r="O4527" s="27" t="str">
        <f>HYPERLINK("https://www.ncbi.nlm.nih.gov/nuccore/NZ_JUJA01000144.1?report=graph&amp;from=89093&amp;to=89097", "TTA_codon")</f>
        <v>TTA_codon</v>
      </c>
    </row>
    <row r="4528" spans="1:15" x14ac:dyDescent="0.15">
      <c r="A4528" t="s">
        <v>21</v>
      </c>
      <c r="B4528" t="s">
        <v>3491</v>
      </c>
    </row>
    <row r="4529" spans="1:15" x14ac:dyDescent="0.15">
      <c r="A4529" t="s">
        <v>21</v>
      </c>
      <c r="B4529">
        <v>1000720</v>
      </c>
      <c r="C4529">
        <v>351155</v>
      </c>
      <c r="F4529" s="7">
        <v>1</v>
      </c>
      <c r="G4529" s="7">
        <v>1885</v>
      </c>
      <c r="H4529" s="8">
        <v>1774</v>
      </c>
      <c r="J4529" t="s">
        <v>23</v>
      </c>
      <c r="K4529" s="7">
        <v>2352</v>
      </c>
      <c r="L4529" s="9">
        <v>-1</v>
      </c>
      <c r="M4529" t="s">
        <v>65</v>
      </c>
      <c r="N4529" t="s">
        <v>66</v>
      </c>
      <c r="O4529" s="27" t="str">
        <f>HYPERLINK("https://www.ncbi.nlm.nih.gov/nuccore/NC_020504.1?report=graph&amp;from=6604198&amp;to=6604202", "TTA_codon")</f>
        <v>TTA_codon</v>
      </c>
    </row>
    <row r="4530" spans="1:15" x14ac:dyDescent="0.15">
      <c r="A4530" t="s">
        <v>21</v>
      </c>
      <c r="B4530">
        <v>1000720</v>
      </c>
      <c r="C4530">
        <v>365899</v>
      </c>
      <c r="F4530" s="7">
        <v>1</v>
      </c>
      <c r="G4530" s="7">
        <v>1813</v>
      </c>
      <c r="H4530" s="8">
        <v>1678</v>
      </c>
      <c r="J4530" t="s">
        <v>23</v>
      </c>
      <c r="K4530" s="7">
        <v>2085</v>
      </c>
      <c r="L4530" s="9">
        <v>-1</v>
      </c>
      <c r="M4530" t="s">
        <v>3492</v>
      </c>
      <c r="N4530" t="s">
        <v>115</v>
      </c>
      <c r="O4530" s="27" t="str">
        <f>HYPERLINK("https://www.ncbi.nlm.nih.gov/nuccore/NZ_FODD01000043.1?report=graph&amp;from=50905&amp;to=50909", "TTA_codon")</f>
        <v>TTA_codon</v>
      </c>
    </row>
    <row r="4531" spans="1:15" x14ac:dyDescent="0.15">
      <c r="A4531" t="s">
        <v>21</v>
      </c>
      <c r="B4531" t="s">
        <v>3493</v>
      </c>
    </row>
    <row r="4532" spans="1:15" x14ac:dyDescent="0.15">
      <c r="A4532" t="s">
        <v>21</v>
      </c>
      <c r="B4532">
        <v>1000761</v>
      </c>
      <c r="C4532">
        <v>351559</v>
      </c>
      <c r="F4532" s="7">
        <v>1</v>
      </c>
      <c r="G4532" s="7">
        <v>256</v>
      </c>
      <c r="H4532" s="8">
        <v>217</v>
      </c>
      <c r="J4532" t="s">
        <v>23</v>
      </c>
      <c r="K4532" s="7">
        <v>687</v>
      </c>
      <c r="L4532" s="9">
        <v>1</v>
      </c>
      <c r="M4532" t="s">
        <v>3494</v>
      </c>
      <c r="N4532" t="s">
        <v>138</v>
      </c>
      <c r="O4532" s="27" t="str">
        <f>HYPERLINK("https://www.ncbi.nlm.nih.gov/nuccore/NZ_KB889693.1?report=graph&amp;from=30900&amp;to=30904", "TTA_codon")</f>
        <v>TTA_codon</v>
      </c>
    </row>
    <row r="4533" spans="1:15" x14ac:dyDescent="0.15">
      <c r="A4533" t="s">
        <v>21</v>
      </c>
      <c r="B4533">
        <v>1000761</v>
      </c>
      <c r="C4533">
        <v>352774</v>
      </c>
      <c r="F4533" s="7">
        <v>1</v>
      </c>
      <c r="G4533" s="7">
        <v>133</v>
      </c>
      <c r="H4533" s="8">
        <v>133</v>
      </c>
      <c r="J4533" t="s">
        <v>23</v>
      </c>
      <c r="K4533" s="7">
        <v>810</v>
      </c>
      <c r="L4533" s="9">
        <v>1</v>
      </c>
      <c r="M4533" t="s">
        <v>472</v>
      </c>
      <c r="N4533" t="s">
        <v>473</v>
      </c>
      <c r="O4533" s="27" t="str">
        <f>HYPERLINK("https://www.ncbi.nlm.nih.gov/nuccore/NZ_ASHX02000001.1?report=graph&amp;from=1312544&amp;to=1312548", "TTA_codon")</f>
        <v>TTA_codon</v>
      </c>
    </row>
    <row r="4534" spans="1:15" x14ac:dyDescent="0.15">
      <c r="A4534" t="s">
        <v>21</v>
      </c>
      <c r="B4534" t="s">
        <v>3495</v>
      </c>
    </row>
    <row r="4535" spans="1:15" x14ac:dyDescent="0.15">
      <c r="A4535" t="s">
        <v>21</v>
      </c>
      <c r="B4535">
        <v>1000942</v>
      </c>
      <c r="C4535">
        <v>353424</v>
      </c>
      <c r="F4535" s="7">
        <v>1</v>
      </c>
      <c r="G4535" s="7">
        <v>514</v>
      </c>
      <c r="H4535" s="8">
        <v>511</v>
      </c>
      <c r="J4535" t="s">
        <v>23</v>
      </c>
      <c r="K4535" s="7">
        <v>1104</v>
      </c>
      <c r="L4535" s="9">
        <v>-1</v>
      </c>
      <c r="M4535" t="s">
        <v>3496</v>
      </c>
      <c r="N4535" t="s">
        <v>169</v>
      </c>
      <c r="O4535" s="27" t="str">
        <f>HYPERLINK("https://www.ncbi.nlm.nih.gov/nuccore/NZ_JNWJ01000110.1?report=graph&amp;from=2153&amp;to=2157", "TTA_codon")</f>
        <v>TTA_codon</v>
      </c>
    </row>
    <row r="4536" spans="1:15" x14ac:dyDescent="0.15">
      <c r="A4536" t="s">
        <v>21</v>
      </c>
      <c r="B4536">
        <v>1000942</v>
      </c>
      <c r="C4536">
        <v>358536</v>
      </c>
      <c r="F4536" s="7">
        <v>1</v>
      </c>
      <c r="G4536" s="7">
        <v>514</v>
      </c>
      <c r="H4536" s="8">
        <v>514</v>
      </c>
      <c r="J4536" t="s">
        <v>23</v>
      </c>
      <c r="K4536" s="7">
        <v>1107</v>
      </c>
      <c r="L4536" s="9">
        <v>-1</v>
      </c>
      <c r="M4536" t="s">
        <v>626</v>
      </c>
      <c r="N4536" t="s">
        <v>85</v>
      </c>
      <c r="O4536" s="27" t="str">
        <f>HYPERLINK("https://www.ncbi.nlm.nih.gov/nuccore/NZ_LIQX01000075.1?report=graph&amp;from=14631&amp;to=14635", "TTA_codon")</f>
        <v>TTA_codon</v>
      </c>
    </row>
    <row r="4537" spans="1:15" x14ac:dyDescent="0.15">
      <c r="A4537" t="s">
        <v>21</v>
      </c>
      <c r="B4537" t="s">
        <v>3497</v>
      </c>
    </row>
    <row r="4538" spans="1:15" x14ac:dyDescent="0.15">
      <c r="A4538" t="s">
        <v>21</v>
      </c>
      <c r="B4538">
        <v>1001534</v>
      </c>
      <c r="C4538">
        <v>366897</v>
      </c>
      <c r="F4538" s="7">
        <v>1</v>
      </c>
      <c r="G4538" s="7">
        <v>517</v>
      </c>
      <c r="H4538" s="8">
        <v>517</v>
      </c>
      <c r="J4538" t="s">
        <v>23</v>
      </c>
      <c r="K4538" s="7">
        <v>1782</v>
      </c>
      <c r="L4538" s="9">
        <v>1</v>
      </c>
      <c r="M4538" t="s">
        <v>3498</v>
      </c>
      <c r="N4538" t="s">
        <v>3499</v>
      </c>
      <c r="O4538" s="27" t="str">
        <f>HYPERLINK("https://www.ncbi.nlm.nih.gov/nuccore/KX670789.1?report=graph&amp;from=14483&amp;to=14487", "TTA_codon")</f>
        <v>TTA_codon</v>
      </c>
    </row>
    <row r="4539" spans="1:15" x14ac:dyDescent="0.15">
      <c r="A4539" t="s">
        <v>21</v>
      </c>
      <c r="B4539">
        <v>1001534</v>
      </c>
      <c r="C4539">
        <v>366915</v>
      </c>
      <c r="F4539" s="7">
        <v>1</v>
      </c>
      <c r="G4539" s="7">
        <v>517</v>
      </c>
      <c r="H4539" s="8">
        <v>517</v>
      </c>
      <c r="J4539" t="s">
        <v>23</v>
      </c>
      <c r="K4539" s="7">
        <v>1782</v>
      </c>
      <c r="L4539" s="9">
        <v>1</v>
      </c>
      <c r="M4539" t="s">
        <v>3500</v>
      </c>
      <c r="N4539" t="s">
        <v>3501</v>
      </c>
      <c r="O4539" s="27" t="str">
        <f>HYPERLINK("https://www.ncbi.nlm.nih.gov/nuccore/MF467949.1?report=graph&amp;from=14477&amp;to=14481", "TTA_codon")</f>
        <v>TTA_codon</v>
      </c>
    </row>
    <row r="4540" spans="1:15" x14ac:dyDescent="0.15">
      <c r="A4540" t="s">
        <v>21</v>
      </c>
      <c r="B4540">
        <v>1001534</v>
      </c>
      <c r="C4540">
        <v>367011</v>
      </c>
      <c r="F4540" s="7">
        <v>1</v>
      </c>
      <c r="G4540" s="7">
        <v>517</v>
      </c>
      <c r="H4540" s="8">
        <v>517</v>
      </c>
      <c r="J4540" t="s">
        <v>23</v>
      </c>
      <c r="K4540" s="7">
        <v>1782</v>
      </c>
      <c r="L4540" s="9">
        <v>1</v>
      </c>
      <c r="M4540" t="s">
        <v>3502</v>
      </c>
      <c r="N4540" t="s">
        <v>3503</v>
      </c>
      <c r="O4540" s="27" t="str">
        <f>HYPERLINK("https://www.ncbi.nlm.nih.gov/nuccore/MK433259.1?report=graph&amp;from=14477&amp;to=14481", "TTA_codon")</f>
        <v>TTA_codon</v>
      </c>
    </row>
    <row r="4541" spans="1:15" x14ac:dyDescent="0.15">
      <c r="A4541" t="s">
        <v>21</v>
      </c>
      <c r="B4541">
        <v>1001534</v>
      </c>
      <c r="C4541">
        <v>367012</v>
      </c>
      <c r="F4541" s="7">
        <v>1</v>
      </c>
      <c r="G4541" s="7">
        <v>517</v>
      </c>
      <c r="H4541" s="8">
        <v>517</v>
      </c>
      <c r="J4541" t="s">
        <v>23</v>
      </c>
      <c r="K4541" s="7">
        <v>1782</v>
      </c>
      <c r="L4541" s="9">
        <v>1</v>
      </c>
      <c r="M4541" t="s">
        <v>3504</v>
      </c>
      <c r="N4541" t="s">
        <v>3505</v>
      </c>
      <c r="O4541" s="27" t="str">
        <f>HYPERLINK("https://www.ncbi.nlm.nih.gov/nuccore/MK433260.1?report=graph&amp;from=14483&amp;to=14487", "TTA_codon")</f>
        <v>TTA_codon</v>
      </c>
    </row>
    <row r="4542" spans="1:15" x14ac:dyDescent="0.15">
      <c r="A4542" t="s">
        <v>21</v>
      </c>
      <c r="B4542">
        <v>1001534</v>
      </c>
      <c r="C4542">
        <v>367050</v>
      </c>
      <c r="F4542" s="7">
        <v>1</v>
      </c>
      <c r="G4542" s="7">
        <v>517</v>
      </c>
      <c r="H4542" s="8">
        <v>517</v>
      </c>
      <c r="J4542" t="s">
        <v>23</v>
      </c>
      <c r="K4542" s="7">
        <v>1782</v>
      </c>
      <c r="L4542" s="9">
        <v>1</v>
      </c>
      <c r="M4542" t="s">
        <v>3506</v>
      </c>
      <c r="N4542" t="s">
        <v>3507</v>
      </c>
      <c r="O4542" s="27" t="str">
        <f>HYPERLINK("https://www.ncbi.nlm.nih.gov/nuccore/MK967386.1?report=graph&amp;from=14477&amp;to=14481", "TTA_codon")</f>
        <v>TTA_codon</v>
      </c>
    </row>
    <row r="4543" spans="1:15" x14ac:dyDescent="0.15">
      <c r="A4543" t="s">
        <v>21</v>
      </c>
      <c r="B4543">
        <v>1001534</v>
      </c>
      <c r="C4543">
        <v>367053</v>
      </c>
      <c r="F4543" s="7">
        <v>1</v>
      </c>
      <c r="G4543" s="7">
        <v>517</v>
      </c>
      <c r="H4543" s="8">
        <v>517</v>
      </c>
      <c r="J4543" t="s">
        <v>23</v>
      </c>
      <c r="K4543" s="7">
        <v>1782</v>
      </c>
      <c r="L4543" s="9">
        <v>1</v>
      </c>
      <c r="M4543" t="s">
        <v>3508</v>
      </c>
      <c r="N4543" t="s">
        <v>3509</v>
      </c>
      <c r="O4543" s="27" t="str">
        <f>HYPERLINK("https://www.ncbi.nlm.nih.gov/nuccore/MN204494.1?report=graph&amp;from=14477&amp;to=14481", "TTA_codon")</f>
        <v>TTA_codon</v>
      </c>
    </row>
    <row r="4544" spans="1:15" x14ac:dyDescent="0.15">
      <c r="A4544" t="s">
        <v>21</v>
      </c>
      <c r="B4544">
        <v>1001534</v>
      </c>
      <c r="C4544">
        <v>367054</v>
      </c>
      <c r="F4544" s="7">
        <v>1</v>
      </c>
      <c r="G4544" s="7">
        <v>517</v>
      </c>
      <c r="H4544" s="8">
        <v>517</v>
      </c>
      <c r="J4544" t="s">
        <v>23</v>
      </c>
      <c r="K4544" s="7">
        <v>1782</v>
      </c>
      <c r="L4544" s="9">
        <v>1</v>
      </c>
      <c r="M4544" t="s">
        <v>3510</v>
      </c>
      <c r="N4544" t="s">
        <v>3511</v>
      </c>
      <c r="O4544" s="27" t="str">
        <f>HYPERLINK("https://www.ncbi.nlm.nih.gov/nuccore/MN204495.1?report=graph&amp;from=14494&amp;to=14498", "TTA_codon")</f>
        <v>TTA_codon</v>
      </c>
    </row>
    <row r="4545" spans="1:15" x14ac:dyDescent="0.15">
      <c r="A4545" t="s">
        <v>21</v>
      </c>
      <c r="B4545">
        <v>1001534</v>
      </c>
      <c r="C4545">
        <v>367055</v>
      </c>
      <c r="F4545" s="7">
        <v>1</v>
      </c>
      <c r="G4545" s="7">
        <v>517</v>
      </c>
      <c r="H4545" s="8">
        <v>517</v>
      </c>
      <c r="J4545" t="s">
        <v>23</v>
      </c>
      <c r="K4545" s="7">
        <v>1782</v>
      </c>
      <c r="L4545" s="9">
        <v>1</v>
      </c>
      <c r="M4545" t="s">
        <v>3512</v>
      </c>
      <c r="N4545" t="s">
        <v>3513</v>
      </c>
      <c r="O4545" s="27" t="str">
        <f>HYPERLINK("https://www.ncbi.nlm.nih.gov/nuccore/MN204497.1?report=graph&amp;from=14477&amp;to=14481", "TTA_codon")</f>
        <v>TTA_codon</v>
      </c>
    </row>
    <row r="4546" spans="1:15" x14ac:dyDescent="0.15">
      <c r="A4546" t="s">
        <v>21</v>
      </c>
      <c r="B4546">
        <v>1001534</v>
      </c>
      <c r="C4546">
        <v>367056</v>
      </c>
      <c r="F4546" s="7">
        <v>1</v>
      </c>
      <c r="G4546" s="7">
        <v>517</v>
      </c>
      <c r="H4546" s="8">
        <v>517</v>
      </c>
      <c r="J4546" t="s">
        <v>23</v>
      </c>
      <c r="K4546" s="7">
        <v>1782</v>
      </c>
      <c r="L4546" s="9">
        <v>1</v>
      </c>
      <c r="M4546" t="s">
        <v>3514</v>
      </c>
      <c r="N4546" t="s">
        <v>3515</v>
      </c>
      <c r="O4546" s="27" t="str">
        <f>HYPERLINK("https://www.ncbi.nlm.nih.gov/nuccore/MN204500.1?report=graph&amp;from=14477&amp;to=14481", "TTA_codon")</f>
        <v>TTA_codon</v>
      </c>
    </row>
    <row r="4547" spans="1:15" x14ac:dyDescent="0.15">
      <c r="A4547" t="s">
        <v>21</v>
      </c>
      <c r="B4547">
        <v>1001534</v>
      </c>
      <c r="C4547">
        <v>367132</v>
      </c>
      <c r="F4547" s="7">
        <v>1</v>
      </c>
      <c r="G4547" s="7">
        <v>517</v>
      </c>
      <c r="H4547" s="8">
        <v>517</v>
      </c>
      <c r="J4547" t="s">
        <v>23</v>
      </c>
      <c r="K4547" s="7">
        <v>1782</v>
      </c>
      <c r="L4547" s="9">
        <v>1</v>
      </c>
      <c r="M4547" t="s">
        <v>3516</v>
      </c>
      <c r="N4547" t="s">
        <v>3517</v>
      </c>
      <c r="O4547" s="27" t="str">
        <f>HYPERLINK("https://www.ncbi.nlm.nih.gov/nuccore/MN586056.1?report=graph&amp;from=14483&amp;to=14487", "TTA_codon")</f>
        <v>TTA_codon</v>
      </c>
    </row>
    <row r="4548" spans="1:15" x14ac:dyDescent="0.15">
      <c r="A4548" t="s">
        <v>21</v>
      </c>
      <c r="B4548">
        <v>1001534</v>
      </c>
      <c r="C4548">
        <v>367186</v>
      </c>
      <c r="F4548" s="7">
        <v>1</v>
      </c>
      <c r="G4548" s="7">
        <v>517</v>
      </c>
      <c r="H4548" s="8">
        <v>517</v>
      </c>
      <c r="J4548" t="s">
        <v>23</v>
      </c>
      <c r="K4548" s="7">
        <v>1782</v>
      </c>
      <c r="L4548" s="9">
        <v>1</v>
      </c>
      <c r="M4548" t="s">
        <v>3518</v>
      </c>
      <c r="N4548" t="s">
        <v>3519</v>
      </c>
      <c r="O4548" s="27" t="str">
        <f>HYPERLINK("https://www.ncbi.nlm.nih.gov/nuccore/MT684589.1?report=graph&amp;from=14491&amp;to=14495", "TTA_codon")</f>
        <v>TTA_codon</v>
      </c>
    </row>
    <row r="4549" spans="1:15" x14ac:dyDescent="0.15">
      <c r="A4549" t="s">
        <v>21</v>
      </c>
      <c r="B4549">
        <v>1001534</v>
      </c>
      <c r="C4549">
        <v>367212</v>
      </c>
      <c r="F4549" s="7">
        <v>1</v>
      </c>
      <c r="G4549" s="7">
        <v>517</v>
      </c>
      <c r="H4549" s="8">
        <v>517</v>
      </c>
      <c r="J4549" t="s">
        <v>23</v>
      </c>
      <c r="K4549" s="7">
        <v>1782</v>
      </c>
      <c r="L4549" s="9">
        <v>1</v>
      </c>
      <c r="M4549" t="s">
        <v>3520</v>
      </c>
      <c r="N4549" t="s">
        <v>3521</v>
      </c>
      <c r="O4549" s="27" t="str">
        <f>HYPERLINK("https://www.ncbi.nlm.nih.gov/nuccore/MW055905.1?report=graph&amp;from=14477&amp;to=14481", "TTA_codon")</f>
        <v>TTA_codon</v>
      </c>
    </row>
    <row r="4550" spans="1:15" x14ac:dyDescent="0.15">
      <c r="A4550" t="s">
        <v>21</v>
      </c>
      <c r="B4550">
        <v>1001534</v>
      </c>
      <c r="C4550">
        <v>367274</v>
      </c>
      <c r="F4550" s="7">
        <v>1</v>
      </c>
      <c r="G4550" s="7">
        <v>517</v>
      </c>
      <c r="H4550" s="8">
        <v>517</v>
      </c>
      <c r="J4550" t="s">
        <v>23</v>
      </c>
      <c r="K4550" s="7">
        <v>1782</v>
      </c>
      <c r="L4550" s="9">
        <v>1</v>
      </c>
      <c r="M4550" t="s">
        <v>3522</v>
      </c>
      <c r="N4550" t="s">
        <v>3523</v>
      </c>
      <c r="O4550" s="27" t="str">
        <f>HYPERLINK("https://www.ncbi.nlm.nih.gov/nuccore/NC_041889.1?report=graph&amp;from=14483&amp;to=14487", "TTA_codon")</f>
        <v>TTA_codon</v>
      </c>
    </row>
    <row r="4551" spans="1:15" x14ac:dyDescent="0.15">
      <c r="A4551" t="s">
        <v>21</v>
      </c>
      <c r="B4551" t="s">
        <v>3524</v>
      </c>
    </row>
    <row r="4552" spans="1:15" x14ac:dyDescent="0.15">
      <c r="A4552" t="s">
        <v>21</v>
      </c>
      <c r="B4552">
        <v>1001401</v>
      </c>
      <c r="C4552">
        <v>362068</v>
      </c>
      <c r="F4552" s="7">
        <v>1</v>
      </c>
      <c r="G4552" s="7">
        <v>79</v>
      </c>
      <c r="H4552" s="8">
        <v>79</v>
      </c>
      <c r="J4552" t="s">
        <v>23</v>
      </c>
      <c r="K4552" s="7">
        <v>1797</v>
      </c>
      <c r="L4552" s="9">
        <v>1</v>
      </c>
      <c r="M4552" t="s">
        <v>3525</v>
      </c>
      <c r="N4552" t="s">
        <v>187</v>
      </c>
      <c r="O4552" s="27" t="str">
        <f>HYPERLINK("https://www.ncbi.nlm.nih.gov/nuccore/NZ_MAXF01000028.1?report=graph&amp;from=3059&amp;to=3063", "TTA_codon")</f>
        <v>TTA_codon</v>
      </c>
    </row>
    <row r="4553" spans="1:15" x14ac:dyDescent="0.15">
      <c r="A4553" t="s">
        <v>21</v>
      </c>
      <c r="B4553">
        <v>1001401</v>
      </c>
      <c r="C4553">
        <v>363196</v>
      </c>
      <c r="F4553" s="7">
        <v>1</v>
      </c>
      <c r="G4553" s="7">
        <v>127</v>
      </c>
      <c r="H4553" s="8">
        <v>112</v>
      </c>
      <c r="J4553" t="s">
        <v>23</v>
      </c>
      <c r="K4553" s="7">
        <v>1788</v>
      </c>
      <c r="L4553" s="9">
        <v>1</v>
      </c>
      <c r="M4553" t="s">
        <v>900</v>
      </c>
      <c r="N4553" t="s">
        <v>401</v>
      </c>
      <c r="O4553" s="27" t="str">
        <f>HYPERLINK("https://www.ncbi.nlm.nih.gov/nuccore/NZ_LFBV01000007.1?report=graph&amp;from=346262&amp;to=346266", "TTA_codon")</f>
        <v>TTA_codon</v>
      </c>
    </row>
    <row r="4554" spans="1:15" x14ac:dyDescent="0.15">
      <c r="A4554" t="s">
        <v>21</v>
      </c>
      <c r="B4554" t="s">
        <v>3526</v>
      </c>
    </row>
    <row r="4555" spans="1:15" x14ac:dyDescent="0.15">
      <c r="A4555" t="s">
        <v>21</v>
      </c>
      <c r="B4555">
        <v>1001434</v>
      </c>
      <c r="C4555">
        <v>363343</v>
      </c>
      <c r="F4555" s="7">
        <v>1</v>
      </c>
      <c r="G4555" s="7">
        <v>601</v>
      </c>
      <c r="H4555" s="8">
        <v>595</v>
      </c>
      <c r="J4555" t="s">
        <v>23</v>
      </c>
      <c r="K4555" s="7">
        <v>744</v>
      </c>
      <c r="L4555" s="9">
        <v>-1</v>
      </c>
      <c r="M4555" t="s">
        <v>3527</v>
      </c>
      <c r="N4555" t="s">
        <v>28</v>
      </c>
      <c r="O4555" s="27" t="str">
        <f>HYPERLINK("https://www.ncbi.nlm.nih.gov/nuccore/NZ_JUJA01000006.1?report=graph&amp;from=10883&amp;to=10887", "TTA_codon")</f>
        <v>TTA_codon</v>
      </c>
    </row>
    <row r="4556" spans="1:15" x14ac:dyDescent="0.15">
      <c r="A4556" t="s">
        <v>21</v>
      </c>
      <c r="B4556">
        <v>1001434</v>
      </c>
      <c r="C4556">
        <v>364886</v>
      </c>
      <c r="F4556" s="7">
        <v>1</v>
      </c>
      <c r="G4556" s="7">
        <v>721</v>
      </c>
      <c r="H4556" s="8">
        <v>718</v>
      </c>
      <c r="J4556" t="s">
        <v>23</v>
      </c>
      <c r="K4556" s="7">
        <v>747</v>
      </c>
      <c r="L4556" s="9">
        <v>-1</v>
      </c>
      <c r="M4556" t="s">
        <v>126</v>
      </c>
      <c r="N4556" t="s">
        <v>127</v>
      </c>
      <c r="O4556" s="27" t="str">
        <f>HYPERLINK("https://www.ncbi.nlm.nih.gov/nuccore/NZ_CP021748.1?report=graph&amp;from=5959743&amp;to=5959747", "TTA_codon")</f>
        <v>TTA_codon</v>
      </c>
    </row>
    <row r="4557" spans="1:15" x14ac:dyDescent="0.15">
      <c r="A4557" t="s">
        <v>21</v>
      </c>
      <c r="B4557" t="s">
        <v>3528</v>
      </c>
    </row>
    <row r="4558" spans="1:15" x14ac:dyDescent="0.15">
      <c r="A4558" t="s">
        <v>21</v>
      </c>
      <c r="B4558">
        <v>1000930</v>
      </c>
      <c r="C4558">
        <v>353252</v>
      </c>
      <c r="F4558" s="7">
        <v>1</v>
      </c>
      <c r="G4558" s="7">
        <v>1750</v>
      </c>
      <c r="H4558" s="8">
        <v>1372</v>
      </c>
      <c r="J4558" t="s">
        <v>23</v>
      </c>
      <c r="K4558" s="7">
        <v>2109</v>
      </c>
      <c r="L4558" s="9">
        <v>1</v>
      </c>
      <c r="M4558" t="s">
        <v>168</v>
      </c>
      <c r="N4558" t="s">
        <v>169</v>
      </c>
      <c r="O4558" s="27" t="str">
        <f>HYPERLINK("https://www.ncbi.nlm.nih.gov/nuccore/NZ_JNWJ01000008.1?report=graph&amp;from=71229&amp;to=71233", "TTA_codon")</f>
        <v>TTA_codon</v>
      </c>
    </row>
    <row r="4559" spans="1:15" x14ac:dyDescent="0.15">
      <c r="A4559" t="s">
        <v>21</v>
      </c>
      <c r="B4559">
        <v>1000930</v>
      </c>
      <c r="C4559">
        <v>356202</v>
      </c>
      <c r="F4559" s="7">
        <v>1</v>
      </c>
      <c r="G4559" s="7">
        <v>1750</v>
      </c>
      <c r="H4559" s="8">
        <v>1678</v>
      </c>
      <c r="J4559" t="s">
        <v>23</v>
      </c>
      <c r="K4559" s="7">
        <v>2442</v>
      </c>
      <c r="L4559" s="9">
        <v>1</v>
      </c>
      <c r="M4559" t="s">
        <v>340</v>
      </c>
      <c r="N4559" t="s">
        <v>77</v>
      </c>
      <c r="O4559" s="27" t="str">
        <f>HYPERLINK("https://www.ncbi.nlm.nih.gov/nuccore/NZ_JNXD01000002.1?report=graph&amp;from=395188&amp;to=395192", "TTA_codon")</f>
        <v>TTA_codon</v>
      </c>
    </row>
    <row r="4560" spans="1:15" x14ac:dyDescent="0.15">
      <c r="A4560" t="s">
        <v>21</v>
      </c>
      <c r="B4560">
        <v>1000930</v>
      </c>
      <c r="C4560">
        <v>359080</v>
      </c>
      <c r="F4560" s="7">
        <v>2</v>
      </c>
      <c r="G4560" s="7" t="s">
        <v>3529</v>
      </c>
      <c r="H4560" s="8" t="s">
        <v>3530</v>
      </c>
      <c r="J4560" t="s">
        <v>23</v>
      </c>
      <c r="K4560" s="7">
        <v>2148</v>
      </c>
      <c r="L4560" s="9">
        <v>1</v>
      </c>
      <c r="M4560" t="s">
        <v>2213</v>
      </c>
      <c r="N4560" t="s">
        <v>451</v>
      </c>
      <c r="O4560" s="27" t="str">
        <f>HYPERLINK("https://www.ncbi.nlm.nih.gov/nuccore/NZ_LIQZ01000018.1?report=graph&amp;from=73486&amp;to=74177", "TTA_codon")</f>
        <v>TTA_codon</v>
      </c>
    </row>
    <row r="4561" spans="1:15" x14ac:dyDescent="0.15">
      <c r="A4561" t="s">
        <v>21</v>
      </c>
      <c r="B4561">
        <v>1000930</v>
      </c>
      <c r="C4561">
        <v>359852</v>
      </c>
      <c r="F4561" s="7">
        <v>1</v>
      </c>
      <c r="G4561" s="7">
        <v>1750</v>
      </c>
      <c r="H4561" s="8">
        <v>1441</v>
      </c>
      <c r="J4561" t="s">
        <v>23</v>
      </c>
      <c r="K4561" s="7">
        <v>2226</v>
      </c>
      <c r="L4561" s="9">
        <v>1</v>
      </c>
      <c r="M4561" t="s">
        <v>3531</v>
      </c>
      <c r="N4561" t="s">
        <v>91</v>
      </c>
      <c r="O4561" s="27" t="str">
        <f>HYPERLINK("https://www.ncbi.nlm.nih.gov/nuccore/NZ_KQ948315.1?report=graph&amp;from=94212&amp;to=94216", "TTA_codon")</f>
        <v>TTA_codon</v>
      </c>
    </row>
    <row r="4562" spans="1:15" x14ac:dyDescent="0.15">
      <c r="A4562" t="s">
        <v>21</v>
      </c>
      <c r="B4562" t="s">
        <v>3532</v>
      </c>
    </row>
    <row r="4563" spans="1:15" x14ac:dyDescent="0.15">
      <c r="A4563" t="s">
        <v>21</v>
      </c>
      <c r="B4563">
        <v>1000656</v>
      </c>
      <c r="C4563">
        <v>350661</v>
      </c>
      <c r="F4563" s="7">
        <v>1</v>
      </c>
      <c r="G4563" s="7">
        <v>439</v>
      </c>
      <c r="H4563" s="8">
        <v>385</v>
      </c>
      <c r="J4563" t="s">
        <v>23</v>
      </c>
      <c r="K4563" s="7">
        <v>1185</v>
      </c>
      <c r="L4563" s="9">
        <v>-1</v>
      </c>
      <c r="M4563" t="s">
        <v>3533</v>
      </c>
      <c r="N4563" t="s">
        <v>134</v>
      </c>
      <c r="O4563" s="27" t="str">
        <f>HYPERLINK("https://www.ncbi.nlm.nih.gov/nuccore/NZ_AJSZ01000889.1?report=graph&amp;from=6146&amp;to=6150", "TTA_codon")</f>
        <v>TTA_codon</v>
      </c>
    </row>
    <row r="4564" spans="1:15" x14ac:dyDescent="0.15">
      <c r="A4564" t="s">
        <v>21</v>
      </c>
      <c r="B4564">
        <v>1000656</v>
      </c>
      <c r="C4564">
        <v>365482</v>
      </c>
      <c r="F4564" s="7">
        <v>1</v>
      </c>
      <c r="G4564" s="7">
        <v>439</v>
      </c>
      <c r="H4564" s="8">
        <v>436</v>
      </c>
      <c r="J4564" t="s">
        <v>23</v>
      </c>
      <c r="K4564" s="7">
        <v>1167</v>
      </c>
      <c r="L4564" s="9">
        <v>-1</v>
      </c>
      <c r="M4564" t="s">
        <v>44</v>
      </c>
      <c r="N4564" t="s">
        <v>45</v>
      </c>
      <c r="O4564" s="27" t="str">
        <f>HYPERLINK("https://www.ncbi.nlm.nih.gov/nuccore/NZ_FNIE01000002.1?report=graph&amp;from=18782&amp;to=18786", "TTA_codon")</f>
        <v>TTA_codon</v>
      </c>
    </row>
    <row r="4565" spans="1:15" x14ac:dyDescent="0.15">
      <c r="A4565" t="s">
        <v>21</v>
      </c>
      <c r="B4565" t="s">
        <v>3534</v>
      </c>
    </row>
    <row r="4566" spans="1:15" x14ac:dyDescent="0.15">
      <c r="A4566" t="s">
        <v>21</v>
      </c>
      <c r="B4566">
        <v>1001178</v>
      </c>
      <c r="C4566">
        <v>356594</v>
      </c>
      <c r="F4566" s="7">
        <v>1</v>
      </c>
      <c r="G4566" s="7">
        <v>274</v>
      </c>
      <c r="H4566" s="8">
        <v>265</v>
      </c>
      <c r="J4566" t="s">
        <v>23</v>
      </c>
      <c r="K4566" s="7">
        <v>1509</v>
      </c>
      <c r="L4566" s="9">
        <v>1</v>
      </c>
      <c r="M4566" t="s">
        <v>508</v>
      </c>
      <c r="N4566" t="s">
        <v>509</v>
      </c>
      <c r="O4566" s="27" t="str">
        <f>HYPERLINK("https://www.ncbi.nlm.nih.gov/nuccore/NZ_CP009438.1?report=graph&amp;from=2633092&amp;to=2633096", "TTA_codon")</f>
        <v>TTA_codon</v>
      </c>
    </row>
    <row r="4567" spans="1:15" x14ac:dyDescent="0.15">
      <c r="A4567" t="s">
        <v>21</v>
      </c>
      <c r="B4567">
        <v>1001178</v>
      </c>
      <c r="C4567">
        <v>361269</v>
      </c>
      <c r="F4567" s="7">
        <v>1</v>
      </c>
      <c r="G4567" s="7">
        <v>274</v>
      </c>
      <c r="H4567" s="8">
        <v>268</v>
      </c>
      <c r="J4567" t="s">
        <v>23</v>
      </c>
      <c r="K4567" s="7">
        <v>1476</v>
      </c>
      <c r="L4567" s="9">
        <v>1</v>
      </c>
      <c r="M4567" t="s">
        <v>98</v>
      </c>
      <c r="N4567" t="s">
        <v>99</v>
      </c>
      <c r="O4567" s="27" t="str">
        <f>HYPERLINK("https://www.ncbi.nlm.nih.gov/nuccore/NZ_CP016438.1?report=graph&amp;from=3447924&amp;to=3447928", "TTA_codon")</f>
        <v>TTA_codon</v>
      </c>
    </row>
    <row r="4568" spans="1:15" x14ac:dyDescent="0.15">
      <c r="A4568" t="s">
        <v>195</v>
      </c>
      <c r="B4568" t="s">
        <v>3535</v>
      </c>
    </row>
    <row r="4569" spans="1:15" x14ac:dyDescent="0.15">
      <c r="A4569" t="s">
        <v>195</v>
      </c>
      <c r="B4569">
        <v>1001372</v>
      </c>
      <c r="C4569">
        <v>346644</v>
      </c>
      <c r="F4569" s="7">
        <v>1</v>
      </c>
      <c r="G4569" s="7">
        <v>649</v>
      </c>
      <c r="H4569" s="8">
        <v>427</v>
      </c>
      <c r="J4569" t="s">
        <v>23</v>
      </c>
      <c r="K4569" s="7">
        <v>7899</v>
      </c>
      <c r="L4569" s="9">
        <v>-1</v>
      </c>
      <c r="M4569" t="s">
        <v>3536</v>
      </c>
      <c r="N4569" t="s">
        <v>119</v>
      </c>
      <c r="O4569" s="27" t="str">
        <f>HYPERLINK("https://www.ncbi.nlm.nih.gov/nuccore/NZ_LIPP01000157.1?report=graph&amp;from=29382&amp;to=29386", "TTA_codon")</f>
        <v>TTA_codon</v>
      </c>
    </row>
    <row r="4570" spans="1:15" x14ac:dyDescent="0.15">
      <c r="A4570" t="s">
        <v>195</v>
      </c>
      <c r="B4570">
        <v>1001372</v>
      </c>
      <c r="C4570">
        <v>347089</v>
      </c>
      <c r="F4570" s="7">
        <v>1</v>
      </c>
      <c r="G4570" s="7">
        <v>607</v>
      </c>
      <c r="H4570" s="8">
        <v>112</v>
      </c>
      <c r="J4570" t="s">
        <v>23</v>
      </c>
      <c r="K4570" s="7">
        <v>7140</v>
      </c>
      <c r="L4570" s="9">
        <v>-1</v>
      </c>
      <c r="M4570" t="s">
        <v>111</v>
      </c>
      <c r="N4570" t="s">
        <v>112</v>
      </c>
      <c r="O4570" s="27" t="str">
        <f>HYPERLINK("https://www.ncbi.nlm.nih.gov/nuccore/NZ_CP021744.1?report=graph&amp;from=6997918&amp;to=6997922", "TTA_codon")</f>
        <v>TTA_codon</v>
      </c>
    </row>
    <row r="4571" spans="1:15" x14ac:dyDescent="0.15">
      <c r="A4571" t="s">
        <v>21</v>
      </c>
      <c r="B4571">
        <v>1001372</v>
      </c>
      <c r="C4571">
        <v>347981</v>
      </c>
      <c r="F4571" s="7">
        <v>2</v>
      </c>
      <c r="G4571" s="7" t="s">
        <v>3537</v>
      </c>
      <c r="H4571" s="8" t="s">
        <v>3538</v>
      </c>
      <c r="J4571" t="s">
        <v>23</v>
      </c>
      <c r="K4571" s="7">
        <v>7239</v>
      </c>
      <c r="L4571" s="9">
        <v>-1</v>
      </c>
      <c r="M4571" t="s">
        <v>59</v>
      </c>
      <c r="N4571" t="s">
        <v>60</v>
      </c>
      <c r="O4571" s="27" t="str">
        <f>HYPERLINK("https://www.ncbi.nlm.nih.gov/nuccore/NC_016582.1?report=graph&amp;from=1202760&amp;to=1207777", "TTA_codon")</f>
        <v>TTA_codon</v>
      </c>
    </row>
    <row r="4572" spans="1:15" x14ac:dyDescent="0.15">
      <c r="A4572" t="s">
        <v>21</v>
      </c>
      <c r="B4572">
        <v>1001372</v>
      </c>
      <c r="C4572">
        <v>347996</v>
      </c>
      <c r="F4572" s="7">
        <v>1</v>
      </c>
      <c r="G4572" s="7">
        <v>9331</v>
      </c>
      <c r="H4572" s="8">
        <v>694</v>
      </c>
      <c r="J4572" t="s">
        <v>23</v>
      </c>
      <c r="K4572" s="7">
        <v>3477</v>
      </c>
      <c r="L4572" s="9">
        <v>-1</v>
      </c>
      <c r="M4572" t="s">
        <v>59</v>
      </c>
      <c r="N4572" t="s">
        <v>60</v>
      </c>
      <c r="O4572" s="27" t="str">
        <f>HYPERLINK("https://www.ncbi.nlm.nih.gov/nuccore/NC_016582.1?report=graph&amp;from=7778846&amp;to=7778850", "TTA_codon")</f>
        <v>TTA_codon</v>
      </c>
    </row>
    <row r="4573" spans="1:15" x14ac:dyDescent="0.15">
      <c r="A4573" t="s">
        <v>21</v>
      </c>
      <c r="B4573">
        <v>1001372</v>
      </c>
      <c r="C4573">
        <v>348150</v>
      </c>
      <c r="F4573" s="7">
        <v>1</v>
      </c>
      <c r="G4573" s="7">
        <v>1522</v>
      </c>
      <c r="H4573" s="8">
        <v>712</v>
      </c>
      <c r="J4573" t="s">
        <v>23</v>
      </c>
      <c r="K4573" s="7">
        <v>7836</v>
      </c>
      <c r="L4573" s="9">
        <v>-1</v>
      </c>
      <c r="M4573" t="s">
        <v>59</v>
      </c>
      <c r="N4573" t="s">
        <v>60</v>
      </c>
      <c r="O4573" s="27" t="str">
        <f>HYPERLINK("https://www.ncbi.nlm.nih.gov/nuccore/NC_016582.1?report=graph&amp;from=8149873&amp;to=8149877", "TTA_codon")</f>
        <v>TTA_codon</v>
      </c>
    </row>
    <row r="4574" spans="1:15" x14ac:dyDescent="0.15">
      <c r="A4574" t="s">
        <v>21</v>
      </c>
      <c r="B4574">
        <v>1001372</v>
      </c>
      <c r="C4574">
        <v>348171</v>
      </c>
      <c r="F4574" s="7">
        <v>2</v>
      </c>
      <c r="G4574" s="7" t="s">
        <v>3539</v>
      </c>
      <c r="H4574" s="8" t="s">
        <v>3540</v>
      </c>
      <c r="J4574" t="s">
        <v>23</v>
      </c>
      <c r="K4574" s="7">
        <v>6627</v>
      </c>
      <c r="L4574" s="9">
        <v>-1</v>
      </c>
      <c r="M4574" t="s">
        <v>59</v>
      </c>
      <c r="N4574" t="s">
        <v>60</v>
      </c>
      <c r="O4574" s="27" t="str">
        <f>HYPERLINK("https://www.ncbi.nlm.nih.gov/nuccore/NC_016582.1?report=graph&amp;from=148510&amp;to=148634", "TTA_codon")</f>
        <v>TTA_codon</v>
      </c>
    </row>
    <row r="4575" spans="1:15" x14ac:dyDescent="0.15">
      <c r="A4575" t="s">
        <v>21</v>
      </c>
      <c r="B4575">
        <v>1001372</v>
      </c>
      <c r="C4575">
        <v>348199</v>
      </c>
      <c r="F4575" s="7">
        <v>1</v>
      </c>
      <c r="G4575" s="7">
        <v>24010</v>
      </c>
      <c r="H4575" s="8">
        <v>6946</v>
      </c>
      <c r="J4575" t="s">
        <v>23</v>
      </c>
      <c r="K4575" s="7">
        <v>7161</v>
      </c>
      <c r="L4575" s="9">
        <v>-1</v>
      </c>
      <c r="M4575" t="s">
        <v>59</v>
      </c>
      <c r="N4575" t="s">
        <v>60</v>
      </c>
      <c r="O4575" s="27" t="str">
        <f>HYPERLINK("https://www.ncbi.nlm.nih.gov/nuccore/NC_016582.1?report=graph&amp;from=7768965&amp;to=7768969", "TTA_codon")</f>
        <v>TTA_codon</v>
      </c>
    </row>
    <row r="4576" spans="1:15" x14ac:dyDescent="0.15">
      <c r="A4576" t="s">
        <v>21</v>
      </c>
      <c r="B4576">
        <v>1001372</v>
      </c>
      <c r="C4576">
        <v>348201</v>
      </c>
      <c r="F4576" s="7">
        <v>1</v>
      </c>
      <c r="G4576" s="7">
        <v>958</v>
      </c>
      <c r="H4576" s="8">
        <v>391</v>
      </c>
      <c r="J4576" t="s">
        <v>23</v>
      </c>
      <c r="K4576" s="7">
        <v>12465</v>
      </c>
      <c r="L4576" s="9">
        <v>-1</v>
      </c>
      <c r="M4576" t="s">
        <v>59</v>
      </c>
      <c r="N4576" t="s">
        <v>60</v>
      </c>
      <c r="O4576" s="27" t="str">
        <f>HYPERLINK("https://www.ncbi.nlm.nih.gov/nuccore/NC_016582.1?report=graph&amp;from=3006560&amp;to=3006564", "TTA_codon")</f>
        <v>TTA_codon</v>
      </c>
    </row>
    <row r="4577" spans="1:15" x14ac:dyDescent="0.15">
      <c r="A4577" t="s">
        <v>21</v>
      </c>
      <c r="B4577">
        <v>1001372</v>
      </c>
      <c r="C4577">
        <v>349447</v>
      </c>
      <c r="F4577" s="7">
        <v>1</v>
      </c>
      <c r="G4577" s="7">
        <v>20569</v>
      </c>
      <c r="H4577" s="8">
        <v>1540</v>
      </c>
      <c r="J4577" t="s">
        <v>23</v>
      </c>
      <c r="K4577" s="7">
        <v>1905</v>
      </c>
      <c r="L4577" s="9">
        <v>-1</v>
      </c>
      <c r="M4577" t="s">
        <v>479</v>
      </c>
      <c r="N4577" t="s">
        <v>64</v>
      </c>
      <c r="O4577" s="27" t="str">
        <f>HYPERLINK("https://www.ncbi.nlm.nih.gov/nuccore/NZ_AEYX01000001.1?report=graph&amp;from=46733&amp;to=46737", "TTA_codon")</f>
        <v>TTA_codon</v>
      </c>
    </row>
    <row r="4578" spans="1:15" x14ac:dyDescent="0.15">
      <c r="A4578" t="s">
        <v>21</v>
      </c>
      <c r="B4578">
        <v>1001372</v>
      </c>
      <c r="C4578">
        <v>350043</v>
      </c>
      <c r="F4578" s="7">
        <v>1</v>
      </c>
      <c r="G4578" s="7">
        <v>20533</v>
      </c>
      <c r="H4578" s="8">
        <v>1456</v>
      </c>
      <c r="J4578" t="s">
        <v>23</v>
      </c>
      <c r="K4578" s="7">
        <v>1521</v>
      </c>
      <c r="L4578" s="9">
        <v>-1</v>
      </c>
      <c r="M4578" t="s">
        <v>3541</v>
      </c>
      <c r="N4578" t="s">
        <v>249</v>
      </c>
      <c r="O4578" s="27" t="str">
        <f>HYPERLINK("https://www.ncbi.nlm.nih.gov/nuccore/NZ_AHBF01000051.1?report=graph&amp;from=110043&amp;to=110047", "TTA_codon")</f>
        <v>TTA_codon</v>
      </c>
    </row>
    <row r="4579" spans="1:15" x14ac:dyDescent="0.15">
      <c r="A4579" t="s">
        <v>21</v>
      </c>
      <c r="B4579">
        <v>1001372</v>
      </c>
      <c r="C4579">
        <v>351008</v>
      </c>
      <c r="F4579" s="7">
        <v>1</v>
      </c>
      <c r="G4579" s="7">
        <v>10282</v>
      </c>
      <c r="H4579" s="8">
        <v>1081</v>
      </c>
      <c r="J4579" t="s">
        <v>23</v>
      </c>
      <c r="K4579" s="7">
        <v>3186</v>
      </c>
      <c r="L4579" s="9">
        <v>-1</v>
      </c>
      <c r="M4579" t="s">
        <v>3542</v>
      </c>
      <c r="N4579" t="s">
        <v>136</v>
      </c>
      <c r="O4579" s="27" t="str">
        <f>HYPERLINK("https://www.ncbi.nlm.nih.gov/nuccore/NZ_AORZ01000023.1?report=graph&amp;from=18958&amp;to=18962", "TTA_codon")</f>
        <v>TTA_codon</v>
      </c>
    </row>
    <row r="4580" spans="1:15" x14ac:dyDescent="0.15">
      <c r="A4580" t="s">
        <v>21</v>
      </c>
      <c r="B4580">
        <v>1001372</v>
      </c>
      <c r="C4580">
        <v>351566</v>
      </c>
      <c r="F4580" s="7">
        <v>1</v>
      </c>
      <c r="G4580" s="7">
        <v>10207</v>
      </c>
      <c r="H4580" s="8">
        <v>1144</v>
      </c>
      <c r="J4580" t="s">
        <v>23</v>
      </c>
      <c r="K4580" s="7">
        <v>5571</v>
      </c>
      <c r="L4580" s="9">
        <v>-1</v>
      </c>
      <c r="M4580" t="s">
        <v>2611</v>
      </c>
      <c r="N4580" t="s">
        <v>138</v>
      </c>
      <c r="O4580" s="27" t="str">
        <f>HYPERLINK("https://www.ncbi.nlm.nih.gov/nuccore/NZ_KB889741.1?report=graph&amp;from=46625&amp;to=46629", "TTA_codon")</f>
        <v>TTA_codon</v>
      </c>
    </row>
    <row r="4581" spans="1:15" x14ac:dyDescent="0.15">
      <c r="A4581" t="s">
        <v>21</v>
      </c>
      <c r="B4581">
        <v>1001372</v>
      </c>
      <c r="C4581">
        <v>353303</v>
      </c>
      <c r="F4581" s="7">
        <v>1</v>
      </c>
      <c r="G4581" s="7">
        <v>8683</v>
      </c>
      <c r="H4581" s="8">
        <v>202</v>
      </c>
      <c r="J4581" t="s">
        <v>23</v>
      </c>
      <c r="K4581" s="7">
        <v>4371</v>
      </c>
      <c r="L4581" s="9">
        <v>-1</v>
      </c>
      <c r="M4581" t="s">
        <v>3194</v>
      </c>
      <c r="N4581" t="s">
        <v>169</v>
      </c>
      <c r="O4581" s="27" t="str">
        <f>HYPERLINK("https://www.ncbi.nlm.nih.gov/nuccore/NZ_JNWJ01000042.1?report=graph&amp;from=11314&amp;to=11318", "TTA_codon")</f>
        <v>TTA_codon</v>
      </c>
    </row>
    <row r="4582" spans="1:15" x14ac:dyDescent="0.15">
      <c r="A4582" t="s">
        <v>21</v>
      </c>
      <c r="B4582">
        <v>1001372</v>
      </c>
      <c r="C4582">
        <v>353713</v>
      </c>
      <c r="F4582" s="7">
        <v>2</v>
      </c>
      <c r="G4582" s="7" t="s">
        <v>3543</v>
      </c>
      <c r="H4582" s="8" t="s">
        <v>3544</v>
      </c>
      <c r="J4582" t="s">
        <v>23</v>
      </c>
      <c r="K4582" s="7">
        <v>7263</v>
      </c>
      <c r="L4582" s="9">
        <v>-1</v>
      </c>
      <c r="M4582" t="s">
        <v>3545</v>
      </c>
      <c r="N4582" t="s">
        <v>246</v>
      </c>
      <c r="O4582" s="27" t="str">
        <f>HYPERLINK("https://www.ncbi.nlm.nih.gov/nuccore/NZ_JNYR01000030.1?report=graph&amp;from=31212&amp;to=31915", "TTA_codon")</f>
        <v>TTA_codon</v>
      </c>
    </row>
    <row r="4583" spans="1:15" x14ac:dyDescent="0.15">
      <c r="A4583" t="s">
        <v>21</v>
      </c>
      <c r="B4583">
        <v>1001372</v>
      </c>
      <c r="C4583">
        <v>353803</v>
      </c>
      <c r="F4583" s="7">
        <v>1</v>
      </c>
      <c r="G4583" s="7">
        <v>15742</v>
      </c>
      <c r="H4583" s="8">
        <v>1345</v>
      </c>
      <c r="J4583" t="s">
        <v>23</v>
      </c>
      <c r="K4583" s="7">
        <v>3147</v>
      </c>
      <c r="L4583" s="9">
        <v>-1</v>
      </c>
      <c r="M4583" t="s">
        <v>3546</v>
      </c>
      <c r="N4583" t="s">
        <v>246</v>
      </c>
      <c r="O4583" s="27" t="str">
        <f>HYPERLINK("https://www.ncbi.nlm.nih.gov/nuccore/NZ_JNYR01000040.1?report=graph&amp;from=83231&amp;to=83235", "TTA_codon")</f>
        <v>TTA_codon</v>
      </c>
    </row>
    <row r="4584" spans="1:15" x14ac:dyDescent="0.15">
      <c r="A4584" t="s">
        <v>21</v>
      </c>
      <c r="B4584">
        <v>1001372</v>
      </c>
      <c r="C4584">
        <v>354799</v>
      </c>
      <c r="F4584" s="7">
        <v>1</v>
      </c>
      <c r="G4584" s="7">
        <v>5086</v>
      </c>
      <c r="H4584" s="8">
        <v>1690</v>
      </c>
      <c r="J4584" t="s">
        <v>23</v>
      </c>
      <c r="K4584" s="7">
        <v>18981</v>
      </c>
      <c r="L4584" s="9">
        <v>-1</v>
      </c>
      <c r="M4584" t="s">
        <v>24</v>
      </c>
      <c r="N4584" t="s">
        <v>25</v>
      </c>
      <c r="O4584" s="27" t="str">
        <f>HYPERLINK("https://www.ncbi.nlm.nih.gov/nuccore/NZ_JOFU01000020.1?report=graph&amp;from=51822&amp;to=51826", "TTA_codon")</f>
        <v>TTA_codon</v>
      </c>
    </row>
    <row r="4585" spans="1:15" x14ac:dyDescent="0.15">
      <c r="A4585" t="s">
        <v>21</v>
      </c>
      <c r="B4585">
        <v>1001372</v>
      </c>
      <c r="C4585">
        <v>354804</v>
      </c>
      <c r="F4585" s="7">
        <v>1</v>
      </c>
      <c r="G4585" s="7">
        <v>20524</v>
      </c>
      <c r="H4585" s="8">
        <v>1969</v>
      </c>
      <c r="J4585" t="s">
        <v>23</v>
      </c>
      <c r="K4585" s="7">
        <v>2259</v>
      </c>
      <c r="L4585" s="9">
        <v>-1</v>
      </c>
      <c r="M4585" t="s">
        <v>3547</v>
      </c>
      <c r="N4585" t="s">
        <v>25</v>
      </c>
      <c r="O4585" s="27" t="str">
        <f>HYPERLINK("https://www.ncbi.nlm.nih.gov/nuccore/NZ_JOFU01000012.1?report=graph&amp;from=139434&amp;to=139438", "TTA_codon")</f>
        <v>TTA_codon</v>
      </c>
    </row>
    <row r="4586" spans="1:15" x14ac:dyDescent="0.15">
      <c r="A4586" t="s">
        <v>21</v>
      </c>
      <c r="B4586">
        <v>1001372</v>
      </c>
      <c r="C4586">
        <v>355094</v>
      </c>
      <c r="F4586" s="7">
        <v>1</v>
      </c>
      <c r="G4586" s="7">
        <v>10426</v>
      </c>
      <c r="H4586" s="8">
        <v>1204</v>
      </c>
      <c r="J4586" t="s">
        <v>23</v>
      </c>
      <c r="K4586" s="7">
        <v>4656</v>
      </c>
      <c r="L4586" s="9">
        <v>-1</v>
      </c>
      <c r="M4586" t="s">
        <v>702</v>
      </c>
      <c r="N4586" t="s">
        <v>433</v>
      </c>
      <c r="O4586" s="27" t="str">
        <f>HYPERLINK("https://www.ncbi.nlm.nih.gov/nuccore/NZ_JOBF01000003.1?report=graph&amp;from=211306&amp;to=211310", "TTA_codon")</f>
        <v>TTA_codon</v>
      </c>
    </row>
    <row r="4587" spans="1:15" x14ac:dyDescent="0.15">
      <c r="A4587" t="s">
        <v>21</v>
      </c>
      <c r="B4587">
        <v>1001372</v>
      </c>
      <c r="C4587">
        <v>355445</v>
      </c>
      <c r="F4587" s="7">
        <v>1</v>
      </c>
      <c r="G4587" s="7">
        <v>20464</v>
      </c>
      <c r="H4587" s="8">
        <v>1447</v>
      </c>
      <c r="J4587" t="s">
        <v>23</v>
      </c>
      <c r="K4587" s="7">
        <v>3102</v>
      </c>
      <c r="L4587" s="9">
        <v>-1</v>
      </c>
      <c r="M4587" t="s">
        <v>3548</v>
      </c>
      <c r="N4587" t="s">
        <v>198</v>
      </c>
      <c r="O4587" s="27" t="str">
        <f>HYPERLINK("https://www.ncbi.nlm.nih.gov/nuccore/NZ_JOFL01000003.1?report=graph&amp;from=315018&amp;to=315022", "TTA_codon")</f>
        <v>TTA_codon</v>
      </c>
    </row>
    <row r="4588" spans="1:15" x14ac:dyDescent="0.15">
      <c r="A4588" t="s">
        <v>21</v>
      </c>
      <c r="B4588">
        <v>1001372</v>
      </c>
      <c r="C4588">
        <v>356227</v>
      </c>
      <c r="F4588" s="7">
        <v>1</v>
      </c>
      <c r="G4588" s="7">
        <v>9856</v>
      </c>
      <c r="H4588" s="8">
        <v>7057</v>
      </c>
      <c r="J4588" t="s">
        <v>23</v>
      </c>
      <c r="K4588" s="7">
        <v>10761</v>
      </c>
      <c r="L4588" s="9">
        <v>-1</v>
      </c>
      <c r="M4588" t="s">
        <v>767</v>
      </c>
      <c r="N4588" t="s">
        <v>77</v>
      </c>
      <c r="O4588" s="27" t="str">
        <f>HYPERLINK("https://www.ncbi.nlm.nih.gov/nuccore/NZ_JNXD01000004.1?report=graph&amp;from=279522&amp;to=279526", "TTA_codon")</f>
        <v>TTA_codon</v>
      </c>
    </row>
    <row r="4589" spans="1:15" x14ac:dyDescent="0.15">
      <c r="A4589" t="s">
        <v>21</v>
      </c>
      <c r="B4589">
        <v>1001372</v>
      </c>
      <c r="C4589">
        <v>356228</v>
      </c>
      <c r="F4589" s="7">
        <v>1</v>
      </c>
      <c r="G4589" s="7">
        <v>8923</v>
      </c>
      <c r="H4589" s="8">
        <v>319</v>
      </c>
      <c r="J4589" t="s">
        <v>23</v>
      </c>
      <c r="K4589" s="7">
        <v>4041</v>
      </c>
      <c r="L4589" s="9">
        <v>-1</v>
      </c>
      <c r="M4589" t="s">
        <v>1561</v>
      </c>
      <c r="N4589" t="s">
        <v>77</v>
      </c>
      <c r="O4589" s="27" t="str">
        <f>HYPERLINK("https://www.ncbi.nlm.nih.gov/nuccore/NZ_JNXD01000001.1?report=graph&amp;from=669031&amp;to=669035", "TTA_codon")</f>
        <v>TTA_codon</v>
      </c>
    </row>
    <row r="4590" spans="1:15" x14ac:dyDescent="0.15">
      <c r="A4590" t="s">
        <v>21</v>
      </c>
      <c r="B4590">
        <v>1001372</v>
      </c>
      <c r="C4590">
        <v>356702</v>
      </c>
      <c r="F4590" s="7">
        <v>1</v>
      </c>
      <c r="G4590" s="7">
        <v>8689</v>
      </c>
      <c r="H4590" s="8">
        <v>1981</v>
      </c>
      <c r="J4590" t="s">
        <v>23</v>
      </c>
      <c r="K4590" s="7">
        <v>5007</v>
      </c>
      <c r="L4590" s="9">
        <v>-1</v>
      </c>
      <c r="M4590" t="s">
        <v>147</v>
      </c>
      <c r="N4590" t="s">
        <v>148</v>
      </c>
      <c r="O4590" s="27" t="str">
        <f>HYPERLINK("https://www.ncbi.nlm.nih.gov/nuccore/NZ_CP021080.1?report=graph&amp;from=632040&amp;to=632044", "TTA_codon")</f>
        <v>TTA_codon</v>
      </c>
    </row>
    <row r="4591" spans="1:15" x14ac:dyDescent="0.15">
      <c r="A4591" t="s">
        <v>21</v>
      </c>
      <c r="B4591">
        <v>1001372</v>
      </c>
      <c r="C4591">
        <v>359095</v>
      </c>
      <c r="F4591" s="7">
        <v>2</v>
      </c>
      <c r="G4591" s="7" t="s">
        <v>3549</v>
      </c>
      <c r="H4591" s="8" t="s">
        <v>3550</v>
      </c>
      <c r="J4591" t="s">
        <v>23</v>
      </c>
      <c r="K4591" s="7">
        <v>9306</v>
      </c>
      <c r="L4591" s="9">
        <v>-1</v>
      </c>
      <c r="M4591" t="s">
        <v>3551</v>
      </c>
      <c r="N4591" t="s">
        <v>451</v>
      </c>
      <c r="O4591" s="27" t="str">
        <f>HYPERLINK("https://www.ncbi.nlm.nih.gov/nuccore/NZ_LIQZ01000037.1?report=graph&amp;from=46629&amp;to=51088", "TTA_codon")</f>
        <v>TTA_codon</v>
      </c>
    </row>
    <row r="4592" spans="1:15" x14ac:dyDescent="0.15">
      <c r="A4592" t="s">
        <v>21</v>
      </c>
      <c r="B4592">
        <v>1001372</v>
      </c>
      <c r="C4592">
        <v>359110</v>
      </c>
      <c r="F4592" s="7">
        <v>1</v>
      </c>
      <c r="G4592" s="7">
        <v>10306</v>
      </c>
      <c r="H4592" s="8">
        <v>1069</v>
      </c>
      <c r="J4592" t="s">
        <v>23</v>
      </c>
      <c r="K4592" s="7">
        <v>3894</v>
      </c>
      <c r="L4592" s="9">
        <v>-1</v>
      </c>
      <c r="M4592" t="s">
        <v>3551</v>
      </c>
      <c r="N4592" t="s">
        <v>451</v>
      </c>
      <c r="O4592" s="27" t="str">
        <f>HYPERLINK("https://www.ncbi.nlm.nih.gov/nuccore/NZ_LIQZ01000037.1?report=graph&amp;from=56864&amp;to=56868", "TTA_codon")</f>
        <v>TTA_codon</v>
      </c>
    </row>
    <row r="4593" spans="1:15" x14ac:dyDescent="0.15">
      <c r="A4593" t="s">
        <v>21</v>
      </c>
      <c r="B4593">
        <v>1001372</v>
      </c>
      <c r="C4593">
        <v>361402</v>
      </c>
      <c r="F4593" s="7">
        <v>1</v>
      </c>
      <c r="G4593" s="7">
        <v>9844</v>
      </c>
      <c r="H4593" s="8">
        <v>748</v>
      </c>
      <c r="J4593" t="s">
        <v>23</v>
      </c>
      <c r="K4593" s="7">
        <v>10290</v>
      </c>
      <c r="L4593" s="9">
        <v>-1</v>
      </c>
      <c r="M4593" t="s">
        <v>286</v>
      </c>
      <c r="N4593" t="s">
        <v>201</v>
      </c>
      <c r="O4593" s="27" t="str">
        <f>HYPERLINK("https://www.ncbi.nlm.nih.gov/nuccore/NZ_CP016560.1?report=graph&amp;from=336779&amp;to=336783", "TTA_codon")</f>
        <v>TTA_codon</v>
      </c>
    </row>
    <row r="4594" spans="1:15" x14ac:dyDescent="0.15">
      <c r="A4594" t="s">
        <v>21</v>
      </c>
      <c r="B4594">
        <v>1001372</v>
      </c>
      <c r="C4594">
        <v>361407</v>
      </c>
      <c r="F4594" s="7">
        <v>1</v>
      </c>
      <c r="G4594" s="7">
        <v>4504</v>
      </c>
      <c r="H4594" s="8">
        <v>1333</v>
      </c>
      <c r="J4594" t="s">
        <v>23</v>
      </c>
      <c r="K4594" s="7">
        <v>7764</v>
      </c>
      <c r="L4594" s="9">
        <v>-1</v>
      </c>
      <c r="M4594" t="s">
        <v>200</v>
      </c>
      <c r="N4594" t="s">
        <v>201</v>
      </c>
      <c r="O4594" s="27" t="str">
        <f>HYPERLINK("https://www.ncbi.nlm.nih.gov/nuccore/NZ_CP016559.1?report=graph&amp;from=558358&amp;to=558362", "TTA_codon")</f>
        <v>TTA_codon</v>
      </c>
    </row>
    <row r="4595" spans="1:15" x14ac:dyDescent="0.15">
      <c r="A4595" t="s">
        <v>21</v>
      </c>
      <c r="B4595">
        <v>1001372</v>
      </c>
      <c r="C4595">
        <v>361946</v>
      </c>
      <c r="F4595" s="7">
        <v>2</v>
      </c>
      <c r="G4595" s="7" t="s">
        <v>3552</v>
      </c>
      <c r="H4595" s="8" t="s">
        <v>3553</v>
      </c>
      <c r="J4595" t="s">
        <v>23</v>
      </c>
      <c r="K4595" s="7">
        <v>9600</v>
      </c>
      <c r="L4595" s="9">
        <v>-1</v>
      </c>
      <c r="M4595" t="s">
        <v>3554</v>
      </c>
      <c r="N4595" t="s">
        <v>187</v>
      </c>
      <c r="O4595" s="27" t="str">
        <f>HYPERLINK("https://www.ncbi.nlm.nih.gov/nuccore/NZ_MAXF01000177.1?report=graph&amp;from=10801&amp;to=11012", "TTA_codon")</f>
        <v>TTA_codon</v>
      </c>
    </row>
    <row r="4596" spans="1:15" x14ac:dyDescent="0.15">
      <c r="A4596" t="s">
        <v>21</v>
      </c>
      <c r="B4596">
        <v>1001372</v>
      </c>
      <c r="C4596">
        <v>363066</v>
      </c>
      <c r="F4596" s="7">
        <v>1</v>
      </c>
      <c r="G4596" s="7">
        <v>1702</v>
      </c>
      <c r="H4596" s="8">
        <v>913</v>
      </c>
      <c r="J4596" t="s">
        <v>23</v>
      </c>
      <c r="K4596" s="7">
        <v>10038</v>
      </c>
      <c r="L4596" s="9">
        <v>-1</v>
      </c>
      <c r="M4596" t="s">
        <v>989</v>
      </c>
      <c r="N4596" t="s">
        <v>401</v>
      </c>
      <c r="O4596" s="27" t="str">
        <f>HYPERLINK("https://www.ncbi.nlm.nih.gov/nuccore/NZ_LFBV01000003.1?report=graph&amp;from=153974&amp;to=153978", "TTA_codon")</f>
        <v>TTA_codon</v>
      </c>
    </row>
    <row r="4597" spans="1:15" x14ac:dyDescent="0.15">
      <c r="A4597" t="s">
        <v>21</v>
      </c>
      <c r="B4597">
        <v>1001372</v>
      </c>
      <c r="C4597">
        <v>363485</v>
      </c>
      <c r="F4597" s="7">
        <v>3</v>
      </c>
      <c r="G4597" s="7" t="s">
        <v>3555</v>
      </c>
      <c r="H4597" s="8" t="s">
        <v>3556</v>
      </c>
      <c r="J4597" t="s">
        <v>23</v>
      </c>
      <c r="K4597" s="7">
        <v>11292</v>
      </c>
      <c r="L4597" s="9">
        <v>-1</v>
      </c>
      <c r="M4597" t="s">
        <v>157</v>
      </c>
      <c r="N4597" t="s">
        <v>158</v>
      </c>
      <c r="O4597" s="27" t="str">
        <f>HYPERLINK("https://www.ncbi.nlm.nih.gov/nuccore/NZ_CP015588.1?report=graph&amp;from=1103187&amp;to=1103404", "TTA_codon")</f>
        <v>TTA_codon</v>
      </c>
    </row>
    <row r="4598" spans="1:15" x14ac:dyDescent="0.15">
      <c r="A4598" t="s">
        <v>21</v>
      </c>
      <c r="B4598">
        <v>1001372</v>
      </c>
      <c r="C4598">
        <v>364169</v>
      </c>
      <c r="F4598" s="7">
        <v>1</v>
      </c>
      <c r="G4598" s="7">
        <v>20464</v>
      </c>
      <c r="H4598" s="8">
        <v>2416</v>
      </c>
      <c r="J4598" t="s">
        <v>23</v>
      </c>
      <c r="K4598" s="7">
        <v>2544</v>
      </c>
      <c r="L4598" s="9">
        <v>-1</v>
      </c>
      <c r="M4598" t="s">
        <v>254</v>
      </c>
      <c r="N4598" t="s">
        <v>255</v>
      </c>
      <c r="O4598" s="27" t="str">
        <f>HYPERLINK("https://www.ncbi.nlm.nih.gov/nuccore/NZ_CP018047.1?report=graph&amp;from=7001805&amp;to=7001809", "TTA_codon")</f>
        <v>TTA_codon</v>
      </c>
    </row>
    <row r="4599" spans="1:15" x14ac:dyDescent="0.15">
      <c r="A4599" t="s">
        <v>21</v>
      </c>
      <c r="B4599">
        <v>1001372</v>
      </c>
      <c r="C4599">
        <v>365345</v>
      </c>
      <c r="F4599" s="7">
        <v>1</v>
      </c>
      <c r="G4599" s="7">
        <v>8881</v>
      </c>
      <c r="H4599" s="8">
        <v>325</v>
      </c>
      <c r="J4599" t="s">
        <v>23</v>
      </c>
      <c r="K4599" s="7">
        <v>3186</v>
      </c>
      <c r="L4599" s="9">
        <v>-1</v>
      </c>
      <c r="M4599" t="s">
        <v>3228</v>
      </c>
      <c r="N4599" t="s">
        <v>129</v>
      </c>
      <c r="O4599" s="27" t="str">
        <f>HYPERLINK("https://www.ncbi.nlm.nih.gov/nuccore/NZ_FNHI01000001.1?report=graph&amp;from=203048&amp;to=203052", "TTA_codon")</f>
        <v>TTA_codon</v>
      </c>
    </row>
    <row r="4600" spans="1:15" x14ac:dyDescent="0.15">
      <c r="A4600" t="s">
        <v>21</v>
      </c>
      <c r="B4600">
        <v>1001372</v>
      </c>
      <c r="C4600">
        <v>366432</v>
      </c>
      <c r="F4600" s="7">
        <v>1</v>
      </c>
      <c r="G4600" s="7">
        <v>13216</v>
      </c>
      <c r="H4600" s="8">
        <v>6730</v>
      </c>
      <c r="J4600" t="s">
        <v>23</v>
      </c>
      <c r="K4600" s="7">
        <v>11211</v>
      </c>
      <c r="L4600" s="9">
        <v>-1</v>
      </c>
      <c r="M4600" t="s">
        <v>3557</v>
      </c>
      <c r="N4600" t="s">
        <v>375</v>
      </c>
      <c r="O4600" s="27" t="str">
        <f>HYPERLINK("https://www.ncbi.nlm.nih.gov/nuccore/NZ_FONG01000010.1?report=graph&amp;from=82397&amp;to=82401", "TTA_codon")</f>
        <v>TTA_codon</v>
      </c>
    </row>
    <row r="4601" spans="1:15" x14ac:dyDescent="0.15">
      <c r="A4601" t="s">
        <v>21</v>
      </c>
      <c r="B4601" t="s">
        <v>3558</v>
      </c>
    </row>
    <row r="4602" spans="1:15" x14ac:dyDescent="0.15">
      <c r="A4602" t="s">
        <v>21</v>
      </c>
      <c r="B4602">
        <v>1001257</v>
      </c>
      <c r="C4602">
        <v>357743</v>
      </c>
      <c r="F4602" s="7">
        <v>1</v>
      </c>
      <c r="G4602" s="7">
        <v>55</v>
      </c>
      <c r="H4602" s="8">
        <v>55</v>
      </c>
      <c r="J4602" t="s">
        <v>23</v>
      </c>
      <c r="K4602" s="7">
        <v>942</v>
      </c>
      <c r="L4602" s="9">
        <v>1</v>
      </c>
      <c r="M4602" t="s">
        <v>3559</v>
      </c>
      <c r="N4602" t="s">
        <v>83</v>
      </c>
      <c r="O4602" s="27" t="str">
        <f>HYPERLINK("https://www.ncbi.nlm.nih.gov/nuccore/NZ_DF968436.1?report=graph&amp;from=3772&amp;to=3776", "TTA_codon")</f>
        <v>TTA_codon</v>
      </c>
    </row>
    <row r="4603" spans="1:15" x14ac:dyDescent="0.15">
      <c r="A4603" t="s">
        <v>21</v>
      </c>
      <c r="B4603">
        <v>1001257</v>
      </c>
      <c r="C4603">
        <v>357968</v>
      </c>
      <c r="F4603" s="7">
        <v>1</v>
      </c>
      <c r="G4603" s="7">
        <v>58</v>
      </c>
      <c r="H4603" s="8">
        <v>58</v>
      </c>
      <c r="J4603" t="s">
        <v>23</v>
      </c>
      <c r="K4603" s="7">
        <v>927</v>
      </c>
      <c r="L4603" s="9">
        <v>1</v>
      </c>
      <c r="M4603" t="s">
        <v>261</v>
      </c>
      <c r="N4603" t="s">
        <v>262</v>
      </c>
      <c r="O4603" s="27" t="str">
        <f>HYPERLINK("https://www.ncbi.nlm.nih.gov/nuccore/NZ_CP011340.1?report=graph&amp;from=6019758&amp;to=6019762", "TTA_codon")</f>
        <v>TTA_codon</v>
      </c>
    </row>
    <row r="4604" spans="1:15" x14ac:dyDescent="0.15">
      <c r="A4604" t="s">
        <v>21</v>
      </c>
      <c r="B4604" t="s">
        <v>3560</v>
      </c>
    </row>
    <row r="4605" spans="1:15" x14ac:dyDescent="0.15">
      <c r="A4605" t="s">
        <v>21</v>
      </c>
      <c r="B4605">
        <v>1001205</v>
      </c>
      <c r="C4605">
        <v>350495</v>
      </c>
      <c r="F4605" s="7">
        <v>3</v>
      </c>
      <c r="G4605" s="7" t="s">
        <v>3561</v>
      </c>
      <c r="H4605" s="8" t="s">
        <v>3562</v>
      </c>
      <c r="J4605" t="s">
        <v>23</v>
      </c>
      <c r="K4605" s="7">
        <v>1293</v>
      </c>
      <c r="L4605" s="9">
        <v>-1</v>
      </c>
      <c r="M4605" t="s">
        <v>3563</v>
      </c>
      <c r="N4605" t="s">
        <v>134</v>
      </c>
      <c r="O4605" s="27" t="str">
        <f>HYPERLINK("https://www.ncbi.nlm.nih.gov/nuccore/NZ_AJSZ01000432.1?report=graph&amp;from=7569&amp;to=7648", "TTA_codon")</f>
        <v>TTA_codon</v>
      </c>
    </row>
    <row r="4606" spans="1:15" x14ac:dyDescent="0.15">
      <c r="A4606" t="s">
        <v>21</v>
      </c>
      <c r="B4606">
        <v>1001205</v>
      </c>
      <c r="C4606">
        <v>357010</v>
      </c>
      <c r="F4606" s="7">
        <v>1</v>
      </c>
      <c r="G4606" s="7">
        <v>1081</v>
      </c>
      <c r="H4606" s="8">
        <v>1048</v>
      </c>
      <c r="J4606" t="s">
        <v>23</v>
      </c>
      <c r="K4606" s="7">
        <v>1377</v>
      </c>
      <c r="L4606" s="9">
        <v>-1</v>
      </c>
      <c r="M4606" t="s">
        <v>162</v>
      </c>
      <c r="N4606" t="s">
        <v>163</v>
      </c>
      <c r="O4606" s="27" t="str">
        <f>HYPERLINK("https://www.ncbi.nlm.nih.gov/nuccore/NZ_CP010519.1?report=graph&amp;from=153983&amp;to=153987", "TTA_codon")</f>
        <v>TTA_codon</v>
      </c>
    </row>
    <row r="4607" spans="1:15" x14ac:dyDescent="0.15">
      <c r="A4607" t="s">
        <v>21</v>
      </c>
      <c r="B4607">
        <v>1001205</v>
      </c>
      <c r="C4607">
        <v>363082</v>
      </c>
      <c r="F4607" s="7">
        <v>2</v>
      </c>
      <c r="G4607" s="7" t="s">
        <v>3564</v>
      </c>
      <c r="H4607" s="8" t="s">
        <v>3565</v>
      </c>
      <c r="J4607" t="s">
        <v>23</v>
      </c>
      <c r="K4607" s="7">
        <v>1314</v>
      </c>
      <c r="L4607" s="9">
        <v>-1</v>
      </c>
      <c r="M4607" t="s">
        <v>1483</v>
      </c>
      <c r="N4607" t="s">
        <v>401</v>
      </c>
      <c r="O4607" s="27" t="str">
        <f>HYPERLINK("https://www.ncbi.nlm.nih.gov/nuccore/NZ_LFBV01000001.1?report=graph&amp;from=682433&amp;to=683331", "TTA_codon")</f>
        <v>TTA_codon</v>
      </c>
    </row>
    <row r="4608" spans="1:15" x14ac:dyDescent="0.15">
      <c r="A4608" t="s">
        <v>21</v>
      </c>
      <c r="B4608">
        <v>1001205</v>
      </c>
      <c r="C4608">
        <v>365915</v>
      </c>
      <c r="F4608" s="7">
        <v>1</v>
      </c>
      <c r="G4608" s="7">
        <v>433</v>
      </c>
      <c r="H4608" s="8">
        <v>388</v>
      </c>
      <c r="J4608" t="s">
        <v>23</v>
      </c>
      <c r="K4608" s="7">
        <v>1341</v>
      </c>
      <c r="L4608" s="9">
        <v>-1</v>
      </c>
      <c r="M4608" t="s">
        <v>3566</v>
      </c>
      <c r="N4608" t="s">
        <v>115</v>
      </c>
      <c r="O4608" s="27" t="str">
        <f>HYPERLINK("https://www.ncbi.nlm.nih.gov/nuccore/NZ_FODD01000018.1?report=graph&amp;from=148826&amp;to=148830", "TTA_codon")</f>
        <v>TTA_codon</v>
      </c>
    </row>
    <row r="4609" spans="1:15" x14ac:dyDescent="0.15">
      <c r="A4609" t="s">
        <v>21</v>
      </c>
      <c r="B4609" t="s">
        <v>3567</v>
      </c>
    </row>
    <row r="4610" spans="1:15" x14ac:dyDescent="0.15">
      <c r="A4610" t="s">
        <v>21</v>
      </c>
      <c r="B4610">
        <v>1000224</v>
      </c>
      <c r="C4610">
        <v>347493</v>
      </c>
      <c r="F4610" s="7">
        <v>1</v>
      </c>
      <c r="G4610" s="7">
        <v>445</v>
      </c>
      <c r="H4610" s="8">
        <v>328</v>
      </c>
      <c r="J4610" t="s">
        <v>23</v>
      </c>
      <c r="K4610" s="7">
        <v>1128</v>
      </c>
      <c r="L4610" s="9">
        <v>1</v>
      </c>
      <c r="M4610" t="s">
        <v>53</v>
      </c>
      <c r="N4610" t="s">
        <v>54</v>
      </c>
      <c r="O4610" s="27" t="str">
        <f>HYPERLINK("https://www.ncbi.nlm.nih.gov/nuccore/NC_003155.5?report=graph&amp;from=1536099&amp;to=1536103", "TTA_codon")</f>
        <v>TTA_codon</v>
      </c>
    </row>
    <row r="4611" spans="1:15" x14ac:dyDescent="0.15">
      <c r="A4611" t="s">
        <v>21</v>
      </c>
      <c r="B4611">
        <v>1000224</v>
      </c>
      <c r="C4611">
        <v>350340</v>
      </c>
      <c r="F4611" s="7">
        <v>1</v>
      </c>
      <c r="G4611" s="7">
        <v>445</v>
      </c>
      <c r="H4611" s="8">
        <v>331</v>
      </c>
      <c r="J4611" t="s">
        <v>23</v>
      </c>
      <c r="K4611" s="7">
        <v>1119</v>
      </c>
      <c r="L4611" s="9">
        <v>1</v>
      </c>
      <c r="M4611" t="s">
        <v>1224</v>
      </c>
      <c r="N4611" t="s">
        <v>36</v>
      </c>
      <c r="O4611" s="27" t="str">
        <f>HYPERLINK("https://www.ncbi.nlm.nih.gov/nuccore/NZ_JH725389.1?report=graph&amp;from=53750&amp;to=53754", "TTA_codon")</f>
        <v>TTA_codon</v>
      </c>
    </row>
    <row r="4612" spans="1:15" x14ac:dyDescent="0.15">
      <c r="A4612" t="s">
        <v>21</v>
      </c>
      <c r="B4612">
        <v>1000224</v>
      </c>
      <c r="C4612">
        <v>350975</v>
      </c>
      <c r="F4612" s="7">
        <v>1</v>
      </c>
      <c r="G4612" s="7">
        <v>445</v>
      </c>
      <c r="H4612" s="8">
        <v>337</v>
      </c>
      <c r="J4612" t="s">
        <v>23</v>
      </c>
      <c r="K4612" s="7">
        <v>1137</v>
      </c>
      <c r="L4612" s="9">
        <v>1</v>
      </c>
      <c r="M4612" t="s">
        <v>2027</v>
      </c>
      <c r="N4612" t="s">
        <v>51</v>
      </c>
      <c r="O4612" s="27" t="str">
        <f>HYPERLINK("https://www.ncbi.nlm.nih.gov/nuccore/NZ_AEJB01000409.1?report=graph&amp;from=4771&amp;to=4775", "TTA_codon")</f>
        <v>TTA_codon</v>
      </c>
    </row>
    <row r="4613" spans="1:15" x14ac:dyDescent="0.15">
      <c r="A4613" t="s">
        <v>21</v>
      </c>
      <c r="B4613">
        <v>1000224</v>
      </c>
      <c r="C4613">
        <v>351132</v>
      </c>
      <c r="F4613" s="7">
        <v>1</v>
      </c>
      <c r="G4613" s="7">
        <v>445</v>
      </c>
      <c r="H4613" s="8">
        <v>337</v>
      </c>
      <c r="J4613" t="s">
        <v>23</v>
      </c>
      <c r="K4613" s="7">
        <v>1101</v>
      </c>
      <c r="L4613" s="9">
        <v>1</v>
      </c>
      <c r="M4613" t="s">
        <v>2028</v>
      </c>
      <c r="N4613" t="s">
        <v>136</v>
      </c>
      <c r="O4613" s="27" t="str">
        <f>HYPERLINK("https://www.ncbi.nlm.nih.gov/nuccore/NZ_AORZ01000022.1?report=graph&amp;from=48606&amp;to=48610", "TTA_codon")</f>
        <v>TTA_codon</v>
      </c>
    </row>
    <row r="4614" spans="1:15" x14ac:dyDescent="0.15">
      <c r="A4614" t="s">
        <v>21</v>
      </c>
      <c r="B4614">
        <v>1000224</v>
      </c>
      <c r="C4614">
        <v>352187</v>
      </c>
      <c r="F4614" s="7">
        <v>1</v>
      </c>
      <c r="G4614" s="7">
        <v>535</v>
      </c>
      <c r="H4614" s="8">
        <v>436</v>
      </c>
      <c r="J4614" t="s">
        <v>23</v>
      </c>
      <c r="K4614" s="7">
        <v>1113</v>
      </c>
      <c r="L4614" s="9">
        <v>1</v>
      </c>
      <c r="M4614" t="s">
        <v>1387</v>
      </c>
      <c r="N4614" t="s">
        <v>70</v>
      </c>
      <c r="O4614" s="27" t="str">
        <f>HYPERLINK("https://www.ncbi.nlm.nih.gov/nuccore/NZ_KB904691.1?report=graph&amp;from=37133&amp;to=37137", "TTA_codon")</f>
        <v>TTA_codon</v>
      </c>
    </row>
    <row r="4615" spans="1:15" x14ac:dyDescent="0.15">
      <c r="A4615" t="s">
        <v>21</v>
      </c>
      <c r="B4615">
        <v>1000224</v>
      </c>
      <c r="C4615">
        <v>352475</v>
      </c>
      <c r="F4615" s="7">
        <v>1</v>
      </c>
      <c r="G4615" s="7">
        <v>445</v>
      </c>
      <c r="H4615" s="8">
        <v>310</v>
      </c>
      <c r="J4615" t="s">
        <v>23</v>
      </c>
      <c r="K4615" s="7">
        <v>1110</v>
      </c>
      <c r="L4615" s="9">
        <v>1</v>
      </c>
      <c r="M4615" t="s">
        <v>30</v>
      </c>
      <c r="N4615" t="s">
        <v>31</v>
      </c>
      <c r="O4615" s="27" t="str">
        <f>HYPERLINK("https://www.ncbi.nlm.nih.gov/nuccore/NZ_KB913030.1?report=graph&amp;from=169525&amp;to=169529", "TTA_codon")</f>
        <v>TTA_codon</v>
      </c>
    </row>
    <row r="4616" spans="1:15" x14ac:dyDescent="0.15">
      <c r="A4616" t="s">
        <v>21</v>
      </c>
      <c r="B4616">
        <v>1000224</v>
      </c>
      <c r="C4616">
        <v>352627</v>
      </c>
      <c r="F4616" s="7">
        <v>1</v>
      </c>
      <c r="G4616" s="7">
        <v>445</v>
      </c>
      <c r="H4616" s="8">
        <v>328</v>
      </c>
      <c r="J4616" t="s">
        <v>23</v>
      </c>
      <c r="K4616" s="7">
        <v>1137</v>
      </c>
      <c r="L4616" s="9">
        <v>1</v>
      </c>
      <c r="M4616" t="s">
        <v>1593</v>
      </c>
      <c r="N4616" t="s">
        <v>436</v>
      </c>
      <c r="O4616" s="27" t="str">
        <f>HYPERLINK("https://www.ncbi.nlm.nih.gov/nuccore/NZ_AUBE01000012.1?report=graph&amp;from=190826&amp;to=190830", "TTA_codon")</f>
        <v>TTA_codon</v>
      </c>
    </row>
    <row r="4617" spans="1:15" x14ac:dyDescent="0.15">
      <c r="A4617" t="s">
        <v>21</v>
      </c>
      <c r="B4617">
        <v>1000224</v>
      </c>
      <c r="C4617">
        <v>353068</v>
      </c>
      <c r="F4617" s="7">
        <v>1</v>
      </c>
      <c r="G4617" s="7">
        <v>445</v>
      </c>
      <c r="H4617" s="8">
        <v>331</v>
      </c>
      <c r="J4617" t="s">
        <v>23</v>
      </c>
      <c r="K4617" s="7">
        <v>1119</v>
      </c>
      <c r="L4617" s="9">
        <v>1</v>
      </c>
      <c r="M4617" t="s">
        <v>1673</v>
      </c>
      <c r="N4617" t="s">
        <v>306</v>
      </c>
      <c r="O4617" s="27" t="str">
        <f>HYPERLINK("https://www.ncbi.nlm.nih.gov/nuccore/NZ_KL571054.1?report=graph&amp;from=68368&amp;to=68372", "TTA_codon")</f>
        <v>TTA_codon</v>
      </c>
    </row>
    <row r="4618" spans="1:15" x14ac:dyDescent="0.15">
      <c r="A4618" t="s">
        <v>21</v>
      </c>
      <c r="B4618">
        <v>1000224</v>
      </c>
      <c r="C4618">
        <v>353931</v>
      </c>
      <c r="F4618" s="7">
        <v>1</v>
      </c>
      <c r="G4618" s="7">
        <v>445</v>
      </c>
      <c r="H4618" s="8">
        <v>331</v>
      </c>
      <c r="J4618" t="s">
        <v>23</v>
      </c>
      <c r="K4618" s="7">
        <v>1119</v>
      </c>
      <c r="L4618" s="9">
        <v>1</v>
      </c>
      <c r="M4618" t="s">
        <v>3568</v>
      </c>
      <c r="N4618" t="s">
        <v>246</v>
      </c>
      <c r="O4618" s="27" t="str">
        <f>HYPERLINK("https://www.ncbi.nlm.nih.gov/nuccore/NZ_JNYR01000033.1?report=graph&amp;from=62835&amp;to=62839", "TTA_codon")</f>
        <v>TTA_codon</v>
      </c>
    </row>
    <row r="4619" spans="1:15" x14ac:dyDescent="0.15">
      <c r="A4619" t="s">
        <v>21</v>
      </c>
      <c r="B4619">
        <v>1000224</v>
      </c>
      <c r="C4619">
        <v>354082</v>
      </c>
      <c r="F4619" s="7">
        <v>1</v>
      </c>
      <c r="G4619" s="7">
        <v>445</v>
      </c>
      <c r="H4619" s="8">
        <v>331</v>
      </c>
      <c r="J4619" t="s">
        <v>23</v>
      </c>
      <c r="K4619" s="7">
        <v>1119</v>
      </c>
      <c r="L4619" s="9">
        <v>1</v>
      </c>
      <c r="M4619" t="s">
        <v>269</v>
      </c>
      <c r="N4619" t="s">
        <v>270</v>
      </c>
      <c r="O4619" s="27" t="str">
        <f>HYPERLINK("https://www.ncbi.nlm.nih.gov/nuccore/NZ_JOBH01000002.1?report=graph&amp;from=59640&amp;to=59644", "TTA_codon")</f>
        <v>TTA_codon</v>
      </c>
    </row>
    <row r="4620" spans="1:15" x14ac:dyDescent="0.15">
      <c r="A4620" t="s">
        <v>21</v>
      </c>
      <c r="B4620">
        <v>1000224</v>
      </c>
      <c r="C4620">
        <v>354764</v>
      </c>
      <c r="F4620" s="7">
        <v>1</v>
      </c>
      <c r="G4620" s="7">
        <v>445</v>
      </c>
      <c r="H4620" s="8">
        <v>325</v>
      </c>
      <c r="J4620" t="s">
        <v>23</v>
      </c>
      <c r="K4620" s="7">
        <v>1125</v>
      </c>
      <c r="L4620" s="9">
        <v>1</v>
      </c>
      <c r="M4620" t="s">
        <v>3569</v>
      </c>
      <c r="N4620" t="s">
        <v>272</v>
      </c>
      <c r="O4620" s="27" t="str">
        <f>HYPERLINK("https://www.ncbi.nlm.nih.gov/nuccore/NZ_JOEY01000043.1?report=graph&amp;from=163667&amp;to=163671", "TTA_codon")</f>
        <v>TTA_codon</v>
      </c>
    </row>
    <row r="4621" spans="1:15" x14ac:dyDescent="0.15">
      <c r="A4621" t="s">
        <v>21</v>
      </c>
      <c r="B4621">
        <v>1000224</v>
      </c>
      <c r="C4621">
        <v>355179</v>
      </c>
      <c r="F4621" s="7">
        <v>1</v>
      </c>
      <c r="G4621" s="7">
        <v>445</v>
      </c>
      <c r="H4621" s="8">
        <v>358</v>
      </c>
      <c r="J4621" t="s">
        <v>23</v>
      </c>
      <c r="K4621" s="7">
        <v>1128</v>
      </c>
      <c r="L4621" s="9">
        <v>1</v>
      </c>
      <c r="M4621" t="s">
        <v>3570</v>
      </c>
      <c r="N4621" t="s">
        <v>433</v>
      </c>
      <c r="O4621" s="27" t="str">
        <f>HYPERLINK("https://www.ncbi.nlm.nih.gov/nuccore/NZ_JOBF01000032.1?report=graph&amp;from=41778&amp;to=41782", "TTA_codon")</f>
        <v>TTA_codon</v>
      </c>
    </row>
    <row r="4622" spans="1:15" x14ac:dyDescent="0.15">
      <c r="A4622" t="s">
        <v>21</v>
      </c>
      <c r="B4622">
        <v>1000224</v>
      </c>
      <c r="C4622">
        <v>355460</v>
      </c>
      <c r="F4622" s="7">
        <v>1</v>
      </c>
      <c r="G4622" s="7">
        <v>445</v>
      </c>
      <c r="H4622" s="8">
        <v>322</v>
      </c>
      <c r="J4622" t="s">
        <v>23</v>
      </c>
      <c r="K4622" s="7">
        <v>1092</v>
      </c>
      <c r="L4622" s="9">
        <v>1</v>
      </c>
      <c r="M4622" t="s">
        <v>809</v>
      </c>
      <c r="N4622" t="s">
        <v>198</v>
      </c>
      <c r="O4622" s="27" t="str">
        <f>HYPERLINK("https://www.ncbi.nlm.nih.gov/nuccore/NZ_JOFL01000001.1?report=graph&amp;from=284935&amp;to=284939", "TTA_codon")</f>
        <v>TTA_codon</v>
      </c>
    </row>
    <row r="4623" spans="1:15" x14ac:dyDescent="0.15">
      <c r="A4623" t="s">
        <v>21</v>
      </c>
      <c r="B4623">
        <v>1000224</v>
      </c>
      <c r="C4623">
        <v>355829</v>
      </c>
      <c r="F4623" s="7">
        <v>1</v>
      </c>
      <c r="G4623" s="7">
        <v>445</v>
      </c>
      <c r="H4623" s="8">
        <v>352</v>
      </c>
      <c r="J4623" t="s">
        <v>23</v>
      </c>
      <c r="K4623" s="7">
        <v>1143</v>
      </c>
      <c r="L4623" s="9">
        <v>1</v>
      </c>
      <c r="M4623" t="s">
        <v>3571</v>
      </c>
      <c r="N4623" t="s">
        <v>75</v>
      </c>
      <c r="O4623" s="27" t="str">
        <f>HYPERLINK("https://www.ncbi.nlm.nih.gov/nuccore/NZ_JOII01000004.1?report=graph&amp;from=127047&amp;to=127051", "TTA_codon")</f>
        <v>TTA_codon</v>
      </c>
    </row>
    <row r="4624" spans="1:15" x14ac:dyDescent="0.15">
      <c r="A4624" t="s">
        <v>21</v>
      </c>
      <c r="B4624">
        <v>1000224</v>
      </c>
      <c r="C4624">
        <v>356107</v>
      </c>
      <c r="F4624" s="7">
        <v>1</v>
      </c>
      <c r="G4624" s="7">
        <v>445</v>
      </c>
      <c r="H4624" s="8">
        <v>328</v>
      </c>
      <c r="J4624" t="s">
        <v>23</v>
      </c>
      <c r="K4624" s="7">
        <v>1128</v>
      </c>
      <c r="L4624" s="9">
        <v>1</v>
      </c>
      <c r="M4624" t="s">
        <v>3572</v>
      </c>
      <c r="N4624" t="s">
        <v>146</v>
      </c>
      <c r="O4624" s="27" t="str">
        <f>HYPERLINK("https://www.ncbi.nlm.nih.gov/nuccore/NZ_JOFH01000001.1?report=graph&amp;from=80253&amp;to=80257", "TTA_codon")</f>
        <v>TTA_codon</v>
      </c>
    </row>
    <row r="4625" spans="1:15" x14ac:dyDescent="0.15">
      <c r="A4625" t="s">
        <v>21</v>
      </c>
      <c r="B4625">
        <v>1000224</v>
      </c>
      <c r="C4625">
        <v>356558</v>
      </c>
      <c r="F4625" s="7">
        <v>1</v>
      </c>
      <c r="G4625" s="7">
        <v>445</v>
      </c>
      <c r="H4625" s="8">
        <v>325</v>
      </c>
      <c r="J4625" t="s">
        <v>23</v>
      </c>
      <c r="K4625" s="7">
        <v>1122</v>
      </c>
      <c r="L4625" s="9">
        <v>1</v>
      </c>
      <c r="M4625" t="s">
        <v>508</v>
      </c>
      <c r="N4625" t="s">
        <v>509</v>
      </c>
      <c r="O4625" s="27" t="str">
        <f>HYPERLINK("https://www.ncbi.nlm.nih.gov/nuccore/NZ_CP009438.1?report=graph&amp;from=673903&amp;to=673907", "TTA_codon")</f>
        <v>TTA_codon</v>
      </c>
    </row>
    <row r="4626" spans="1:15" x14ac:dyDescent="0.15">
      <c r="A4626" t="s">
        <v>21</v>
      </c>
      <c r="B4626">
        <v>1000224</v>
      </c>
      <c r="C4626">
        <v>357179</v>
      </c>
      <c r="F4626" s="7">
        <v>1</v>
      </c>
      <c r="G4626" s="7">
        <v>445</v>
      </c>
      <c r="H4626" s="8">
        <v>313</v>
      </c>
      <c r="J4626" t="s">
        <v>23</v>
      </c>
      <c r="K4626" s="7">
        <v>1113</v>
      </c>
      <c r="L4626" s="9">
        <v>1</v>
      </c>
      <c r="M4626" t="s">
        <v>205</v>
      </c>
      <c r="N4626" t="s">
        <v>206</v>
      </c>
      <c r="O4626" s="27" t="str">
        <f>HYPERLINK("https://www.ncbi.nlm.nih.gov/nuccore/NZ_CP010407.1?report=graph&amp;from=648252&amp;to=648256", "TTA_codon")</f>
        <v>TTA_codon</v>
      </c>
    </row>
    <row r="4627" spans="1:15" x14ac:dyDescent="0.15">
      <c r="A4627" t="s">
        <v>21</v>
      </c>
      <c r="B4627">
        <v>1000224</v>
      </c>
      <c r="C4627">
        <v>359144</v>
      </c>
      <c r="F4627" s="7">
        <v>1</v>
      </c>
      <c r="G4627" s="7">
        <v>445</v>
      </c>
      <c r="H4627" s="8">
        <v>328</v>
      </c>
      <c r="J4627" t="s">
        <v>23</v>
      </c>
      <c r="K4627" s="7">
        <v>1128</v>
      </c>
      <c r="L4627" s="9">
        <v>1</v>
      </c>
      <c r="M4627" t="s">
        <v>2032</v>
      </c>
      <c r="N4627" t="s">
        <v>451</v>
      </c>
      <c r="O4627" s="27" t="str">
        <f>HYPERLINK("https://www.ncbi.nlm.nih.gov/nuccore/NZ_LIQZ01000011.1?report=graph&amp;from=50918&amp;to=50922", "TTA_codon")</f>
        <v>TTA_codon</v>
      </c>
    </row>
    <row r="4628" spans="1:15" x14ac:dyDescent="0.15">
      <c r="A4628" t="s">
        <v>21</v>
      </c>
      <c r="B4628">
        <v>1000224</v>
      </c>
      <c r="C4628">
        <v>359391</v>
      </c>
      <c r="F4628" s="7">
        <v>1</v>
      </c>
      <c r="G4628" s="7">
        <v>445</v>
      </c>
      <c r="H4628" s="8">
        <v>325</v>
      </c>
      <c r="J4628" t="s">
        <v>23</v>
      </c>
      <c r="K4628" s="7">
        <v>1125</v>
      </c>
      <c r="L4628" s="9">
        <v>1</v>
      </c>
      <c r="M4628" t="s">
        <v>2033</v>
      </c>
      <c r="N4628" t="s">
        <v>89</v>
      </c>
      <c r="O4628" s="27" t="str">
        <f>HYPERLINK("https://www.ncbi.nlm.nih.gov/nuccore/NZ_LIRG01000116.1?report=graph&amp;from=6013&amp;to=6017", "TTA_codon")</f>
        <v>TTA_codon</v>
      </c>
    </row>
    <row r="4629" spans="1:15" x14ac:dyDescent="0.15">
      <c r="A4629" t="s">
        <v>21</v>
      </c>
      <c r="B4629">
        <v>1000224</v>
      </c>
      <c r="C4629">
        <v>359545</v>
      </c>
      <c r="F4629" s="7">
        <v>1</v>
      </c>
      <c r="G4629" s="7">
        <v>445</v>
      </c>
      <c r="H4629" s="8">
        <v>313</v>
      </c>
      <c r="J4629" t="s">
        <v>23</v>
      </c>
      <c r="K4629" s="7">
        <v>1113</v>
      </c>
      <c r="L4629" s="9">
        <v>1</v>
      </c>
      <c r="M4629" t="s">
        <v>151</v>
      </c>
      <c r="N4629" t="s">
        <v>152</v>
      </c>
      <c r="O4629" s="27" t="str">
        <f>HYPERLINK("https://www.ncbi.nlm.nih.gov/nuccore/NZ_CP013129.1?report=graph&amp;from=771421&amp;to=771425", "TTA_codon")</f>
        <v>TTA_codon</v>
      </c>
    </row>
    <row r="4630" spans="1:15" x14ac:dyDescent="0.15">
      <c r="A4630" t="s">
        <v>21</v>
      </c>
      <c r="B4630">
        <v>1000224</v>
      </c>
      <c r="C4630">
        <v>359921</v>
      </c>
      <c r="F4630" s="7">
        <v>1</v>
      </c>
      <c r="G4630" s="7">
        <v>445</v>
      </c>
      <c r="H4630" s="8">
        <v>325</v>
      </c>
      <c r="J4630" t="s">
        <v>23</v>
      </c>
      <c r="K4630" s="7">
        <v>1125</v>
      </c>
      <c r="L4630" s="9">
        <v>1</v>
      </c>
      <c r="M4630" t="s">
        <v>3573</v>
      </c>
      <c r="N4630" t="s">
        <v>91</v>
      </c>
      <c r="O4630" s="27" t="str">
        <f>HYPERLINK("https://www.ncbi.nlm.nih.gov/nuccore/NZ_KQ948317.1?report=graph&amp;from=142699&amp;to=142703", "TTA_codon")</f>
        <v>TTA_codon</v>
      </c>
    </row>
    <row r="4631" spans="1:15" x14ac:dyDescent="0.15">
      <c r="A4631" t="s">
        <v>21</v>
      </c>
      <c r="B4631">
        <v>1000224</v>
      </c>
      <c r="C4631">
        <v>360222</v>
      </c>
      <c r="F4631" s="7">
        <v>1</v>
      </c>
      <c r="G4631" s="7">
        <v>445</v>
      </c>
      <c r="H4631" s="8">
        <v>331</v>
      </c>
      <c r="J4631" t="s">
        <v>23</v>
      </c>
      <c r="K4631" s="7">
        <v>1131</v>
      </c>
      <c r="L4631" s="9">
        <v>1</v>
      </c>
      <c r="M4631" t="s">
        <v>300</v>
      </c>
      <c r="N4631" t="s">
        <v>125</v>
      </c>
      <c r="O4631" s="27" t="str">
        <f>HYPERLINK("https://www.ncbi.nlm.nih.gov/nuccore/NZ_KQ948466.1?report=graph&amp;from=211069&amp;to=211073", "TTA_codon")</f>
        <v>TTA_codon</v>
      </c>
    </row>
    <row r="4632" spans="1:15" x14ac:dyDescent="0.15">
      <c r="A4632" t="s">
        <v>21</v>
      </c>
      <c r="B4632">
        <v>1000224</v>
      </c>
      <c r="C4632">
        <v>361212</v>
      </c>
      <c r="F4632" s="7">
        <v>1</v>
      </c>
      <c r="G4632" s="7">
        <v>445</v>
      </c>
      <c r="H4632" s="8">
        <v>325</v>
      </c>
      <c r="J4632" t="s">
        <v>23</v>
      </c>
      <c r="K4632" s="7">
        <v>1125</v>
      </c>
      <c r="L4632" s="9">
        <v>1</v>
      </c>
      <c r="M4632" t="s">
        <v>98</v>
      </c>
      <c r="N4632" t="s">
        <v>99</v>
      </c>
      <c r="O4632" s="27" t="str">
        <f>HYPERLINK("https://www.ncbi.nlm.nih.gov/nuccore/NZ_CP016438.1?report=graph&amp;from=666076&amp;to=666080", "TTA_codon")</f>
        <v>TTA_codon</v>
      </c>
    </row>
    <row r="4633" spans="1:15" x14ac:dyDescent="0.15">
      <c r="A4633" t="s">
        <v>21</v>
      </c>
      <c r="B4633">
        <v>1000224</v>
      </c>
      <c r="C4633">
        <v>362954</v>
      </c>
      <c r="F4633" s="7">
        <v>1</v>
      </c>
      <c r="G4633" s="7">
        <v>610</v>
      </c>
      <c r="H4633" s="8">
        <v>508</v>
      </c>
      <c r="J4633" t="s">
        <v>23</v>
      </c>
      <c r="K4633" s="7">
        <v>1155</v>
      </c>
      <c r="L4633" s="9">
        <v>1</v>
      </c>
      <c r="M4633" t="s">
        <v>3574</v>
      </c>
      <c r="N4633" t="s">
        <v>156</v>
      </c>
      <c r="O4633" s="27" t="str">
        <f>HYPERLINK("https://www.ncbi.nlm.nih.gov/nuccore/NZ_LJGW01000689.1?report=graph&amp;from=2382&amp;to=2386", "TTA_codon")</f>
        <v>TTA_codon</v>
      </c>
    </row>
    <row r="4634" spans="1:15" x14ac:dyDescent="0.15">
      <c r="A4634" t="s">
        <v>21</v>
      </c>
      <c r="B4634">
        <v>1000224</v>
      </c>
      <c r="C4634">
        <v>363306</v>
      </c>
      <c r="F4634" s="7">
        <v>1</v>
      </c>
      <c r="G4634" s="7">
        <v>445</v>
      </c>
      <c r="H4634" s="8">
        <v>325</v>
      </c>
      <c r="J4634" t="s">
        <v>23</v>
      </c>
      <c r="K4634" s="7">
        <v>1104</v>
      </c>
      <c r="L4634" s="9">
        <v>1</v>
      </c>
      <c r="M4634" t="s">
        <v>3490</v>
      </c>
      <c r="N4634" t="s">
        <v>28</v>
      </c>
      <c r="O4634" s="27" t="str">
        <f>HYPERLINK("https://www.ncbi.nlm.nih.gov/nuccore/NZ_JUJA01000144.1?report=graph&amp;from=87907&amp;to=87911", "TTA_codon")</f>
        <v>TTA_codon</v>
      </c>
    </row>
    <row r="4635" spans="1:15" x14ac:dyDescent="0.15">
      <c r="A4635" t="s">
        <v>21</v>
      </c>
      <c r="B4635">
        <v>1000224</v>
      </c>
      <c r="C4635">
        <v>364380</v>
      </c>
      <c r="F4635" s="7">
        <v>1</v>
      </c>
      <c r="G4635" s="7">
        <v>445</v>
      </c>
      <c r="H4635" s="8">
        <v>328</v>
      </c>
      <c r="J4635" t="s">
        <v>23</v>
      </c>
      <c r="K4635" s="7">
        <v>1113</v>
      </c>
      <c r="L4635" s="9">
        <v>1</v>
      </c>
      <c r="M4635" t="s">
        <v>105</v>
      </c>
      <c r="N4635" t="s">
        <v>106</v>
      </c>
      <c r="O4635" s="27" t="str">
        <f>HYPERLINK("https://www.ncbi.nlm.nih.gov/nuccore/NZ_CP020042.1?report=graph&amp;from=938394&amp;to=938398", "TTA_codon")</f>
        <v>TTA_codon</v>
      </c>
    </row>
    <row r="4636" spans="1:15" x14ac:dyDescent="0.15">
      <c r="A4636" t="s">
        <v>21</v>
      </c>
      <c r="B4636">
        <v>1000224</v>
      </c>
      <c r="C4636">
        <v>365279</v>
      </c>
      <c r="F4636" s="7">
        <v>1</v>
      </c>
      <c r="G4636" s="7">
        <v>445</v>
      </c>
      <c r="H4636" s="8">
        <v>349</v>
      </c>
      <c r="J4636" t="s">
        <v>23</v>
      </c>
      <c r="K4636" s="7">
        <v>1149</v>
      </c>
      <c r="L4636" s="9">
        <v>1</v>
      </c>
      <c r="M4636" t="s">
        <v>3575</v>
      </c>
      <c r="N4636" t="s">
        <v>347</v>
      </c>
      <c r="O4636" s="27" t="str">
        <f>HYPERLINK("https://www.ncbi.nlm.nih.gov/nuccore/NZ_FNFF01000005.1?report=graph&amp;from=149348&amp;to=149352", "TTA_codon")</f>
        <v>TTA_codon</v>
      </c>
    </row>
    <row r="4637" spans="1:15" x14ac:dyDescent="0.15">
      <c r="A4637" t="s">
        <v>21</v>
      </c>
      <c r="B4637">
        <v>1000224</v>
      </c>
      <c r="C4637">
        <v>365355</v>
      </c>
      <c r="F4637" s="7">
        <v>1</v>
      </c>
      <c r="G4637" s="7">
        <v>445</v>
      </c>
      <c r="H4637" s="8">
        <v>301</v>
      </c>
      <c r="J4637" t="s">
        <v>23</v>
      </c>
      <c r="K4637" s="7">
        <v>1104</v>
      </c>
      <c r="L4637" s="9">
        <v>1</v>
      </c>
      <c r="M4637" t="s">
        <v>1539</v>
      </c>
      <c r="N4637" t="s">
        <v>129</v>
      </c>
      <c r="O4637" s="27" t="str">
        <f>HYPERLINK("https://www.ncbi.nlm.nih.gov/nuccore/NZ_FNHI01000003.1?report=graph&amp;from=81385&amp;to=81389", "TTA_codon")</f>
        <v>TTA_codon</v>
      </c>
    </row>
    <row r="4638" spans="1:15" x14ac:dyDescent="0.15">
      <c r="A4638" t="s">
        <v>21</v>
      </c>
      <c r="B4638" t="s">
        <v>3576</v>
      </c>
    </row>
    <row r="4639" spans="1:15" x14ac:dyDescent="0.15">
      <c r="A4639" t="s">
        <v>21</v>
      </c>
      <c r="B4639">
        <v>1000789</v>
      </c>
      <c r="C4639">
        <v>351879</v>
      </c>
      <c r="F4639" s="7">
        <v>1</v>
      </c>
      <c r="G4639" s="7">
        <v>46</v>
      </c>
      <c r="H4639" s="8">
        <v>46</v>
      </c>
      <c r="J4639" t="s">
        <v>23</v>
      </c>
      <c r="K4639" s="7">
        <v>2322</v>
      </c>
      <c r="L4639" s="9">
        <v>1</v>
      </c>
      <c r="M4639" t="s">
        <v>3577</v>
      </c>
      <c r="N4639" t="s">
        <v>68</v>
      </c>
      <c r="O4639" s="27" t="str">
        <f>HYPERLINK("https://www.ncbi.nlm.nih.gov/nuccore/NZ_BARG01000093.1?report=graph&amp;from=14117&amp;to=14121", "TTA_codon")</f>
        <v>TTA_codon</v>
      </c>
    </row>
    <row r="4640" spans="1:15" x14ac:dyDescent="0.15">
      <c r="A4640" t="s">
        <v>21</v>
      </c>
      <c r="B4640">
        <v>1000789</v>
      </c>
      <c r="C4640">
        <v>361292</v>
      </c>
      <c r="F4640" s="7">
        <v>1</v>
      </c>
      <c r="G4640" s="7">
        <v>46</v>
      </c>
      <c r="H4640" s="8">
        <v>46</v>
      </c>
      <c r="J4640" t="s">
        <v>23</v>
      </c>
      <c r="K4640" s="7">
        <v>2319</v>
      </c>
      <c r="L4640" s="9">
        <v>1</v>
      </c>
      <c r="M4640" t="s">
        <v>98</v>
      </c>
      <c r="N4640" t="s">
        <v>99</v>
      </c>
      <c r="O4640" s="27" t="str">
        <f>HYPERLINK("https://www.ncbi.nlm.nih.gov/nuccore/NZ_CP016438.1?report=graph&amp;from=9687318&amp;to=9687322", "TTA_codon")</f>
        <v>TTA_codon</v>
      </c>
    </row>
    <row r="4641" spans="1:15" x14ac:dyDescent="0.15">
      <c r="A4641" t="s">
        <v>21</v>
      </c>
      <c r="B4641" t="s">
        <v>3578</v>
      </c>
    </row>
    <row r="4642" spans="1:15" x14ac:dyDescent="0.15">
      <c r="A4642" t="s">
        <v>21</v>
      </c>
      <c r="B4642">
        <v>1000993</v>
      </c>
      <c r="C4642">
        <v>354085</v>
      </c>
      <c r="F4642" s="7">
        <v>1</v>
      </c>
      <c r="G4642" s="7">
        <v>934</v>
      </c>
      <c r="H4642" s="8">
        <v>817</v>
      </c>
      <c r="J4642" t="s">
        <v>23</v>
      </c>
      <c r="K4642" s="7">
        <v>2670</v>
      </c>
      <c r="L4642" s="9">
        <v>1</v>
      </c>
      <c r="M4642" t="s">
        <v>3342</v>
      </c>
      <c r="N4642" t="s">
        <v>270</v>
      </c>
      <c r="O4642" s="27" t="str">
        <f>HYPERLINK("https://www.ncbi.nlm.nih.gov/nuccore/NZ_JOBH01000018.1?report=graph&amp;from=103569&amp;to=103573", "TTA_codon")</f>
        <v>TTA_codon</v>
      </c>
    </row>
    <row r="4643" spans="1:15" x14ac:dyDescent="0.15">
      <c r="A4643" t="s">
        <v>21</v>
      </c>
      <c r="B4643">
        <v>1000993</v>
      </c>
      <c r="C4643">
        <v>362280</v>
      </c>
      <c r="F4643" s="7">
        <v>1</v>
      </c>
      <c r="G4643" s="7">
        <v>1168</v>
      </c>
      <c r="H4643" s="8">
        <v>976</v>
      </c>
      <c r="J4643" t="s">
        <v>23</v>
      </c>
      <c r="K4643" s="7">
        <v>2631</v>
      </c>
      <c r="L4643" s="9">
        <v>1</v>
      </c>
      <c r="M4643" t="s">
        <v>39</v>
      </c>
      <c r="N4643" t="s">
        <v>40</v>
      </c>
      <c r="O4643" s="27" t="str">
        <f>HYPERLINK("https://www.ncbi.nlm.nih.gov/nuccore/NZ_CP017157.1?report=graph&amp;from=2311170&amp;to=2311174", "TTA_codon")</f>
        <v>TTA_codon</v>
      </c>
    </row>
    <row r="4644" spans="1:15" x14ac:dyDescent="0.15">
      <c r="A4644" t="s">
        <v>21</v>
      </c>
      <c r="B4644">
        <v>1000993</v>
      </c>
      <c r="C4644">
        <v>366465</v>
      </c>
      <c r="F4644" s="7">
        <v>1</v>
      </c>
      <c r="G4644" s="7">
        <v>1081</v>
      </c>
      <c r="H4644" s="8">
        <v>1054</v>
      </c>
      <c r="J4644" t="s">
        <v>23</v>
      </c>
      <c r="K4644" s="7">
        <v>2751</v>
      </c>
      <c r="L4644" s="9">
        <v>1</v>
      </c>
      <c r="M4644" t="s">
        <v>2981</v>
      </c>
      <c r="N4644" t="s">
        <v>375</v>
      </c>
      <c r="O4644" s="27" t="str">
        <f>HYPERLINK("https://www.ncbi.nlm.nih.gov/nuccore/NZ_FONG01000014.1?report=graph&amp;from=148102&amp;to=148106", "TTA_codon")</f>
        <v>TTA_codon</v>
      </c>
    </row>
    <row r="4645" spans="1:15" x14ac:dyDescent="0.15">
      <c r="A4645" t="s">
        <v>21</v>
      </c>
      <c r="B4645" t="s">
        <v>3579</v>
      </c>
    </row>
    <row r="4646" spans="1:15" x14ac:dyDescent="0.15">
      <c r="A4646" t="s">
        <v>21</v>
      </c>
      <c r="B4646">
        <v>1001009</v>
      </c>
      <c r="C4646">
        <v>354303</v>
      </c>
      <c r="F4646" s="7">
        <v>1</v>
      </c>
      <c r="G4646" s="7">
        <v>682</v>
      </c>
      <c r="H4646" s="8">
        <v>664</v>
      </c>
      <c r="J4646" t="s">
        <v>23</v>
      </c>
      <c r="K4646" s="7">
        <v>2505</v>
      </c>
      <c r="L4646" s="9">
        <v>-1</v>
      </c>
      <c r="M4646" t="s">
        <v>2406</v>
      </c>
      <c r="N4646" t="s">
        <v>142</v>
      </c>
      <c r="O4646" s="27" t="str">
        <f>HYPERLINK("https://www.ncbi.nlm.nih.gov/nuccore/NZ_JOEI01000012.1?report=graph&amp;from=13103&amp;to=13107", "TTA_codon")</f>
        <v>TTA_codon</v>
      </c>
    </row>
    <row r="4647" spans="1:15" x14ac:dyDescent="0.15">
      <c r="A4647" t="s">
        <v>21</v>
      </c>
      <c r="B4647">
        <v>1001009</v>
      </c>
      <c r="C4647">
        <v>363113</v>
      </c>
      <c r="F4647" s="7">
        <v>1</v>
      </c>
      <c r="G4647" s="7">
        <v>754</v>
      </c>
      <c r="H4647" s="8">
        <v>715</v>
      </c>
      <c r="J4647" t="s">
        <v>23</v>
      </c>
      <c r="K4647" s="7">
        <v>2481</v>
      </c>
      <c r="L4647" s="9">
        <v>-1</v>
      </c>
      <c r="M4647" t="s">
        <v>988</v>
      </c>
      <c r="N4647" t="s">
        <v>401</v>
      </c>
      <c r="O4647" s="27" t="str">
        <f>HYPERLINK("https://www.ncbi.nlm.nih.gov/nuccore/NZ_LFBV01000010.1?report=graph&amp;from=363541&amp;to=363545", "TTA_codon")</f>
        <v>TTA_codon</v>
      </c>
    </row>
    <row r="4648" spans="1:15" x14ac:dyDescent="0.15">
      <c r="A4648" t="s">
        <v>21</v>
      </c>
      <c r="B4648" t="s">
        <v>3580</v>
      </c>
    </row>
    <row r="4649" spans="1:15" x14ac:dyDescent="0.15">
      <c r="A4649" t="s">
        <v>21</v>
      </c>
      <c r="B4649">
        <v>1001136</v>
      </c>
      <c r="C4649">
        <v>356009</v>
      </c>
      <c r="F4649" s="7">
        <v>1</v>
      </c>
      <c r="G4649" s="7">
        <v>124</v>
      </c>
      <c r="H4649" s="8">
        <v>124</v>
      </c>
      <c r="J4649" t="s">
        <v>23</v>
      </c>
      <c r="K4649" s="7">
        <v>432</v>
      </c>
      <c r="L4649" s="9">
        <v>-1</v>
      </c>
      <c r="M4649" t="s">
        <v>3581</v>
      </c>
      <c r="N4649" t="s">
        <v>146</v>
      </c>
      <c r="O4649" s="27" t="str">
        <f>HYPERLINK("https://www.ncbi.nlm.nih.gov/nuccore/NZ_JOFH01000063.1?report=graph&amp;from=11098&amp;to=11102", "TTA_codon")</f>
        <v>TTA_codon</v>
      </c>
    </row>
    <row r="4650" spans="1:15" x14ac:dyDescent="0.15">
      <c r="A4650" t="s">
        <v>21</v>
      </c>
      <c r="B4650">
        <v>1001136</v>
      </c>
      <c r="C4650">
        <v>365208</v>
      </c>
      <c r="F4650" s="7">
        <v>1</v>
      </c>
      <c r="G4650" s="7">
        <v>82</v>
      </c>
      <c r="H4650" s="8">
        <v>76</v>
      </c>
      <c r="J4650" t="s">
        <v>23</v>
      </c>
      <c r="K4650" s="7">
        <v>420</v>
      </c>
      <c r="L4650" s="9">
        <v>-1</v>
      </c>
      <c r="M4650" t="s">
        <v>2304</v>
      </c>
      <c r="N4650" t="s">
        <v>347</v>
      </c>
      <c r="O4650" s="27" t="str">
        <f>HYPERLINK("https://www.ncbi.nlm.nih.gov/nuccore/NZ_FNFF01000002.1?report=graph&amp;from=537259&amp;to=537263", "TTA_codon")</f>
        <v>TTA_codon</v>
      </c>
    </row>
    <row r="4651" spans="1:15" x14ac:dyDescent="0.15">
      <c r="A4651" t="s">
        <v>21</v>
      </c>
      <c r="B4651" t="s">
        <v>3582</v>
      </c>
    </row>
    <row r="4652" spans="1:15" x14ac:dyDescent="0.15">
      <c r="A4652" t="s">
        <v>21</v>
      </c>
      <c r="B4652">
        <v>1000681</v>
      </c>
      <c r="C4652">
        <v>350825</v>
      </c>
      <c r="F4652" s="7">
        <v>1</v>
      </c>
      <c r="G4652" s="7">
        <v>217</v>
      </c>
      <c r="H4652" s="8">
        <v>217</v>
      </c>
      <c r="J4652" t="s">
        <v>23</v>
      </c>
      <c r="K4652" s="7">
        <v>2097</v>
      </c>
      <c r="L4652" s="9">
        <v>-1</v>
      </c>
      <c r="M4652" t="s">
        <v>3583</v>
      </c>
      <c r="N4652" t="s">
        <v>51</v>
      </c>
      <c r="O4652" s="27" t="str">
        <f>HYPERLINK("https://www.ncbi.nlm.nih.gov/nuccore/NZ_AEJB01000276.1?report=graph&amp;from=7681&amp;to=7685", "TTA_codon")</f>
        <v>TTA_codon</v>
      </c>
    </row>
    <row r="4653" spans="1:15" x14ac:dyDescent="0.15">
      <c r="A4653" t="s">
        <v>21</v>
      </c>
      <c r="B4653">
        <v>1000681</v>
      </c>
      <c r="C4653">
        <v>359738</v>
      </c>
      <c r="F4653" s="7">
        <v>1</v>
      </c>
      <c r="G4653" s="7">
        <v>292</v>
      </c>
      <c r="H4653" s="8">
        <v>163</v>
      </c>
      <c r="J4653" t="s">
        <v>23</v>
      </c>
      <c r="K4653" s="7">
        <v>1212</v>
      </c>
      <c r="L4653" s="9">
        <v>-1</v>
      </c>
      <c r="M4653" t="s">
        <v>3584</v>
      </c>
      <c r="N4653" t="s">
        <v>651</v>
      </c>
      <c r="O4653" s="27" t="str">
        <f>HYPERLINK("https://www.ncbi.nlm.nih.gov/nuccore/NZ_LN929769.1?report=graph&amp;from=24873&amp;to=24877", "TTA_codon")</f>
        <v>TTA_codon</v>
      </c>
    </row>
    <row r="4654" spans="1:15" x14ac:dyDescent="0.15">
      <c r="A4654" t="s">
        <v>21</v>
      </c>
      <c r="B4654" t="s">
        <v>3585</v>
      </c>
    </row>
    <row r="4655" spans="1:15" x14ac:dyDescent="0.15">
      <c r="A4655" t="s">
        <v>21</v>
      </c>
      <c r="B4655">
        <v>1000633</v>
      </c>
      <c r="C4655">
        <v>350463</v>
      </c>
      <c r="F4655" s="7">
        <v>1</v>
      </c>
      <c r="G4655" s="7">
        <v>409</v>
      </c>
      <c r="H4655" s="8">
        <v>409</v>
      </c>
      <c r="J4655" t="s">
        <v>23</v>
      </c>
      <c r="K4655" s="7">
        <v>603</v>
      </c>
      <c r="L4655" s="9">
        <v>1</v>
      </c>
      <c r="M4655" t="s">
        <v>35</v>
      </c>
      <c r="N4655" t="s">
        <v>36</v>
      </c>
      <c r="O4655" s="27" t="str">
        <f>HYPERLINK("https://www.ncbi.nlm.nih.gov/nuccore/NZ_JH725387.1?report=graph&amp;from=1048644&amp;to=1048648", "TTA_codon")</f>
        <v>TTA_codon</v>
      </c>
    </row>
    <row r="4656" spans="1:15" x14ac:dyDescent="0.15">
      <c r="A4656" t="s">
        <v>21</v>
      </c>
      <c r="B4656">
        <v>1000633</v>
      </c>
      <c r="C4656">
        <v>361797</v>
      </c>
      <c r="F4656" s="7">
        <v>1</v>
      </c>
      <c r="G4656" s="7">
        <v>409</v>
      </c>
      <c r="H4656" s="8">
        <v>409</v>
      </c>
      <c r="J4656" t="s">
        <v>23</v>
      </c>
      <c r="K4656" s="7">
        <v>603</v>
      </c>
      <c r="L4656" s="9">
        <v>1</v>
      </c>
      <c r="M4656" t="s">
        <v>37</v>
      </c>
      <c r="N4656" t="s">
        <v>38</v>
      </c>
      <c r="O4656" s="27" t="str">
        <f>HYPERLINK("https://www.ncbi.nlm.nih.gov/nuccore/NZ_CP011533.1?report=graph&amp;from=2732979&amp;to=2732983", "TTA_codon")</f>
        <v>TTA_codon</v>
      </c>
    </row>
    <row r="4657" spans="1:15" x14ac:dyDescent="0.15">
      <c r="A4657" t="s">
        <v>21</v>
      </c>
      <c r="B4657">
        <v>1000633</v>
      </c>
      <c r="C4657">
        <v>362374</v>
      </c>
      <c r="F4657" s="7">
        <v>1</v>
      </c>
      <c r="G4657" s="7">
        <v>409</v>
      </c>
      <c r="H4657" s="8">
        <v>409</v>
      </c>
      <c r="J4657" t="s">
        <v>23</v>
      </c>
      <c r="K4657" s="7">
        <v>603</v>
      </c>
      <c r="L4657" s="9">
        <v>1</v>
      </c>
      <c r="M4657" t="s">
        <v>39</v>
      </c>
      <c r="N4657" t="s">
        <v>40</v>
      </c>
      <c r="O4657" s="27" t="str">
        <f>HYPERLINK("https://www.ncbi.nlm.nih.gov/nuccore/NZ_CP017157.1?report=graph&amp;from=6064713&amp;to=6064717", "TTA_codon")</f>
        <v>TTA_codon</v>
      </c>
    </row>
    <row r="4658" spans="1:15" x14ac:dyDescent="0.15">
      <c r="A4658" t="s">
        <v>195</v>
      </c>
      <c r="B4658" t="s">
        <v>3586</v>
      </c>
    </row>
    <row r="4659" spans="1:15" x14ac:dyDescent="0.15">
      <c r="A4659" t="s">
        <v>195</v>
      </c>
      <c r="B4659">
        <v>1001302</v>
      </c>
      <c r="C4659">
        <v>346015</v>
      </c>
      <c r="F4659" s="7">
        <v>1</v>
      </c>
      <c r="G4659" s="7">
        <v>2116</v>
      </c>
      <c r="H4659" s="8">
        <v>307</v>
      </c>
      <c r="J4659" t="s">
        <v>23</v>
      </c>
      <c r="K4659" s="7">
        <v>7035</v>
      </c>
      <c r="L4659" s="9">
        <v>-1</v>
      </c>
      <c r="M4659" t="s">
        <v>53</v>
      </c>
      <c r="N4659" t="s">
        <v>54</v>
      </c>
      <c r="O4659" s="27" t="str">
        <f>HYPERLINK("https://www.ncbi.nlm.nih.gov/nuccore/NC_003155.5?report=graph&amp;from=8789409&amp;to=8789413", "TTA_codon")</f>
        <v>TTA_codon</v>
      </c>
    </row>
    <row r="4660" spans="1:15" x14ac:dyDescent="0.15">
      <c r="A4660" t="s">
        <v>195</v>
      </c>
      <c r="B4660">
        <v>1001302</v>
      </c>
      <c r="C4660">
        <v>346245</v>
      </c>
      <c r="F4660" s="7">
        <v>1</v>
      </c>
      <c r="G4660" s="7">
        <v>3397</v>
      </c>
      <c r="H4660" s="8">
        <v>436</v>
      </c>
      <c r="J4660" t="s">
        <v>23</v>
      </c>
      <c r="K4660" s="7">
        <v>6840</v>
      </c>
      <c r="L4660" s="9">
        <v>-1</v>
      </c>
      <c r="M4660" t="s">
        <v>3587</v>
      </c>
      <c r="N4660" t="s">
        <v>68</v>
      </c>
      <c r="O4660" s="27" t="str">
        <f>HYPERLINK("https://www.ncbi.nlm.nih.gov/nuccore/NZ_BARG01000049.1?report=graph&amp;from=46719&amp;to=46723", "TTA_codon")</f>
        <v>TTA_codon</v>
      </c>
    </row>
    <row r="4661" spans="1:15" x14ac:dyDescent="0.15">
      <c r="A4661" t="s">
        <v>195</v>
      </c>
      <c r="B4661">
        <v>1001302</v>
      </c>
      <c r="C4661">
        <v>346434</v>
      </c>
      <c r="F4661" s="7">
        <v>1</v>
      </c>
      <c r="G4661" s="7">
        <v>2077</v>
      </c>
      <c r="H4661" s="8">
        <v>313</v>
      </c>
      <c r="J4661" t="s">
        <v>23</v>
      </c>
      <c r="K4661" s="7">
        <v>6915</v>
      </c>
      <c r="L4661" s="9">
        <v>-1</v>
      </c>
      <c r="M4661" t="s">
        <v>3588</v>
      </c>
      <c r="N4661" t="s">
        <v>25</v>
      </c>
      <c r="O4661" s="27" t="str">
        <f>HYPERLINK("https://www.ncbi.nlm.nih.gov/nuccore/NZ_JOFU01000027.1?report=graph&amp;from=42623&amp;to=42627", "TTA_codon")</f>
        <v>TTA_codon</v>
      </c>
    </row>
    <row r="4662" spans="1:15" x14ac:dyDescent="0.15">
      <c r="A4662" t="s">
        <v>21</v>
      </c>
      <c r="B4662">
        <v>1001302</v>
      </c>
      <c r="C4662">
        <v>347317</v>
      </c>
      <c r="F4662" s="7">
        <v>1</v>
      </c>
      <c r="G4662" s="7">
        <v>7918</v>
      </c>
      <c r="H4662" s="8">
        <v>2971</v>
      </c>
      <c r="J4662" t="s">
        <v>23</v>
      </c>
      <c r="K4662" s="7">
        <v>10680</v>
      </c>
      <c r="L4662" s="9">
        <v>-1</v>
      </c>
      <c r="M4662" t="s">
        <v>53</v>
      </c>
      <c r="N4662" t="s">
        <v>54</v>
      </c>
      <c r="O4662" s="27" t="str">
        <f>HYPERLINK("https://www.ncbi.nlm.nih.gov/nuccore/NC_003155.5?report=graph&amp;from=540732&amp;to=540736", "TTA_codon")</f>
        <v>TTA_codon</v>
      </c>
    </row>
    <row r="4663" spans="1:15" x14ac:dyDescent="0.15">
      <c r="A4663" t="s">
        <v>21</v>
      </c>
      <c r="B4663">
        <v>1001302</v>
      </c>
      <c r="C4663">
        <v>348869</v>
      </c>
      <c r="F4663" s="7">
        <v>2</v>
      </c>
      <c r="G4663" s="7" t="s">
        <v>3589</v>
      </c>
      <c r="H4663" s="8" t="s">
        <v>3590</v>
      </c>
      <c r="J4663" t="s">
        <v>23</v>
      </c>
      <c r="K4663" s="7">
        <v>5763</v>
      </c>
      <c r="L4663" s="9">
        <v>-1</v>
      </c>
      <c r="M4663" t="s">
        <v>211</v>
      </c>
      <c r="N4663" t="s">
        <v>212</v>
      </c>
      <c r="O4663" s="27" t="str">
        <f>HYPERLINK("https://www.ncbi.nlm.nih.gov/nuccore/NZ_GG657754.1?report=graph&amp;from=10113611&amp;to=10115730", "TTA_codon")</f>
        <v>TTA_codon</v>
      </c>
    </row>
    <row r="4664" spans="1:15" x14ac:dyDescent="0.15">
      <c r="A4664" t="s">
        <v>21</v>
      </c>
      <c r="B4664">
        <v>1001302</v>
      </c>
      <c r="C4664">
        <v>349627</v>
      </c>
      <c r="F4664" s="7">
        <v>1</v>
      </c>
      <c r="G4664" s="7">
        <v>12055</v>
      </c>
      <c r="H4664" s="8">
        <v>1432</v>
      </c>
      <c r="J4664" t="s">
        <v>23</v>
      </c>
      <c r="K4664" s="7">
        <v>2982</v>
      </c>
      <c r="L4664" s="9">
        <v>-1</v>
      </c>
      <c r="M4664" t="s">
        <v>3591</v>
      </c>
      <c r="N4664" t="s">
        <v>335</v>
      </c>
      <c r="O4664" s="27" t="str">
        <f>HYPERLINK("https://www.ncbi.nlm.nih.gov/nuccore/NZ_AGBF01000140.1?report=graph&amp;from=1560&amp;to=1564", "TTA_codon")</f>
        <v>TTA_codon</v>
      </c>
    </row>
    <row r="4665" spans="1:15" x14ac:dyDescent="0.15">
      <c r="A4665" t="s">
        <v>21</v>
      </c>
      <c r="B4665">
        <v>1001302</v>
      </c>
      <c r="C4665">
        <v>350809</v>
      </c>
      <c r="F4665" s="7">
        <v>1</v>
      </c>
      <c r="G4665" s="7">
        <v>6130</v>
      </c>
      <c r="H4665" s="8">
        <v>4276</v>
      </c>
      <c r="J4665" t="s">
        <v>23</v>
      </c>
      <c r="K4665" s="7">
        <v>13788</v>
      </c>
      <c r="L4665" s="9">
        <v>-1</v>
      </c>
      <c r="M4665" t="s">
        <v>3592</v>
      </c>
      <c r="N4665" t="s">
        <v>51</v>
      </c>
      <c r="O4665" s="27" t="str">
        <f>HYPERLINK("https://www.ncbi.nlm.nih.gov/nuccore/NZ_AEJB01000073.1?report=graph&amp;from=19843&amp;to=19847", "TTA_codon")</f>
        <v>TTA_codon</v>
      </c>
    </row>
    <row r="4666" spans="1:15" x14ac:dyDescent="0.15">
      <c r="A4666" t="s">
        <v>21</v>
      </c>
      <c r="B4666">
        <v>1001302</v>
      </c>
      <c r="C4666">
        <v>354362</v>
      </c>
      <c r="F4666" s="7">
        <v>2</v>
      </c>
      <c r="G4666" s="7" t="s">
        <v>3593</v>
      </c>
      <c r="H4666" s="8" t="s">
        <v>3594</v>
      </c>
      <c r="J4666" t="s">
        <v>23</v>
      </c>
      <c r="K4666" s="7">
        <v>6219</v>
      </c>
      <c r="L4666" s="9">
        <v>-1</v>
      </c>
      <c r="M4666" t="s">
        <v>141</v>
      </c>
      <c r="N4666" t="s">
        <v>142</v>
      </c>
      <c r="O4666" s="27" t="str">
        <f>HYPERLINK("https://www.ncbi.nlm.nih.gov/nuccore/NZ_JOEI01000002.1?report=graph&amp;from=300434&amp;to=302130", "TTA_codon")</f>
        <v>TTA_codon</v>
      </c>
    </row>
    <row r="4667" spans="1:15" x14ac:dyDescent="0.15">
      <c r="A4667" t="s">
        <v>21</v>
      </c>
      <c r="B4667">
        <v>1001302</v>
      </c>
      <c r="C4667">
        <v>359107</v>
      </c>
      <c r="F4667" s="7">
        <v>1</v>
      </c>
      <c r="G4667" s="7">
        <v>11986</v>
      </c>
      <c r="H4667" s="8">
        <v>1567</v>
      </c>
      <c r="J4667" t="s">
        <v>23</v>
      </c>
      <c r="K4667" s="7">
        <v>3225</v>
      </c>
      <c r="L4667" s="9">
        <v>-1</v>
      </c>
      <c r="M4667" t="s">
        <v>3595</v>
      </c>
      <c r="N4667" t="s">
        <v>451</v>
      </c>
      <c r="O4667" s="27" t="str">
        <f>HYPERLINK("https://www.ncbi.nlm.nih.gov/nuccore/NZ_LIQZ01000424.1?report=graph&amp;from=1669&amp;to=1673", "TTA_codon")</f>
        <v>TTA_codon</v>
      </c>
    </row>
    <row r="4668" spans="1:15" x14ac:dyDescent="0.15">
      <c r="A4668" t="s">
        <v>21</v>
      </c>
      <c r="B4668">
        <v>1001302</v>
      </c>
      <c r="C4668">
        <v>361983</v>
      </c>
      <c r="F4668" s="7">
        <v>2</v>
      </c>
      <c r="G4668" s="7" t="s">
        <v>3596</v>
      </c>
      <c r="H4668" s="8" t="s">
        <v>3597</v>
      </c>
      <c r="J4668" t="s">
        <v>23</v>
      </c>
      <c r="K4668" s="7">
        <v>5655</v>
      </c>
      <c r="L4668" s="9">
        <v>-1</v>
      </c>
      <c r="M4668" t="s">
        <v>3598</v>
      </c>
      <c r="N4668" t="s">
        <v>187</v>
      </c>
      <c r="O4668" s="27" t="str">
        <f>HYPERLINK("https://www.ncbi.nlm.nih.gov/nuccore/NZ_MAXF01000221.1?report=graph&amp;from=7353&amp;to=10204", "TTA_codon")</f>
        <v>TTA_codon</v>
      </c>
    </row>
    <row r="4669" spans="1:15" x14ac:dyDescent="0.15">
      <c r="A4669" t="s">
        <v>21</v>
      </c>
      <c r="B4669">
        <v>1001302</v>
      </c>
      <c r="C4669">
        <v>363694</v>
      </c>
      <c r="F4669" s="7">
        <v>2</v>
      </c>
      <c r="G4669" s="7" t="s">
        <v>3599</v>
      </c>
      <c r="H4669" s="8" t="s">
        <v>3600</v>
      </c>
      <c r="J4669" t="s">
        <v>23</v>
      </c>
      <c r="K4669" s="7">
        <v>7116</v>
      </c>
      <c r="L4669" s="9">
        <v>-1</v>
      </c>
      <c r="M4669" t="s">
        <v>101</v>
      </c>
      <c r="N4669" t="s">
        <v>102</v>
      </c>
      <c r="O4669" s="27" t="str">
        <f>HYPERLINK("https://www.ncbi.nlm.nih.gov/nuccore/NZ_CP019458.1?report=graph&amp;from=1310746&amp;to=1313921", "TTA_codon")</f>
        <v>TTA_codon</v>
      </c>
    </row>
    <row r="4670" spans="1:15" x14ac:dyDescent="0.15">
      <c r="A4670" t="s">
        <v>21</v>
      </c>
      <c r="B4670">
        <v>1001302</v>
      </c>
      <c r="C4670">
        <v>363695</v>
      </c>
      <c r="F4670" s="7">
        <v>2</v>
      </c>
      <c r="G4670" s="7" t="s">
        <v>3601</v>
      </c>
      <c r="H4670" s="8" t="s">
        <v>3602</v>
      </c>
      <c r="J4670" t="s">
        <v>23</v>
      </c>
      <c r="K4670" s="7">
        <v>14352</v>
      </c>
      <c r="L4670" s="9">
        <v>-1</v>
      </c>
      <c r="M4670" t="s">
        <v>101</v>
      </c>
      <c r="N4670" t="s">
        <v>102</v>
      </c>
      <c r="O4670" s="27" t="str">
        <f>HYPERLINK("https://www.ncbi.nlm.nih.gov/nuccore/NZ_CP019458.1?report=graph&amp;from=9763590&amp;to=9768298", "TTA_codon")</f>
        <v>TTA_codon</v>
      </c>
    </row>
    <row r="4671" spans="1:15" x14ac:dyDescent="0.15">
      <c r="A4671" t="s">
        <v>21</v>
      </c>
      <c r="B4671">
        <v>1001302</v>
      </c>
      <c r="C4671">
        <v>363696</v>
      </c>
      <c r="F4671" s="7">
        <v>1</v>
      </c>
      <c r="G4671" s="7">
        <v>14047</v>
      </c>
      <c r="H4671" s="8">
        <v>3157</v>
      </c>
      <c r="J4671" t="s">
        <v>23</v>
      </c>
      <c r="K4671" s="7">
        <v>5538</v>
      </c>
      <c r="L4671" s="9">
        <v>-1</v>
      </c>
      <c r="M4671" t="s">
        <v>101</v>
      </c>
      <c r="N4671" t="s">
        <v>102</v>
      </c>
      <c r="O4671" s="27" t="str">
        <f>HYPERLINK("https://www.ncbi.nlm.nih.gov/nuccore/NZ_CP019458.1?report=graph&amp;from=1572203&amp;to=1572207", "TTA_codon")</f>
        <v>TTA_codon</v>
      </c>
    </row>
    <row r="4672" spans="1:15" x14ac:dyDescent="0.15">
      <c r="A4672" t="s">
        <v>21</v>
      </c>
      <c r="B4672">
        <v>1001302</v>
      </c>
      <c r="C4672">
        <v>364455</v>
      </c>
      <c r="F4672" s="7">
        <v>1</v>
      </c>
      <c r="G4672" s="7">
        <v>13825</v>
      </c>
      <c r="H4672" s="8">
        <v>2884</v>
      </c>
      <c r="J4672" t="s">
        <v>23</v>
      </c>
      <c r="K4672" s="7">
        <v>6216</v>
      </c>
      <c r="L4672" s="9">
        <v>-1</v>
      </c>
      <c r="M4672" t="s">
        <v>3603</v>
      </c>
      <c r="N4672" t="s">
        <v>326</v>
      </c>
      <c r="O4672" s="27" t="str">
        <f>HYPERLINK("https://www.ncbi.nlm.nih.gov/nuccore/NZ_MUBL01000190.1?report=graph&amp;from=16551&amp;to=16555", "TTA_codon")</f>
        <v>TTA_codon</v>
      </c>
    </row>
    <row r="4673" spans="1:15" x14ac:dyDescent="0.15">
      <c r="A4673" t="s">
        <v>21</v>
      </c>
      <c r="B4673">
        <v>1001302</v>
      </c>
      <c r="C4673">
        <v>365055</v>
      </c>
      <c r="F4673" s="7">
        <v>2</v>
      </c>
      <c r="G4673" s="7" t="s">
        <v>3604</v>
      </c>
      <c r="H4673" s="8" t="s">
        <v>3605</v>
      </c>
      <c r="J4673" t="s">
        <v>23</v>
      </c>
      <c r="K4673" s="7">
        <v>13146</v>
      </c>
      <c r="L4673" s="9">
        <v>-1</v>
      </c>
      <c r="M4673" t="s">
        <v>111</v>
      </c>
      <c r="N4673" t="s">
        <v>112</v>
      </c>
      <c r="O4673" s="27" t="str">
        <f>HYPERLINK("https://www.ncbi.nlm.nih.gov/nuccore/NZ_CP021744.1?report=graph&amp;from=1871022&amp;to=1879546", "TTA_codon")</f>
        <v>TTA_codon</v>
      </c>
    </row>
    <row r="4674" spans="1:15" x14ac:dyDescent="0.15">
      <c r="A4674" t="s">
        <v>21</v>
      </c>
      <c r="B4674">
        <v>1001302</v>
      </c>
      <c r="C4674">
        <v>365653</v>
      </c>
      <c r="F4674" s="7">
        <v>1</v>
      </c>
      <c r="G4674" s="7">
        <v>12022</v>
      </c>
      <c r="H4674" s="8">
        <v>1483</v>
      </c>
      <c r="J4674" t="s">
        <v>23</v>
      </c>
      <c r="K4674" s="7">
        <v>5808</v>
      </c>
      <c r="L4674" s="9">
        <v>-1</v>
      </c>
      <c r="M4674" t="s">
        <v>213</v>
      </c>
      <c r="N4674" t="s">
        <v>214</v>
      </c>
      <c r="O4674" s="27" t="str">
        <f>HYPERLINK("https://www.ncbi.nlm.nih.gov/nuccore/NZ_FNST01000002.1?report=graph&amp;from=7422480&amp;to=7422484", "TTA_codon")</f>
        <v>TTA_codon</v>
      </c>
    </row>
    <row r="4675" spans="1:15" x14ac:dyDescent="0.15">
      <c r="A4675" t="s">
        <v>21</v>
      </c>
      <c r="B4675" t="s">
        <v>3606</v>
      </c>
    </row>
    <row r="4676" spans="1:15" x14ac:dyDescent="0.15">
      <c r="A4676" t="s">
        <v>21</v>
      </c>
      <c r="B4676">
        <v>1000581</v>
      </c>
      <c r="C4676">
        <v>350107</v>
      </c>
      <c r="F4676" s="7">
        <v>1</v>
      </c>
      <c r="G4676" s="7">
        <v>220</v>
      </c>
      <c r="H4676" s="8">
        <v>187</v>
      </c>
      <c r="J4676" t="s">
        <v>23</v>
      </c>
      <c r="K4676" s="7">
        <v>927</v>
      </c>
      <c r="L4676" s="9">
        <v>1</v>
      </c>
      <c r="M4676" t="s">
        <v>917</v>
      </c>
      <c r="N4676" t="s">
        <v>249</v>
      </c>
      <c r="O4676" s="27" t="str">
        <f>HYPERLINK("https://www.ncbi.nlm.nih.gov/nuccore/NZ_AHBF01000033.1?report=graph&amp;from=276093&amp;to=276097", "TTA_codon")</f>
        <v>TTA_codon</v>
      </c>
    </row>
    <row r="4677" spans="1:15" x14ac:dyDescent="0.15">
      <c r="A4677" t="s">
        <v>21</v>
      </c>
      <c r="B4677">
        <v>1000581</v>
      </c>
      <c r="C4677">
        <v>350356</v>
      </c>
      <c r="F4677" s="7">
        <v>2</v>
      </c>
      <c r="G4677" s="7" t="s">
        <v>3607</v>
      </c>
      <c r="H4677" s="8" t="s">
        <v>3608</v>
      </c>
      <c r="J4677" t="s">
        <v>23</v>
      </c>
      <c r="K4677" s="7">
        <v>963</v>
      </c>
      <c r="L4677" s="9">
        <v>1</v>
      </c>
      <c r="M4677" t="s">
        <v>35</v>
      </c>
      <c r="N4677" t="s">
        <v>36</v>
      </c>
      <c r="O4677" s="27" t="str">
        <f>HYPERLINK("https://www.ncbi.nlm.nih.gov/nuccore/NZ_JH725387.1?report=graph&amp;from=1049281&amp;to=1049357", "TTA_codon")</f>
        <v>TTA_codon</v>
      </c>
    </row>
    <row r="4678" spans="1:15" x14ac:dyDescent="0.15">
      <c r="A4678" t="s">
        <v>21</v>
      </c>
      <c r="B4678">
        <v>1000581</v>
      </c>
      <c r="C4678">
        <v>350972</v>
      </c>
      <c r="F4678" s="7">
        <v>1</v>
      </c>
      <c r="G4678" s="7">
        <v>220</v>
      </c>
      <c r="H4678" s="8">
        <v>127</v>
      </c>
      <c r="J4678" t="s">
        <v>23</v>
      </c>
      <c r="K4678" s="7">
        <v>882</v>
      </c>
      <c r="L4678" s="9">
        <v>1</v>
      </c>
      <c r="M4678" t="s">
        <v>1352</v>
      </c>
      <c r="N4678" t="s">
        <v>51</v>
      </c>
      <c r="O4678" s="27" t="str">
        <f>HYPERLINK("https://www.ncbi.nlm.nih.gov/nuccore/NZ_AEJB01000508.1?report=graph&amp;from=5050&amp;to=5054", "TTA_codon")</f>
        <v>TTA_codon</v>
      </c>
    </row>
    <row r="4679" spans="1:15" x14ac:dyDescent="0.15">
      <c r="A4679" t="s">
        <v>21</v>
      </c>
      <c r="B4679">
        <v>1000581</v>
      </c>
      <c r="C4679">
        <v>357184</v>
      </c>
      <c r="F4679" s="7">
        <v>1</v>
      </c>
      <c r="G4679" s="7">
        <v>298</v>
      </c>
      <c r="H4679" s="8">
        <v>250</v>
      </c>
      <c r="J4679" t="s">
        <v>23</v>
      </c>
      <c r="K4679" s="7">
        <v>915</v>
      </c>
      <c r="L4679" s="9">
        <v>1</v>
      </c>
      <c r="M4679" t="s">
        <v>205</v>
      </c>
      <c r="N4679" t="s">
        <v>206</v>
      </c>
      <c r="O4679" s="27" t="str">
        <f>HYPERLINK("https://www.ncbi.nlm.nih.gov/nuccore/NZ_CP010407.1?report=graph&amp;from=695427&amp;to=695431", "TTA_codon")</f>
        <v>TTA_codon</v>
      </c>
    </row>
    <row r="4680" spans="1:15" x14ac:dyDescent="0.15">
      <c r="A4680" t="s">
        <v>21</v>
      </c>
      <c r="B4680">
        <v>1000581</v>
      </c>
      <c r="C4680">
        <v>358986</v>
      </c>
      <c r="F4680" s="7">
        <v>1</v>
      </c>
      <c r="G4680" s="7">
        <v>220</v>
      </c>
      <c r="H4680" s="8">
        <v>163</v>
      </c>
      <c r="J4680" t="s">
        <v>23</v>
      </c>
      <c r="K4680" s="7">
        <v>888</v>
      </c>
      <c r="L4680" s="9">
        <v>1</v>
      </c>
      <c r="M4680" t="s">
        <v>3609</v>
      </c>
      <c r="N4680" t="s">
        <v>87</v>
      </c>
      <c r="O4680" s="27" t="str">
        <f>HYPERLINK("https://www.ncbi.nlm.nih.gov/nuccore/NZ_LIQS01000082.1?report=graph&amp;from=11352&amp;to=11356", "TTA_codon")</f>
        <v>TTA_codon</v>
      </c>
    </row>
    <row r="4681" spans="1:15" x14ac:dyDescent="0.15">
      <c r="A4681" t="s">
        <v>21</v>
      </c>
      <c r="B4681">
        <v>1000581</v>
      </c>
      <c r="C4681">
        <v>359362</v>
      </c>
      <c r="F4681" s="7">
        <v>1</v>
      </c>
      <c r="G4681" s="7">
        <v>376</v>
      </c>
      <c r="H4681" s="8">
        <v>346</v>
      </c>
      <c r="J4681" t="s">
        <v>23</v>
      </c>
      <c r="K4681" s="7">
        <v>972</v>
      </c>
      <c r="L4681" s="9">
        <v>1</v>
      </c>
      <c r="M4681" t="s">
        <v>2179</v>
      </c>
      <c r="N4681" t="s">
        <v>89</v>
      </c>
      <c r="O4681" s="27" t="str">
        <f>HYPERLINK("https://www.ncbi.nlm.nih.gov/nuccore/NZ_LIRG01000239.1?report=graph&amp;from=5776&amp;to=5780", "TTA_codon")</f>
        <v>TTA_codon</v>
      </c>
    </row>
    <row r="4682" spans="1:15" x14ac:dyDescent="0.15">
      <c r="A4682" t="s">
        <v>21</v>
      </c>
      <c r="B4682">
        <v>1000581</v>
      </c>
      <c r="C4682">
        <v>359941</v>
      </c>
      <c r="F4682" s="7">
        <v>1</v>
      </c>
      <c r="G4682" s="7">
        <v>220</v>
      </c>
      <c r="H4682" s="8">
        <v>175</v>
      </c>
      <c r="J4682" t="s">
        <v>23</v>
      </c>
      <c r="K4682" s="7">
        <v>912</v>
      </c>
      <c r="L4682" s="9">
        <v>1</v>
      </c>
      <c r="M4682" t="s">
        <v>1665</v>
      </c>
      <c r="N4682" t="s">
        <v>91</v>
      </c>
      <c r="O4682" s="27" t="str">
        <f>HYPERLINK("https://www.ncbi.nlm.nih.gov/nuccore/NZ_KQ948304.1?report=graph&amp;from=435050&amp;to=435054", "TTA_codon")</f>
        <v>TTA_codon</v>
      </c>
    </row>
    <row r="4683" spans="1:15" x14ac:dyDescent="0.15">
      <c r="A4683" t="s">
        <v>21</v>
      </c>
      <c r="B4683">
        <v>1000581</v>
      </c>
      <c r="C4683">
        <v>361226</v>
      </c>
      <c r="F4683" s="7">
        <v>3</v>
      </c>
      <c r="G4683" s="7" t="s">
        <v>3610</v>
      </c>
      <c r="H4683" s="8" t="s">
        <v>3611</v>
      </c>
      <c r="J4683" t="s">
        <v>23</v>
      </c>
      <c r="K4683" s="7">
        <v>891</v>
      </c>
      <c r="L4683" s="9">
        <v>1</v>
      </c>
      <c r="M4683" t="s">
        <v>98</v>
      </c>
      <c r="N4683" t="s">
        <v>99</v>
      </c>
      <c r="O4683" s="27" t="str">
        <f>HYPERLINK("https://www.ncbi.nlm.nih.gov/nuccore/NZ_CP016438.1?report=graph&amp;from=7852326&amp;to=7852864", "TTA_codon")</f>
        <v>TTA_codon</v>
      </c>
    </row>
    <row r="4684" spans="1:15" x14ac:dyDescent="0.15">
      <c r="A4684" t="s">
        <v>21</v>
      </c>
      <c r="B4684">
        <v>1000581</v>
      </c>
      <c r="C4684">
        <v>362274</v>
      </c>
      <c r="F4684" s="7">
        <v>2</v>
      </c>
      <c r="G4684" s="7" t="s">
        <v>3612</v>
      </c>
      <c r="H4684" s="8" t="s">
        <v>3613</v>
      </c>
      <c r="J4684" t="s">
        <v>23</v>
      </c>
      <c r="K4684" s="7">
        <v>975</v>
      </c>
      <c r="L4684" s="9">
        <v>1</v>
      </c>
      <c r="M4684" t="s">
        <v>39</v>
      </c>
      <c r="N4684" t="s">
        <v>40</v>
      </c>
      <c r="O4684" s="27" t="str">
        <f>HYPERLINK("https://www.ncbi.nlm.nih.gov/nuccore/NZ_CP017157.1?report=graph&amp;from=6065318&amp;to=6065355", "TTA_codon")</f>
        <v>TTA_codon</v>
      </c>
    </row>
    <row r="4685" spans="1:15" x14ac:dyDescent="0.15">
      <c r="A4685" t="s">
        <v>21</v>
      </c>
      <c r="B4685" t="s">
        <v>3614</v>
      </c>
    </row>
    <row r="4686" spans="1:15" x14ac:dyDescent="0.15">
      <c r="A4686" t="s">
        <v>21</v>
      </c>
      <c r="B4686">
        <v>1001227</v>
      </c>
      <c r="C4686">
        <v>357321</v>
      </c>
      <c r="F4686" s="7">
        <v>1</v>
      </c>
      <c r="G4686" s="7">
        <v>40</v>
      </c>
      <c r="H4686" s="8">
        <v>40</v>
      </c>
      <c r="J4686" t="s">
        <v>23</v>
      </c>
      <c r="K4686" s="7">
        <v>2433</v>
      </c>
      <c r="L4686" s="9">
        <v>1</v>
      </c>
      <c r="M4686" t="s">
        <v>250</v>
      </c>
      <c r="N4686" t="s">
        <v>251</v>
      </c>
      <c r="O4686" s="27" t="str">
        <f>HYPERLINK("https://www.ncbi.nlm.nih.gov/nuccore/NZ_CP009922.2?report=graph&amp;from=2634533&amp;to=2634537", "TTA_codon")</f>
        <v>TTA_codon</v>
      </c>
    </row>
    <row r="4687" spans="1:15" x14ac:dyDescent="0.15">
      <c r="A4687" t="s">
        <v>21</v>
      </c>
      <c r="B4687">
        <v>1001227</v>
      </c>
      <c r="C4687">
        <v>364193</v>
      </c>
      <c r="F4687" s="7">
        <v>2</v>
      </c>
      <c r="G4687" s="7" t="s">
        <v>3615</v>
      </c>
      <c r="H4687" s="8" t="s">
        <v>3615</v>
      </c>
      <c r="J4687" t="s">
        <v>23</v>
      </c>
      <c r="K4687" s="7">
        <v>2511</v>
      </c>
      <c r="L4687" s="9">
        <v>1</v>
      </c>
      <c r="M4687" t="s">
        <v>254</v>
      </c>
      <c r="N4687" t="s">
        <v>255</v>
      </c>
      <c r="O4687" s="27" t="str">
        <f>HYPERLINK("https://www.ncbi.nlm.nih.gov/nuccore/NZ_CP018047.1?report=graph&amp;from=3400268&amp;to=3400296", "TTA_codon")</f>
        <v>TTA_codon</v>
      </c>
    </row>
    <row r="4688" spans="1:15" x14ac:dyDescent="0.15">
      <c r="A4688" t="s">
        <v>195</v>
      </c>
      <c r="B4688" t="s">
        <v>3616</v>
      </c>
    </row>
    <row r="4689" spans="1:15" x14ac:dyDescent="0.15">
      <c r="A4689" t="s">
        <v>195</v>
      </c>
      <c r="B4689">
        <v>1000036</v>
      </c>
      <c r="C4689">
        <v>346172</v>
      </c>
      <c r="F4689" s="7">
        <v>1</v>
      </c>
      <c r="G4689" s="7">
        <v>49</v>
      </c>
      <c r="H4689" s="8">
        <v>49</v>
      </c>
      <c r="J4689" t="s">
        <v>23</v>
      </c>
      <c r="K4689" s="7">
        <v>960</v>
      </c>
      <c r="L4689" s="9">
        <v>1</v>
      </c>
      <c r="M4689" t="s">
        <v>3617</v>
      </c>
      <c r="N4689" t="s">
        <v>134</v>
      </c>
      <c r="O4689" s="27" t="str">
        <f>HYPERLINK("https://www.ncbi.nlm.nih.gov/nuccore/NZ_AJSZ01000442.1?report=graph&amp;from=3281&amp;to=3285", "TTA_codon")</f>
        <v>TTA_codon</v>
      </c>
    </row>
    <row r="4690" spans="1:15" x14ac:dyDescent="0.15">
      <c r="A4690" t="s">
        <v>21</v>
      </c>
      <c r="B4690">
        <v>1000036</v>
      </c>
      <c r="C4690">
        <v>364143</v>
      </c>
      <c r="F4690" s="7">
        <v>1</v>
      </c>
      <c r="G4690" s="7">
        <v>49</v>
      </c>
      <c r="H4690" s="8">
        <v>49</v>
      </c>
      <c r="J4690" t="s">
        <v>23</v>
      </c>
      <c r="K4690" s="7">
        <v>942</v>
      </c>
      <c r="L4690" s="9">
        <v>1</v>
      </c>
      <c r="M4690" t="s">
        <v>254</v>
      </c>
      <c r="N4690" t="s">
        <v>255</v>
      </c>
      <c r="O4690" s="27" t="str">
        <f>HYPERLINK("https://www.ncbi.nlm.nih.gov/nuccore/NZ_CP018047.1?report=graph&amp;from=7197551&amp;to=7197555", "TTA_codon")</f>
        <v>TTA_codon</v>
      </c>
    </row>
    <row r="4691" spans="1:15" x14ac:dyDescent="0.15">
      <c r="A4691" t="s">
        <v>21</v>
      </c>
      <c r="B4691" t="s">
        <v>3618</v>
      </c>
    </row>
    <row r="4692" spans="1:15" x14ac:dyDescent="0.15">
      <c r="A4692" t="s">
        <v>21</v>
      </c>
      <c r="B4692">
        <v>1000963</v>
      </c>
      <c r="C4692">
        <v>353625</v>
      </c>
      <c r="F4692" s="7">
        <v>1</v>
      </c>
      <c r="G4692" s="7">
        <v>76</v>
      </c>
      <c r="H4692" s="8">
        <v>76</v>
      </c>
      <c r="J4692" t="s">
        <v>23</v>
      </c>
      <c r="K4692" s="7">
        <v>297</v>
      </c>
      <c r="L4692" s="9">
        <v>1</v>
      </c>
      <c r="M4692" t="s">
        <v>1138</v>
      </c>
      <c r="N4692" t="s">
        <v>140</v>
      </c>
      <c r="O4692" s="27" t="str">
        <f>HYPERLINK("https://www.ncbi.nlm.nih.gov/nuccore/NZ_JNXG01000001.1?report=graph&amp;from=514708&amp;to=514712", "TTA_codon")</f>
        <v>TTA_codon</v>
      </c>
    </row>
    <row r="4693" spans="1:15" x14ac:dyDescent="0.15">
      <c r="A4693" t="s">
        <v>21</v>
      </c>
      <c r="B4693">
        <v>1000963</v>
      </c>
      <c r="C4693">
        <v>354459</v>
      </c>
      <c r="F4693" s="7">
        <v>1</v>
      </c>
      <c r="G4693" s="7">
        <v>76</v>
      </c>
      <c r="H4693" s="8">
        <v>76</v>
      </c>
      <c r="J4693" t="s">
        <v>23</v>
      </c>
      <c r="K4693" s="7">
        <v>300</v>
      </c>
      <c r="L4693" s="9">
        <v>1</v>
      </c>
      <c r="M4693" t="s">
        <v>489</v>
      </c>
      <c r="N4693" t="s">
        <v>142</v>
      </c>
      <c r="O4693" s="27" t="str">
        <f>HYPERLINK("https://www.ncbi.nlm.nih.gov/nuccore/NZ_JOEI01000003.1?report=graph&amp;from=67185&amp;to=67189", "TTA_codon")</f>
        <v>TTA_codon</v>
      </c>
    </row>
    <row r="4694" spans="1:15" x14ac:dyDescent="0.15">
      <c r="A4694" t="s">
        <v>21</v>
      </c>
      <c r="B4694">
        <v>1000963</v>
      </c>
      <c r="C4694">
        <v>356442</v>
      </c>
      <c r="F4694" s="7">
        <v>1</v>
      </c>
      <c r="G4694" s="7">
        <v>76</v>
      </c>
      <c r="H4694" s="8">
        <v>76</v>
      </c>
      <c r="J4694" t="s">
        <v>23</v>
      </c>
      <c r="K4694" s="7">
        <v>297</v>
      </c>
      <c r="L4694" s="9">
        <v>1</v>
      </c>
      <c r="M4694" t="s">
        <v>3619</v>
      </c>
      <c r="N4694" t="s">
        <v>354</v>
      </c>
      <c r="O4694" s="27" t="str">
        <f>HYPERLINK("https://www.ncbi.nlm.nih.gov/nuccore/NZ_JQJU01000026.1?report=graph&amp;from=99758&amp;to=99762", "TTA_codon")</f>
        <v>TTA_codon</v>
      </c>
    </row>
    <row r="4695" spans="1:15" x14ac:dyDescent="0.15">
      <c r="A4695" t="s">
        <v>195</v>
      </c>
      <c r="B4695" t="s">
        <v>3620</v>
      </c>
    </row>
    <row r="4696" spans="1:15" x14ac:dyDescent="0.15">
      <c r="A4696" t="s">
        <v>195</v>
      </c>
      <c r="B4696">
        <v>1000143</v>
      </c>
      <c r="C4696">
        <v>347029</v>
      </c>
      <c r="F4696" s="7">
        <v>1</v>
      </c>
      <c r="G4696" s="7">
        <v>979</v>
      </c>
      <c r="H4696" s="8">
        <v>943</v>
      </c>
      <c r="J4696" t="s">
        <v>23</v>
      </c>
      <c r="K4696" s="7">
        <v>2685</v>
      </c>
      <c r="L4696" s="9">
        <v>-1</v>
      </c>
      <c r="M4696" t="s">
        <v>3621</v>
      </c>
      <c r="N4696" t="s">
        <v>110</v>
      </c>
      <c r="O4696" s="27" t="str">
        <f>HYPERLINK("https://www.ncbi.nlm.nih.gov/nuccore/NZ_MUME01000126.1?report=graph&amp;from=63123&amp;to=63127", "TTA_codon")</f>
        <v>TTA_codon</v>
      </c>
    </row>
    <row r="4697" spans="1:15" x14ac:dyDescent="0.15">
      <c r="A4697" t="s">
        <v>21</v>
      </c>
      <c r="B4697">
        <v>1000143</v>
      </c>
      <c r="C4697">
        <v>361937</v>
      </c>
      <c r="F4697" s="7">
        <v>1</v>
      </c>
      <c r="G4697" s="7">
        <v>1123</v>
      </c>
      <c r="H4697" s="8">
        <v>1120</v>
      </c>
      <c r="J4697" t="s">
        <v>23</v>
      </c>
      <c r="K4697" s="7">
        <v>3069</v>
      </c>
      <c r="L4697" s="9">
        <v>-1</v>
      </c>
      <c r="M4697" t="s">
        <v>2918</v>
      </c>
      <c r="N4697" t="s">
        <v>187</v>
      </c>
      <c r="O4697" s="27" t="str">
        <f>HYPERLINK("https://www.ncbi.nlm.nih.gov/nuccore/NZ_MAXF01000178.1?report=graph&amp;from=71649&amp;to=71653", "TTA_codon")</f>
        <v>TTA_codon</v>
      </c>
    </row>
    <row r="4698" spans="1:15" x14ac:dyDescent="0.15">
      <c r="A4698" t="s">
        <v>21</v>
      </c>
      <c r="B4698" t="s">
        <v>3622</v>
      </c>
    </row>
    <row r="4699" spans="1:15" x14ac:dyDescent="0.15">
      <c r="A4699" t="s">
        <v>21</v>
      </c>
      <c r="B4699">
        <v>1000560</v>
      </c>
      <c r="C4699">
        <v>349898</v>
      </c>
      <c r="F4699" s="7">
        <v>1</v>
      </c>
      <c r="G4699" s="7">
        <v>601</v>
      </c>
      <c r="H4699" s="8">
        <v>568</v>
      </c>
      <c r="J4699" t="s">
        <v>23</v>
      </c>
      <c r="K4699" s="7">
        <v>2277</v>
      </c>
      <c r="L4699" s="9">
        <v>1</v>
      </c>
      <c r="M4699" t="s">
        <v>420</v>
      </c>
      <c r="N4699" t="s">
        <v>266</v>
      </c>
      <c r="O4699" s="27" t="str">
        <f>HYPERLINK("https://www.ncbi.nlm.nih.gov/nuccore/NC_017585.1?report=graph&amp;from=1057619&amp;to=1057623", "TTA_codon")</f>
        <v>TTA_codon</v>
      </c>
    </row>
    <row r="4700" spans="1:15" x14ac:dyDescent="0.15">
      <c r="A4700" t="s">
        <v>21</v>
      </c>
      <c r="B4700">
        <v>1000560</v>
      </c>
      <c r="C4700">
        <v>357047</v>
      </c>
      <c r="F4700" s="7">
        <v>1</v>
      </c>
      <c r="G4700" s="7">
        <v>601</v>
      </c>
      <c r="H4700" s="8">
        <v>553</v>
      </c>
      <c r="J4700" t="s">
        <v>23</v>
      </c>
      <c r="K4700" s="7">
        <v>2262</v>
      </c>
      <c r="L4700" s="9">
        <v>1</v>
      </c>
      <c r="M4700" t="s">
        <v>162</v>
      </c>
      <c r="N4700" t="s">
        <v>163</v>
      </c>
      <c r="O4700" s="27" t="str">
        <f>HYPERLINK("https://www.ncbi.nlm.nih.gov/nuccore/NZ_CP010519.1?report=graph&amp;from=5601944&amp;to=5601948", "TTA_codon")</f>
        <v>TTA_codon</v>
      </c>
    </row>
    <row r="4701" spans="1:15" x14ac:dyDescent="0.15">
      <c r="A4701" t="s">
        <v>21</v>
      </c>
      <c r="B4701">
        <v>1000560</v>
      </c>
      <c r="C4701">
        <v>358217</v>
      </c>
      <c r="F4701" s="7">
        <v>2</v>
      </c>
      <c r="G4701" s="7" t="s">
        <v>3623</v>
      </c>
      <c r="H4701" s="8" t="s">
        <v>3624</v>
      </c>
      <c r="J4701" t="s">
        <v>23</v>
      </c>
      <c r="K4701" s="7">
        <v>2301</v>
      </c>
      <c r="L4701" s="9">
        <v>1</v>
      </c>
      <c r="M4701" t="s">
        <v>3625</v>
      </c>
      <c r="N4701" t="s">
        <v>119</v>
      </c>
      <c r="O4701" s="27" t="str">
        <f>HYPERLINK("https://www.ncbi.nlm.nih.gov/nuccore/NZ_LIPP01000033.1?report=graph&amp;from=1892&amp;to=2157", "TTA_codon")</f>
        <v>TTA_codon</v>
      </c>
    </row>
    <row r="4702" spans="1:15" x14ac:dyDescent="0.15">
      <c r="A4702" t="s">
        <v>21</v>
      </c>
      <c r="B4702">
        <v>1000560</v>
      </c>
      <c r="C4702">
        <v>362114</v>
      </c>
      <c r="F4702" s="7">
        <v>1</v>
      </c>
      <c r="G4702" s="7">
        <v>601</v>
      </c>
      <c r="H4702" s="8">
        <v>571</v>
      </c>
      <c r="J4702" t="s">
        <v>23</v>
      </c>
      <c r="K4702" s="7">
        <v>2280</v>
      </c>
      <c r="L4702" s="9">
        <v>1</v>
      </c>
      <c r="M4702" t="s">
        <v>2319</v>
      </c>
      <c r="N4702" t="s">
        <v>187</v>
      </c>
      <c r="O4702" s="27" t="str">
        <f>HYPERLINK("https://www.ncbi.nlm.nih.gov/nuccore/NZ_MAXF01000110.1?report=graph&amp;from=10925&amp;to=10929", "TTA_codon")</f>
        <v>TTA_codon</v>
      </c>
    </row>
    <row r="4703" spans="1:15" x14ac:dyDescent="0.15">
      <c r="A4703" t="s">
        <v>195</v>
      </c>
      <c r="B4703" t="s">
        <v>3626</v>
      </c>
    </row>
    <row r="4704" spans="1:15" x14ac:dyDescent="0.15">
      <c r="A4704" t="s">
        <v>195</v>
      </c>
      <c r="B4704">
        <v>1000105</v>
      </c>
      <c r="C4704">
        <v>346689</v>
      </c>
      <c r="F4704" s="7">
        <v>1</v>
      </c>
      <c r="G4704" s="7">
        <v>157</v>
      </c>
      <c r="H4704" s="8">
        <v>157</v>
      </c>
      <c r="J4704" t="s">
        <v>23</v>
      </c>
      <c r="K4704" s="7">
        <v>1029</v>
      </c>
      <c r="L4704" s="9">
        <v>1</v>
      </c>
      <c r="M4704" t="s">
        <v>3627</v>
      </c>
      <c r="N4704" t="s">
        <v>451</v>
      </c>
      <c r="O4704" s="27" t="str">
        <f>HYPERLINK("https://www.ncbi.nlm.nih.gov/nuccore/NZ_LIQZ01000071.1?report=graph&amp;from=15391&amp;to=15395", "TTA_codon")</f>
        <v>TTA_codon</v>
      </c>
    </row>
    <row r="4705" spans="1:15" x14ac:dyDescent="0.15">
      <c r="A4705" t="s">
        <v>21</v>
      </c>
      <c r="B4705">
        <v>1000105</v>
      </c>
      <c r="C4705">
        <v>348810</v>
      </c>
      <c r="F4705" s="7">
        <v>1</v>
      </c>
      <c r="G4705" s="7">
        <v>82</v>
      </c>
      <c r="H4705" s="8">
        <v>82</v>
      </c>
      <c r="J4705" t="s">
        <v>23</v>
      </c>
      <c r="K4705" s="7">
        <v>1053</v>
      </c>
      <c r="L4705" s="9">
        <v>1</v>
      </c>
      <c r="M4705" t="s">
        <v>211</v>
      </c>
      <c r="N4705" t="s">
        <v>212</v>
      </c>
      <c r="O4705" s="27" t="str">
        <f>HYPERLINK("https://www.ncbi.nlm.nih.gov/nuccore/NZ_GG657754.1?report=graph&amp;from=7170895&amp;to=7170899", "TTA_codon")</f>
        <v>TTA_codon</v>
      </c>
    </row>
    <row r="4706" spans="1:15" x14ac:dyDescent="0.15">
      <c r="A4706" t="s">
        <v>21</v>
      </c>
      <c r="B4706">
        <v>1000105</v>
      </c>
      <c r="C4706">
        <v>351659</v>
      </c>
      <c r="F4706" s="7">
        <v>1</v>
      </c>
      <c r="G4706" s="7">
        <v>97</v>
      </c>
      <c r="H4706" s="8">
        <v>97</v>
      </c>
      <c r="J4706" t="s">
        <v>23</v>
      </c>
      <c r="K4706" s="7">
        <v>1002</v>
      </c>
      <c r="L4706" s="9">
        <v>1</v>
      </c>
      <c r="M4706" t="s">
        <v>1567</v>
      </c>
      <c r="N4706" t="s">
        <v>138</v>
      </c>
      <c r="O4706" s="27" t="str">
        <f>HYPERLINK("https://www.ncbi.nlm.nih.gov/nuccore/NZ_KB889561.1?report=graph&amp;from=444224&amp;to=444228", "TTA_codon")</f>
        <v>TTA_codon</v>
      </c>
    </row>
    <row r="4707" spans="1:15" x14ac:dyDescent="0.15">
      <c r="A4707" t="s">
        <v>21</v>
      </c>
      <c r="B4707">
        <v>1000105</v>
      </c>
      <c r="C4707">
        <v>355887</v>
      </c>
      <c r="F4707" s="7">
        <v>1</v>
      </c>
      <c r="G4707" s="7">
        <v>97</v>
      </c>
      <c r="H4707" s="8">
        <v>97</v>
      </c>
      <c r="J4707" t="s">
        <v>23</v>
      </c>
      <c r="K4707" s="7">
        <v>984</v>
      </c>
      <c r="L4707" s="9">
        <v>1</v>
      </c>
      <c r="M4707" t="s">
        <v>3628</v>
      </c>
      <c r="N4707" t="s">
        <v>384</v>
      </c>
      <c r="O4707" s="27" t="str">
        <f>HYPERLINK("https://www.ncbi.nlm.nih.gov/nuccore/NZ_JOAK01000002.1?report=graph&amp;from=300149&amp;to=300153", "TTA_codon")</f>
        <v>TTA_codon</v>
      </c>
    </row>
    <row r="4708" spans="1:15" x14ac:dyDescent="0.15">
      <c r="A4708" t="s">
        <v>21</v>
      </c>
      <c r="B4708">
        <v>1000105</v>
      </c>
      <c r="C4708">
        <v>356965</v>
      </c>
      <c r="F4708" s="7">
        <v>1</v>
      </c>
      <c r="G4708" s="7">
        <v>157</v>
      </c>
      <c r="H4708" s="8">
        <v>157</v>
      </c>
      <c r="J4708" t="s">
        <v>23</v>
      </c>
      <c r="K4708" s="7">
        <v>1023</v>
      </c>
      <c r="L4708" s="9">
        <v>1</v>
      </c>
      <c r="M4708" t="s">
        <v>78</v>
      </c>
      <c r="N4708" t="s">
        <v>79</v>
      </c>
      <c r="O4708" s="27" t="str">
        <f>HYPERLINK("https://www.ncbi.nlm.nih.gov/nuccore/NZ_CP009313.1?report=graph&amp;from=88310&amp;to=88314", "TTA_codon")</f>
        <v>TTA_codon</v>
      </c>
    </row>
    <row r="4709" spans="1:15" x14ac:dyDescent="0.15">
      <c r="A4709" t="s">
        <v>21</v>
      </c>
      <c r="B4709">
        <v>1000105</v>
      </c>
      <c r="C4709">
        <v>359172</v>
      </c>
      <c r="F4709" s="7">
        <v>1</v>
      </c>
      <c r="G4709" s="7">
        <v>67</v>
      </c>
      <c r="H4709" s="8">
        <v>67</v>
      </c>
      <c r="J4709" t="s">
        <v>23</v>
      </c>
      <c r="K4709" s="7">
        <v>996</v>
      </c>
      <c r="L4709" s="9">
        <v>1</v>
      </c>
      <c r="M4709" t="s">
        <v>3629</v>
      </c>
      <c r="N4709" t="s">
        <v>451</v>
      </c>
      <c r="O4709" s="27" t="str">
        <f>HYPERLINK("https://www.ncbi.nlm.nih.gov/nuccore/NZ_LIQZ01000067.1?report=graph&amp;from=32308&amp;to=32312", "TTA_codon")</f>
        <v>TTA_codon</v>
      </c>
    </row>
    <row r="4710" spans="1:15" x14ac:dyDescent="0.15">
      <c r="A4710" t="s">
        <v>21</v>
      </c>
      <c r="B4710">
        <v>1000105</v>
      </c>
      <c r="C4710">
        <v>366157</v>
      </c>
      <c r="F4710" s="7">
        <v>1</v>
      </c>
      <c r="G4710" s="7">
        <v>97</v>
      </c>
      <c r="H4710" s="8">
        <v>97</v>
      </c>
      <c r="J4710" t="s">
        <v>23</v>
      </c>
      <c r="K4710" s="7">
        <v>990</v>
      </c>
      <c r="L4710" s="9">
        <v>1</v>
      </c>
      <c r="M4710" t="s">
        <v>1927</v>
      </c>
      <c r="N4710" t="s">
        <v>257</v>
      </c>
      <c r="O4710" s="27" t="str">
        <f>HYPERLINK("https://www.ncbi.nlm.nih.gov/nuccore/NZ_FOET01000002.1?report=graph&amp;from=544763&amp;to=544767", "TTA_codon")</f>
        <v>TTA_codon</v>
      </c>
    </row>
    <row r="4711" spans="1:15" x14ac:dyDescent="0.15">
      <c r="A4711" t="s">
        <v>21</v>
      </c>
      <c r="B4711" t="s">
        <v>3630</v>
      </c>
    </row>
    <row r="4712" spans="1:15" x14ac:dyDescent="0.15">
      <c r="A4712" t="s">
        <v>21</v>
      </c>
      <c r="B4712">
        <v>1000619</v>
      </c>
      <c r="C4712">
        <v>350357</v>
      </c>
      <c r="F4712" s="7">
        <v>1</v>
      </c>
      <c r="G4712" s="7">
        <v>136</v>
      </c>
      <c r="H4712" s="8">
        <v>88</v>
      </c>
      <c r="J4712" t="s">
        <v>23</v>
      </c>
      <c r="K4712" s="7">
        <v>1170</v>
      </c>
      <c r="L4712" s="9">
        <v>-1</v>
      </c>
      <c r="M4712" t="s">
        <v>35</v>
      </c>
      <c r="N4712" t="s">
        <v>36</v>
      </c>
      <c r="O4712" s="27" t="str">
        <f>HYPERLINK("https://www.ncbi.nlm.nih.gov/nuccore/NZ_JH725387.1?report=graph&amp;from=910259&amp;to=910263", "TTA_codon")</f>
        <v>TTA_codon</v>
      </c>
    </row>
    <row r="4713" spans="1:15" x14ac:dyDescent="0.15">
      <c r="A4713" t="s">
        <v>21</v>
      </c>
      <c r="B4713">
        <v>1000619</v>
      </c>
      <c r="C4713">
        <v>350852</v>
      </c>
      <c r="F4713" s="7">
        <v>1</v>
      </c>
      <c r="G4713" s="7">
        <v>241</v>
      </c>
      <c r="H4713" s="8">
        <v>232</v>
      </c>
      <c r="J4713" t="s">
        <v>23</v>
      </c>
      <c r="K4713" s="7">
        <v>1260</v>
      </c>
      <c r="L4713" s="9">
        <v>-1</v>
      </c>
      <c r="M4713" t="s">
        <v>352</v>
      </c>
      <c r="N4713" t="s">
        <v>51</v>
      </c>
      <c r="O4713" s="27" t="str">
        <f>HYPERLINK("https://www.ncbi.nlm.nih.gov/nuccore/NZ_AEJB01000361.1?report=graph&amp;from=598445&amp;to=598449", "TTA_codon")</f>
        <v>TTA_codon</v>
      </c>
    </row>
    <row r="4714" spans="1:15" x14ac:dyDescent="0.15">
      <c r="A4714" t="s">
        <v>21</v>
      </c>
      <c r="B4714">
        <v>1000619</v>
      </c>
      <c r="C4714">
        <v>353002</v>
      </c>
      <c r="F4714" s="7">
        <v>1</v>
      </c>
      <c r="G4714" s="7">
        <v>136</v>
      </c>
      <c r="H4714" s="8">
        <v>130</v>
      </c>
      <c r="J4714" t="s">
        <v>23</v>
      </c>
      <c r="K4714" s="7">
        <v>1227</v>
      </c>
      <c r="L4714" s="9">
        <v>-1</v>
      </c>
      <c r="M4714" t="s">
        <v>851</v>
      </c>
      <c r="N4714" t="s">
        <v>306</v>
      </c>
      <c r="O4714" s="27" t="str">
        <f>HYPERLINK("https://www.ncbi.nlm.nih.gov/nuccore/NZ_KL571064.1?report=graph&amp;from=61516&amp;to=61520", "TTA_codon")</f>
        <v>TTA_codon</v>
      </c>
    </row>
    <row r="4715" spans="1:15" x14ac:dyDescent="0.15">
      <c r="A4715" t="s">
        <v>21</v>
      </c>
      <c r="B4715">
        <v>1000619</v>
      </c>
      <c r="C4715">
        <v>354138</v>
      </c>
      <c r="F4715" s="7">
        <v>1</v>
      </c>
      <c r="G4715" s="7">
        <v>163</v>
      </c>
      <c r="H4715" s="8">
        <v>163</v>
      </c>
      <c r="J4715" t="s">
        <v>23</v>
      </c>
      <c r="K4715" s="7">
        <v>1335</v>
      </c>
      <c r="L4715" s="9">
        <v>-1</v>
      </c>
      <c r="M4715" t="s">
        <v>3631</v>
      </c>
      <c r="N4715" t="s">
        <v>270</v>
      </c>
      <c r="O4715" s="27" t="str">
        <f>HYPERLINK("https://www.ncbi.nlm.nih.gov/nuccore/NZ_JOBH01000023.1?report=graph&amp;from=44943&amp;to=44947", "TTA_codon")</f>
        <v>TTA_codon</v>
      </c>
    </row>
    <row r="4716" spans="1:15" x14ac:dyDescent="0.15">
      <c r="A4716" t="s">
        <v>21</v>
      </c>
      <c r="B4716">
        <v>1000619</v>
      </c>
      <c r="C4716">
        <v>354470</v>
      </c>
      <c r="F4716" s="7">
        <v>1</v>
      </c>
      <c r="G4716" s="7">
        <v>82</v>
      </c>
      <c r="H4716" s="8">
        <v>76</v>
      </c>
      <c r="J4716" t="s">
        <v>23</v>
      </c>
      <c r="K4716" s="7">
        <v>1245</v>
      </c>
      <c r="L4716" s="9">
        <v>-1</v>
      </c>
      <c r="M4716" t="s">
        <v>141</v>
      </c>
      <c r="N4716" t="s">
        <v>142</v>
      </c>
      <c r="O4716" s="27" t="str">
        <f>HYPERLINK("https://www.ncbi.nlm.nih.gov/nuccore/NZ_JOEI01000002.1?report=graph&amp;from=309244&amp;to=309248", "TTA_codon")</f>
        <v>TTA_codon</v>
      </c>
    </row>
    <row r="4717" spans="1:15" x14ac:dyDescent="0.15">
      <c r="A4717" t="s">
        <v>21</v>
      </c>
      <c r="B4717">
        <v>1000619</v>
      </c>
      <c r="C4717">
        <v>358033</v>
      </c>
      <c r="F4717" s="7">
        <v>1</v>
      </c>
      <c r="G4717" s="7">
        <v>286</v>
      </c>
      <c r="H4717" s="8">
        <v>286</v>
      </c>
      <c r="J4717" t="s">
        <v>23</v>
      </c>
      <c r="K4717" s="7">
        <v>1326</v>
      </c>
      <c r="L4717" s="9">
        <v>-1</v>
      </c>
      <c r="M4717" t="s">
        <v>261</v>
      </c>
      <c r="N4717" t="s">
        <v>262</v>
      </c>
      <c r="O4717" s="27" t="str">
        <f>HYPERLINK("https://www.ncbi.nlm.nih.gov/nuccore/NZ_CP011340.1?report=graph&amp;from=4076403&amp;to=4076407", "TTA_codon")</f>
        <v>TTA_codon</v>
      </c>
    </row>
    <row r="4718" spans="1:15" x14ac:dyDescent="0.15">
      <c r="A4718" t="s">
        <v>21</v>
      </c>
      <c r="B4718" t="s">
        <v>3632</v>
      </c>
    </row>
    <row r="4719" spans="1:15" x14ac:dyDescent="0.15">
      <c r="A4719" t="s">
        <v>21</v>
      </c>
      <c r="B4719">
        <v>1001002</v>
      </c>
      <c r="C4719">
        <v>354253</v>
      </c>
      <c r="F4719" s="7">
        <v>1</v>
      </c>
      <c r="G4719" s="7">
        <v>352</v>
      </c>
      <c r="H4719" s="8">
        <v>352</v>
      </c>
      <c r="J4719" t="s">
        <v>23</v>
      </c>
      <c r="K4719" s="7">
        <v>1539</v>
      </c>
      <c r="L4719" s="9">
        <v>-1</v>
      </c>
      <c r="M4719" t="s">
        <v>3633</v>
      </c>
      <c r="N4719" t="s">
        <v>361</v>
      </c>
      <c r="O4719" s="27" t="str">
        <f>HYPERLINK("https://www.ncbi.nlm.nih.gov/nuccore/NZ_JODY01000011.1?report=graph&amp;from=2412&amp;to=2416", "TTA_codon")</f>
        <v>TTA_codon</v>
      </c>
    </row>
    <row r="4720" spans="1:15" x14ac:dyDescent="0.15">
      <c r="A4720" t="s">
        <v>21</v>
      </c>
      <c r="B4720">
        <v>1001002</v>
      </c>
      <c r="C4720">
        <v>361733</v>
      </c>
      <c r="F4720" s="7">
        <v>1</v>
      </c>
      <c r="G4720" s="7">
        <v>352</v>
      </c>
      <c r="H4720" s="8">
        <v>337</v>
      </c>
      <c r="J4720" t="s">
        <v>23</v>
      </c>
      <c r="K4720" s="7">
        <v>1542</v>
      </c>
      <c r="L4720" s="9">
        <v>-1</v>
      </c>
      <c r="M4720" t="s">
        <v>37</v>
      </c>
      <c r="N4720" t="s">
        <v>38</v>
      </c>
      <c r="O4720" s="27" t="str">
        <f>HYPERLINK("https://www.ncbi.nlm.nih.gov/nuccore/NZ_CP011533.1?report=graph&amp;from=6890976&amp;to=6890980", "TTA_codon")</f>
        <v>TTA_codon</v>
      </c>
    </row>
    <row r="4721" spans="1:15" x14ac:dyDescent="0.15">
      <c r="A4721" t="s">
        <v>21</v>
      </c>
      <c r="B4721" t="s">
        <v>3634</v>
      </c>
    </row>
    <row r="4722" spans="1:15" x14ac:dyDescent="0.15">
      <c r="A4722" t="s">
        <v>21</v>
      </c>
      <c r="B4722">
        <v>1000415</v>
      </c>
      <c r="C4722">
        <v>348600</v>
      </c>
      <c r="F4722" s="7">
        <v>1</v>
      </c>
      <c r="G4722" s="7">
        <v>181</v>
      </c>
      <c r="H4722" s="8">
        <v>181</v>
      </c>
      <c r="J4722" t="s">
        <v>23</v>
      </c>
      <c r="K4722" s="7">
        <v>1014</v>
      </c>
      <c r="L4722" s="9">
        <v>1</v>
      </c>
      <c r="M4722" t="s">
        <v>61</v>
      </c>
      <c r="N4722" t="s">
        <v>62</v>
      </c>
      <c r="O4722" s="27" t="str">
        <f>HYPERLINK("https://www.ncbi.nlm.nih.gov/nuccore/NZ_DS999641.1?report=graph&amp;from=2567170&amp;to=2567174", "TTA_codon")</f>
        <v>TTA_codon</v>
      </c>
    </row>
    <row r="4723" spans="1:15" x14ac:dyDescent="0.15">
      <c r="A4723" t="s">
        <v>21</v>
      </c>
      <c r="B4723">
        <v>1000415</v>
      </c>
      <c r="C4723">
        <v>351427</v>
      </c>
      <c r="F4723" s="7">
        <v>1</v>
      </c>
      <c r="G4723" s="7">
        <v>181</v>
      </c>
      <c r="H4723" s="8">
        <v>181</v>
      </c>
      <c r="J4723" t="s">
        <v>23</v>
      </c>
      <c r="K4723" s="7">
        <v>1014</v>
      </c>
      <c r="L4723" s="9">
        <v>1</v>
      </c>
      <c r="M4723" t="s">
        <v>65</v>
      </c>
      <c r="N4723" t="s">
        <v>66</v>
      </c>
      <c r="O4723" s="27" t="str">
        <f>HYPERLINK("https://www.ncbi.nlm.nih.gov/nuccore/NC_020504.1?report=graph&amp;from=3442611&amp;to=3442615", "TTA_codon")</f>
        <v>TTA_codon</v>
      </c>
    </row>
    <row r="4724" spans="1:15" x14ac:dyDescent="0.15">
      <c r="A4724" t="s">
        <v>21</v>
      </c>
      <c r="B4724">
        <v>1000415</v>
      </c>
      <c r="C4724">
        <v>351978</v>
      </c>
      <c r="F4724" s="7">
        <v>1</v>
      </c>
      <c r="G4724" s="7">
        <v>181</v>
      </c>
      <c r="H4724" s="8">
        <v>181</v>
      </c>
      <c r="J4724" t="s">
        <v>23</v>
      </c>
      <c r="K4724" s="7">
        <v>1014</v>
      </c>
      <c r="L4724" s="9">
        <v>1</v>
      </c>
      <c r="M4724" t="s">
        <v>3635</v>
      </c>
      <c r="N4724" t="s">
        <v>68</v>
      </c>
      <c r="O4724" s="27" t="str">
        <f>HYPERLINK("https://www.ncbi.nlm.nih.gov/nuccore/NZ_BARG01000069.1?report=graph&amp;from=68433&amp;to=68437", "TTA_codon")</f>
        <v>TTA_codon</v>
      </c>
    </row>
    <row r="4725" spans="1:15" x14ac:dyDescent="0.15">
      <c r="A4725" t="s">
        <v>21</v>
      </c>
      <c r="B4725">
        <v>1000415</v>
      </c>
      <c r="C4725">
        <v>354735</v>
      </c>
      <c r="F4725" s="7">
        <v>1</v>
      </c>
      <c r="G4725" s="7">
        <v>181</v>
      </c>
      <c r="H4725" s="8">
        <v>181</v>
      </c>
      <c r="J4725" t="s">
        <v>23</v>
      </c>
      <c r="K4725" s="7">
        <v>1014</v>
      </c>
      <c r="L4725" s="9">
        <v>1</v>
      </c>
      <c r="M4725" t="s">
        <v>2641</v>
      </c>
      <c r="N4725" t="s">
        <v>272</v>
      </c>
      <c r="O4725" s="27" t="str">
        <f>HYPERLINK("https://www.ncbi.nlm.nih.gov/nuccore/NZ_JOEY01000004.1?report=graph&amp;from=116454&amp;to=116458", "TTA_codon")</f>
        <v>TTA_codon</v>
      </c>
    </row>
    <row r="4726" spans="1:15" x14ac:dyDescent="0.15">
      <c r="A4726" t="s">
        <v>21</v>
      </c>
      <c r="B4726">
        <v>1000415</v>
      </c>
      <c r="C4726">
        <v>357443</v>
      </c>
      <c r="F4726" s="7">
        <v>1</v>
      </c>
      <c r="G4726" s="7">
        <v>181</v>
      </c>
      <c r="H4726" s="8">
        <v>181</v>
      </c>
      <c r="J4726" t="s">
        <v>23</v>
      </c>
      <c r="K4726" s="7">
        <v>1014</v>
      </c>
      <c r="L4726" s="9">
        <v>1</v>
      </c>
      <c r="M4726" t="s">
        <v>80</v>
      </c>
      <c r="N4726" t="s">
        <v>81</v>
      </c>
      <c r="O4726" s="27" t="str">
        <f>HYPERLINK("https://www.ncbi.nlm.nih.gov/nuccore/NZ_LN831790.1?report=graph&amp;from=2787768&amp;to=2787772", "TTA_codon")</f>
        <v>TTA_codon</v>
      </c>
    </row>
    <row r="4727" spans="1:15" x14ac:dyDescent="0.15">
      <c r="A4727" t="s">
        <v>21</v>
      </c>
      <c r="B4727">
        <v>1000415</v>
      </c>
      <c r="C4727">
        <v>357881</v>
      </c>
      <c r="F4727" s="7">
        <v>1</v>
      </c>
      <c r="G4727" s="7">
        <v>181</v>
      </c>
      <c r="H4727" s="8">
        <v>181</v>
      </c>
      <c r="J4727" t="s">
        <v>23</v>
      </c>
      <c r="K4727" s="7">
        <v>1014</v>
      </c>
      <c r="L4727" s="9">
        <v>1</v>
      </c>
      <c r="M4727" t="s">
        <v>3636</v>
      </c>
      <c r="N4727" t="s">
        <v>83</v>
      </c>
      <c r="O4727" s="27" t="str">
        <f>HYPERLINK("https://www.ncbi.nlm.nih.gov/nuccore/NZ_DF968247.1?report=graph&amp;from=17799&amp;to=17803", "TTA_codon")</f>
        <v>TTA_codon</v>
      </c>
    </row>
    <row r="4728" spans="1:15" x14ac:dyDescent="0.15">
      <c r="A4728" t="s">
        <v>21</v>
      </c>
      <c r="B4728">
        <v>1000415</v>
      </c>
      <c r="C4728">
        <v>358293</v>
      </c>
      <c r="F4728" s="7">
        <v>1</v>
      </c>
      <c r="G4728" s="7">
        <v>181</v>
      </c>
      <c r="H4728" s="8">
        <v>181</v>
      </c>
      <c r="J4728" t="s">
        <v>23</v>
      </c>
      <c r="K4728" s="7">
        <v>1014</v>
      </c>
      <c r="L4728" s="9">
        <v>1</v>
      </c>
      <c r="M4728" t="s">
        <v>3637</v>
      </c>
      <c r="N4728" t="s">
        <v>119</v>
      </c>
      <c r="O4728" s="27" t="str">
        <f>HYPERLINK("https://www.ncbi.nlm.nih.gov/nuccore/NZ_LIPP01000163.1?report=graph&amp;from=1684&amp;to=1688", "TTA_codon")</f>
        <v>TTA_codon</v>
      </c>
    </row>
    <row r="4729" spans="1:15" x14ac:dyDescent="0.15">
      <c r="A4729" t="s">
        <v>21</v>
      </c>
      <c r="B4729">
        <v>1000415</v>
      </c>
      <c r="C4729">
        <v>362714</v>
      </c>
      <c r="F4729" s="7">
        <v>1</v>
      </c>
      <c r="G4729" s="7">
        <v>181</v>
      </c>
      <c r="H4729" s="8">
        <v>181</v>
      </c>
      <c r="J4729" t="s">
        <v>23</v>
      </c>
      <c r="K4729" s="7">
        <v>1083</v>
      </c>
      <c r="L4729" s="9">
        <v>1</v>
      </c>
      <c r="M4729" t="s">
        <v>1804</v>
      </c>
      <c r="N4729" t="s">
        <v>985</v>
      </c>
      <c r="O4729" s="27" t="str">
        <f>HYPERLINK("https://www.ncbi.nlm.nih.gov/nuccore/NZ_LJGU01000093.1?report=graph&amp;from=50544&amp;to=50548", "TTA_codon")</f>
        <v>TTA_codon</v>
      </c>
    </row>
    <row r="4730" spans="1:15" x14ac:dyDescent="0.15">
      <c r="A4730" t="s">
        <v>21</v>
      </c>
      <c r="B4730" t="s">
        <v>3638</v>
      </c>
    </row>
    <row r="4731" spans="1:15" x14ac:dyDescent="0.15">
      <c r="A4731" t="s">
        <v>21</v>
      </c>
      <c r="B4731">
        <v>1001246</v>
      </c>
      <c r="C4731">
        <v>357750</v>
      </c>
      <c r="F4731" s="7">
        <v>1</v>
      </c>
      <c r="G4731" s="7">
        <v>574</v>
      </c>
      <c r="H4731" s="8">
        <v>574</v>
      </c>
      <c r="J4731" t="s">
        <v>23</v>
      </c>
      <c r="K4731" s="7">
        <v>1773</v>
      </c>
      <c r="L4731" s="9">
        <v>1</v>
      </c>
      <c r="M4731" t="s">
        <v>3639</v>
      </c>
      <c r="N4731" t="s">
        <v>83</v>
      </c>
      <c r="O4731" s="27" t="str">
        <f>HYPERLINK("https://www.ncbi.nlm.nih.gov/nuccore/NZ_DF968206.1?report=graph&amp;from=19024&amp;to=19028", "TTA_codon")</f>
        <v>TTA_codon</v>
      </c>
    </row>
    <row r="4732" spans="1:15" x14ac:dyDescent="0.15">
      <c r="A4732" t="s">
        <v>21</v>
      </c>
      <c r="B4732">
        <v>1001246</v>
      </c>
      <c r="C4732">
        <v>360955</v>
      </c>
      <c r="F4732" s="7">
        <v>1</v>
      </c>
      <c r="G4732" s="7">
        <v>547</v>
      </c>
      <c r="H4732" s="8">
        <v>547</v>
      </c>
      <c r="J4732" t="s">
        <v>23</v>
      </c>
      <c r="K4732" s="7">
        <v>1746</v>
      </c>
      <c r="L4732" s="9">
        <v>1</v>
      </c>
      <c r="M4732" t="s">
        <v>3640</v>
      </c>
      <c r="N4732" t="s">
        <v>97</v>
      </c>
      <c r="O4732" s="27" t="str">
        <f>HYPERLINK("https://www.ncbi.nlm.nih.gov/nuccore/NZ_LOHS01000023.1?report=graph&amp;from=21159&amp;to=21163", "TTA_codon")</f>
        <v>TTA_codon</v>
      </c>
    </row>
    <row r="4733" spans="1:15" x14ac:dyDescent="0.15">
      <c r="A4733" t="s">
        <v>21</v>
      </c>
      <c r="B4733" t="s">
        <v>3641</v>
      </c>
    </row>
    <row r="4734" spans="1:15" x14ac:dyDescent="0.15">
      <c r="A4734" t="s">
        <v>21</v>
      </c>
      <c r="B4734">
        <v>1000203</v>
      </c>
      <c r="C4734">
        <v>347366</v>
      </c>
      <c r="F4734" s="7">
        <v>1</v>
      </c>
      <c r="G4734" s="7">
        <v>562</v>
      </c>
      <c r="H4734" s="8">
        <v>556</v>
      </c>
      <c r="J4734" t="s">
        <v>23</v>
      </c>
      <c r="K4734" s="7">
        <v>795</v>
      </c>
      <c r="L4734" s="9">
        <v>1</v>
      </c>
      <c r="M4734" t="s">
        <v>217</v>
      </c>
      <c r="N4734" t="s">
        <v>218</v>
      </c>
      <c r="O4734" s="27" t="str">
        <f>HYPERLINK("https://www.ncbi.nlm.nih.gov/nuccore/NC_021985.1?report=graph&amp;from=5391735&amp;to=5391739", "TTA_codon")</f>
        <v>TTA_codon</v>
      </c>
    </row>
    <row r="4735" spans="1:15" x14ac:dyDescent="0.15">
      <c r="A4735" t="s">
        <v>21</v>
      </c>
      <c r="B4735">
        <v>1000203</v>
      </c>
      <c r="C4735">
        <v>356669</v>
      </c>
      <c r="F4735" s="7">
        <v>1</v>
      </c>
      <c r="G4735" s="7">
        <v>502</v>
      </c>
      <c r="H4735" s="8">
        <v>448</v>
      </c>
      <c r="J4735" t="s">
        <v>23</v>
      </c>
      <c r="K4735" s="7">
        <v>747</v>
      </c>
      <c r="L4735" s="9">
        <v>1</v>
      </c>
      <c r="M4735" t="s">
        <v>147</v>
      </c>
      <c r="N4735" t="s">
        <v>148</v>
      </c>
      <c r="O4735" s="27" t="str">
        <f>HYPERLINK("https://www.ncbi.nlm.nih.gov/nuccore/NZ_CP021080.1?report=graph&amp;from=4729353&amp;to=4729357", "TTA_codon")</f>
        <v>TTA_codon</v>
      </c>
    </row>
    <row r="4736" spans="1:15" x14ac:dyDescent="0.15">
      <c r="A4736" t="s">
        <v>21</v>
      </c>
      <c r="B4736">
        <v>1000203</v>
      </c>
      <c r="C4736">
        <v>360402</v>
      </c>
      <c r="F4736" s="7">
        <v>1</v>
      </c>
      <c r="G4736" s="7">
        <v>502</v>
      </c>
      <c r="H4736" s="8">
        <v>442</v>
      </c>
      <c r="J4736" t="s">
        <v>23</v>
      </c>
      <c r="K4736" s="7">
        <v>741</v>
      </c>
      <c r="L4736" s="9">
        <v>1</v>
      </c>
      <c r="M4736" t="s">
        <v>121</v>
      </c>
      <c r="N4736" t="s">
        <v>122</v>
      </c>
      <c r="O4736" s="27" t="str">
        <f>HYPERLINK("https://www.ncbi.nlm.nih.gov/nuccore/NZ_CP016279.1?report=graph&amp;from=1231766&amp;to=1231770", "TTA_codon")</f>
        <v>TTA_codon</v>
      </c>
    </row>
    <row r="4737" spans="1:15" x14ac:dyDescent="0.15">
      <c r="A4737" t="s">
        <v>21</v>
      </c>
      <c r="B4737" t="s">
        <v>3642</v>
      </c>
    </row>
    <row r="4738" spans="1:15" x14ac:dyDescent="0.15">
      <c r="A4738" t="s">
        <v>21</v>
      </c>
      <c r="B4738">
        <v>1001529</v>
      </c>
      <c r="C4738">
        <v>364558</v>
      </c>
      <c r="F4738" s="7">
        <v>1</v>
      </c>
      <c r="G4738" s="7">
        <v>76</v>
      </c>
      <c r="H4738" s="8">
        <v>73</v>
      </c>
      <c r="J4738" t="s">
        <v>23</v>
      </c>
      <c r="K4738" s="7">
        <v>2874</v>
      </c>
      <c r="L4738" s="9">
        <v>-1</v>
      </c>
      <c r="M4738" t="s">
        <v>3643</v>
      </c>
      <c r="N4738" t="s">
        <v>108</v>
      </c>
      <c r="O4738" s="27" t="str">
        <f>HYPERLINK("https://www.ncbi.nlm.nih.gov/nuccore/NZ_MUMD01000130.1?report=graph&amp;from=21837&amp;to=21841", "TTA_codon")</f>
        <v>TTA_codon</v>
      </c>
    </row>
    <row r="4739" spans="1:15" x14ac:dyDescent="0.15">
      <c r="A4739" t="s">
        <v>21</v>
      </c>
      <c r="B4739">
        <v>1001529</v>
      </c>
      <c r="C4739">
        <v>366771</v>
      </c>
      <c r="F4739" s="7">
        <v>1</v>
      </c>
      <c r="G4739" s="7">
        <v>136</v>
      </c>
      <c r="H4739" s="8">
        <v>106</v>
      </c>
      <c r="J4739" t="s">
        <v>23</v>
      </c>
      <c r="K4739" s="7">
        <v>3705</v>
      </c>
      <c r="L4739" s="9">
        <v>-1</v>
      </c>
      <c r="M4739" t="s">
        <v>3039</v>
      </c>
      <c r="N4739" t="s">
        <v>209</v>
      </c>
      <c r="O4739" s="27" t="str">
        <f>HYPERLINK("https://www.ncbi.nlm.nih.gov/nuccore/NZ_FZOF01000005.1?report=graph&amp;from=383456&amp;to=383460", "TTA_codon")</f>
        <v>TTA_codon</v>
      </c>
    </row>
    <row r="4740" spans="1:15" x14ac:dyDescent="0.15">
      <c r="A4740" t="s">
        <v>21</v>
      </c>
      <c r="B4740" t="s">
        <v>3644</v>
      </c>
    </row>
    <row r="4741" spans="1:15" x14ac:dyDescent="0.15">
      <c r="A4741" t="s">
        <v>21</v>
      </c>
      <c r="B4741">
        <v>1000901</v>
      </c>
      <c r="C4741">
        <v>352937</v>
      </c>
      <c r="F4741" s="7">
        <v>1</v>
      </c>
      <c r="G4741" s="7">
        <v>154</v>
      </c>
      <c r="H4741" s="8">
        <v>151</v>
      </c>
      <c r="J4741" t="s">
        <v>23</v>
      </c>
      <c r="K4741" s="7">
        <v>1860</v>
      </c>
      <c r="L4741" s="9">
        <v>-1</v>
      </c>
      <c r="M4741" t="s">
        <v>2168</v>
      </c>
      <c r="N4741" t="s">
        <v>306</v>
      </c>
      <c r="O4741" s="27" t="str">
        <f>HYPERLINK("https://www.ncbi.nlm.nih.gov/nuccore/NZ_KL571070.1?report=graph&amp;from=52034&amp;to=52038", "TTA_codon")</f>
        <v>TTA_codon</v>
      </c>
    </row>
    <row r="4742" spans="1:15" x14ac:dyDescent="0.15">
      <c r="A4742" t="s">
        <v>21</v>
      </c>
      <c r="B4742">
        <v>1000901</v>
      </c>
      <c r="C4742">
        <v>356537</v>
      </c>
      <c r="F4742" s="7">
        <v>1</v>
      </c>
      <c r="G4742" s="7">
        <v>109</v>
      </c>
      <c r="H4742" s="8">
        <v>46</v>
      </c>
      <c r="J4742" t="s">
        <v>23</v>
      </c>
      <c r="K4742" s="7">
        <v>1824</v>
      </c>
      <c r="L4742" s="9">
        <v>-1</v>
      </c>
      <c r="M4742" t="s">
        <v>508</v>
      </c>
      <c r="N4742" t="s">
        <v>509</v>
      </c>
      <c r="O4742" s="27" t="str">
        <f>HYPERLINK("https://www.ncbi.nlm.nih.gov/nuccore/NZ_CP009438.1?report=graph&amp;from=1025902&amp;to=1025906", "TTA_codon")</f>
        <v>TTA_codon</v>
      </c>
    </row>
    <row r="4743" spans="1:15" x14ac:dyDescent="0.15">
      <c r="A4743" t="s">
        <v>21</v>
      </c>
      <c r="B4743">
        <v>1000901</v>
      </c>
      <c r="C4743">
        <v>361661</v>
      </c>
      <c r="F4743" s="7">
        <v>1</v>
      </c>
      <c r="G4743" s="7">
        <v>232</v>
      </c>
      <c r="H4743" s="8">
        <v>142</v>
      </c>
      <c r="J4743" t="s">
        <v>23</v>
      </c>
      <c r="K4743" s="7">
        <v>1794</v>
      </c>
      <c r="L4743" s="9">
        <v>-1</v>
      </c>
      <c r="M4743" t="s">
        <v>37</v>
      </c>
      <c r="N4743" t="s">
        <v>38</v>
      </c>
      <c r="O4743" s="27" t="str">
        <f>HYPERLINK("https://www.ncbi.nlm.nih.gov/nuccore/NZ_CP011533.1?report=graph&amp;from=9253310&amp;to=9253314", "TTA_codon")</f>
        <v>TTA_codon</v>
      </c>
    </row>
    <row r="4744" spans="1:15" x14ac:dyDescent="0.15">
      <c r="A4744" t="s">
        <v>21</v>
      </c>
      <c r="B4744" t="s">
        <v>3645</v>
      </c>
    </row>
    <row r="4745" spans="1:15" x14ac:dyDescent="0.15">
      <c r="A4745" t="s">
        <v>21</v>
      </c>
      <c r="B4745">
        <v>1000790</v>
      </c>
      <c r="C4745">
        <v>351882</v>
      </c>
      <c r="F4745" s="7">
        <v>2</v>
      </c>
      <c r="G4745" s="7" t="s">
        <v>3646</v>
      </c>
      <c r="H4745" s="8" t="s">
        <v>3647</v>
      </c>
      <c r="J4745" t="s">
        <v>23</v>
      </c>
      <c r="K4745" s="7">
        <v>1929</v>
      </c>
      <c r="L4745" s="9">
        <v>-1</v>
      </c>
      <c r="M4745" t="s">
        <v>3648</v>
      </c>
      <c r="N4745" t="s">
        <v>68</v>
      </c>
      <c r="O4745" s="27" t="str">
        <f>HYPERLINK("https://www.ncbi.nlm.nih.gov/nuccore/NZ_BARG01000030.1?report=graph&amp;from=52241&amp;to=52905", "TTA_codon")</f>
        <v>TTA_codon</v>
      </c>
    </row>
    <row r="4746" spans="1:15" x14ac:dyDescent="0.15">
      <c r="A4746" t="s">
        <v>21</v>
      </c>
      <c r="B4746">
        <v>1000790</v>
      </c>
      <c r="C4746">
        <v>352002</v>
      </c>
      <c r="F4746" s="7">
        <v>2</v>
      </c>
      <c r="G4746" s="7" t="s">
        <v>3649</v>
      </c>
      <c r="H4746" s="8" t="s">
        <v>3650</v>
      </c>
      <c r="J4746" t="s">
        <v>23</v>
      </c>
      <c r="K4746" s="7">
        <v>1953</v>
      </c>
      <c r="L4746" s="9">
        <v>-1</v>
      </c>
      <c r="M4746" t="s">
        <v>3648</v>
      </c>
      <c r="N4746" t="s">
        <v>68</v>
      </c>
      <c r="O4746" s="27" t="str">
        <f>HYPERLINK("https://www.ncbi.nlm.nih.gov/nuccore/NZ_BARG01000030.1?report=graph&amp;from=178294&amp;to=178967", "TTA_codon")</f>
        <v>TTA_codon</v>
      </c>
    </row>
    <row r="4747" spans="1:15" x14ac:dyDescent="0.15">
      <c r="A4747" t="s">
        <v>21</v>
      </c>
      <c r="B4747">
        <v>1000790</v>
      </c>
      <c r="C4747">
        <v>358995</v>
      </c>
      <c r="F4747" s="7">
        <v>1</v>
      </c>
      <c r="G4747" s="7">
        <v>922</v>
      </c>
      <c r="H4747" s="8">
        <v>880</v>
      </c>
      <c r="J4747" t="s">
        <v>23</v>
      </c>
      <c r="K4747" s="7">
        <v>2055</v>
      </c>
      <c r="L4747" s="9">
        <v>-1</v>
      </c>
      <c r="M4747" t="s">
        <v>1683</v>
      </c>
      <c r="N4747" t="s">
        <v>87</v>
      </c>
      <c r="O4747" s="27" t="str">
        <f>HYPERLINK("https://www.ncbi.nlm.nih.gov/nuccore/NZ_LIQS01000070.1?report=graph&amp;from=4482&amp;to=4486", "TTA_codon")</f>
        <v>TTA_codon</v>
      </c>
    </row>
    <row r="4748" spans="1:15" x14ac:dyDescent="0.15">
      <c r="A4748" t="s">
        <v>21</v>
      </c>
      <c r="B4748" t="s">
        <v>3651</v>
      </c>
    </row>
    <row r="4749" spans="1:15" x14ac:dyDescent="0.15">
      <c r="A4749" t="s">
        <v>21</v>
      </c>
      <c r="B4749">
        <v>1001040</v>
      </c>
      <c r="C4749">
        <v>354708</v>
      </c>
      <c r="F4749" s="7">
        <v>1</v>
      </c>
      <c r="G4749" s="7">
        <v>94</v>
      </c>
      <c r="H4749" s="8">
        <v>85</v>
      </c>
      <c r="J4749" t="s">
        <v>23</v>
      </c>
      <c r="K4749" s="7">
        <v>663</v>
      </c>
      <c r="L4749" s="9">
        <v>1</v>
      </c>
      <c r="M4749" t="s">
        <v>2641</v>
      </c>
      <c r="N4749" t="s">
        <v>272</v>
      </c>
      <c r="O4749" s="27" t="str">
        <f>HYPERLINK("https://www.ncbi.nlm.nih.gov/nuccore/NZ_JOEY01000004.1?report=graph&amp;from=244429&amp;to=244433", "TTA_codon")</f>
        <v>TTA_codon</v>
      </c>
    </row>
    <row r="4750" spans="1:15" x14ac:dyDescent="0.15">
      <c r="A4750" t="s">
        <v>21</v>
      </c>
      <c r="B4750">
        <v>1001040</v>
      </c>
      <c r="C4750">
        <v>358956</v>
      </c>
      <c r="F4750" s="7">
        <v>1</v>
      </c>
      <c r="G4750" s="7">
        <v>76</v>
      </c>
      <c r="H4750" s="8">
        <v>76</v>
      </c>
      <c r="J4750" t="s">
        <v>23</v>
      </c>
      <c r="K4750" s="7">
        <v>684</v>
      </c>
      <c r="L4750" s="9">
        <v>1</v>
      </c>
      <c r="M4750" t="s">
        <v>3652</v>
      </c>
      <c r="N4750" t="s">
        <v>87</v>
      </c>
      <c r="O4750" s="27" t="str">
        <f>HYPERLINK("https://www.ncbi.nlm.nih.gov/nuccore/NZ_LIQS01000274.1?report=graph&amp;from=3858&amp;to=3862", "TTA_codon")</f>
        <v>TTA_codon</v>
      </c>
    </row>
    <row r="4751" spans="1:15" x14ac:dyDescent="0.15">
      <c r="A4751" t="s">
        <v>21</v>
      </c>
      <c r="B4751" t="s">
        <v>3653</v>
      </c>
    </row>
    <row r="4752" spans="1:15" x14ac:dyDescent="0.15">
      <c r="A4752" t="s">
        <v>21</v>
      </c>
      <c r="B4752">
        <v>1001277</v>
      </c>
      <c r="C4752">
        <v>358449</v>
      </c>
      <c r="F4752" s="7">
        <v>1</v>
      </c>
      <c r="G4752" s="7">
        <v>1180</v>
      </c>
      <c r="H4752" s="8">
        <v>1144</v>
      </c>
      <c r="J4752" t="s">
        <v>23</v>
      </c>
      <c r="K4752" s="7">
        <v>1956</v>
      </c>
      <c r="L4752" s="9">
        <v>1</v>
      </c>
      <c r="M4752" t="s">
        <v>3654</v>
      </c>
      <c r="N4752" t="s">
        <v>85</v>
      </c>
      <c r="O4752" s="27" t="str">
        <f>HYPERLINK("https://www.ncbi.nlm.nih.gov/nuccore/NZ_LIQX01000024.1?report=graph&amp;from=1284&amp;to=1288", "TTA_codon")</f>
        <v>TTA_codon</v>
      </c>
    </row>
    <row r="4753" spans="1:15" x14ac:dyDescent="0.15">
      <c r="A4753" t="s">
        <v>21</v>
      </c>
      <c r="B4753">
        <v>1001277</v>
      </c>
      <c r="C4753">
        <v>362565</v>
      </c>
      <c r="F4753" s="7">
        <v>1</v>
      </c>
      <c r="G4753" s="7">
        <v>1180</v>
      </c>
      <c r="H4753" s="8">
        <v>1051</v>
      </c>
      <c r="J4753" t="s">
        <v>23</v>
      </c>
      <c r="K4753" s="7">
        <v>1788</v>
      </c>
      <c r="L4753" s="9">
        <v>1</v>
      </c>
      <c r="M4753" t="s">
        <v>32</v>
      </c>
      <c r="N4753" t="s">
        <v>33</v>
      </c>
      <c r="O4753" s="27" t="str">
        <f>HYPERLINK("https://www.ncbi.nlm.nih.gov/nuccore/NZ_CP017248.1?report=graph&amp;from=4728661&amp;to=4728665", "TTA_codon")</f>
        <v>TTA_codon</v>
      </c>
    </row>
    <row r="4754" spans="1:15" x14ac:dyDescent="0.15">
      <c r="A4754" t="s">
        <v>21</v>
      </c>
      <c r="B4754">
        <v>1001277</v>
      </c>
      <c r="C4754">
        <v>364775</v>
      </c>
      <c r="F4754" s="7">
        <v>1</v>
      </c>
      <c r="G4754" s="7">
        <v>1042</v>
      </c>
      <c r="H4754" s="8">
        <v>925</v>
      </c>
      <c r="J4754" t="s">
        <v>23</v>
      </c>
      <c r="K4754" s="7">
        <v>1899</v>
      </c>
      <c r="L4754" s="9">
        <v>1</v>
      </c>
      <c r="M4754" t="s">
        <v>3655</v>
      </c>
      <c r="N4754" t="s">
        <v>110</v>
      </c>
      <c r="O4754" s="27" t="str">
        <f>HYPERLINK("https://www.ncbi.nlm.nih.gov/nuccore/NZ_MUME01000428.1?report=graph&amp;from=2116&amp;to=2120", "TTA_codon")</f>
        <v>TTA_codon</v>
      </c>
    </row>
    <row r="4755" spans="1:15" x14ac:dyDescent="0.15">
      <c r="A4755" t="s">
        <v>21</v>
      </c>
      <c r="B4755">
        <v>1001277</v>
      </c>
      <c r="C4755">
        <v>366145</v>
      </c>
      <c r="F4755" s="7">
        <v>1</v>
      </c>
      <c r="G4755" s="7">
        <v>958</v>
      </c>
      <c r="H4755" s="8">
        <v>763</v>
      </c>
      <c r="J4755" t="s">
        <v>23</v>
      </c>
      <c r="K4755" s="7">
        <v>1887</v>
      </c>
      <c r="L4755" s="9">
        <v>1</v>
      </c>
      <c r="M4755" t="s">
        <v>760</v>
      </c>
      <c r="N4755" t="s">
        <v>257</v>
      </c>
      <c r="O4755" s="27" t="str">
        <f>HYPERLINK("https://www.ncbi.nlm.nih.gov/nuccore/NZ_FOET01000013.1?report=graph&amp;from=2714&amp;to=2718", "TTA_codon")</f>
        <v>TTA_codon</v>
      </c>
    </row>
    <row r="4756" spans="1:15" x14ac:dyDescent="0.15">
      <c r="A4756" t="s">
        <v>21</v>
      </c>
      <c r="B4756" t="s">
        <v>3656</v>
      </c>
    </row>
    <row r="4757" spans="1:15" x14ac:dyDescent="0.15">
      <c r="A4757" t="s">
        <v>21</v>
      </c>
      <c r="B4757">
        <v>1001306</v>
      </c>
      <c r="C4757">
        <v>348537</v>
      </c>
      <c r="F4757" s="7">
        <v>1</v>
      </c>
      <c r="G4757" s="7">
        <v>133</v>
      </c>
      <c r="H4757" s="8">
        <v>127</v>
      </c>
      <c r="J4757" t="s">
        <v>23</v>
      </c>
      <c r="K4757" s="7">
        <v>1245</v>
      </c>
      <c r="L4757" s="9">
        <v>1</v>
      </c>
      <c r="M4757" t="s">
        <v>61</v>
      </c>
      <c r="N4757" t="s">
        <v>62</v>
      </c>
      <c r="O4757" s="27" t="str">
        <f>HYPERLINK("https://www.ncbi.nlm.nih.gov/nuccore/NZ_DS999641.1?report=graph&amp;from=5419513&amp;to=5419517", "TTA_codon")</f>
        <v>TTA_codon</v>
      </c>
    </row>
    <row r="4758" spans="1:15" x14ac:dyDescent="0.15">
      <c r="A4758" t="s">
        <v>21</v>
      </c>
      <c r="B4758">
        <v>1001306</v>
      </c>
      <c r="C4758">
        <v>359313</v>
      </c>
      <c r="F4758" s="7">
        <v>1</v>
      </c>
      <c r="G4758" s="7">
        <v>193</v>
      </c>
      <c r="H4758" s="8">
        <v>193</v>
      </c>
      <c r="J4758" t="s">
        <v>23</v>
      </c>
      <c r="K4758" s="7">
        <v>971</v>
      </c>
      <c r="L4758" s="9">
        <v>1</v>
      </c>
      <c r="M4758" t="s">
        <v>3657</v>
      </c>
      <c r="N4758" t="s">
        <v>89</v>
      </c>
      <c r="O4758" s="27" t="str">
        <f>HYPERLINK("https://www.ncbi.nlm.nih.gov/nuccore/NZ_LIRG01001043.1?report=graph&amp;from=300&amp;to=304", "TTA_codon")</f>
        <v>TTA_codon</v>
      </c>
    </row>
    <row r="4759" spans="1:15" x14ac:dyDescent="0.15">
      <c r="A4759" t="s">
        <v>21</v>
      </c>
      <c r="B4759" t="s">
        <v>3658</v>
      </c>
    </row>
    <row r="4760" spans="1:15" x14ac:dyDescent="0.15">
      <c r="A4760" t="s">
        <v>21</v>
      </c>
      <c r="B4760">
        <v>1000260</v>
      </c>
      <c r="C4760">
        <v>347702</v>
      </c>
      <c r="F4760" s="7">
        <v>1</v>
      </c>
      <c r="G4760" s="7">
        <v>466</v>
      </c>
      <c r="H4760" s="8">
        <v>466</v>
      </c>
      <c r="J4760" t="s">
        <v>23</v>
      </c>
      <c r="K4760" s="7">
        <v>651</v>
      </c>
      <c r="L4760" s="9">
        <v>-1</v>
      </c>
      <c r="M4760" t="s">
        <v>55</v>
      </c>
      <c r="N4760" t="s">
        <v>56</v>
      </c>
      <c r="O4760" s="27" t="str">
        <f>HYPERLINK("https://www.ncbi.nlm.nih.gov/nuccore/NC_010572.1?report=graph&amp;from=414975&amp;to=414979", "TTA_codon")</f>
        <v>TTA_codon</v>
      </c>
    </row>
    <row r="4761" spans="1:15" x14ac:dyDescent="0.15">
      <c r="A4761" t="s">
        <v>21</v>
      </c>
      <c r="B4761">
        <v>1000260</v>
      </c>
      <c r="C4761">
        <v>355129</v>
      </c>
      <c r="F4761" s="7">
        <v>1</v>
      </c>
      <c r="G4761" s="7">
        <v>466</v>
      </c>
      <c r="H4761" s="8">
        <v>466</v>
      </c>
      <c r="J4761" t="s">
        <v>23</v>
      </c>
      <c r="K4761" s="7">
        <v>651</v>
      </c>
      <c r="L4761" s="9">
        <v>-1</v>
      </c>
      <c r="M4761" t="s">
        <v>3659</v>
      </c>
      <c r="N4761" t="s">
        <v>433</v>
      </c>
      <c r="O4761" s="27" t="str">
        <f>HYPERLINK("https://www.ncbi.nlm.nih.gov/nuccore/NZ_JOBF01000017.1?report=graph&amp;from=90824&amp;to=90828", "TTA_codon")</f>
        <v>TTA_codon</v>
      </c>
    </row>
    <row r="4762" spans="1:15" x14ac:dyDescent="0.15">
      <c r="A4762" t="s">
        <v>21</v>
      </c>
      <c r="B4762" t="s">
        <v>3660</v>
      </c>
    </row>
    <row r="4763" spans="1:15" x14ac:dyDescent="0.15">
      <c r="A4763" t="s">
        <v>21</v>
      </c>
      <c r="B4763">
        <v>1001545</v>
      </c>
      <c r="C4763">
        <v>366951</v>
      </c>
      <c r="F4763" s="7">
        <v>1</v>
      </c>
      <c r="G4763" s="7">
        <v>1531</v>
      </c>
      <c r="H4763" s="8">
        <v>1531</v>
      </c>
      <c r="J4763" t="s">
        <v>23</v>
      </c>
      <c r="K4763" s="7">
        <v>1722</v>
      </c>
      <c r="L4763" s="9">
        <v>1</v>
      </c>
      <c r="M4763" t="s">
        <v>220</v>
      </c>
      <c r="N4763" t="s">
        <v>221</v>
      </c>
      <c r="O4763" s="27" t="str">
        <f>HYPERLINK("https://www.ncbi.nlm.nih.gov/nuccore/MH576964.1?report=graph&amp;from=24093&amp;to=24097", "TTA_codon")</f>
        <v>TTA_codon</v>
      </c>
    </row>
    <row r="4764" spans="1:15" x14ac:dyDescent="0.15">
      <c r="A4764" t="s">
        <v>21</v>
      </c>
      <c r="B4764">
        <v>1001545</v>
      </c>
      <c r="C4764">
        <v>367107</v>
      </c>
      <c r="F4764" s="7">
        <v>1</v>
      </c>
      <c r="G4764" s="7">
        <v>1531</v>
      </c>
      <c r="H4764" s="8">
        <v>1531</v>
      </c>
      <c r="J4764" t="s">
        <v>23</v>
      </c>
      <c r="K4764" s="7">
        <v>1722</v>
      </c>
      <c r="L4764" s="9">
        <v>1</v>
      </c>
      <c r="M4764" t="s">
        <v>232</v>
      </c>
      <c r="N4764" t="s">
        <v>233</v>
      </c>
      <c r="O4764" s="27" t="str">
        <f>HYPERLINK("https://www.ncbi.nlm.nih.gov/nuccore/MN369757.1?report=graph&amp;from=24246&amp;to=24250", "TTA_codon")</f>
        <v>TTA_codon</v>
      </c>
    </row>
    <row r="4765" spans="1:15" x14ac:dyDescent="0.15">
      <c r="A4765" t="s">
        <v>21</v>
      </c>
      <c r="B4765">
        <v>1001545</v>
      </c>
      <c r="C4765">
        <v>367207</v>
      </c>
      <c r="F4765" s="7">
        <v>2</v>
      </c>
      <c r="G4765" s="7" t="s">
        <v>3661</v>
      </c>
      <c r="H4765" s="8" t="s">
        <v>3661</v>
      </c>
      <c r="J4765" t="s">
        <v>23</v>
      </c>
      <c r="K4765" s="7">
        <v>1722</v>
      </c>
      <c r="L4765" s="9">
        <v>1</v>
      </c>
      <c r="M4765" t="s">
        <v>236</v>
      </c>
      <c r="N4765" t="s">
        <v>237</v>
      </c>
      <c r="O4765" s="27" t="str">
        <f>HYPERLINK("https://www.ncbi.nlm.nih.gov/nuccore/MW291014.1?report=graph&amp;from=22744&amp;to=23729", "TTA_codon")</f>
        <v>TTA_codon</v>
      </c>
    </row>
    <row r="4766" spans="1:15" x14ac:dyDescent="0.15">
      <c r="A4766" t="s">
        <v>21</v>
      </c>
      <c r="B4766">
        <v>1001545</v>
      </c>
      <c r="C4766">
        <v>367234</v>
      </c>
      <c r="F4766" s="7">
        <v>1</v>
      </c>
      <c r="G4766" s="7">
        <v>1531</v>
      </c>
      <c r="H4766" s="8">
        <v>1531</v>
      </c>
      <c r="J4766" t="s">
        <v>23</v>
      </c>
      <c r="K4766" s="7">
        <v>1722</v>
      </c>
      <c r="L4766" s="9">
        <v>1</v>
      </c>
      <c r="M4766" t="s">
        <v>238</v>
      </c>
      <c r="N4766" t="s">
        <v>239</v>
      </c>
      <c r="O4766" s="27" t="str">
        <f>HYPERLINK("https://www.ncbi.nlm.nih.gov/nuccore/MW507134.1?report=graph&amp;from=24091&amp;to=24095", "TTA_codon")</f>
        <v>TTA_codon</v>
      </c>
    </row>
    <row r="4767" spans="1:15" x14ac:dyDescent="0.15">
      <c r="A4767" t="s">
        <v>21</v>
      </c>
      <c r="B4767" t="s">
        <v>3662</v>
      </c>
    </row>
    <row r="4768" spans="1:15" x14ac:dyDescent="0.15">
      <c r="A4768" t="s">
        <v>21</v>
      </c>
      <c r="B4768">
        <v>1000893</v>
      </c>
      <c r="C4768">
        <v>352885</v>
      </c>
      <c r="F4768" s="7">
        <v>1</v>
      </c>
      <c r="G4768" s="7">
        <v>97</v>
      </c>
      <c r="H4768" s="8">
        <v>97</v>
      </c>
      <c r="J4768" t="s">
        <v>23</v>
      </c>
      <c r="K4768" s="7">
        <v>993</v>
      </c>
      <c r="L4768" s="9">
        <v>1</v>
      </c>
      <c r="M4768" t="s">
        <v>3663</v>
      </c>
      <c r="N4768" t="s">
        <v>306</v>
      </c>
      <c r="O4768" s="27" t="str">
        <f>HYPERLINK("https://www.ncbi.nlm.nih.gov/nuccore/NZ_KL571118.1?report=graph&amp;from=21841&amp;to=21845", "TTA_codon")</f>
        <v>TTA_codon</v>
      </c>
    </row>
    <row r="4769" spans="1:15" x14ac:dyDescent="0.15">
      <c r="A4769" t="s">
        <v>21</v>
      </c>
      <c r="B4769">
        <v>1000893</v>
      </c>
      <c r="C4769">
        <v>353751</v>
      </c>
      <c r="F4769" s="7">
        <v>1</v>
      </c>
      <c r="G4769" s="7">
        <v>97</v>
      </c>
      <c r="H4769" s="8">
        <v>97</v>
      </c>
      <c r="J4769" t="s">
        <v>23</v>
      </c>
      <c r="K4769" s="7">
        <v>984</v>
      </c>
      <c r="L4769" s="9">
        <v>1</v>
      </c>
      <c r="M4769" t="s">
        <v>3664</v>
      </c>
      <c r="N4769" t="s">
        <v>246</v>
      </c>
      <c r="O4769" s="27" t="str">
        <f>HYPERLINK("https://www.ncbi.nlm.nih.gov/nuccore/NZ_JNYR01000035.1?report=graph&amp;from=40659&amp;to=40663", "TTA_codon")</f>
        <v>TTA_codon</v>
      </c>
    </row>
    <row r="4770" spans="1:15" x14ac:dyDescent="0.15">
      <c r="A4770" t="s">
        <v>21</v>
      </c>
      <c r="B4770" t="s">
        <v>3665</v>
      </c>
    </row>
    <row r="4771" spans="1:15" x14ac:dyDescent="0.15">
      <c r="A4771" t="s">
        <v>21</v>
      </c>
      <c r="B4771">
        <v>1000945</v>
      </c>
      <c r="C4771">
        <v>352001</v>
      </c>
      <c r="F4771" s="7">
        <v>1</v>
      </c>
      <c r="G4771" s="7">
        <v>667</v>
      </c>
      <c r="H4771" s="8">
        <v>667</v>
      </c>
      <c r="J4771" t="s">
        <v>23</v>
      </c>
      <c r="K4771" s="7">
        <v>879</v>
      </c>
      <c r="L4771" s="9">
        <v>-1</v>
      </c>
      <c r="M4771" t="s">
        <v>3666</v>
      </c>
      <c r="N4771" t="s">
        <v>68</v>
      </c>
      <c r="O4771" s="27" t="str">
        <f>HYPERLINK("https://www.ncbi.nlm.nih.gov/nuccore/NZ_BARG01000085.1?report=graph&amp;from=16223&amp;to=16227", "TTA_codon")</f>
        <v>TTA_codon</v>
      </c>
    </row>
    <row r="4772" spans="1:15" x14ac:dyDescent="0.15">
      <c r="A4772" t="s">
        <v>21</v>
      </c>
      <c r="B4772">
        <v>1000945</v>
      </c>
      <c r="C4772">
        <v>353460</v>
      </c>
      <c r="F4772" s="7">
        <v>1</v>
      </c>
      <c r="G4772" s="7">
        <v>262</v>
      </c>
      <c r="H4772" s="8">
        <v>262</v>
      </c>
      <c r="J4772" t="s">
        <v>23</v>
      </c>
      <c r="K4772" s="7">
        <v>876</v>
      </c>
      <c r="L4772" s="9">
        <v>-1</v>
      </c>
      <c r="M4772" t="s">
        <v>285</v>
      </c>
      <c r="N4772" t="s">
        <v>169</v>
      </c>
      <c r="O4772" s="27" t="str">
        <f>HYPERLINK("https://www.ncbi.nlm.nih.gov/nuccore/NZ_JNWJ01000002.1?report=graph&amp;from=325535&amp;to=325539", "TTA_codon")</f>
        <v>TTA_codon</v>
      </c>
    </row>
    <row r="4773" spans="1:15" x14ac:dyDescent="0.15">
      <c r="A4773" t="s">
        <v>21</v>
      </c>
      <c r="B4773">
        <v>1000945</v>
      </c>
      <c r="C4773">
        <v>359237</v>
      </c>
      <c r="F4773" s="7">
        <v>2</v>
      </c>
      <c r="G4773" s="7" t="s">
        <v>3667</v>
      </c>
      <c r="H4773" s="8" t="s">
        <v>3667</v>
      </c>
      <c r="J4773" t="s">
        <v>23</v>
      </c>
      <c r="K4773" s="7">
        <v>897</v>
      </c>
      <c r="L4773" s="9">
        <v>-1</v>
      </c>
      <c r="M4773" t="s">
        <v>3668</v>
      </c>
      <c r="N4773" t="s">
        <v>451</v>
      </c>
      <c r="O4773" s="27" t="str">
        <f>HYPERLINK("https://www.ncbi.nlm.nih.gov/nuccore/NZ_LIQZ01000136.1?report=graph&amp;from=3376&amp;to=3707", "TTA_codon")</f>
        <v>TTA_codon</v>
      </c>
    </row>
    <row r="4774" spans="1:15" x14ac:dyDescent="0.15">
      <c r="A4774" t="s">
        <v>21</v>
      </c>
      <c r="B4774" t="s">
        <v>3669</v>
      </c>
    </row>
    <row r="4775" spans="1:15" x14ac:dyDescent="0.15">
      <c r="A4775" t="s">
        <v>21</v>
      </c>
      <c r="B4775">
        <v>1001017</v>
      </c>
      <c r="C4775">
        <v>347326</v>
      </c>
      <c r="F4775" s="7">
        <v>2</v>
      </c>
      <c r="G4775" s="7" t="s">
        <v>3670</v>
      </c>
      <c r="H4775" s="8" t="s">
        <v>3671</v>
      </c>
      <c r="J4775" t="s">
        <v>23</v>
      </c>
      <c r="K4775" s="7">
        <v>1914</v>
      </c>
      <c r="L4775" s="9">
        <v>-1</v>
      </c>
      <c r="M4775" t="s">
        <v>53</v>
      </c>
      <c r="N4775" t="s">
        <v>54</v>
      </c>
      <c r="O4775" s="27" t="str">
        <f>HYPERLINK("https://www.ncbi.nlm.nih.gov/nuccore/NC_003155.5?report=graph&amp;from=3857157&amp;to=3858226", "TTA_codon")</f>
        <v>TTA_codon</v>
      </c>
    </row>
    <row r="4776" spans="1:15" x14ac:dyDescent="0.15">
      <c r="A4776" t="s">
        <v>21</v>
      </c>
      <c r="B4776">
        <v>1001017</v>
      </c>
      <c r="C4776">
        <v>349790</v>
      </c>
      <c r="F4776" s="7">
        <v>1</v>
      </c>
      <c r="G4776" s="7">
        <v>922</v>
      </c>
      <c r="H4776" s="8">
        <v>709</v>
      </c>
      <c r="J4776" t="s">
        <v>23</v>
      </c>
      <c r="K4776" s="7">
        <v>1467</v>
      </c>
      <c r="L4776" s="9">
        <v>-1</v>
      </c>
      <c r="M4776" t="s">
        <v>265</v>
      </c>
      <c r="N4776" t="s">
        <v>266</v>
      </c>
      <c r="O4776" s="27" t="str">
        <f>HYPERLINK("https://www.ncbi.nlm.nih.gov/nuccore/NC_017586.1?report=graph&amp;from=6225718&amp;to=6225722", "TTA_codon")</f>
        <v>TTA_codon</v>
      </c>
    </row>
    <row r="4777" spans="1:15" x14ac:dyDescent="0.15">
      <c r="A4777" t="s">
        <v>21</v>
      </c>
      <c r="B4777">
        <v>1001017</v>
      </c>
      <c r="C4777">
        <v>354361</v>
      </c>
      <c r="F4777" s="7">
        <v>1</v>
      </c>
      <c r="G4777" s="7">
        <v>631</v>
      </c>
      <c r="H4777" s="8">
        <v>538</v>
      </c>
      <c r="J4777" t="s">
        <v>23</v>
      </c>
      <c r="K4777" s="7">
        <v>1005</v>
      </c>
      <c r="L4777" s="9">
        <v>-1</v>
      </c>
      <c r="M4777" t="s">
        <v>1179</v>
      </c>
      <c r="N4777" t="s">
        <v>142</v>
      </c>
      <c r="O4777" s="27" t="str">
        <f>HYPERLINK("https://www.ncbi.nlm.nih.gov/nuccore/NZ_JOEI01000014.1?report=graph&amp;from=114754&amp;to=114758", "TTA_codon")</f>
        <v>TTA_codon</v>
      </c>
    </row>
    <row r="4778" spans="1:15" x14ac:dyDescent="0.15">
      <c r="A4778" t="s">
        <v>21</v>
      </c>
      <c r="B4778" t="s">
        <v>3672</v>
      </c>
    </row>
    <row r="4779" spans="1:15" x14ac:dyDescent="0.15">
      <c r="A4779" t="s">
        <v>21</v>
      </c>
      <c r="B4779">
        <v>1001393</v>
      </c>
      <c r="C4779">
        <v>361875</v>
      </c>
      <c r="F4779" s="7">
        <v>1</v>
      </c>
      <c r="G4779" s="7">
        <v>616</v>
      </c>
      <c r="H4779" s="8">
        <v>355</v>
      </c>
      <c r="J4779" t="s">
        <v>23</v>
      </c>
      <c r="K4779" s="7">
        <v>1407</v>
      </c>
      <c r="L4779" s="9">
        <v>1</v>
      </c>
      <c r="M4779" t="s">
        <v>3673</v>
      </c>
      <c r="N4779" t="s">
        <v>187</v>
      </c>
      <c r="O4779" s="27" t="str">
        <f>HYPERLINK("https://www.ncbi.nlm.nih.gov/nuccore/NZ_MAXF01000182.1?report=graph&amp;from=8264&amp;to=8268", "TTA_codon")</f>
        <v>TTA_codon</v>
      </c>
    </row>
    <row r="4780" spans="1:15" x14ac:dyDescent="0.15">
      <c r="A4780" t="s">
        <v>21</v>
      </c>
      <c r="B4780">
        <v>1001393</v>
      </c>
      <c r="C4780">
        <v>366244</v>
      </c>
      <c r="F4780" s="7">
        <v>2</v>
      </c>
      <c r="G4780" s="7" t="s">
        <v>3674</v>
      </c>
      <c r="H4780" s="8" t="s">
        <v>3675</v>
      </c>
      <c r="J4780" t="s">
        <v>23</v>
      </c>
      <c r="K4780" s="7">
        <v>1566</v>
      </c>
      <c r="L4780" s="9">
        <v>1</v>
      </c>
      <c r="M4780" t="s">
        <v>535</v>
      </c>
      <c r="N4780" t="s">
        <v>47</v>
      </c>
      <c r="O4780" s="27" t="str">
        <f>HYPERLINK("https://www.ncbi.nlm.nih.gov/nuccore/NZ_FOLM01000004.1?report=graph&amp;from=168914&amp;to=169284", "TTA_codon")</f>
        <v>TTA_codon</v>
      </c>
    </row>
    <row r="4781" spans="1:15" x14ac:dyDescent="0.15">
      <c r="A4781" t="s">
        <v>21</v>
      </c>
      <c r="B4781" t="s">
        <v>3676</v>
      </c>
    </row>
    <row r="4782" spans="1:15" x14ac:dyDescent="0.15">
      <c r="A4782" t="s">
        <v>21</v>
      </c>
      <c r="B4782">
        <v>1001158</v>
      </c>
      <c r="C4782">
        <v>356304</v>
      </c>
      <c r="F4782" s="7">
        <v>1</v>
      </c>
      <c r="G4782" s="7">
        <v>256</v>
      </c>
      <c r="H4782" s="8">
        <v>256</v>
      </c>
      <c r="J4782" t="s">
        <v>23</v>
      </c>
      <c r="K4782" s="7">
        <v>333</v>
      </c>
      <c r="L4782" s="9">
        <v>1</v>
      </c>
      <c r="M4782" t="s">
        <v>340</v>
      </c>
      <c r="N4782" t="s">
        <v>77</v>
      </c>
      <c r="O4782" s="27" t="str">
        <f>HYPERLINK("https://www.ncbi.nlm.nih.gov/nuccore/NZ_JNXD01000002.1?report=graph&amp;from=214477&amp;to=214481", "TTA_codon")</f>
        <v>TTA_codon</v>
      </c>
    </row>
    <row r="4783" spans="1:15" x14ac:dyDescent="0.15">
      <c r="A4783" t="s">
        <v>21</v>
      </c>
      <c r="B4783">
        <v>1001158</v>
      </c>
      <c r="C4783">
        <v>357880</v>
      </c>
      <c r="F4783" s="7">
        <v>1</v>
      </c>
      <c r="G4783" s="7">
        <v>256</v>
      </c>
      <c r="H4783" s="8">
        <v>256</v>
      </c>
      <c r="J4783" t="s">
        <v>23</v>
      </c>
      <c r="K4783" s="7">
        <v>351</v>
      </c>
      <c r="L4783" s="9">
        <v>1</v>
      </c>
      <c r="M4783" t="s">
        <v>2903</v>
      </c>
      <c r="N4783" t="s">
        <v>83</v>
      </c>
      <c r="O4783" s="27" t="str">
        <f>HYPERLINK("https://www.ncbi.nlm.nih.gov/nuccore/NZ_DF968312.1?report=graph&amp;from=8893&amp;to=8897", "TTA_codon")</f>
        <v>TTA_codon</v>
      </c>
    </row>
    <row r="4784" spans="1:15" x14ac:dyDescent="0.15">
      <c r="A4784" t="s">
        <v>21</v>
      </c>
      <c r="B4784" t="s">
        <v>3677</v>
      </c>
    </row>
    <row r="4785" spans="1:15" x14ac:dyDescent="0.15">
      <c r="A4785" t="s">
        <v>21</v>
      </c>
      <c r="B4785">
        <v>1001188</v>
      </c>
      <c r="C4785">
        <v>356678</v>
      </c>
      <c r="F4785" s="7">
        <v>1</v>
      </c>
      <c r="G4785" s="7">
        <v>565</v>
      </c>
      <c r="H4785" s="8">
        <v>565</v>
      </c>
      <c r="J4785" t="s">
        <v>23</v>
      </c>
      <c r="K4785" s="7">
        <v>2847</v>
      </c>
      <c r="L4785" s="9">
        <v>-1</v>
      </c>
      <c r="M4785" t="s">
        <v>147</v>
      </c>
      <c r="N4785" t="s">
        <v>148</v>
      </c>
      <c r="O4785" s="27" t="str">
        <f>HYPERLINK("https://www.ncbi.nlm.nih.gov/nuccore/NZ_CP021080.1?report=graph&amp;from=886949&amp;to=886953", "TTA_codon")</f>
        <v>TTA_codon</v>
      </c>
    </row>
    <row r="4786" spans="1:15" x14ac:dyDescent="0.15">
      <c r="A4786" t="s">
        <v>21</v>
      </c>
      <c r="B4786">
        <v>1001188</v>
      </c>
      <c r="C4786">
        <v>359310</v>
      </c>
      <c r="F4786" s="7">
        <v>1</v>
      </c>
      <c r="G4786" s="7">
        <v>493</v>
      </c>
      <c r="H4786" s="8">
        <v>490</v>
      </c>
      <c r="J4786" t="s">
        <v>23</v>
      </c>
      <c r="K4786" s="7">
        <v>2426</v>
      </c>
      <c r="L4786" s="9">
        <v>-1</v>
      </c>
      <c r="M4786" t="s">
        <v>3678</v>
      </c>
      <c r="N4786" t="s">
        <v>89</v>
      </c>
      <c r="O4786" s="27" t="str">
        <f>HYPERLINK("https://www.ncbi.nlm.nih.gov/nuccore/NZ_LIRG01000545.1?report=graph&amp;from=1946&amp;to=1950", "TTA_codon")</f>
        <v>TTA_codon</v>
      </c>
    </row>
    <row r="4787" spans="1:15" x14ac:dyDescent="0.15">
      <c r="A4787" t="s">
        <v>21</v>
      </c>
      <c r="B4787" t="s">
        <v>3679</v>
      </c>
    </row>
    <row r="4788" spans="1:15" x14ac:dyDescent="0.15">
      <c r="A4788" t="s">
        <v>21</v>
      </c>
      <c r="B4788">
        <v>1001156</v>
      </c>
      <c r="C4788">
        <v>356294</v>
      </c>
      <c r="F4788" s="7">
        <v>1</v>
      </c>
      <c r="G4788" s="7">
        <v>223</v>
      </c>
      <c r="H4788" s="8">
        <v>223</v>
      </c>
      <c r="J4788" t="s">
        <v>23</v>
      </c>
      <c r="K4788" s="7">
        <v>2058</v>
      </c>
      <c r="L4788" s="9">
        <v>1</v>
      </c>
      <c r="M4788" t="s">
        <v>3680</v>
      </c>
      <c r="N4788" t="s">
        <v>77</v>
      </c>
      <c r="O4788" s="27" t="str">
        <f>HYPERLINK("https://www.ncbi.nlm.nih.gov/nuccore/NZ_JNXD01000027.1?report=graph&amp;from=116696&amp;to=116700", "TTA_codon")</f>
        <v>TTA_codon</v>
      </c>
    </row>
    <row r="4789" spans="1:15" x14ac:dyDescent="0.15">
      <c r="A4789" t="s">
        <v>21</v>
      </c>
      <c r="B4789">
        <v>1001156</v>
      </c>
      <c r="C4789">
        <v>357804</v>
      </c>
      <c r="F4789" s="7">
        <v>1</v>
      </c>
      <c r="G4789" s="7">
        <v>223</v>
      </c>
      <c r="H4789" s="8">
        <v>70</v>
      </c>
      <c r="J4789" t="s">
        <v>23</v>
      </c>
      <c r="K4789" s="7">
        <v>1917</v>
      </c>
      <c r="L4789" s="9">
        <v>1</v>
      </c>
      <c r="M4789" t="s">
        <v>1961</v>
      </c>
      <c r="N4789" t="s">
        <v>83</v>
      </c>
      <c r="O4789" s="27" t="str">
        <f>HYPERLINK("https://www.ncbi.nlm.nih.gov/nuccore/NZ_DF968257.1?report=graph&amp;from=19674&amp;to=19678", "TTA_codon")</f>
        <v>TTA_codon</v>
      </c>
    </row>
    <row r="4790" spans="1:15" x14ac:dyDescent="0.15">
      <c r="A4790" t="s">
        <v>21</v>
      </c>
      <c r="B4790" t="s">
        <v>3681</v>
      </c>
    </row>
    <row r="4791" spans="1:15" x14ac:dyDescent="0.15">
      <c r="A4791" t="s">
        <v>21</v>
      </c>
      <c r="B4791">
        <v>1000885</v>
      </c>
      <c r="C4791">
        <v>352797</v>
      </c>
      <c r="F4791" s="7">
        <v>1</v>
      </c>
      <c r="G4791" s="7">
        <v>37</v>
      </c>
      <c r="H4791" s="8">
        <v>37</v>
      </c>
      <c r="J4791" t="s">
        <v>23</v>
      </c>
      <c r="K4791" s="7">
        <v>915</v>
      </c>
      <c r="L4791" s="9">
        <v>1</v>
      </c>
      <c r="M4791" t="s">
        <v>472</v>
      </c>
      <c r="N4791" t="s">
        <v>473</v>
      </c>
      <c r="O4791" s="27" t="str">
        <f>HYPERLINK("https://www.ncbi.nlm.nih.gov/nuccore/NZ_ASHX02000001.1?report=graph&amp;from=3439016&amp;to=3439020", "TTA_codon")</f>
        <v>TTA_codon</v>
      </c>
    </row>
    <row r="4792" spans="1:15" x14ac:dyDescent="0.15">
      <c r="A4792" t="s">
        <v>21</v>
      </c>
      <c r="B4792">
        <v>1000885</v>
      </c>
      <c r="C4792">
        <v>365383</v>
      </c>
      <c r="F4792" s="7">
        <v>1</v>
      </c>
      <c r="G4792" s="7">
        <v>37</v>
      </c>
      <c r="H4792" s="8">
        <v>37</v>
      </c>
      <c r="J4792" t="s">
        <v>23</v>
      </c>
      <c r="K4792" s="7">
        <v>912</v>
      </c>
      <c r="L4792" s="9">
        <v>1</v>
      </c>
      <c r="M4792" t="s">
        <v>3682</v>
      </c>
      <c r="N4792" t="s">
        <v>129</v>
      </c>
      <c r="O4792" s="27" t="str">
        <f>HYPERLINK("https://www.ncbi.nlm.nih.gov/nuccore/NZ_FNHI01000018.1?report=graph&amp;from=2984&amp;to=2988", "TTA_codon")</f>
        <v>TTA_codon</v>
      </c>
    </row>
    <row r="4793" spans="1:15" x14ac:dyDescent="0.15">
      <c r="A4793" t="s">
        <v>21</v>
      </c>
      <c r="B4793" t="s">
        <v>3683</v>
      </c>
    </row>
    <row r="4794" spans="1:15" x14ac:dyDescent="0.15">
      <c r="A4794" t="s">
        <v>21</v>
      </c>
      <c r="B4794">
        <v>1000601</v>
      </c>
      <c r="C4794">
        <v>350272</v>
      </c>
      <c r="F4794" s="7">
        <v>1</v>
      </c>
      <c r="G4794" s="7">
        <v>1267</v>
      </c>
      <c r="H4794" s="8">
        <v>1258</v>
      </c>
      <c r="J4794" t="s">
        <v>23</v>
      </c>
      <c r="K4794" s="7">
        <v>1977</v>
      </c>
      <c r="L4794" s="9">
        <v>-1</v>
      </c>
      <c r="M4794" t="s">
        <v>35</v>
      </c>
      <c r="N4794" t="s">
        <v>36</v>
      </c>
      <c r="O4794" s="27" t="str">
        <f>HYPERLINK("https://www.ncbi.nlm.nih.gov/nuccore/NZ_JH725387.1?report=graph&amp;from=1217155&amp;to=1217159", "TTA_codon")</f>
        <v>TTA_codon</v>
      </c>
    </row>
    <row r="4795" spans="1:15" x14ac:dyDescent="0.15">
      <c r="A4795" t="s">
        <v>21</v>
      </c>
      <c r="B4795">
        <v>1000601</v>
      </c>
      <c r="C4795">
        <v>356186</v>
      </c>
      <c r="F4795" s="7">
        <v>1</v>
      </c>
      <c r="G4795" s="7">
        <v>1288</v>
      </c>
      <c r="H4795" s="8">
        <v>1207</v>
      </c>
      <c r="J4795" t="s">
        <v>23</v>
      </c>
      <c r="K4795" s="7">
        <v>1905</v>
      </c>
      <c r="L4795" s="9">
        <v>-1</v>
      </c>
      <c r="M4795" t="s">
        <v>1459</v>
      </c>
      <c r="N4795" t="s">
        <v>77</v>
      </c>
      <c r="O4795" s="27" t="str">
        <f>HYPERLINK("https://www.ncbi.nlm.nih.gov/nuccore/NZ_JNXD01000005.1?report=graph&amp;from=261116&amp;to=261120", "TTA_codon")</f>
        <v>TTA_codon</v>
      </c>
    </row>
    <row r="4796" spans="1:15" x14ac:dyDescent="0.15">
      <c r="A4796" t="s">
        <v>21</v>
      </c>
      <c r="B4796" t="s">
        <v>3684</v>
      </c>
    </row>
    <row r="4797" spans="1:15" x14ac:dyDescent="0.15">
      <c r="A4797" t="s">
        <v>21</v>
      </c>
      <c r="B4797">
        <v>1000421</v>
      </c>
      <c r="C4797">
        <v>348638</v>
      </c>
      <c r="F4797" s="7">
        <v>1</v>
      </c>
      <c r="G4797" s="7">
        <v>73</v>
      </c>
      <c r="H4797" s="8">
        <v>55</v>
      </c>
      <c r="J4797" t="s">
        <v>23</v>
      </c>
      <c r="K4797" s="7">
        <v>2118</v>
      </c>
      <c r="L4797" s="9">
        <v>-1</v>
      </c>
      <c r="M4797" t="s">
        <v>61</v>
      </c>
      <c r="N4797" t="s">
        <v>62</v>
      </c>
      <c r="O4797" s="27" t="str">
        <f>HYPERLINK("https://www.ncbi.nlm.nih.gov/nuccore/NZ_DS999641.1?report=graph&amp;from=7327948&amp;to=7327952", "TTA_codon")</f>
        <v>TTA_codon</v>
      </c>
    </row>
    <row r="4798" spans="1:15" x14ac:dyDescent="0.15">
      <c r="A4798" t="s">
        <v>21</v>
      </c>
      <c r="B4798">
        <v>1000421</v>
      </c>
      <c r="C4798">
        <v>349677</v>
      </c>
      <c r="F4798" s="7">
        <v>1</v>
      </c>
      <c r="G4798" s="7">
        <v>73</v>
      </c>
      <c r="H4798" s="8">
        <v>73</v>
      </c>
      <c r="J4798" t="s">
        <v>23</v>
      </c>
      <c r="K4798" s="7">
        <v>2019</v>
      </c>
      <c r="L4798" s="9">
        <v>-1</v>
      </c>
      <c r="M4798" t="s">
        <v>3685</v>
      </c>
      <c r="N4798" t="s">
        <v>335</v>
      </c>
      <c r="O4798" s="27" t="str">
        <f>HYPERLINK("https://www.ncbi.nlm.nih.gov/nuccore/NZ_AGBF01000288.1?report=graph&amp;from=2085&amp;to=2089", "TTA_codon")</f>
        <v>TTA_codon</v>
      </c>
    </row>
    <row r="4799" spans="1:15" x14ac:dyDescent="0.15">
      <c r="A4799" t="s">
        <v>21</v>
      </c>
      <c r="B4799" t="s">
        <v>3686</v>
      </c>
    </row>
    <row r="4800" spans="1:15" x14ac:dyDescent="0.15">
      <c r="A4800" t="s">
        <v>21</v>
      </c>
      <c r="B4800">
        <v>1001479</v>
      </c>
      <c r="C4800">
        <v>364295</v>
      </c>
      <c r="F4800" s="7">
        <v>1</v>
      </c>
      <c r="G4800" s="7">
        <v>235</v>
      </c>
      <c r="H4800" s="8">
        <v>235</v>
      </c>
      <c r="J4800" t="s">
        <v>23</v>
      </c>
      <c r="K4800" s="7">
        <v>987</v>
      </c>
      <c r="L4800" s="9">
        <v>1</v>
      </c>
      <c r="M4800" t="s">
        <v>105</v>
      </c>
      <c r="N4800" t="s">
        <v>106</v>
      </c>
      <c r="O4800" s="27" t="str">
        <f>HYPERLINK("https://www.ncbi.nlm.nih.gov/nuccore/NZ_CP020042.1?report=graph&amp;from=2957382&amp;to=2957386", "TTA_codon")</f>
        <v>TTA_codon</v>
      </c>
    </row>
    <row r="4801" spans="1:15" x14ac:dyDescent="0.15">
      <c r="A4801" t="s">
        <v>21</v>
      </c>
      <c r="B4801">
        <v>1001479</v>
      </c>
      <c r="C4801">
        <v>364296</v>
      </c>
      <c r="F4801" s="7">
        <v>1</v>
      </c>
      <c r="G4801" s="7">
        <v>235</v>
      </c>
      <c r="H4801" s="8">
        <v>235</v>
      </c>
      <c r="J4801" t="s">
        <v>23</v>
      </c>
      <c r="K4801" s="7">
        <v>987</v>
      </c>
      <c r="L4801" s="9">
        <v>1</v>
      </c>
      <c r="M4801" t="s">
        <v>105</v>
      </c>
      <c r="N4801" t="s">
        <v>106</v>
      </c>
      <c r="O4801" s="27" t="str">
        <f>HYPERLINK("https://www.ncbi.nlm.nih.gov/nuccore/NZ_CP020042.1?report=graph&amp;from=711916&amp;to=711920", "TTA_codon")</f>
        <v>TTA_codon</v>
      </c>
    </row>
    <row r="4802" spans="1:15" x14ac:dyDescent="0.15">
      <c r="A4802" t="s">
        <v>21</v>
      </c>
      <c r="B4802" t="s">
        <v>3687</v>
      </c>
    </row>
    <row r="4803" spans="1:15" x14ac:dyDescent="0.15">
      <c r="A4803" t="s">
        <v>21</v>
      </c>
      <c r="B4803">
        <v>1000001</v>
      </c>
      <c r="C4803">
        <v>320414</v>
      </c>
      <c r="F4803" s="7">
        <v>1</v>
      </c>
      <c r="G4803" s="7">
        <v>400</v>
      </c>
      <c r="H4803" s="8">
        <v>400</v>
      </c>
      <c r="J4803" t="s">
        <v>23</v>
      </c>
      <c r="K4803" s="7">
        <v>1956</v>
      </c>
      <c r="L4803" s="9">
        <v>1</v>
      </c>
      <c r="M4803" t="s">
        <v>30</v>
      </c>
      <c r="N4803" t="s">
        <v>31</v>
      </c>
      <c r="O4803" s="27" t="str">
        <f>HYPERLINK("https://www.ncbi.nlm.nih.gov/nuccore/NZ_KB913030.1?report=graph&amp;from=3013049&amp;to=3013053", "TTA_codon")</f>
        <v>TTA_codon</v>
      </c>
    </row>
    <row r="4804" spans="1:15" x14ac:dyDescent="0.15">
      <c r="A4804" t="s">
        <v>21</v>
      </c>
      <c r="B4804">
        <v>1000001</v>
      </c>
      <c r="C4804">
        <v>320415</v>
      </c>
      <c r="F4804" s="7">
        <v>2</v>
      </c>
      <c r="G4804" s="7" t="s">
        <v>3688</v>
      </c>
      <c r="H4804" s="8" t="s">
        <v>3689</v>
      </c>
      <c r="J4804" t="s">
        <v>23</v>
      </c>
      <c r="K4804" s="7">
        <v>1931</v>
      </c>
      <c r="L4804" s="9">
        <v>1</v>
      </c>
      <c r="M4804" t="s">
        <v>30</v>
      </c>
      <c r="N4804" t="s">
        <v>31</v>
      </c>
      <c r="O4804" s="27" t="str">
        <f>HYPERLINK("https://www.ncbi.nlm.nih.gov/nuccore/NZ_KB913030.1?report=graph&amp;from=3022736&amp;to=3023007", "TTA_codon")</f>
        <v>TTA_codon</v>
      </c>
    </row>
    <row r="4805" spans="1:15" x14ac:dyDescent="0.15">
      <c r="A4805" t="s">
        <v>195</v>
      </c>
      <c r="B4805" t="s">
        <v>3690</v>
      </c>
    </row>
    <row r="4806" spans="1:15" x14ac:dyDescent="0.15">
      <c r="A4806" t="s">
        <v>195</v>
      </c>
      <c r="B4806">
        <v>1000112</v>
      </c>
      <c r="C4806">
        <v>346748</v>
      </c>
      <c r="F4806" s="7">
        <v>1</v>
      </c>
      <c r="G4806" s="7">
        <v>181</v>
      </c>
      <c r="H4806" s="8">
        <v>178</v>
      </c>
      <c r="J4806" t="s">
        <v>23</v>
      </c>
      <c r="K4806" s="7">
        <v>1095</v>
      </c>
      <c r="L4806" s="9">
        <v>-1</v>
      </c>
      <c r="M4806" t="s">
        <v>1424</v>
      </c>
      <c r="N4806" t="s">
        <v>91</v>
      </c>
      <c r="O4806" s="27" t="str">
        <f>HYPERLINK("https://www.ncbi.nlm.nih.gov/nuccore/NZ_KQ948327.1?report=graph&amp;from=123361&amp;to=123365", "TTA_codon")</f>
        <v>TTA_codon</v>
      </c>
    </row>
    <row r="4807" spans="1:15" x14ac:dyDescent="0.15">
      <c r="A4807" t="s">
        <v>21</v>
      </c>
      <c r="B4807">
        <v>1000112</v>
      </c>
      <c r="C4807">
        <v>365469</v>
      </c>
      <c r="F4807" s="7">
        <v>2</v>
      </c>
      <c r="G4807" s="7" t="s">
        <v>3691</v>
      </c>
      <c r="H4807" s="8" t="s">
        <v>3691</v>
      </c>
      <c r="J4807" t="s">
        <v>23</v>
      </c>
      <c r="K4807" s="7">
        <v>1116</v>
      </c>
      <c r="L4807" s="9">
        <v>-1</v>
      </c>
      <c r="M4807" t="s">
        <v>2960</v>
      </c>
      <c r="N4807" t="s">
        <v>45</v>
      </c>
      <c r="O4807" s="27" t="str">
        <f>HYPERLINK("https://www.ncbi.nlm.nih.gov/nuccore/NZ_FNIE01000009.1?report=graph&amp;from=30765&amp;to=30823", "TTA_codon")</f>
        <v>TTA_codon</v>
      </c>
    </row>
    <row r="4808" spans="1:15" x14ac:dyDescent="0.15">
      <c r="A4808" t="s">
        <v>21</v>
      </c>
      <c r="B4808" t="s">
        <v>3692</v>
      </c>
    </row>
    <row r="4809" spans="1:15" x14ac:dyDescent="0.15">
      <c r="A4809" t="s">
        <v>21</v>
      </c>
      <c r="B4809">
        <v>1001226</v>
      </c>
      <c r="C4809">
        <v>357298</v>
      </c>
      <c r="F4809" s="7">
        <v>1</v>
      </c>
      <c r="G4809" s="7">
        <v>52</v>
      </c>
      <c r="H4809" s="8">
        <v>40</v>
      </c>
      <c r="J4809" t="s">
        <v>23</v>
      </c>
      <c r="K4809" s="7">
        <v>390</v>
      </c>
      <c r="L4809" s="9">
        <v>1</v>
      </c>
      <c r="M4809" t="s">
        <v>250</v>
      </c>
      <c r="N4809" t="s">
        <v>251</v>
      </c>
      <c r="O4809" s="27" t="str">
        <f>HYPERLINK("https://www.ncbi.nlm.nih.gov/nuccore/NZ_CP009922.2?report=graph&amp;from=1856707&amp;to=1856711", "TTA_codon")</f>
        <v>TTA_codon</v>
      </c>
    </row>
    <row r="4810" spans="1:15" x14ac:dyDescent="0.15">
      <c r="A4810" t="s">
        <v>21</v>
      </c>
      <c r="B4810">
        <v>1001226</v>
      </c>
      <c r="C4810">
        <v>357328</v>
      </c>
      <c r="F4810" s="7">
        <v>1</v>
      </c>
      <c r="G4810" s="7">
        <v>52</v>
      </c>
      <c r="H4810" s="8">
        <v>40</v>
      </c>
      <c r="J4810" t="s">
        <v>23</v>
      </c>
      <c r="K4810" s="7">
        <v>390</v>
      </c>
      <c r="L4810" s="9">
        <v>1</v>
      </c>
      <c r="M4810" t="s">
        <v>250</v>
      </c>
      <c r="N4810" t="s">
        <v>251</v>
      </c>
      <c r="O4810" s="27" t="str">
        <f>HYPERLINK("https://www.ncbi.nlm.nih.gov/nuccore/NZ_CP009922.2?report=graph&amp;from=3689857&amp;to=3689861", "TTA_codon")</f>
        <v>TTA_codon</v>
      </c>
    </row>
    <row r="4811" spans="1:15" x14ac:dyDescent="0.15">
      <c r="A4811" t="s">
        <v>21</v>
      </c>
      <c r="B4811">
        <v>1001226</v>
      </c>
      <c r="C4811">
        <v>357329</v>
      </c>
      <c r="F4811" s="7">
        <v>1</v>
      </c>
      <c r="G4811" s="7">
        <v>52</v>
      </c>
      <c r="H4811" s="8">
        <v>52</v>
      </c>
      <c r="J4811" t="s">
        <v>23</v>
      </c>
      <c r="K4811" s="7">
        <v>414</v>
      </c>
      <c r="L4811" s="9">
        <v>1</v>
      </c>
      <c r="M4811" t="s">
        <v>250</v>
      </c>
      <c r="N4811" t="s">
        <v>251</v>
      </c>
      <c r="O4811" s="27" t="str">
        <f>HYPERLINK("https://www.ncbi.nlm.nih.gov/nuccore/NZ_CP009922.2?report=graph&amp;from=1773298&amp;to=1773302", "TTA_codon")</f>
        <v>TTA_codon</v>
      </c>
    </row>
    <row r="4812" spans="1:15" x14ac:dyDescent="0.15">
      <c r="A4812" t="s">
        <v>21</v>
      </c>
      <c r="B4812" t="s">
        <v>3693</v>
      </c>
    </row>
    <row r="4813" spans="1:15" x14ac:dyDescent="0.15">
      <c r="A4813" t="s">
        <v>21</v>
      </c>
      <c r="B4813">
        <v>1001236</v>
      </c>
      <c r="C4813">
        <v>357525</v>
      </c>
      <c r="F4813" s="7">
        <v>1</v>
      </c>
      <c r="G4813" s="7">
        <v>463</v>
      </c>
      <c r="H4813" s="8">
        <v>382</v>
      </c>
      <c r="J4813" t="s">
        <v>23</v>
      </c>
      <c r="K4813" s="7">
        <v>708</v>
      </c>
      <c r="L4813" s="9">
        <v>1</v>
      </c>
      <c r="M4813" t="s">
        <v>3295</v>
      </c>
      <c r="N4813" t="s">
        <v>378</v>
      </c>
      <c r="O4813" s="27" t="str">
        <f>HYPERLINK("https://www.ncbi.nlm.nih.gov/nuccore/NZ_LFXA01000007.1?report=graph&amp;from=33829&amp;to=33833", "TTA_codon")</f>
        <v>TTA_codon</v>
      </c>
    </row>
    <row r="4814" spans="1:15" x14ac:dyDescent="0.15">
      <c r="A4814" t="s">
        <v>21</v>
      </c>
      <c r="B4814">
        <v>1001236</v>
      </c>
      <c r="C4814">
        <v>360011</v>
      </c>
      <c r="F4814" s="7">
        <v>1</v>
      </c>
      <c r="G4814" s="7">
        <v>463</v>
      </c>
      <c r="H4814" s="8">
        <v>448</v>
      </c>
      <c r="J4814" t="s">
        <v>23</v>
      </c>
      <c r="K4814" s="7">
        <v>780</v>
      </c>
      <c r="L4814" s="9">
        <v>1</v>
      </c>
      <c r="M4814" t="s">
        <v>1087</v>
      </c>
      <c r="N4814" t="s">
        <v>125</v>
      </c>
      <c r="O4814" s="27" t="str">
        <f>HYPERLINK("https://www.ncbi.nlm.nih.gov/nuccore/NZ_KQ948465.1?report=graph&amp;from=4855&amp;to=4859", "TTA_codon")</f>
        <v>TTA_codon</v>
      </c>
    </row>
    <row r="4815" spans="1:15" x14ac:dyDescent="0.15">
      <c r="A4815" t="s">
        <v>21</v>
      </c>
      <c r="B4815" t="s">
        <v>3694</v>
      </c>
    </row>
    <row r="4816" spans="1:15" x14ac:dyDescent="0.15">
      <c r="A4816" t="s">
        <v>21</v>
      </c>
      <c r="B4816">
        <v>1001087</v>
      </c>
      <c r="C4816">
        <v>350736</v>
      </c>
      <c r="F4816" s="7">
        <v>1</v>
      </c>
      <c r="G4816" s="7">
        <v>199</v>
      </c>
      <c r="H4816" s="8">
        <v>178</v>
      </c>
      <c r="J4816" t="s">
        <v>23</v>
      </c>
      <c r="K4816" s="7">
        <v>1356</v>
      </c>
      <c r="L4816" s="9">
        <v>-1</v>
      </c>
      <c r="M4816" t="s">
        <v>3695</v>
      </c>
      <c r="N4816" t="s">
        <v>51</v>
      </c>
      <c r="O4816" s="27" t="str">
        <f>HYPERLINK("https://www.ncbi.nlm.nih.gov/nuccore/NZ_AEJB01000559.1?report=graph&amp;from=22458&amp;to=22462", "TTA_codon")</f>
        <v>TTA_codon</v>
      </c>
    </row>
    <row r="4817" spans="1:15" x14ac:dyDescent="0.15">
      <c r="A4817" t="s">
        <v>21</v>
      </c>
      <c r="B4817">
        <v>1001087</v>
      </c>
      <c r="C4817">
        <v>355395</v>
      </c>
      <c r="F4817" s="7">
        <v>1</v>
      </c>
      <c r="G4817" s="7">
        <v>73</v>
      </c>
      <c r="H4817" s="8">
        <v>73</v>
      </c>
      <c r="J4817" t="s">
        <v>23</v>
      </c>
      <c r="K4817" s="7">
        <v>1365</v>
      </c>
      <c r="L4817" s="9">
        <v>-1</v>
      </c>
      <c r="M4817" t="s">
        <v>3696</v>
      </c>
      <c r="N4817" t="s">
        <v>198</v>
      </c>
      <c r="O4817" s="27" t="str">
        <f>HYPERLINK("https://www.ncbi.nlm.nih.gov/nuccore/NZ_JOFL01000029.1?report=graph&amp;from=41280&amp;to=41284", "TTA_codon")</f>
        <v>TTA_codon</v>
      </c>
    </row>
    <row r="4818" spans="1:15" x14ac:dyDescent="0.15">
      <c r="A4818" t="s">
        <v>21</v>
      </c>
      <c r="B4818" t="s">
        <v>3697</v>
      </c>
    </row>
    <row r="4819" spans="1:15" x14ac:dyDescent="0.15">
      <c r="A4819" t="s">
        <v>21</v>
      </c>
      <c r="B4819">
        <v>1000682</v>
      </c>
      <c r="C4819">
        <v>350842</v>
      </c>
      <c r="F4819" s="7">
        <v>1</v>
      </c>
      <c r="G4819" s="7">
        <v>280</v>
      </c>
      <c r="H4819" s="8">
        <v>280</v>
      </c>
      <c r="J4819" t="s">
        <v>23</v>
      </c>
      <c r="K4819" s="7">
        <v>828</v>
      </c>
      <c r="L4819" s="9">
        <v>-1</v>
      </c>
      <c r="M4819" t="s">
        <v>3698</v>
      </c>
      <c r="N4819" t="s">
        <v>51</v>
      </c>
      <c r="O4819" s="27" t="str">
        <f>HYPERLINK("https://www.ncbi.nlm.nih.gov/nuccore/NZ_AEJB01000380.1?report=graph&amp;from=11105&amp;to=11109", "TTA_codon")</f>
        <v>TTA_codon</v>
      </c>
    </row>
    <row r="4820" spans="1:15" x14ac:dyDescent="0.15">
      <c r="A4820" t="s">
        <v>21</v>
      </c>
      <c r="B4820">
        <v>1000682</v>
      </c>
      <c r="C4820">
        <v>360167</v>
      </c>
      <c r="F4820" s="7">
        <v>1</v>
      </c>
      <c r="G4820" s="7">
        <v>280</v>
      </c>
      <c r="H4820" s="8">
        <v>280</v>
      </c>
      <c r="J4820" t="s">
        <v>23</v>
      </c>
      <c r="K4820" s="7">
        <v>813</v>
      </c>
      <c r="L4820" s="9">
        <v>-1</v>
      </c>
      <c r="M4820" t="s">
        <v>1024</v>
      </c>
      <c r="N4820" t="s">
        <v>125</v>
      </c>
      <c r="O4820" s="27" t="str">
        <f>HYPERLINK("https://www.ncbi.nlm.nih.gov/nuccore/NZ_KQ948457.1?report=graph&amp;from=305601&amp;to=305605", "TTA_codon")</f>
        <v>TTA_codon</v>
      </c>
    </row>
    <row r="4821" spans="1:15" x14ac:dyDescent="0.15">
      <c r="A4821" t="s">
        <v>21</v>
      </c>
      <c r="B4821" t="s">
        <v>3699</v>
      </c>
    </row>
    <row r="4822" spans="1:15" x14ac:dyDescent="0.15">
      <c r="A4822" t="s">
        <v>21</v>
      </c>
      <c r="B4822">
        <v>1001457</v>
      </c>
      <c r="C4822">
        <v>363702</v>
      </c>
      <c r="F4822" s="7">
        <v>1</v>
      </c>
      <c r="G4822" s="7">
        <v>1435</v>
      </c>
      <c r="H4822" s="8">
        <v>1435</v>
      </c>
      <c r="J4822" t="s">
        <v>23</v>
      </c>
      <c r="K4822" s="7">
        <v>1488</v>
      </c>
      <c r="L4822" s="9">
        <v>1</v>
      </c>
      <c r="M4822" t="s">
        <v>101</v>
      </c>
      <c r="N4822" t="s">
        <v>102</v>
      </c>
      <c r="O4822" s="27" t="str">
        <f>HYPERLINK("https://www.ncbi.nlm.nih.gov/nuccore/NZ_CP019458.1?report=graph&amp;from=9202567&amp;to=9202571", "TTA_codon")</f>
        <v>TTA_codon</v>
      </c>
    </row>
    <row r="4823" spans="1:15" x14ac:dyDescent="0.15">
      <c r="A4823" t="s">
        <v>21</v>
      </c>
      <c r="B4823">
        <v>1001457</v>
      </c>
      <c r="C4823">
        <v>365659</v>
      </c>
      <c r="F4823" s="7">
        <v>1</v>
      </c>
      <c r="G4823" s="7">
        <v>1435</v>
      </c>
      <c r="H4823" s="8">
        <v>1417</v>
      </c>
      <c r="J4823" t="s">
        <v>23</v>
      </c>
      <c r="K4823" s="7">
        <v>1446</v>
      </c>
      <c r="L4823" s="9">
        <v>1</v>
      </c>
      <c r="M4823" t="s">
        <v>213</v>
      </c>
      <c r="N4823" t="s">
        <v>214</v>
      </c>
      <c r="O4823" s="27" t="str">
        <f>HYPERLINK("https://www.ncbi.nlm.nih.gov/nuccore/NZ_FNST01000002.1?report=graph&amp;from=6852395&amp;to=6852399", "TTA_codon")</f>
        <v>TTA_codon</v>
      </c>
    </row>
    <row r="4824" spans="1:15" x14ac:dyDescent="0.15">
      <c r="A4824" t="s">
        <v>21</v>
      </c>
      <c r="B4824" t="s">
        <v>3700</v>
      </c>
    </row>
    <row r="4825" spans="1:15" x14ac:dyDescent="0.15">
      <c r="A4825" t="s">
        <v>21</v>
      </c>
      <c r="B4825">
        <v>1001403</v>
      </c>
      <c r="C4825">
        <v>362094</v>
      </c>
      <c r="F4825" s="7">
        <v>1</v>
      </c>
      <c r="G4825" s="7">
        <v>127</v>
      </c>
      <c r="H4825" s="8">
        <v>127</v>
      </c>
      <c r="J4825" t="s">
        <v>23</v>
      </c>
      <c r="K4825" s="7">
        <v>429</v>
      </c>
      <c r="L4825" s="9">
        <v>-1</v>
      </c>
      <c r="M4825" t="s">
        <v>1778</v>
      </c>
      <c r="N4825" t="s">
        <v>187</v>
      </c>
      <c r="O4825" s="27" t="str">
        <f>HYPERLINK("https://www.ncbi.nlm.nih.gov/nuccore/NZ_MAXF01000209.1?report=graph&amp;from=1014&amp;to=1018", "TTA_codon")</f>
        <v>TTA_codon</v>
      </c>
    </row>
    <row r="4826" spans="1:15" x14ac:dyDescent="0.15">
      <c r="A4826" t="s">
        <v>21</v>
      </c>
      <c r="B4826">
        <v>1001403</v>
      </c>
      <c r="C4826">
        <v>362130</v>
      </c>
      <c r="F4826" s="7">
        <v>1</v>
      </c>
      <c r="G4826" s="7">
        <v>127</v>
      </c>
      <c r="H4826" s="8">
        <v>127</v>
      </c>
      <c r="J4826" t="s">
        <v>23</v>
      </c>
      <c r="K4826" s="7">
        <v>429</v>
      </c>
      <c r="L4826" s="9">
        <v>-1</v>
      </c>
      <c r="M4826" t="s">
        <v>1779</v>
      </c>
      <c r="N4826" t="s">
        <v>187</v>
      </c>
      <c r="O4826" s="27" t="str">
        <f>HYPERLINK("https://www.ncbi.nlm.nih.gov/nuccore/NZ_MAXF01000243.1?report=graph&amp;from=502&amp;to=506", "TTA_codon")</f>
        <v>TTA_codon</v>
      </c>
    </row>
    <row r="4827" spans="1:15" x14ac:dyDescent="0.15">
      <c r="A4827" t="s">
        <v>21</v>
      </c>
      <c r="B4827">
        <v>1001403</v>
      </c>
      <c r="C4827">
        <v>362142</v>
      </c>
      <c r="F4827" s="7">
        <v>1</v>
      </c>
      <c r="G4827" s="7">
        <v>127</v>
      </c>
      <c r="H4827" s="8">
        <v>127</v>
      </c>
      <c r="J4827" t="s">
        <v>23</v>
      </c>
      <c r="K4827" s="7">
        <v>429</v>
      </c>
      <c r="L4827" s="9">
        <v>-1</v>
      </c>
      <c r="M4827" t="s">
        <v>3701</v>
      </c>
      <c r="N4827" t="s">
        <v>187</v>
      </c>
      <c r="O4827" s="27" t="str">
        <f>HYPERLINK("https://www.ncbi.nlm.nih.gov/nuccore/NZ_MAXF01000208.1?report=graph&amp;from=5958&amp;to=5962", "TTA_codon")</f>
        <v>TTA_codon</v>
      </c>
    </row>
    <row r="4828" spans="1:15" x14ac:dyDescent="0.15">
      <c r="A4828" t="s">
        <v>21</v>
      </c>
      <c r="B4828" t="s">
        <v>3702</v>
      </c>
    </row>
    <row r="4829" spans="1:15" x14ac:dyDescent="0.15">
      <c r="A4829" t="s">
        <v>21</v>
      </c>
      <c r="B4829">
        <v>1000933</v>
      </c>
      <c r="C4829">
        <v>353290</v>
      </c>
      <c r="F4829" s="7">
        <v>1</v>
      </c>
      <c r="G4829" s="7">
        <v>55</v>
      </c>
      <c r="H4829" s="8">
        <v>55</v>
      </c>
      <c r="J4829" t="s">
        <v>23</v>
      </c>
      <c r="K4829" s="7">
        <v>1719</v>
      </c>
      <c r="L4829" s="9">
        <v>-1</v>
      </c>
      <c r="M4829" t="s">
        <v>2299</v>
      </c>
      <c r="N4829" t="s">
        <v>169</v>
      </c>
      <c r="O4829" s="27" t="str">
        <f>HYPERLINK("https://www.ncbi.nlm.nih.gov/nuccore/NZ_JNWJ01000013.1?report=graph&amp;from=186142&amp;to=186146", "TTA_codon")</f>
        <v>TTA_codon</v>
      </c>
    </row>
    <row r="4830" spans="1:15" x14ac:dyDescent="0.15">
      <c r="A4830" t="s">
        <v>21</v>
      </c>
      <c r="B4830">
        <v>1000933</v>
      </c>
      <c r="C4830">
        <v>357432</v>
      </c>
      <c r="F4830" s="7">
        <v>1</v>
      </c>
      <c r="G4830" s="7">
        <v>55</v>
      </c>
      <c r="H4830" s="8">
        <v>55</v>
      </c>
      <c r="J4830" t="s">
        <v>23</v>
      </c>
      <c r="K4830" s="7">
        <v>1719</v>
      </c>
      <c r="L4830" s="9">
        <v>-1</v>
      </c>
      <c r="M4830" t="s">
        <v>80</v>
      </c>
      <c r="N4830" t="s">
        <v>81</v>
      </c>
      <c r="O4830" s="27" t="str">
        <f>HYPERLINK("https://www.ncbi.nlm.nih.gov/nuccore/NZ_LN831790.1?report=graph&amp;from=5593391&amp;to=5593395", "TTA_codon")</f>
        <v>TTA_codon</v>
      </c>
    </row>
    <row r="4831" spans="1:15" x14ac:dyDescent="0.15">
      <c r="A4831" t="s">
        <v>21</v>
      </c>
      <c r="B4831" t="s">
        <v>3703</v>
      </c>
    </row>
    <row r="4832" spans="1:15" x14ac:dyDescent="0.15">
      <c r="A4832" t="s">
        <v>21</v>
      </c>
      <c r="B4832">
        <v>1000374</v>
      </c>
      <c r="C4832">
        <v>348280</v>
      </c>
      <c r="F4832" s="7">
        <v>1</v>
      </c>
      <c r="G4832" s="7">
        <v>331</v>
      </c>
      <c r="H4832" s="8">
        <v>331</v>
      </c>
      <c r="J4832" t="s">
        <v>23</v>
      </c>
      <c r="K4832" s="7">
        <v>2025</v>
      </c>
      <c r="L4832" s="9">
        <v>-1</v>
      </c>
      <c r="M4832" t="s">
        <v>59</v>
      </c>
      <c r="N4832" t="s">
        <v>60</v>
      </c>
      <c r="O4832" s="27" t="str">
        <f>HYPERLINK("https://www.ncbi.nlm.nih.gov/nuccore/NC_016582.1?report=graph&amp;from=6195139&amp;to=6195143", "TTA_codon")</f>
        <v>TTA_codon</v>
      </c>
    </row>
    <row r="4833" spans="1:15" x14ac:dyDescent="0.15">
      <c r="A4833" t="s">
        <v>21</v>
      </c>
      <c r="B4833">
        <v>1000374</v>
      </c>
      <c r="C4833">
        <v>363757</v>
      </c>
      <c r="F4833" s="7">
        <v>2</v>
      </c>
      <c r="G4833" s="7" t="s">
        <v>3704</v>
      </c>
      <c r="H4833" s="8" t="s">
        <v>3705</v>
      </c>
      <c r="J4833" t="s">
        <v>23</v>
      </c>
      <c r="K4833" s="7">
        <v>2046</v>
      </c>
      <c r="L4833" s="9">
        <v>-1</v>
      </c>
      <c r="M4833" t="s">
        <v>101</v>
      </c>
      <c r="N4833" t="s">
        <v>102</v>
      </c>
      <c r="O4833" s="27" t="str">
        <f>HYPERLINK("https://www.ncbi.nlm.nih.gov/nuccore/NZ_CP019458.1?report=graph&amp;from=5303287&amp;to=5303462", "TTA_codon")</f>
        <v>TTA_codon</v>
      </c>
    </row>
    <row r="4834" spans="1:15" x14ac:dyDescent="0.15">
      <c r="A4834" t="s">
        <v>21</v>
      </c>
      <c r="B4834">
        <v>1000374</v>
      </c>
      <c r="C4834">
        <v>365854</v>
      </c>
      <c r="F4834" s="7">
        <v>2</v>
      </c>
      <c r="G4834" s="7" t="s">
        <v>3704</v>
      </c>
      <c r="H4834" s="8" t="s">
        <v>3705</v>
      </c>
      <c r="J4834" t="s">
        <v>23</v>
      </c>
      <c r="K4834" s="7">
        <v>2094</v>
      </c>
      <c r="L4834" s="9">
        <v>-1</v>
      </c>
      <c r="M4834" t="s">
        <v>213</v>
      </c>
      <c r="N4834" t="s">
        <v>214</v>
      </c>
      <c r="O4834" s="27" t="str">
        <f>HYPERLINK("https://www.ncbi.nlm.nih.gov/nuccore/NZ_FNST01000002.1?report=graph&amp;from=2927310&amp;to=2927485", "TTA_codon")</f>
        <v>TTA_codon</v>
      </c>
    </row>
    <row r="4835" spans="1:15" x14ac:dyDescent="0.15">
      <c r="A4835" t="s">
        <v>21</v>
      </c>
      <c r="B4835" t="s">
        <v>3706</v>
      </c>
    </row>
    <row r="4836" spans="1:15" x14ac:dyDescent="0.15">
      <c r="A4836" t="s">
        <v>21</v>
      </c>
      <c r="B4836">
        <v>1001269</v>
      </c>
      <c r="C4836">
        <v>358187</v>
      </c>
      <c r="F4836" s="7">
        <v>1</v>
      </c>
      <c r="G4836" s="7">
        <v>298</v>
      </c>
      <c r="H4836" s="8">
        <v>298</v>
      </c>
      <c r="J4836" t="s">
        <v>23</v>
      </c>
      <c r="K4836" s="7">
        <v>435</v>
      </c>
      <c r="L4836" s="9">
        <v>-1</v>
      </c>
      <c r="M4836" t="s">
        <v>3707</v>
      </c>
      <c r="N4836" t="s">
        <v>119</v>
      </c>
      <c r="O4836" s="27" t="str">
        <f>HYPERLINK("https://www.ncbi.nlm.nih.gov/nuccore/NZ_LIPP01000077.1?report=graph&amp;from=14517&amp;to=14521", "TTA_codon")</f>
        <v>TTA_codon</v>
      </c>
    </row>
    <row r="4837" spans="1:15" x14ac:dyDescent="0.15">
      <c r="A4837" t="s">
        <v>21</v>
      </c>
      <c r="B4837">
        <v>1001269</v>
      </c>
      <c r="C4837">
        <v>364604</v>
      </c>
      <c r="F4837" s="7">
        <v>1</v>
      </c>
      <c r="G4837" s="7">
        <v>298</v>
      </c>
      <c r="H4837" s="8">
        <v>298</v>
      </c>
      <c r="J4837" t="s">
        <v>23</v>
      </c>
      <c r="K4837" s="7">
        <v>435</v>
      </c>
      <c r="L4837" s="9">
        <v>-1</v>
      </c>
      <c r="M4837" t="s">
        <v>3708</v>
      </c>
      <c r="N4837" t="s">
        <v>108</v>
      </c>
      <c r="O4837" s="27" t="str">
        <f>HYPERLINK("https://www.ncbi.nlm.nih.gov/nuccore/NZ_MUMD01000014.1?report=graph&amp;from=19406&amp;to=19410", "TTA_codon")</f>
        <v>TTA_codon</v>
      </c>
    </row>
    <row r="4838" spans="1:15" x14ac:dyDescent="0.15">
      <c r="A4838" t="s">
        <v>21</v>
      </c>
      <c r="B4838" t="s">
        <v>3709</v>
      </c>
    </row>
    <row r="4839" spans="1:15" x14ac:dyDescent="0.15">
      <c r="A4839" t="s">
        <v>21</v>
      </c>
      <c r="B4839">
        <v>1001005</v>
      </c>
      <c r="C4839">
        <v>354285</v>
      </c>
      <c r="F4839" s="7">
        <v>1</v>
      </c>
      <c r="G4839" s="7">
        <v>484</v>
      </c>
      <c r="H4839" s="8">
        <v>451</v>
      </c>
      <c r="J4839" t="s">
        <v>23</v>
      </c>
      <c r="K4839" s="7">
        <v>1029</v>
      </c>
      <c r="L4839" s="9">
        <v>1</v>
      </c>
      <c r="M4839" t="s">
        <v>1179</v>
      </c>
      <c r="N4839" t="s">
        <v>142</v>
      </c>
      <c r="O4839" s="27" t="str">
        <f>HYPERLINK("https://www.ncbi.nlm.nih.gov/nuccore/NZ_JOEI01000014.1?report=graph&amp;from=151756&amp;to=151760", "TTA_codon")</f>
        <v>TTA_codon</v>
      </c>
    </row>
    <row r="4840" spans="1:15" x14ac:dyDescent="0.15">
      <c r="A4840" t="s">
        <v>21</v>
      </c>
      <c r="B4840">
        <v>1001005</v>
      </c>
      <c r="C4840">
        <v>355055</v>
      </c>
      <c r="F4840" s="7">
        <v>1</v>
      </c>
      <c r="G4840" s="7">
        <v>484</v>
      </c>
      <c r="H4840" s="8">
        <v>484</v>
      </c>
      <c r="J4840" t="s">
        <v>23</v>
      </c>
      <c r="K4840" s="7">
        <v>1170</v>
      </c>
      <c r="L4840" s="9">
        <v>1</v>
      </c>
      <c r="M4840" t="s">
        <v>702</v>
      </c>
      <c r="N4840" t="s">
        <v>433</v>
      </c>
      <c r="O4840" s="27" t="str">
        <f>HYPERLINK("https://www.ncbi.nlm.nih.gov/nuccore/NZ_JOBF01000003.1?report=graph&amp;from=422801&amp;to=422805", "TTA_codon")</f>
        <v>TTA_codon</v>
      </c>
    </row>
    <row r="4841" spans="1:15" x14ac:dyDescent="0.15">
      <c r="A4841" t="s">
        <v>21</v>
      </c>
      <c r="B4841" t="s">
        <v>3710</v>
      </c>
    </row>
    <row r="4842" spans="1:15" x14ac:dyDescent="0.15">
      <c r="A4842" t="s">
        <v>21</v>
      </c>
      <c r="B4842">
        <v>1000175</v>
      </c>
      <c r="C4842">
        <v>347269</v>
      </c>
      <c r="F4842" s="7">
        <v>1</v>
      </c>
      <c r="G4842" s="7">
        <v>196</v>
      </c>
      <c r="H4842" s="8">
        <v>109</v>
      </c>
      <c r="J4842" t="s">
        <v>23</v>
      </c>
      <c r="K4842" s="7">
        <v>846</v>
      </c>
      <c r="L4842" s="9">
        <v>-1</v>
      </c>
      <c r="M4842" t="s">
        <v>53</v>
      </c>
      <c r="N4842" t="s">
        <v>54</v>
      </c>
      <c r="O4842" s="27" t="str">
        <f>HYPERLINK("https://www.ncbi.nlm.nih.gov/nuccore/NC_003155.5?report=graph&amp;from=4761583&amp;to=4761587", "TTA_codon")</f>
        <v>TTA_codon</v>
      </c>
    </row>
    <row r="4843" spans="1:15" x14ac:dyDescent="0.15">
      <c r="A4843" t="s">
        <v>21</v>
      </c>
      <c r="B4843">
        <v>1000175</v>
      </c>
      <c r="C4843">
        <v>347349</v>
      </c>
      <c r="F4843" s="7">
        <v>1</v>
      </c>
      <c r="G4843" s="7">
        <v>196</v>
      </c>
      <c r="H4843" s="8">
        <v>109</v>
      </c>
      <c r="J4843" t="s">
        <v>23</v>
      </c>
      <c r="K4843" s="7">
        <v>846</v>
      </c>
      <c r="L4843" s="9">
        <v>-1</v>
      </c>
      <c r="M4843" t="s">
        <v>217</v>
      </c>
      <c r="N4843" t="s">
        <v>218</v>
      </c>
      <c r="O4843" s="27" t="str">
        <f>HYPERLINK("https://www.ncbi.nlm.nih.gov/nuccore/NC_021985.1?report=graph&amp;from=3962365&amp;to=3962369", "TTA_codon")</f>
        <v>TTA_codon</v>
      </c>
    </row>
    <row r="4844" spans="1:15" x14ac:dyDescent="0.15">
      <c r="A4844" t="s">
        <v>21</v>
      </c>
      <c r="B4844">
        <v>1000175</v>
      </c>
      <c r="C4844">
        <v>347628</v>
      </c>
      <c r="F4844" s="7">
        <v>1</v>
      </c>
      <c r="G4844" s="7">
        <v>193</v>
      </c>
      <c r="H4844" s="8">
        <v>109</v>
      </c>
      <c r="J4844" t="s">
        <v>23</v>
      </c>
      <c r="K4844" s="7">
        <v>852</v>
      </c>
      <c r="L4844" s="9">
        <v>-1</v>
      </c>
      <c r="M4844" t="s">
        <v>55</v>
      </c>
      <c r="N4844" t="s">
        <v>56</v>
      </c>
      <c r="O4844" s="27" t="str">
        <f>HYPERLINK("https://www.ncbi.nlm.nih.gov/nuccore/NC_010572.1?report=graph&amp;from=3581735&amp;to=3581739", "TTA_codon")</f>
        <v>TTA_codon</v>
      </c>
    </row>
    <row r="4845" spans="1:15" x14ac:dyDescent="0.15">
      <c r="A4845" t="s">
        <v>21</v>
      </c>
      <c r="B4845">
        <v>1000175</v>
      </c>
      <c r="C4845">
        <v>351777</v>
      </c>
      <c r="F4845" s="7">
        <v>1</v>
      </c>
      <c r="G4845" s="7">
        <v>196</v>
      </c>
      <c r="H4845" s="8">
        <v>109</v>
      </c>
      <c r="J4845" t="s">
        <v>23</v>
      </c>
      <c r="K4845" s="7">
        <v>843</v>
      </c>
      <c r="L4845" s="9">
        <v>-1</v>
      </c>
      <c r="M4845" t="s">
        <v>3711</v>
      </c>
      <c r="N4845" t="s">
        <v>68</v>
      </c>
      <c r="O4845" s="27" t="str">
        <f>HYPERLINK("https://www.ncbi.nlm.nih.gov/nuccore/NZ_BARG01000123.1?report=graph&amp;from=807&amp;to=811", "TTA_codon")</f>
        <v>TTA_codon</v>
      </c>
    </row>
    <row r="4846" spans="1:15" x14ac:dyDescent="0.15">
      <c r="A4846" t="s">
        <v>21</v>
      </c>
      <c r="B4846">
        <v>1000175</v>
      </c>
      <c r="C4846">
        <v>352416</v>
      </c>
      <c r="F4846" s="7">
        <v>1</v>
      </c>
      <c r="G4846" s="7">
        <v>193</v>
      </c>
      <c r="H4846" s="8">
        <v>109</v>
      </c>
      <c r="J4846" t="s">
        <v>23</v>
      </c>
      <c r="K4846" s="7">
        <v>849</v>
      </c>
      <c r="L4846" s="9">
        <v>-1</v>
      </c>
      <c r="M4846" t="s">
        <v>30</v>
      </c>
      <c r="N4846" t="s">
        <v>31</v>
      </c>
      <c r="O4846" s="27" t="str">
        <f>HYPERLINK("https://www.ncbi.nlm.nih.gov/nuccore/NZ_KB913030.1?report=graph&amp;from=3156345&amp;to=3156349", "TTA_codon")</f>
        <v>TTA_codon</v>
      </c>
    </row>
    <row r="4847" spans="1:15" x14ac:dyDescent="0.15">
      <c r="A4847" t="s">
        <v>21</v>
      </c>
      <c r="B4847">
        <v>1000175</v>
      </c>
      <c r="C4847">
        <v>352582</v>
      </c>
      <c r="F4847" s="7">
        <v>1</v>
      </c>
      <c r="G4847" s="7">
        <v>193</v>
      </c>
      <c r="H4847" s="8">
        <v>109</v>
      </c>
      <c r="J4847" t="s">
        <v>23</v>
      </c>
      <c r="K4847" s="7">
        <v>876</v>
      </c>
      <c r="L4847" s="9">
        <v>-1</v>
      </c>
      <c r="M4847" t="s">
        <v>1643</v>
      </c>
      <c r="N4847" t="s">
        <v>436</v>
      </c>
      <c r="O4847" s="27" t="str">
        <f>HYPERLINK("https://www.ncbi.nlm.nih.gov/nuccore/NZ_AUBE01000002.1?report=graph&amp;from=432310&amp;to=432314", "TTA_codon")</f>
        <v>TTA_codon</v>
      </c>
    </row>
    <row r="4848" spans="1:15" x14ac:dyDescent="0.15">
      <c r="A4848" t="s">
        <v>21</v>
      </c>
      <c r="B4848">
        <v>1000175</v>
      </c>
      <c r="C4848">
        <v>354318</v>
      </c>
      <c r="F4848" s="7">
        <v>1</v>
      </c>
      <c r="G4848" s="7">
        <v>193</v>
      </c>
      <c r="H4848" s="8">
        <v>109</v>
      </c>
      <c r="J4848" t="s">
        <v>23</v>
      </c>
      <c r="K4848" s="7">
        <v>846</v>
      </c>
      <c r="L4848" s="9">
        <v>-1</v>
      </c>
      <c r="M4848" t="s">
        <v>1089</v>
      </c>
      <c r="N4848" t="s">
        <v>142</v>
      </c>
      <c r="O4848" s="27" t="str">
        <f>HYPERLINK("https://www.ncbi.nlm.nih.gov/nuccore/NZ_JOEI01000007.1?report=graph&amp;from=372647&amp;to=372651", "TTA_codon")</f>
        <v>TTA_codon</v>
      </c>
    </row>
    <row r="4849" spans="1:15" x14ac:dyDescent="0.15">
      <c r="A4849" t="s">
        <v>21</v>
      </c>
      <c r="B4849">
        <v>1000175</v>
      </c>
      <c r="C4849">
        <v>354558</v>
      </c>
      <c r="F4849" s="7">
        <v>1</v>
      </c>
      <c r="G4849" s="7">
        <v>196</v>
      </c>
      <c r="H4849" s="8">
        <v>175</v>
      </c>
      <c r="J4849" t="s">
        <v>23</v>
      </c>
      <c r="K4849" s="7">
        <v>921</v>
      </c>
      <c r="L4849" s="9">
        <v>-1</v>
      </c>
      <c r="M4849" t="s">
        <v>865</v>
      </c>
      <c r="N4849" t="s">
        <v>272</v>
      </c>
      <c r="O4849" s="27" t="str">
        <f>HYPERLINK("https://www.ncbi.nlm.nih.gov/nuccore/NZ_JOEY01000002.1?report=graph&amp;from=113119&amp;to=113123", "TTA_codon")</f>
        <v>TTA_codon</v>
      </c>
    </row>
    <row r="4850" spans="1:15" x14ac:dyDescent="0.15">
      <c r="A4850" t="s">
        <v>21</v>
      </c>
      <c r="B4850">
        <v>1000175</v>
      </c>
      <c r="C4850">
        <v>355074</v>
      </c>
      <c r="F4850" s="7">
        <v>1</v>
      </c>
      <c r="G4850" s="7">
        <v>196</v>
      </c>
      <c r="H4850" s="8">
        <v>118</v>
      </c>
      <c r="J4850" t="s">
        <v>23</v>
      </c>
      <c r="K4850" s="7">
        <v>855</v>
      </c>
      <c r="L4850" s="9">
        <v>-1</v>
      </c>
      <c r="M4850" t="s">
        <v>3712</v>
      </c>
      <c r="N4850" t="s">
        <v>433</v>
      </c>
      <c r="O4850" s="27" t="str">
        <f>HYPERLINK("https://www.ncbi.nlm.nih.gov/nuccore/NZ_JOBF01000026.1?report=graph&amp;from=56995&amp;to=56999", "TTA_codon")</f>
        <v>TTA_codon</v>
      </c>
    </row>
    <row r="4851" spans="1:15" x14ac:dyDescent="0.15">
      <c r="A4851" t="s">
        <v>21</v>
      </c>
      <c r="B4851">
        <v>1000175</v>
      </c>
      <c r="C4851">
        <v>355882</v>
      </c>
      <c r="F4851" s="7">
        <v>1</v>
      </c>
      <c r="G4851" s="7">
        <v>196</v>
      </c>
      <c r="H4851" s="8">
        <v>103</v>
      </c>
      <c r="J4851" t="s">
        <v>23</v>
      </c>
      <c r="K4851" s="7">
        <v>861</v>
      </c>
      <c r="L4851" s="9">
        <v>-1</v>
      </c>
      <c r="M4851" t="s">
        <v>3713</v>
      </c>
      <c r="N4851" t="s">
        <v>384</v>
      </c>
      <c r="O4851" s="27" t="str">
        <f>HYPERLINK("https://www.ncbi.nlm.nih.gov/nuccore/NZ_JOAK01000054.1?report=graph&amp;from=6907&amp;to=6911", "TTA_codon")</f>
        <v>TTA_codon</v>
      </c>
    </row>
    <row r="4852" spans="1:15" x14ac:dyDescent="0.15">
      <c r="A4852" t="s">
        <v>21</v>
      </c>
      <c r="B4852">
        <v>1000175</v>
      </c>
      <c r="C4852">
        <v>356022</v>
      </c>
      <c r="F4852" s="7">
        <v>1</v>
      </c>
      <c r="G4852" s="7">
        <v>196</v>
      </c>
      <c r="H4852" s="8">
        <v>184</v>
      </c>
      <c r="J4852" t="s">
        <v>23</v>
      </c>
      <c r="K4852" s="7">
        <v>921</v>
      </c>
      <c r="L4852" s="9">
        <v>-1</v>
      </c>
      <c r="M4852" t="s">
        <v>3714</v>
      </c>
      <c r="N4852" t="s">
        <v>146</v>
      </c>
      <c r="O4852" s="27" t="str">
        <f>HYPERLINK("https://www.ncbi.nlm.nih.gov/nuccore/NZ_JOFH01000016.1?report=graph&amp;from=21865&amp;to=21869", "TTA_codon")</f>
        <v>TTA_codon</v>
      </c>
    </row>
    <row r="4853" spans="1:15" x14ac:dyDescent="0.15">
      <c r="A4853" t="s">
        <v>21</v>
      </c>
      <c r="B4853">
        <v>1000175</v>
      </c>
      <c r="C4853">
        <v>357004</v>
      </c>
      <c r="F4853" s="7">
        <v>1</v>
      </c>
      <c r="G4853" s="7">
        <v>193</v>
      </c>
      <c r="H4853" s="8">
        <v>106</v>
      </c>
      <c r="J4853" t="s">
        <v>23</v>
      </c>
      <c r="K4853" s="7">
        <v>846</v>
      </c>
      <c r="L4853" s="9">
        <v>-1</v>
      </c>
      <c r="M4853" t="s">
        <v>162</v>
      </c>
      <c r="N4853" t="s">
        <v>163</v>
      </c>
      <c r="O4853" s="27" t="str">
        <f>HYPERLINK("https://www.ncbi.nlm.nih.gov/nuccore/NZ_CP010519.1?report=graph&amp;from=5049325&amp;to=5049329", "TTA_codon")</f>
        <v>TTA_codon</v>
      </c>
    </row>
    <row r="4854" spans="1:15" x14ac:dyDescent="0.15">
      <c r="A4854" t="s">
        <v>21</v>
      </c>
      <c r="B4854">
        <v>1000175</v>
      </c>
      <c r="C4854">
        <v>357703</v>
      </c>
      <c r="F4854" s="7">
        <v>1</v>
      </c>
      <c r="G4854" s="7">
        <v>196</v>
      </c>
      <c r="H4854" s="8">
        <v>136</v>
      </c>
      <c r="J4854" t="s">
        <v>23</v>
      </c>
      <c r="K4854" s="7">
        <v>873</v>
      </c>
      <c r="L4854" s="9">
        <v>-1</v>
      </c>
      <c r="M4854" t="s">
        <v>2831</v>
      </c>
      <c r="N4854" t="s">
        <v>83</v>
      </c>
      <c r="O4854" s="27" t="str">
        <f>HYPERLINK("https://www.ncbi.nlm.nih.gov/nuccore/NZ_DF968249.1?report=graph&amp;from=854&amp;to=858", "TTA_codon")</f>
        <v>TTA_codon</v>
      </c>
    </row>
    <row r="4855" spans="1:15" x14ac:dyDescent="0.15">
      <c r="A4855" t="s">
        <v>21</v>
      </c>
      <c r="B4855">
        <v>1000175</v>
      </c>
      <c r="C4855">
        <v>359049</v>
      </c>
      <c r="F4855" s="7">
        <v>1</v>
      </c>
      <c r="G4855" s="7">
        <v>196</v>
      </c>
      <c r="H4855" s="8">
        <v>178</v>
      </c>
      <c r="J4855" t="s">
        <v>23</v>
      </c>
      <c r="K4855" s="7">
        <v>912</v>
      </c>
      <c r="L4855" s="9">
        <v>-1</v>
      </c>
      <c r="M4855" t="s">
        <v>3715</v>
      </c>
      <c r="N4855" t="s">
        <v>451</v>
      </c>
      <c r="O4855" s="27" t="str">
        <f>HYPERLINK("https://www.ncbi.nlm.nih.gov/nuccore/NZ_LIQZ01000428.1?report=graph&amp;from=4054&amp;to=4058", "TTA_codon")</f>
        <v>TTA_codon</v>
      </c>
    </row>
    <row r="4856" spans="1:15" x14ac:dyDescent="0.15">
      <c r="A4856" t="s">
        <v>21</v>
      </c>
      <c r="B4856">
        <v>1000175</v>
      </c>
      <c r="C4856">
        <v>359828</v>
      </c>
      <c r="F4856" s="7">
        <v>1</v>
      </c>
      <c r="G4856" s="7">
        <v>196</v>
      </c>
      <c r="H4856" s="8">
        <v>142</v>
      </c>
      <c r="J4856" t="s">
        <v>23</v>
      </c>
      <c r="K4856" s="7">
        <v>888</v>
      </c>
      <c r="L4856" s="9">
        <v>-1</v>
      </c>
      <c r="M4856" t="s">
        <v>417</v>
      </c>
      <c r="N4856" t="s">
        <v>91</v>
      </c>
      <c r="O4856" s="27" t="str">
        <f>HYPERLINK("https://www.ncbi.nlm.nih.gov/nuccore/NZ_KQ948309.1?report=graph&amp;from=374951&amp;to=374955", "TTA_codon")</f>
        <v>TTA_codon</v>
      </c>
    </row>
    <row r="4857" spans="1:15" x14ac:dyDescent="0.15">
      <c r="A4857" t="s">
        <v>21</v>
      </c>
      <c r="B4857">
        <v>1000175</v>
      </c>
      <c r="C4857">
        <v>360377</v>
      </c>
      <c r="F4857" s="7">
        <v>1</v>
      </c>
      <c r="G4857" s="7">
        <v>196</v>
      </c>
      <c r="H4857" s="8">
        <v>109</v>
      </c>
      <c r="J4857" t="s">
        <v>23</v>
      </c>
      <c r="K4857" s="7">
        <v>846</v>
      </c>
      <c r="L4857" s="9">
        <v>-1</v>
      </c>
      <c r="M4857" t="s">
        <v>121</v>
      </c>
      <c r="N4857" t="s">
        <v>122</v>
      </c>
      <c r="O4857" s="27" t="str">
        <f>HYPERLINK("https://www.ncbi.nlm.nih.gov/nuccore/NZ_CP016279.1?report=graph&amp;from=10209110&amp;to=10209114", "TTA_codon")</f>
        <v>TTA_codon</v>
      </c>
    </row>
    <row r="4858" spans="1:15" x14ac:dyDescent="0.15">
      <c r="A4858" t="s">
        <v>21</v>
      </c>
      <c r="B4858">
        <v>1000175</v>
      </c>
      <c r="C4858">
        <v>361120</v>
      </c>
      <c r="F4858" s="7">
        <v>1</v>
      </c>
      <c r="G4858" s="7">
        <v>196</v>
      </c>
      <c r="H4858" s="8">
        <v>172</v>
      </c>
      <c r="J4858" t="s">
        <v>23</v>
      </c>
      <c r="K4858" s="7">
        <v>918</v>
      </c>
      <c r="L4858" s="9">
        <v>-1</v>
      </c>
      <c r="M4858" t="s">
        <v>98</v>
      </c>
      <c r="N4858" t="s">
        <v>99</v>
      </c>
      <c r="O4858" s="27" t="str">
        <f>HYPERLINK("https://www.ncbi.nlm.nih.gov/nuccore/NZ_CP016438.1?report=graph&amp;from=4493562&amp;to=4493566", "TTA_codon")</f>
        <v>TTA_codon</v>
      </c>
    </row>
    <row r="4859" spans="1:15" x14ac:dyDescent="0.15">
      <c r="A4859" t="s">
        <v>21</v>
      </c>
      <c r="B4859">
        <v>1000175</v>
      </c>
      <c r="C4859">
        <v>363932</v>
      </c>
      <c r="F4859" s="7">
        <v>1</v>
      </c>
      <c r="G4859" s="7">
        <v>196</v>
      </c>
      <c r="H4859" s="8">
        <v>109</v>
      </c>
      <c r="J4859" t="s">
        <v>23</v>
      </c>
      <c r="K4859" s="7">
        <v>846</v>
      </c>
      <c r="L4859" s="9">
        <v>-1</v>
      </c>
      <c r="M4859" t="s">
        <v>3716</v>
      </c>
      <c r="N4859" t="s">
        <v>104</v>
      </c>
      <c r="O4859" s="27" t="str">
        <f>HYPERLINK("https://www.ncbi.nlm.nih.gov/nuccore/NZ_MVFC01000040.1?report=graph&amp;from=57533&amp;to=57537", "TTA_codon")</f>
        <v>TTA_codon</v>
      </c>
    </row>
    <row r="4860" spans="1:15" x14ac:dyDescent="0.15">
      <c r="A4860" t="s">
        <v>21</v>
      </c>
      <c r="B4860">
        <v>1000175</v>
      </c>
      <c r="C4860">
        <v>365221</v>
      </c>
      <c r="F4860" s="7">
        <v>2</v>
      </c>
      <c r="G4860" s="7" t="s">
        <v>3717</v>
      </c>
      <c r="H4860" s="8" t="s">
        <v>3718</v>
      </c>
      <c r="J4860" t="s">
        <v>23</v>
      </c>
      <c r="K4860" s="7">
        <v>858</v>
      </c>
      <c r="L4860" s="9">
        <v>-1</v>
      </c>
      <c r="M4860" t="s">
        <v>3719</v>
      </c>
      <c r="N4860" t="s">
        <v>347</v>
      </c>
      <c r="O4860" s="27" t="str">
        <f>HYPERLINK("https://www.ncbi.nlm.nih.gov/nuccore/NZ_FNFF01000020.1?report=graph&amp;from=13577&amp;to=13593", "TTA_codon")</f>
        <v>TTA_codon</v>
      </c>
    </row>
    <row r="4861" spans="1:15" x14ac:dyDescent="0.15">
      <c r="A4861" t="s">
        <v>21</v>
      </c>
      <c r="B4861" t="s">
        <v>3720</v>
      </c>
    </row>
    <row r="4862" spans="1:15" x14ac:dyDescent="0.15">
      <c r="A4862" t="s">
        <v>21</v>
      </c>
      <c r="B4862">
        <v>1000431</v>
      </c>
      <c r="C4862">
        <v>348683</v>
      </c>
      <c r="F4862" s="7">
        <v>1</v>
      </c>
      <c r="G4862" s="7">
        <v>52</v>
      </c>
      <c r="H4862" s="8">
        <v>40</v>
      </c>
      <c r="J4862" t="s">
        <v>23</v>
      </c>
      <c r="K4862" s="7">
        <v>357</v>
      </c>
      <c r="L4862" s="9">
        <v>-1</v>
      </c>
      <c r="M4862" t="s">
        <v>211</v>
      </c>
      <c r="N4862" t="s">
        <v>212</v>
      </c>
      <c r="O4862" s="27" t="str">
        <f>HYPERLINK("https://www.ncbi.nlm.nih.gov/nuccore/NZ_GG657754.1?report=graph&amp;from=6192590&amp;to=6192594", "TTA_codon")</f>
        <v>TTA_codon</v>
      </c>
    </row>
    <row r="4863" spans="1:15" x14ac:dyDescent="0.15">
      <c r="A4863" t="s">
        <v>21</v>
      </c>
      <c r="B4863">
        <v>1000431</v>
      </c>
      <c r="C4863">
        <v>355996</v>
      </c>
      <c r="F4863" s="7">
        <v>1</v>
      </c>
      <c r="G4863" s="7">
        <v>52</v>
      </c>
      <c r="H4863" s="8">
        <v>40</v>
      </c>
      <c r="J4863" t="s">
        <v>23</v>
      </c>
      <c r="K4863" s="7">
        <v>363</v>
      </c>
      <c r="L4863" s="9">
        <v>-1</v>
      </c>
      <c r="M4863" t="s">
        <v>3721</v>
      </c>
      <c r="N4863" t="s">
        <v>146</v>
      </c>
      <c r="O4863" s="27" t="str">
        <f>HYPERLINK("https://www.ncbi.nlm.nih.gov/nuccore/NZ_JOFH01000004.1?report=graph&amp;from=271657&amp;to=271661", "TTA_codon")</f>
        <v>TTA_codon</v>
      </c>
    </row>
    <row r="4864" spans="1:15" x14ac:dyDescent="0.15">
      <c r="A4864" t="s">
        <v>21</v>
      </c>
      <c r="B4864">
        <v>1000431</v>
      </c>
      <c r="C4864">
        <v>358771</v>
      </c>
      <c r="F4864" s="7">
        <v>1</v>
      </c>
      <c r="G4864" s="7">
        <v>52</v>
      </c>
      <c r="H4864" s="8">
        <v>40</v>
      </c>
      <c r="J4864" t="s">
        <v>23</v>
      </c>
      <c r="K4864" s="7">
        <v>363</v>
      </c>
      <c r="L4864" s="9">
        <v>-1</v>
      </c>
      <c r="M4864" t="s">
        <v>3722</v>
      </c>
      <c r="N4864" t="s">
        <v>87</v>
      </c>
      <c r="O4864" s="27" t="str">
        <f>HYPERLINK("https://www.ncbi.nlm.nih.gov/nuccore/NZ_LIQS01000902.1?report=graph&amp;from=937&amp;to=941", "TTA_codon")</f>
        <v>TTA_codon</v>
      </c>
    </row>
    <row r="4865" spans="1:15" x14ac:dyDescent="0.15">
      <c r="A4865" t="s">
        <v>21</v>
      </c>
      <c r="B4865">
        <v>1000431</v>
      </c>
      <c r="C4865">
        <v>360003</v>
      </c>
      <c r="F4865" s="7">
        <v>1</v>
      </c>
      <c r="G4865" s="7">
        <v>52</v>
      </c>
      <c r="H4865" s="8">
        <v>40</v>
      </c>
      <c r="J4865" t="s">
        <v>23</v>
      </c>
      <c r="K4865" s="7">
        <v>363</v>
      </c>
      <c r="L4865" s="9">
        <v>-1</v>
      </c>
      <c r="M4865" t="s">
        <v>1563</v>
      </c>
      <c r="N4865" t="s">
        <v>125</v>
      </c>
      <c r="O4865" s="27" t="str">
        <f>HYPERLINK("https://www.ncbi.nlm.nih.gov/nuccore/NZ_KQ948451.1?report=graph&amp;from=675896&amp;to=675900", "TTA_codon")</f>
        <v>TTA_codon</v>
      </c>
    </row>
    <row r="4866" spans="1:15" x14ac:dyDescent="0.15">
      <c r="A4866" t="s">
        <v>21</v>
      </c>
      <c r="B4866">
        <v>1000431</v>
      </c>
      <c r="C4866">
        <v>363422</v>
      </c>
      <c r="F4866" s="7">
        <v>1</v>
      </c>
      <c r="G4866" s="7">
        <v>52</v>
      </c>
      <c r="H4866" s="8">
        <v>52</v>
      </c>
      <c r="J4866" t="s">
        <v>23</v>
      </c>
      <c r="K4866" s="7">
        <v>375</v>
      </c>
      <c r="L4866" s="9">
        <v>-1</v>
      </c>
      <c r="M4866" t="s">
        <v>157</v>
      </c>
      <c r="N4866" t="s">
        <v>158</v>
      </c>
      <c r="O4866" s="27" t="str">
        <f>HYPERLINK("https://www.ncbi.nlm.nih.gov/nuccore/NZ_CP015588.1?report=graph&amp;from=986838&amp;to=986842", "TTA_codon")</f>
        <v>TTA_codon</v>
      </c>
    </row>
    <row r="4867" spans="1:15" x14ac:dyDescent="0.15">
      <c r="A4867" t="s">
        <v>21</v>
      </c>
      <c r="B4867">
        <v>1000431</v>
      </c>
      <c r="C4867">
        <v>366525</v>
      </c>
      <c r="F4867" s="7">
        <v>1</v>
      </c>
      <c r="G4867" s="7">
        <v>52</v>
      </c>
      <c r="H4867" s="8">
        <v>40</v>
      </c>
      <c r="J4867" t="s">
        <v>23</v>
      </c>
      <c r="K4867" s="7">
        <v>357</v>
      </c>
      <c r="L4867" s="9">
        <v>-1</v>
      </c>
      <c r="M4867" t="s">
        <v>1004</v>
      </c>
      <c r="N4867" t="s">
        <v>180</v>
      </c>
      <c r="O4867" s="27" t="str">
        <f>HYPERLINK("https://www.ncbi.nlm.nih.gov/nuccore/NZ_FRBI01000005.1?report=graph&amp;from=117027&amp;to=117031", "TTA_codon")</f>
        <v>TTA_codon</v>
      </c>
    </row>
    <row r="4868" spans="1:15" x14ac:dyDescent="0.15">
      <c r="A4868" t="s">
        <v>21</v>
      </c>
      <c r="B4868" t="s">
        <v>3723</v>
      </c>
    </row>
    <row r="4869" spans="1:15" x14ac:dyDescent="0.15">
      <c r="A4869" t="s">
        <v>21</v>
      </c>
      <c r="B4869">
        <v>1000736</v>
      </c>
      <c r="C4869">
        <v>351254</v>
      </c>
      <c r="F4869" s="7">
        <v>2</v>
      </c>
      <c r="G4869" s="7" t="s">
        <v>3724</v>
      </c>
      <c r="H4869" s="8" t="s">
        <v>3724</v>
      </c>
      <c r="J4869" t="s">
        <v>23</v>
      </c>
      <c r="K4869" s="7">
        <v>1977</v>
      </c>
      <c r="L4869" s="9">
        <v>-1</v>
      </c>
      <c r="M4869" t="s">
        <v>65</v>
      </c>
      <c r="N4869" t="s">
        <v>66</v>
      </c>
      <c r="O4869" s="27" t="str">
        <f>HYPERLINK("https://www.ncbi.nlm.nih.gov/nuccore/NC_020504.1?report=graph&amp;from=8755846&amp;to=8756054", "TTA_codon")</f>
        <v>TTA_codon</v>
      </c>
    </row>
    <row r="4870" spans="1:15" x14ac:dyDescent="0.15">
      <c r="A4870" t="s">
        <v>21</v>
      </c>
      <c r="B4870">
        <v>1000736</v>
      </c>
      <c r="C4870">
        <v>351825</v>
      </c>
      <c r="F4870" s="7">
        <v>1</v>
      </c>
      <c r="G4870" s="7">
        <v>307</v>
      </c>
      <c r="H4870" s="8">
        <v>295</v>
      </c>
      <c r="J4870" t="s">
        <v>23</v>
      </c>
      <c r="K4870" s="7">
        <v>1995</v>
      </c>
      <c r="L4870" s="9">
        <v>-1</v>
      </c>
      <c r="M4870" t="s">
        <v>1282</v>
      </c>
      <c r="N4870" t="s">
        <v>68</v>
      </c>
      <c r="O4870" s="27" t="str">
        <f>HYPERLINK("https://www.ncbi.nlm.nih.gov/nuccore/NZ_BARG01000033.1?report=graph&amp;from=185564&amp;to=185568", "TTA_codon")</f>
        <v>TTA_codon</v>
      </c>
    </row>
    <row r="4871" spans="1:15" x14ac:dyDescent="0.15">
      <c r="A4871" t="s">
        <v>21</v>
      </c>
      <c r="B4871">
        <v>1000736</v>
      </c>
      <c r="C4871">
        <v>362486</v>
      </c>
      <c r="F4871" s="7">
        <v>3</v>
      </c>
      <c r="G4871" s="7" t="s">
        <v>3725</v>
      </c>
      <c r="H4871" s="8" t="s">
        <v>3726</v>
      </c>
      <c r="J4871" t="s">
        <v>23</v>
      </c>
      <c r="K4871" s="7">
        <v>1971</v>
      </c>
      <c r="L4871" s="9">
        <v>-1</v>
      </c>
      <c r="M4871" t="s">
        <v>32</v>
      </c>
      <c r="N4871" t="s">
        <v>33</v>
      </c>
      <c r="O4871" s="27" t="str">
        <f>HYPERLINK("https://www.ncbi.nlm.nih.gov/nuccore/NZ_CP017248.1?report=graph&amp;from=8469693&amp;to=8470870", "TTA_codon")</f>
        <v>TTA_codon</v>
      </c>
    </row>
    <row r="4872" spans="1:15" x14ac:dyDescent="0.15">
      <c r="A4872" t="s">
        <v>21</v>
      </c>
      <c r="B4872" t="s">
        <v>3727</v>
      </c>
    </row>
    <row r="4873" spans="1:15" x14ac:dyDescent="0.15">
      <c r="A4873" t="s">
        <v>21</v>
      </c>
      <c r="B4873">
        <v>1000241</v>
      </c>
      <c r="C4873">
        <v>347626</v>
      </c>
      <c r="F4873" s="7">
        <v>1</v>
      </c>
      <c r="G4873" s="7">
        <v>58</v>
      </c>
      <c r="H4873" s="8">
        <v>58</v>
      </c>
      <c r="J4873" t="s">
        <v>23</v>
      </c>
      <c r="K4873" s="7">
        <v>1197</v>
      </c>
      <c r="L4873" s="9">
        <v>1</v>
      </c>
      <c r="M4873" t="s">
        <v>55</v>
      </c>
      <c r="N4873" t="s">
        <v>56</v>
      </c>
      <c r="O4873" s="27" t="str">
        <f>HYPERLINK("https://www.ncbi.nlm.nih.gov/nuccore/NC_010572.1?report=graph&amp;from=6756486&amp;to=6756490", "TTA_codon")</f>
        <v>TTA_codon</v>
      </c>
    </row>
    <row r="4874" spans="1:15" x14ac:dyDescent="0.15">
      <c r="A4874" t="s">
        <v>21</v>
      </c>
      <c r="B4874">
        <v>1000241</v>
      </c>
      <c r="C4874">
        <v>347627</v>
      </c>
      <c r="F4874" s="7">
        <v>1</v>
      </c>
      <c r="G4874" s="7">
        <v>58</v>
      </c>
      <c r="H4874" s="8">
        <v>58</v>
      </c>
      <c r="J4874" t="s">
        <v>23</v>
      </c>
      <c r="K4874" s="7">
        <v>1143</v>
      </c>
      <c r="L4874" s="9">
        <v>1</v>
      </c>
      <c r="M4874" t="s">
        <v>55</v>
      </c>
      <c r="N4874" t="s">
        <v>56</v>
      </c>
      <c r="O4874" s="27" t="str">
        <f>HYPERLINK("https://www.ncbi.nlm.nih.gov/nuccore/NC_010572.1?report=graph&amp;from=2428138&amp;to=2428142", "TTA_codon")</f>
        <v>TTA_codon</v>
      </c>
    </row>
    <row r="4875" spans="1:15" x14ac:dyDescent="0.15">
      <c r="A4875" t="s">
        <v>21</v>
      </c>
      <c r="B4875" t="s">
        <v>3728</v>
      </c>
    </row>
    <row r="4876" spans="1:15" x14ac:dyDescent="0.15">
      <c r="A4876" t="s">
        <v>21</v>
      </c>
      <c r="B4876">
        <v>1000673</v>
      </c>
      <c r="C4876">
        <v>350768</v>
      </c>
      <c r="F4876" s="7">
        <v>1</v>
      </c>
      <c r="G4876" s="7">
        <v>1045</v>
      </c>
      <c r="H4876" s="8">
        <v>952</v>
      </c>
      <c r="J4876" t="s">
        <v>23</v>
      </c>
      <c r="K4876" s="7">
        <v>2340</v>
      </c>
      <c r="L4876" s="9">
        <v>-1</v>
      </c>
      <c r="M4876" t="s">
        <v>3729</v>
      </c>
      <c r="N4876" t="s">
        <v>51</v>
      </c>
      <c r="O4876" s="27" t="str">
        <f>HYPERLINK("https://www.ncbi.nlm.nih.gov/nuccore/NZ_AEJB01000100.1?report=graph&amp;from=1411&amp;to=1415", "TTA_codon")</f>
        <v>TTA_codon</v>
      </c>
    </row>
    <row r="4877" spans="1:15" x14ac:dyDescent="0.15">
      <c r="A4877" t="s">
        <v>21</v>
      </c>
      <c r="B4877">
        <v>1000673</v>
      </c>
      <c r="C4877">
        <v>360927</v>
      </c>
      <c r="F4877" s="7">
        <v>1</v>
      </c>
      <c r="G4877" s="7">
        <v>1075</v>
      </c>
      <c r="H4877" s="8">
        <v>1048</v>
      </c>
      <c r="J4877" t="s">
        <v>23</v>
      </c>
      <c r="K4877" s="7">
        <v>2268</v>
      </c>
      <c r="L4877" s="9">
        <v>-1</v>
      </c>
      <c r="M4877" t="s">
        <v>3730</v>
      </c>
      <c r="N4877" t="s">
        <v>97</v>
      </c>
      <c r="O4877" s="27" t="str">
        <f>HYPERLINK("https://www.ncbi.nlm.nih.gov/nuccore/NZ_LOHS01000058.1?report=graph&amp;from=55279&amp;to=55283", "TTA_codon")</f>
        <v>TTA_codon</v>
      </c>
    </row>
    <row r="4878" spans="1:15" x14ac:dyDescent="0.15">
      <c r="A4878" t="s">
        <v>21</v>
      </c>
      <c r="B4878" t="s">
        <v>3731</v>
      </c>
    </row>
    <row r="4879" spans="1:15" x14ac:dyDescent="0.15">
      <c r="A4879" t="s">
        <v>21</v>
      </c>
      <c r="B4879">
        <v>1001044</v>
      </c>
      <c r="C4879">
        <v>354754</v>
      </c>
      <c r="F4879" s="7">
        <v>1</v>
      </c>
      <c r="G4879" s="7">
        <v>49</v>
      </c>
      <c r="H4879" s="8">
        <v>49</v>
      </c>
      <c r="J4879" t="s">
        <v>23</v>
      </c>
      <c r="K4879" s="7">
        <v>1224</v>
      </c>
      <c r="L4879" s="9">
        <v>1</v>
      </c>
      <c r="M4879" t="s">
        <v>415</v>
      </c>
      <c r="N4879" t="s">
        <v>272</v>
      </c>
      <c r="O4879" s="27" t="str">
        <f>HYPERLINK("https://www.ncbi.nlm.nih.gov/nuccore/NZ_JOEY01000041.1?report=graph&amp;from=27497&amp;to=27501", "TTA_codon")</f>
        <v>TTA_codon</v>
      </c>
    </row>
    <row r="4880" spans="1:15" x14ac:dyDescent="0.15">
      <c r="A4880" t="s">
        <v>21</v>
      </c>
      <c r="B4880">
        <v>1001044</v>
      </c>
      <c r="C4880">
        <v>361280</v>
      </c>
      <c r="F4880" s="7">
        <v>1</v>
      </c>
      <c r="G4880" s="7">
        <v>49</v>
      </c>
      <c r="H4880" s="8">
        <v>49</v>
      </c>
      <c r="J4880" t="s">
        <v>23</v>
      </c>
      <c r="K4880" s="7">
        <v>1224</v>
      </c>
      <c r="L4880" s="9">
        <v>1</v>
      </c>
      <c r="M4880" t="s">
        <v>98</v>
      </c>
      <c r="N4880" t="s">
        <v>99</v>
      </c>
      <c r="O4880" s="27" t="str">
        <f>HYPERLINK("https://www.ncbi.nlm.nih.gov/nuccore/NZ_CP016438.1?report=graph&amp;from=1655323&amp;to=1655327", "TTA_codon")</f>
        <v>TTA_codon</v>
      </c>
    </row>
    <row r="4881" spans="1:15" x14ac:dyDescent="0.15">
      <c r="A4881" t="s">
        <v>21</v>
      </c>
      <c r="B4881" t="s">
        <v>3732</v>
      </c>
    </row>
    <row r="4882" spans="1:15" x14ac:dyDescent="0.15">
      <c r="A4882" t="s">
        <v>21</v>
      </c>
      <c r="B4882">
        <v>1000607</v>
      </c>
      <c r="C4882">
        <v>350299</v>
      </c>
      <c r="F4882" s="7">
        <v>1</v>
      </c>
      <c r="G4882" s="7">
        <v>136</v>
      </c>
      <c r="H4882" s="8">
        <v>115</v>
      </c>
      <c r="J4882" t="s">
        <v>23</v>
      </c>
      <c r="K4882" s="7">
        <v>654</v>
      </c>
      <c r="L4882" s="9">
        <v>-1</v>
      </c>
      <c r="M4882" t="s">
        <v>35</v>
      </c>
      <c r="N4882" t="s">
        <v>36</v>
      </c>
      <c r="O4882" s="27" t="str">
        <f>HYPERLINK("https://www.ncbi.nlm.nih.gov/nuccore/NZ_JH725387.1?report=graph&amp;from=464319&amp;to=464323", "TTA_codon")</f>
        <v>TTA_codon</v>
      </c>
    </row>
    <row r="4883" spans="1:15" x14ac:dyDescent="0.15">
      <c r="A4883" t="s">
        <v>21</v>
      </c>
      <c r="B4883">
        <v>1000607</v>
      </c>
      <c r="C4883">
        <v>355908</v>
      </c>
      <c r="F4883" s="7">
        <v>1</v>
      </c>
      <c r="G4883" s="7">
        <v>112</v>
      </c>
      <c r="H4883" s="8">
        <v>106</v>
      </c>
      <c r="J4883" t="s">
        <v>23</v>
      </c>
      <c r="K4883" s="7">
        <v>663</v>
      </c>
      <c r="L4883" s="9">
        <v>-1</v>
      </c>
      <c r="M4883" t="s">
        <v>2687</v>
      </c>
      <c r="N4883" t="s">
        <v>384</v>
      </c>
      <c r="O4883" s="27" t="str">
        <f>HYPERLINK("https://www.ncbi.nlm.nih.gov/nuccore/NZ_JOAK01000018.1?report=graph&amp;from=21814&amp;to=21818", "TTA_codon")</f>
        <v>TTA_codon</v>
      </c>
    </row>
    <row r="4884" spans="1:15" x14ac:dyDescent="0.15">
      <c r="A4884" t="s">
        <v>21</v>
      </c>
      <c r="B4884" t="s">
        <v>3733</v>
      </c>
    </row>
    <row r="4885" spans="1:15" x14ac:dyDescent="0.15">
      <c r="A4885" t="s">
        <v>21</v>
      </c>
      <c r="B4885">
        <v>1000540</v>
      </c>
      <c r="C4885">
        <v>349729</v>
      </c>
      <c r="F4885" s="7">
        <v>1</v>
      </c>
      <c r="G4885" s="7">
        <v>2080</v>
      </c>
      <c r="H4885" s="8">
        <v>2026</v>
      </c>
      <c r="J4885" t="s">
        <v>23</v>
      </c>
      <c r="K4885" s="7">
        <v>3048</v>
      </c>
      <c r="L4885" s="9">
        <v>1</v>
      </c>
      <c r="M4885" t="s">
        <v>265</v>
      </c>
      <c r="N4885" t="s">
        <v>266</v>
      </c>
      <c r="O4885" s="27" t="str">
        <f>HYPERLINK("https://www.ncbi.nlm.nih.gov/nuccore/NC_017586.1?report=graph&amp;from=638876&amp;to=638880", "TTA_codon")</f>
        <v>TTA_codon</v>
      </c>
    </row>
    <row r="4886" spans="1:15" x14ac:dyDescent="0.15">
      <c r="A4886" t="s">
        <v>21</v>
      </c>
      <c r="B4886">
        <v>1000540</v>
      </c>
      <c r="C4886">
        <v>363426</v>
      </c>
      <c r="F4886" s="7">
        <v>1</v>
      </c>
      <c r="G4886" s="7">
        <v>2182</v>
      </c>
      <c r="H4886" s="8">
        <v>2158</v>
      </c>
      <c r="J4886" t="s">
        <v>23</v>
      </c>
      <c r="K4886" s="7">
        <v>3084</v>
      </c>
      <c r="L4886" s="9">
        <v>1</v>
      </c>
      <c r="M4886" t="s">
        <v>157</v>
      </c>
      <c r="N4886" t="s">
        <v>158</v>
      </c>
      <c r="O4886" s="27" t="str">
        <f>HYPERLINK("https://www.ncbi.nlm.nih.gov/nuccore/NZ_CP015588.1?report=graph&amp;from=1765668&amp;to=1765672", "TTA_codon")</f>
        <v>TTA_codon</v>
      </c>
    </row>
    <row r="4887" spans="1:15" x14ac:dyDescent="0.15">
      <c r="A4887" t="s">
        <v>21</v>
      </c>
      <c r="B4887" t="s">
        <v>3734</v>
      </c>
    </row>
    <row r="4888" spans="1:15" x14ac:dyDescent="0.15">
      <c r="A4888" t="s">
        <v>21</v>
      </c>
      <c r="B4888">
        <v>1000158</v>
      </c>
      <c r="C4888">
        <v>347221</v>
      </c>
      <c r="F4888" s="7">
        <v>1</v>
      </c>
      <c r="G4888" s="7">
        <v>331</v>
      </c>
      <c r="H4888" s="8">
        <v>283</v>
      </c>
      <c r="J4888" t="s">
        <v>23</v>
      </c>
      <c r="K4888" s="7">
        <v>1365</v>
      </c>
      <c r="L4888" s="9">
        <v>-1</v>
      </c>
      <c r="M4888" t="s">
        <v>53</v>
      </c>
      <c r="N4888" t="s">
        <v>54</v>
      </c>
      <c r="O4888" s="27" t="str">
        <f>HYPERLINK("https://www.ncbi.nlm.nih.gov/nuccore/NC_003155.5?report=graph&amp;from=4620101&amp;to=4620105", "TTA_codon")</f>
        <v>TTA_codon</v>
      </c>
    </row>
    <row r="4889" spans="1:15" x14ac:dyDescent="0.15">
      <c r="A4889" t="s">
        <v>21</v>
      </c>
      <c r="B4889">
        <v>1000158</v>
      </c>
      <c r="C4889">
        <v>347333</v>
      </c>
      <c r="F4889" s="7">
        <v>1</v>
      </c>
      <c r="G4889" s="7">
        <v>484</v>
      </c>
      <c r="H4889" s="8">
        <v>436</v>
      </c>
      <c r="J4889" t="s">
        <v>23</v>
      </c>
      <c r="K4889" s="7">
        <v>1362</v>
      </c>
      <c r="L4889" s="9">
        <v>-1</v>
      </c>
      <c r="M4889" t="s">
        <v>217</v>
      </c>
      <c r="N4889" t="s">
        <v>218</v>
      </c>
      <c r="O4889" s="27" t="str">
        <f>HYPERLINK("https://www.ncbi.nlm.nih.gov/nuccore/NC_021985.1?report=graph&amp;from=3857204&amp;to=3857208", "TTA_codon")</f>
        <v>TTA_codon</v>
      </c>
    </row>
    <row r="4890" spans="1:15" x14ac:dyDescent="0.15">
      <c r="A4890" t="s">
        <v>21</v>
      </c>
      <c r="B4890">
        <v>1000158</v>
      </c>
      <c r="C4890">
        <v>347597</v>
      </c>
      <c r="F4890" s="7">
        <v>1</v>
      </c>
      <c r="G4890" s="7">
        <v>82</v>
      </c>
      <c r="H4890" s="8">
        <v>40</v>
      </c>
      <c r="J4890" t="s">
        <v>23</v>
      </c>
      <c r="K4890" s="7">
        <v>1335</v>
      </c>
      <c r="L4890" s="9">
        <v>-1</v>
      </c>
      <c r="M4890" t="s">
        <v>55</v>
      </c>
      <c r="N4890" t="s">
        <v>56</v>
      </c>
      <c r="O4890" s="27" t="str">
        <f>HYPERLINK("https://www.ncbi.nlm.nih.gov/nuccore/NC_010572.1?report=graph&amp;from=3935284&amp;to=3935288", "TTA_codon")</f>
        <v>TTA_codon</v>
      </c>
    </row>
    <row r="4891" spans="1:15" x14ac:dyDescent="0.15">
      <c r="A4891" t="s">
        <v>21</v>
      </c>
      <c r="B4891">
        <v>1000158</v>
      </c>
      <c r="C4891">
        <v>348476</v>
      </c>
      <c r="F4891" s="7">
        <v>2</v>
      </c>
      <c r="G4891" s="7" t="s">
        <v>3735</v>
      </c>
      <c r="H4891" s="8" t="s">
        <v>3736</v>
      </c>
      <c r="J4891" t="s">
        <v>23</v>
      </c>
      <c r="K4891" s="7">
        <v>1302</v>
      </c>
      <c r="L4891" s="9">
        <v>-1</v>
      </c>
      <c r="M4891" t="s">
        <v>61</v>
      </c>
      <c r="N4891" t="s">
        <v>62</v>
      </c>
      <c r="O4891" s="27" t="str">
        <f>HYPERLINK("https://www.ncbi.nlm.nih.gov/nuccore/NZ_DS999641.1?report=graph&amp;from=2631575&amp;to=2631768", "TTA_codon")</f>
        <v>TTA_codon</v>
      </c>
    </row>
    <row r="4892" spans="1:15" x14ac:dyDescent="0.15">
      <c r="A4892" t="s">
        <v>21</v>
      </c>
      <c r="B4892">
        <v>1000158</v>
      </c>
      <c r="C4892">
        <v>348478</v>
      </c>
      <c r="F4892" s="7">
        <v>1</v>
      </c>
      <c r="G4892" s="7">
        <v>559</v>
      </c>
      <c r="H4892" s="8">
        <v>493</v>
      </c>
      <c r="J4892" t="s">
        <v>23</v>
      </c>
      <c r="K4892" s="7">
        <v>1359</v>
      </c>
      <c r="L4892" s="9">
        <v>-1</v>
      </c>
      <c r="M4892" t="s">
        <v>61</v>
      </c>
      <c r="N4892" t="s">
        <v>62</v>
      </c>
      <c r="O4892" s="27" t="str">
        <f>HYPERLINK("https://www.ncbi.nlm.nih.gov/nuccore/NZ_DS999641.1?report=graph&amp;from=3768339&amp;to=3768343", "TTA_codon")</f>
        <v>TTA_codon</v>
      </c>
    </row>
    <row r="4893" spans="1:15" x14ac:dyDescent="0.15">
      <c r="A4893" t="s">
        <v>21</v>
      </c>
      <c r="B4893">
        <v>1000158</v>
      </c>
      <c r="C4893">
        <v>349290</v>
      </c>
      <c r="F4893" s="7">
        <v>1</v>
      </c>
      <c r="G4893" s="7">
        <v>310</v>
      </c>
      <c r="H4893" s="8">
        <v>244</v>
      </c>
      <c r="J4893" t="s">
        <v>23</v>
      </c>
      <c r="K4893" s="7">
        <v>2292</v>
      </c>
      <c r="L4893" s="9">
        <v>-1</v>
      </c>
      <c r="M4893" t="s">
        <v>458</v>
      </c>
      <c r="N4893" t="s">
        <v>315</v>
      </c>
      <c r="O4893" s="27" t="str">
        <f>HYPERLINK("https://www.ncbi.nlm.nih.gov/nuccore/NC_003888.3?report=graph&amp;from=6135551&amp;to=6135555", "TTA_codon")</f>
        <v>TTA_codon</v>
      </c>
    </row>
    <row r="4894" spans="1:15" x14ac:dyDescent="0.15">
      <c r="A4894" t="s">
        <v>21</v>
      </c>
      <c r="B4894">
        <v>1000158</v>
      </c>
      <c r="C4894">
        <v>349441</v>
      </c>
      <c r="F4894" s="7">
        <v>1</v>
      </c>
      <c r="G4894" s="7">
        <v>538</v>
      </c>
      <c r="H4894" s="8">
        <v>478</v>
      </c>
      <c r="J4894" t="s">
        <v>23</v>
      </c>
      <c r="K4894" s="7">
        <v>1368</v>
      </c>
      <c r="L4894" s="9">
        <v>-1</v>
      </c>
      <c r="M4894" t="s">
        <v>2932</v>
      </c>
      <c r="N4894" t="s">
        <v>64</v>
      </c>
      <c r="O4894" s="27" t="str">
        <f>HYPERLINK("https://www.ncbi.nlm.nih.gov/nuccore/NZ_AEYX01000026.1?report=graph&amp;from=43109&amp;to=43113", "TTA_codon")</f>
        <v>TTA_codon</v>
      </c>
    </row>
    <row r="4895" spans="1:15" x14ac:dyDescent="0.15">
      <c r="A4895" t="s">
        <v>21</v>
      </c>
      <c r="B4895">
        <v>1000158</v>
      </c>
      <c r="C4895">
        <v>349442</v>
      </c>
      <c r="F4895" s="7">
        <v>2</v>
      </c>
      <c r="G4895" s="7" t="s">
        <v>3737</v>
      </c>
      <c r="H4895" s="8" t="s">
        <v>3738</v>
      </c>
      <c r="J4895" t="s">
        <v>23</v>
      </c>
      <c r="K4895" s="7">
        <v>1302</v>
      </c>
      <c r="L4895" s="9">
        <v>-1</v>
      </c>
      <c r="M4895" t="s">
        <v>1062</v>
      </c>
      <c r="N4895" t="s">
        <v>64</v>
      </c>
      <c r="O4895" s="27" t="str">
        <f>HYPERLINK("https://www.ncbi.nlm.nih.gov/nuccore/NZ_AEYX01000004.1?report=graph&amp;from=85564&amp;to=85592", "TTA_codon")</f>
        <v>TTA_codon</v>
      </c>
    </row>
    <row r="4896" spans="1:15" x14ac:dyDescent="0.15">
      <c r="A4896" t="s">
        <v>21</v>
      </c>
      <c r="B4896">
        <v>1000158</v>
      </c>
      <c r="C4896">
        <v>349573</v>
      </c>
      <c r="F4896" s="7">
        <v>2</v>
      </c>
      <c r="G4896" s="7" t="s">
        <v>3739</v>
      </c>
      <c r="H4896" s="8" t="s">
        <v>3740</v>
      </c>
      <c r="J4896" t="s">
        <v>23</v>
      </c>
      <c r="K4896" s="7">
        <v>1308</v>
      </c>
      <c r="L4896" s="9">
        <v>-1</v>
      </c>
      <c r="M4896" t="s">
        <v>3741</v>
      </c>
      <c r="N4896" t="s">
        <v>335</v>
      </c>
      <c r="O4896" s="27" t="str">
        <f>HYPERLINK("https://www.ncbi.nlm.nih.gov/nuccore/NZ_AGBF01000124.1?report=graph&amp;from=13334&amp;to=13545", "TTA_codon")</f>
        <v>TTA_codon</v>
      </c>
    </row>
    <row r="4897" spans="1:15" x14ac:dyDescent="0.15">
      <c r="A4897" t="s">
        <v>21</v>
      </c>
      <c r="B4897">
        <v>1000158</v>
      </c>
      <c r="C4897">
        <v>351156</v>
      </c>
      <c r="F4897" s="7">
        <v>1</v>
      </c>
      <c r="G4897" s="7">
        <v>91</v>
      </c>
      <c r="H4897" s="8">
        <v>49</v>
      </c>
      <c r="J4897" t="s">
        <v>23</v>
      </c>
      <c r="K4897" s="7">
        <v>1296</v>
      </c>
      <c r="L4897" s="9">
        <v>-1</v>
      </c>
      <c r="M4897" t="s">
        <v>65</v>
      </c>
      <c r="N4897" t="s">
        <v>66</v>
      </c>
      <c r="O4897" s="27" t="str">
        <f>HYPERLINK("https://www.ncbi.nlm.nih.gov/nuccore/NC_020504.1?report=graph&amp;from=4777909&amp;to=4777913", "TTA_codon")</f>
        <v>TTA_codon</v>
      </c>
    </row>
    <row r="4898" spans="1:15" x14ac:dyDescent="0.15">
      <c r="A4898" t="s">
        <v>21</v>
      </c>
      <c r="B4898">
        <v>1000158</v>
      </c>
      <c r="C4898">
        <v>352844</v>
      </c>
      <c r="F4898" s="7">
        <v>1</v>
      </c>
      <c r="G4898" s="7">
        <v>331</v>
      </c>
      <c r="H4898" s="8">
        <v>283</v>
      </c>
      <c r="J4898" t="s">
        <v>23</v>
      </c>
      <c r="K4898" s="7">
        <v>1362</v>
      </c>
      <c r="L4898" s="9">
        <v>-1</v>
      </c>
      <c r="M4898" t="s">
        <v>516</v>
      </c>
      <c r="N4898" t="s">
        <v>306</v>
      </c>
      <c r="O4898" s="27" t="str">
        <f>HYPERLINK("https://www.ncbi.nlm.nih.gov/nuccore/NZ_KL571112.1?report=graph&amp;from=107700&amp;to=107704", "TTA_codon")</f>
        <v>TTA_codon</v>
      </c>
    </row>
    <row r="4899" spans="1:15" x14ac:dyDescent="0.15">
      <c r="A4899" t="s">
        <v>21</v>
      </c>
      <c r="B4899">
        <v>1000158</v>
      </c>
      <c r="C4899">
        <v>353546</v>
      </c>
      <c r="F4899" s="7">
        <v>1</v>
      </c>
      <c r="G4899" s="7">
        <v>247</v>
      </c>
      <c r="H4899" s="8">
        <v>187</v>
      </c>
      <c r="J4899" t="s">
        <v>23</v>
      </c>
      <c r="K4899" s="7">
        <v>1341</v>
      </c>
      <c r="L4899" s="9">
        <v>-1</v>
      </c>
      <c r="M4899" t="s">
        <v>3742</v>
      </c>
      <c r="N4899" t="s">
        <v>140</v>
      </c>
      <c r="O4899" s="27" t="str">
        <f>HYPERLINK("https://www.ncbi.nlm.nih.gov/nuccore/NZ_JNXG01000004.1?report=graph&amp;from=174819&amp;to=174823", "TTA_codon")</f>
        <v>TTA_codon</v>
      </c>
    </row>
    <row r="4900" spans="1:15" x14ac:dyDescent="0.15">
      <c r="A4900" t="s">
        <v>21</v>
      </c>
      <c r="B4900">
        <v>1000158</v>
      </c>
      <c r="C4900">
        <v>355994</v>
      </c>
      <c r="F4900" s="7">
        <v>1</v>
      </c>
      <c r="G4900" s="7">
        <v>559</v>
      </c>
      <c r="H4900" s="8">
        <v>493</v>
      </c>
      <c r="J4900" t="s">
        <v>23</v>
      </c>
      <c r="K4900" s="7">
        <v>1359</v>
      </c>
      <c r="L4900" s="9">
        <v>-1</v>
      </c>
      <c r="M4900" t="s">
        <v>3743</v>
      </c>
      <c r="N4900" t="s">
        <v>146</v>
      </c>
      <c r="O4900" s="27" t="str">
        <f>HYPERLINK("https://www.ncbi.nlm.nih.gov/nuccore/NZ_JOFH01000019.1?report=graph&amp;from=97611&amp;to=97615", "TTA_codon")</f>
        <v>TTA_codon</v>
      </c>
    </row>
    <row r="4901" spans="1:15" x14ac:dyDescent="0.15">
      <c r="A4901" t="s">
        <v>21</v>
      </c>
      <c r="B4901">
        <v>1000158</v>
      </c>
      <c r="C4901">
        <v>356616</v>
      </c>
      <c r="F4901" s="7">
        <v>1</v>
      </c>
      <c r="G4901" s="7">
        <v>484</v>
      </c>
      <c r="H4901" s="8">
        <v>436</v>
      </c>
      <c r="J4901" t="s">
        <v>23</v>
      </c>
      <c r="K4901" s="7">
        <v>1362</v>
      </c>
      <c r="L4901" s="9">
        <v>-1</v>
      </c>
      <c r="M4901" t="s">
        <v>147</v>
      </c>
      <c r="N4901" t="s">
        <v>148</v>
      </c>
      <c r="O4901" s="27" t="str">
        <f>HYPERLINK("https://www.ncbi.nlm.nih.gov/nuccore/NZ_CP021080.1?report=graph&amp;from=3954750&amp;to=3954754", "TTA_codon")</f>
        <v>TTA_codon</v>
      </c>
    </row>
    <row r="4902" spans="1:15" x14ac:dyDescent="0.15">
      <c r="A4902" t="s">
        <v>21</v>
      </c>
      <c r="B4902">
        <v>1000158</v>
      </c>
      <c r="C4902">
        <v>356819</v>
      </c>
      <c r="F4902" s="7">
        <v>1</v>
      </c>
      <c r="G4902" s="7">
        <v>154</v>
      </c>
      <c r="H4902" s="8">
        <v>112</v>
      </c>
      <c r="J4902" t="s">
        <v>23</v>
      </c>
      <c r="K4902" s="7">
        <v>1365</v>
      </c>
      <c r="L4902" s="9">
        <v>-1</v>
      </c>
      <c r="M4902" t="s">
        <v>78</v>
      </c>
      <c r="N4902" t="s">
        <v>79</v>
      </c>
      <c r="O4902" s="27" t="str">
        <f>HYPERLINK("https://www.ncbi.nlm.nih.gov/nuccore/NZ_CP009313.1?report=graph&amp;from=3257656&amp;to=3257660", "TTA_codon")</f>
        <v>TTA_codon</v>
      </c>
    </row>
    <row r="4903" spans="1:15" x14ac:dyDescent="0.15">
      <c r="A4903" t="s">
        <v>21</v>
      </c>
      <c r="B4903">
        <v>1000158</v>
      </c>
      <c r="C4903">
        <v>358671</v>
      </c>
      <c r="F4903" s="7">
        <v>1</v>
      </c>
      <c r="G4903" s="7">
        <v>331</v>
      </c>
      <c r="H4903" s="8">
        <v>283</v>
      </c>
      <c r="J4903" t="s">
        <v>23</v>
      </c>
      <c r="K4903" s="7">
        <v>1365</v>
      </c>
      <c r="L4903" s="9">
        <v>-1</v>
      </c>
      <c r="M4903" t="s">
        <v>3744</v>
      </c>
      <c r="N4903" t="s">
        <v>757</v>
      </c>
      <c r="O4903" s="27" t="str">
        <f>HYPERLINK("https://www.ncbi.nlm.nih.gov/nuccore/NZ_LIQR01000054.1?report=graph&amp;from=2969&amp;to=2973", "TTA_codon")</f>
        <v>TTA_codon</v>
      </c>
    </row>
    <row r="4904" spans="1:15" x14ac:dyDescent="0.15">
      <c r="A4904" t="s">
        <v>21</v>
      </c>
      <c r="B4904">
        <v>1000158</v>
      </c>
      <c r="C4904">
        <v>358768</v>
      </c>
      <c r="F4904" s="7">
        <v>1</v>
      </c>
      <c r="G4904" s="7">
        <v>484</v>
      </c>
      <c r="H4904" s="8">
        <v>433</v>
      </c>
      <c r="J4904" t="s">
        <v>23</v>
      </c>
      <c r="K4904" s="7">
        <v>1359</v>
      </c>
      <c r="L4904" s="9">
        <v>-1</v>
      </c>
      <c r="M4904" t="s">
        <v>3745</v>
      </c>
      <c r="N4904" t="s">
        <v>87</v>
      </c>
      <c r="O4904" s="27" t="str">
        <f>HYPERLINK("https://www.ncbi.nlm.nih.gov/nuccore/NZ_LIQS01000111.1?report=graph&amp;from=1641&amp;to=1645", "TTA_codon")</f>
        <v>TTA_codon</v>
      </c>
    </row>
    <row r="4905" spans="1:15" x14ac:dyDescent="0.15">
      <c r="A4905" t="s">
        <v>21</v>
      </c>
      <c r="B4905">
        <v>1000158</v>
      </c>
      <c r="C4905">
        <v>359003</v>
      </c>
      <c r="F4905" s="7">
        <v>1</v>
      </c>
      <c r="G4905" s="7">
        <v>145</v>
      </c>
      <c r="H4905" s="8">
        <v>139</v>
      </c>
      <c r="J4905" t="s">
        <v>23</v>
      </c>
      <c r="K4905" s="7">
        <v>1308</v>
      </c>
      <c r="L4905" s="9">
        <v>-1</v>
      </c>
      <c r="M4905" t="s">
        <v>565</v>
      </c>
      <c r="N4905" t="s">
        <v>451</v>
      </c>
      <c r="O4905" s="27" t="str">
        <f>HYPERLINK("https://www.ncbi.nlm.nih.gov/nuccore/NZ_LIQZ01000214.1?report=graph&amp;from=26172&amp;to=26176", "TTA_codon")</f>
        <v>TTA_codon</v>
      </c>
    </row>
    <row r="4906" spans="1:15" x14ac:dyDescent="0.15">
      <c r="A4906" t="s">
        <v>21</v>
      </c>
      <c r="B4906">
        <v>1000158</v>
      </c>
      <c r="C4906">
        <v>359270</v>
      </c>
      <c r="F4906" s="7">
        <v>1</v>
      </c>
      <c r="G4906" s="7">
        <v>214</v>
      </c>
      <c r="H4906" s="8">
        <v>169</v>
      </c>
      <c r="J4906" t="s">
        <v>23</v>
      </c>
      <c r="K4906" s="7">
        <v>1287</v>
      </c>
      <c r="L4906" s="9">
        <v>-1</v>
      </c>
      <c r="M4906" t="s">
        <v>578</v>
      </c>
      <c r="N4906" t="s">
        <v>89</v>
      </c>
      <c r="O4906" s="27" t="str">
        <f>HYPERLINK("https://www.ncbi.nlm.nih.gov/nuccore/NZ_LIRG01000031.1?report=graph&amp;from=5225&amp;to=5229", "TTA_codon")</f>
        <v>TTA_codon</v>
      </c>
    </row>
    <row r="4907" spans="1:15" x14ac:dyDescent="0.15">
      <c r="A4907" t="s">
        <v>21</v>
      </c>
      <c r="B4907">
        <v>1000158</v>
      </c>
      <c r="C4907">
        <v>360002</v>
      </c>
      <c r="F4907" s="7">
        <v>1</v>
      </c>
      <c r="G4907" s="7">
        <v>82</v>
      </c>
      <c r="H4907" s="8">
        <v>40</v>
      </c>
      <c r="J4907" t="s">
        <v>23</v>
      </c>
      <c r="K4907" s="7">
        <v>1329</v>
      </c>
      <c r="L4907" s="9">
        <v>-1</v>
      </c>
      <c r="M4907" t="s">
        <v>312</v>
      </c>
      <c r="N4907" t="s">
        <v>125</v>
      </c>
      <c r="O4907" s="27" t="str">
        <f>HYPERLINK("https://www.ncbi.nlm.nih.gov/nuccore/NZ_KQ948456.1?report=graph&amp;from=351895&amp;to=351899", "TTA_codon")</f>
        <v>TTA_codon</v>
      </c>
    </row>
    <row r="4908" spans="1:15" x14ac:dyDescent="0.15">
      <c r="A4908" t="s">
        <v>21</v>
      </c>
      <c r="B4908">
        <v>1000158</v>
      </c>
      <c r="C4908">
        <v>360885</v>
      </c>
      <c r="F4908" s="7">
        <v>1</v>
      </c>
      <c r="G4908" s="7">
        <v>337</v>
      </c>
      <c r="H4908" s="8">
        <v>271</v>
      </c>
      <c r="J4908" t="s">
        <v>23</v>
      </c>
      <c r="K4908" s="7">
        <v>1341</v>
      </c>
      <c r="L4908" s="9">
        <v>-1</v>
      </c>
      <c r="M4908" t="s">
        <v>1250</v>
      </c>
      <c r="N4908" t="s">
        <v>97</v>
      </c>
      <c r="O4908" s="27" t="str">
        <f>HYPERLINK("https://www.ncbi.nlm.nih.gov/nuccore/NZ_LOHS01000076.1?report=graph&amp;from=9236&amp;to=9240", "TTA_codon")</f>
        <v>TTA_codon</v>
      </c>
    </row>
    <row r="4909" spans="1:15" x14ac:dyDescent="0.15">
      <c r="A4909" t="s">
        <v>21</v>
      </c>
      <c r="B4909">
        <v>1000158</v>
      </c>
      <c r="C4909">
        <v>362404</v>
      </c>
      <c r="F4909" s="7">
        <v>1</v>
      </c>
      <c r="G4909" s="7">
        <v>484</v>
      </c>
      <c r="H4909" s="8">
        <v>436</v>
      </c>
      <c r="J4909" t="s">
        <v>23</v>
      </c>
      <c r="K4909" s="7">
        <v>1362</v>
      </c>
      <c r="L4909" s="9">
        <v>-1</v>
      </c>
      <c r="M4909" t="s">
        <v>32</v>
      </c>
      <c r="N4909" t="s">
        <v>33</v>
      </c>
      <c r="O4909" s="27" t="str">
        <f>HYPERLINK("https://www.ncbi.nlm.nih.gov/nuccore/NZ_CP017248.1?report=graph&amp;from=5417415&amp;to=5417419", "TTA_codon")</f>
        <v>TTA_codon</v>
      </c>
    </row>
    <row r="4910" spans="1:15" x14ac:dyDescent="0.15">
      <c r="A4910" t="s">
        <v>21</v>
      </c>
      <c r="B4910">
        <v>1000158</v>
      </c>
      <c r="C4910">
        <v>363232</v>
      </c>
      <c r="F4910" s="7">
        <v>1</v>
      </c>
      <c r="G4910" s="7">
        <v>145</v>
      </c>
      <c r="H4910" s="8">
        <v>136</v>
      </c>
      <c r="J4910" t="s">
        <v>23</v>
      </c>
      <c r="K4910" s="7">
        <v>1305</v>
      </c>
      <c r="L4910" s="9">
        <v>-1</v>
      </c>
      <c r="M4910" t="s">
        <v>3746</v>
      </c>
      <c r="N4910" t="s">
        <v>28</v>
      </c>
      <c r="O4910" s="27" t="str">
        <f>HYPERLINK("https://www.ncbi.nlm.nih.gov/nuccore/NZ_JUJA01000133.1?report=graph&amp;from=92667&amp;to=92671", "TTA_codon")</f>
        <v>TTA_codon</v>
      </c>
    </row>
    <row r="4911" spans="1:15" x14ac:dyDescent="0.15">
      <c r="A4911" t="s">
        <v>21</v>
      </c>
      <c r="B4911">
        <v>1000158</v>
      </c>
      <c r="C4911">
        <v>364530</v>
      </c>
      <c r="F4911" s="7">
        <v>1</v>
      </c>
      <c r="G4911" s="7">
        <v>337</v>
      </c>
      <c r="H4911" s="8">
        <v>271</v>
      </c>
      <c r="J4911" t="s">
        <v>23</v>
      </c>
      <c r="K4911" s="7">
        <v>1199</v>
      </c>
      <c r="L4911" s="9">
        <v>-1</v>
      </c>
      <c r="M4911" t="s">
        <v>3747</v>
      </c>
      <c r="N4911" t="s">
        <v>108</v>
      </c>
      <c r="O4911" s="27" t="str">
        <f>HYPERLINK("https://www.ncbi.nlm.nih.gov/nuccore/NZ_MUMD01000009.1?report=graph&amp;from=938&amp;to=942", "TTA_codon")</f>
        <v>TTA_codon</v>
      </c>
    </row>
    <row r="4912" spans="1:15" x14ac:dyDescent="0.15">
      <c r="A4912" t="s">
        <v>21</v>
      </c>
      <c r="B4912">
        <v>1000158</v>
      </c>
      <c r="C4912">
        <v>364646</v>
      </c>
      <c r="F4912" s="7">
        <v>1</v>
      </c>
      <c r="G4912" s="7">
        <v>559</v>
      </c>
      <c r="H4912" s="8">
        <v>493</v>
      </c>
      <c r="J4912" t="s">
        <v>23</v>
      </c>
      <c r="K4912" s="7">
        <v>1359</v>
      </c>
      <c r="L4912" s="9">
        <v>-1</v>
      </c>
      <c r="M4912" t="s">
        <v>3748</v>
      </c>
      <c r="N4912" t="s">
        <v>110</v>
      </c>
      <c r="O4912" s="27" t="str">
        <f>HYPERLINK("https://www.ncbi.nlm.nih.gov/nuccore/NZ_MUME01000169.1?report=graph&amp;from=7679&amp;to=7683", "TTA_codon")</f>
        <v>TTA_codon</v>
      </c>
    </row>
    <row r="4913" spans="1:15" x14ac:dyDescent="0.15">
      <c r="A4913" t="s">
        <v>21</v>
      </c>
      <c r="B4913">
        <v>1000158</v>
      </c>
      <c r="C4913">
        <v>366749</v>
      </c>
      <c r="F4913" s="7">
        <v>1</v>
      </c>
      <c r="G4913" s="7">
        <v>82</v>
      </c>
      <c r="H4913" s="8">
        <v>37</v>
      </c>
      <c r="J4913" t="s">
        <v>23</v>
      </c>
      <c r="K4913" s="7">
        <v>1362</v>
      </c>
      <c r="L4913" s="9">
        <v>-1</v>
      </c>
      <c r="M4913" t="s">
        <v>1720</v>
      </c>
      <c r="N4913" t="s">
        <v>209</v>
      </c>
      <c r="O4913" s="27" t="str">
        <f>HYPERLINK("https://www.ncbi.nlm.nih.gov/nuccore/NZ_FZOF01000008.1?report=graph&amp;from=349146&amp;to=349150", "TTA_codon")</f>
        <v>TTA_codon</v>
      </c>
    </row>
    <row r="4914" spans="1:15" x14ac:dyDescent="0.15">
      <c r="A4914" t="s">
        <v>21</v>
      </c>
      <c r="B4914" t="s">
        <v>3749</v>
      </c>
    </row>
    <row r="4915" spans="1:15" x14ac:dyDescent="0.15">
      <c r="A4915" t="s">
        <v>21</v>
      </c>
      <c r="B4915">
        <v>1001003</v>
      </c>
      <c r="C4915">
        <v>354263</v>
      </c>
      <c r="F4915" s="7">
        <v>1</v>
      </c>
      <c r="G4915" s="7">
        <v>265</v>
      </c>
      <c r="H4915" s="8">
        <v>256</v>
      </c>
      <c r="J4915" t="s">
        <v>23</v>
      </c>
      <c r="K4915" s="7">
        <v>1143</v>
      </c>
      <c r="L4915" s="9">
        <v>1</v>
      </c>
      <c r="M4915" t="s">
        <v>141</v>
      </c>
      <c r="N4915" t="s">
        <v>142</v>
      </c>
      <c r="O4915" s="27" t="str">
        <f>HYPERLINK("https://www.ncbi.nlm.nih.gov/nuccore/NZ_JOEI01000002.1?report=graph&amp;from=147350&amp;to=147354", "TTA_codon")</f>
        <v>TTA_codon</v>
      </c>
    </row>
    <row r="4916" spans="1:15" x14ac:dyDescent="0.15">
      <c r="A4916" t="s">
        <v>21</v>
      </c>
      <c r="B4916">
        <v>1001003</v>
      </c>
      <c r="C4916">
        <v>359604</v>
      </c>
      <c r="F4916" s="7">
        <v>1</v>
      </c>
      <c r="G4916" s="7">
        <v>265</v>
      </c>
      <c r="H4916" s="8">
        <v>265</v>
      </c>
      <c r="J4916" t="s">
        <v>23</v>
      </c>
      <c r="K4916" s="7">
        <v>1152</v>
      </c>
      <c r="L4916" s="9">
        <v>1</v>
      </c>
      <c r="M4916" t="s">
        <v>1625</v>
      </c>
      <c r="N4916" t="s">
        <v>651</v>
      </c>
      <c r="O4916" s="27" t="str">
        <f>HYPERLINK("https://www.ncbi.nlm.nih.gov/nuccore/NZ_LN929763.1?report=graph&amp;from=110822&amp;to=110826", "TTA_codon")</f>
        <v>TTA_codon</v>
      </c>
    </row>
    <row r="4917" spans="1:15" x14ac:dyDescent="0.15">
      <c r="A4917" t="s">
        <v>21</v>
      </c>
      <c r="B4917" t="s">
        <v>3750</v>
      </c>
    </row>
    <row r="4918" spans="1:15" x14ac:dyDescent="0.15">
      <c r="A4918" t="s">
        <v>21</v>
      </c>
      <c r="B4918">
        <v>1001316</v>
      </c>
      <c r="C4918">
        <v>359706</v>
      </c>
      <c r="F4918" s="7">
        <v>1</v>
      </c>
      <c r="G4918" s="7">
        <v>124</v>
      </c>
      <c r="H4918" s="8">
        <v>103</v>
      </c>
      <c r="J4918" t="s">
        <v>23</v>
      </c>
      <c r="K4918" s="7">
        <v>2403</v>
      </c>
      <c r="L4918" s="9">
        <v>-1</v>
      </c>
      <c r="M4918" t="s">
        <v>1625</v>
      </c>
      <c r="N4918" t="s">
        <v>651</v>
      </c>
      <c r="O4918" s="27" t="str">
        <f>HYPERLINK("https://www.ncbi.nlm.nih.gov/nuccore/NZ_LN929763.1?report=graph&amp;from=207596&amp;to=207600", "TTA_codon")</f>
        <v>TTA_codon</v>
      </c>
    </row>
    <row r="4919" spans="1:15" x14ac:dyDescent="0.15">
      <c r="A4919" t="s">
        <v>21</v>
      </c>
      <c r="B4919">
        <v>1001316</v>
      </c>
      <c r="C4919">
        <v>364216</v>
      </c>
      <c r="F4919" s="7">
        <v>1</v>
      </c>
      <c r="G4919" s="7">
        <v>172</v>
      </c>
      <c r="H4919" s="8">
        <v>172</v>
      </c>
      <c r="J4919" t="s">
        <v>23</v>
      </c>
      <c r="K4919" s="7">
        <v>2382</v>
      </c>
      <c r="L4919" s="9">
        <v>-1</v>
      </c>
      <c r="M4919" t="s">
        <v>254</v>
      </c>
      <c r="N4919" t="s">
        <v>255</v>
      </c>
      <c r="O4919" s="27" t="str">
        <f>HYPERLINK("https://www.ncbi.nlm.nih.gov/nuccore/NZ_CP018047.1?report=graph&amp;from=3586188&amp;to=3586192", "TTA_codon")</f>
        <v>TTA_codon</v>
      </c>
    </row>
    <row r="4920" spans="1:15" x14ac:dyDescent="0.15">
      <c r="A4920" t="s">
        <v>21</v>
      </c>
      <c r="B4920" t="s">
        <v>3751</v>
      </c>
    </row>
    <row r="4921" spans="1:15" x14ac:dyDescent="0.15">
      <c r="A4921" t="s">
        <v>21</v>
      </c>
      <c r="B4921">
        <v>1001327</v>
      </c>
      <c r="C4921">
        <v>359937</v>
      </c>
      <c r="F4921" s="7">
        <v>1</v>
      </c>
      <c r="G4921" s="7">
        <v>118</v>
      </c>
      <c r="H4921" s="8">
        <v>118</v>
      </c>
      <c r="J4921" t="s">
        <v>23</v>
      </c>
      <c r="K4921" s="7">
        <v>3561</v>
      </c>
      <c r="L4921" s="9">
        <v>-1</v>
      </c>
      <c r="M4921" t="s">
        <v>1809</v>
      </c>
      <c r="N4921" t="s">
        <v>91</v>
      </c>
      <c r="O4921" s="27" t="str">
        <f>HYPERLINK("https://www.ncbi.nlm.nih.gov/nuccore/NZ_KQ948320.1?report=graph&amp;from=103761&amp;to=103765", "TTA_codon")</f>
        <v>TTA_codon</v>
      </c>
    </row>
    <row r="4922" spans="1:15" x14ac:dyDescent="0.15">
      <c r="A4922" t="s">
        <v>21</v>
      </c>
      <c r="B4922">
        <v>1001327</v>
      </c>
      <c r="C4922">
        <v>363359</v>
      </c>
      <c r="F4922" s="7">
        <v>1</v>
      </c>
      <c r="G4922" s="7">
        <v>40</v>
      </c>
      <c r="H4922" s="8">
        <v>40</v>
      </c>
      <c r="J4922" t="s">
        <v>23</v>
      </c>
      <c r="K4922" s="7">
        <v>3558</v>
      </c>
      <c r="L4922" s="9">
        <v>-1</v>
      </c>
      <c r="M4922" t="s">
        <v>2283</v>
      </c>
      <c r="N4922" t="s">
        <v>28</v>
      </c>
      <c r="O4922" s="27" t="str">
        <f>HYPERLINK("https://www.ncbi.nlm.nih.gov/nuccore/NZ_JUJA01000170.1?report=graph&amp;from=20700&amp;to=20704", "TTA_codon")</f>
        <v>TTA_codon</v>
      </c>
    </row>
    <row r="4923" spans="1:15" x14ac:dyDescent="0.15">
      <c r="A4923" t="s">
        <v>21</v>
      </c>
      <c r="B4923" t="s">
        <v>3752</v>
      </c>
    </row>
    <row r="4924" spans="1:15" x14ac:dyDescent="0.15">
      <c r="A4924" t="s">
        <v>21</v>
      </c>
      <c r="B4924">
        <v>1001418</v>
      </c>
      <c r="C4924">
        <v>348050</v>
      </c>
      <c r="F4924" s="7">
        <v>2</v>
      </c>
      <c r="G4924" s="7" t="s">
        <v>3753</v>
      </c>
      <c r="H4924" s="8" t="s">
        <v>3754</v>
      </c>
      <c r="J4924" t="s">
        <v>23</v>
      </c>
      <c r="K4924" s="7">
        <v>1212</v>
      </c>
      <c r="L4924" s="9">
        <v>1</v>
      </c>
      <c r="M4924" t="s">
        <v>59</v>
      </c>
      <c r="N4924" t="s">
        <v>60</v>
      </c>
      <c r="O4924" s="27" t="str">
        <f>HYPERLINK("https://www.ncbi.nlm.nih.gov/nuccore/NC_016582.1?report=graph&amp;from=9001428&amp;to=9002293", "TTA_codon")</f>
        <v>TTA_codon</v>
      </c>
    </row>
    <row r="4925" spans="1:15" x14ac:dyDescent="0.15">
      <c r="A4925" t="s">
        <v>21</v>
      </c>
      <c r="B4925">
        <v>1001418</v>
      </c>
      <c r="C4925">
        <v>348051</v>
      </c>
      <c r="F4925" s="7">
        <v>1</v>
      </c>
      <c r="G4925" s="7">
        <v>226</v>
      </c>
      <c r="H4925" s="8">
        <v>226</v>
      </c>
      <c r="J4925" t="s">
        <v>23</v>
      </c>
      <c r="K4925" s="7">
        <v>1263</v>
      </c>
      <c r="L4925" s="9">
        <v>1</v>
      </c>
      <c r="M4925" t="s">
        <v>59</v>
      </c>
      <c r="N4925" t="s">
        <v>60</v>
      </c>
      <c r="O4925" s="27" t="str">
        <f>HYPERLINK("https://www.ncbi.nlm.nih.gov/nuccore/NC_016582.1?report=graph&amp;from=10130733&amp;to=10130737", "TTA_codon")</f>
        <v>TTA_codon</v>
      </c>
    </row>
    <row r="4926" spans="1:15" x14ac:dyDescent="0.15">
      <c r="A4926" t="s">
        <v>21</v>
      </c>
      <c r="B4926">
        <v>1001418</v>
      </c>
      <c r="C4926">
        <v>348779</v>
      </c>
      <c r="F4926" s="7">
        <v>3</v>
      </c>
      <c r="G4926" s="7" t="s">
        <v>3755</v>
      </c>
      <c r="H4926" s="8" t="s">
        <v>3756</v>
      </c>
      <c r="J4926" t="s">
        <v>23</v>
      </c>
      <c r="K4926" s="7">
        <v>1245</v>
      </c>
      <c r="L4926" s="9">
        <v>1</v>
      </c>
      <c r="M4926" t="s">
        <v>211</v>
      </c>
      <c r="N4926" t="s">
        <v>212</v>
      </c>
      <c r="O4926" s="27" t="str">
        <f>HYPERLINK("https://www.ncbi.nlm.nih.gov/nuccore/NZ_GG657754.1?report=graph&amp;from=6653370&amp;to=6654019", "TTA_codon")</f>
        <v>TTA_codon</v>
      </c>
    </row>
    <row r="4927" spans="1:15" x14ac:dyDescent="0.15">
      <c r="A4927" t="s">
        <v>21</v>
      </c>
      <c r="B4927">
        <v>1001418</v>
      </c>
      <c r="C4927">
        <v>350745</v>
      </c>
      <c r="F4927" s="7">
        <v>1</v>
      </c>
      <c r="G4927" s="7">
        <v>226</v>
      </c>
      <c r="H4927" s="8">
        <v>226</v>
      </c>
      <c r="J4927" t="s">
        <v>23</v>
      </c>
      <c r="K4927" s="7">
        <v>1245</v>
      </c>
      <c r="L4927" s="9">
        <v>1</v>
      </c>
      <c r="M4927" t="s">
        <v>3757</v>
      </c>
      <c r="N4927" t="s">
        <v>51</v>
      </c>
      <c r="O4927" s="27" t="str">
        <f>HYPERLINK("https://www.ncbi.nlm.nih.gov/nuccore/NZ_AEJB01000681.1?report=graph&amp;from=27313&amp;to=27317", "TTA_codon")</f>
        <v>TTA_codon</v>
      </c>
    </row>
    <row r="4928" spans="1:15" x14ac:dyDescent="0.15">
      <c r="A4928" t="s">
        <v>21</v>
      </c>
      <c r="B4928">
        <v>1001418</v>
      </c>
      <c r="C4928">
        <v>354549</v>
      </c>
      <c r="F4928" s="7">
        <v>1</v>
      </c>
      <c r="G4928" s="7">
        <v>91</v>
      </c>
      <c r="H4928" s="8">
        <v>91</v>
      </c>
      <c r="J4928" t="s">
        <v>23</v>
      </c>
      <c r="K4928" s="7">
        <v>1272</v>
      </c>
      <c r="L4928" s="9">
        <v>1</v>
      </c>
      <c r="M4928" t="s">
        <v>3758</v>
      </c>
      <c r="N4928" t="s">
        <v>272</v>
      </c>
      <c r="O4928" s="27" t="str">
        <f>HYPERLINK("https://www.ncbi.nlm.nih.gov/nuccore/NZ_JOEY01000030.1?report=graph&amp;from=63921&amp;to=63925", "TTA_codon")</f>
        <v>TTA_codon</v>
      </c>
    </row>
    <row r="4929" spans="1:15" x14ac:dyDescent="0.15">
      <c r="A4929" t="s">
        <v>21</v>
      </c>
      <c r="B4929">
        <v>1001418</v>
      </c>
      <c r="C4929">
        <v>354823</v>
      </c>
      <c r="F4929" s="7">
        <v>1</v>
      </c>
      <c r="G4929" s="7">
        <v>226</v>
      </c>
      <c r="H4929" s="8">
        <v>226</v>
      </c>
      <c r="J4929" t="s">
        <v>23</v>
      </c>
      <c r="K4929" s="7">
        <v>1263</v>
      </c>
      <c r="L4929" s="9">
        <v>1</v>
      </c>
      <c r="M4929" t="s">
        <v>3759</v>
      </c>
      <c r="N4929" t="s">
        <v>25</v>
      </c>
      <c r="O4929" s="27" t="str">
        <f>HYPERLINK("https://www.ncbi.nlm.nih.gov/nuccore/NZ_JOFU01000008.1?report=graph&amp;from=25269&amp;to=25273", "TTA_codon")</f>
        <v>TTA_codon</v>
      </c>
    </row>
    <row r="4930" spans="1:15" x14ac:dyDescent="0.15">
      <c r="A4930" t="s">
        <v>21</v>
      </c>
      <c r="B4930">
        <v>1001418</v>
      </c>
      <c r="C4930">
        <v>361584</v>
      </c>
      <c r="F4930" s="7">
        <v>1</v>
      </c>
      <c r="G4930" s="7">
        <v>226</v>
      </c>
      <c r="H4930" s="8">
        <v>226</v>
      </c>
      <c r="J4930" t="s">
        <v>23</v>
      </c>
      <c r="K4930" s="7">
        <v>1269</v>
      </c>
      <c r="L4930" s="9">
        <v>1</v>
      </c>
      <c r="M4930" t="s">
        <v>37</v>
      </c>
      <c r="N4930" t="s">
        <v>38</v>
      </c>
      <c r="O4930" s="27" t="str">
        <f>HYPERLINK("https://www.ncbi.nlm.nih.gov/nuccore/NZ_CP011533.1?report=graph&amp;from=5970608&amp;to=5970612", "TTA_codon")</f>
        <v>TTA_codon</v>
      </c>
    </row>
    <row r="4931" spans="1:15" x14ac:dyDescent="0.15">
      <c r="A4931" t="s">
        <v>21</v>
      </c>
      <c r="B4931">
        <v>1001418</v>
      </c>
      <c r="C4931">
        <v>362447</v>
      </c>
      <c r="F4931" s="7">
        <v>1</v>
      </c>
      <c r="G4931" s="7">
        <v>895</v>
      </c>
      <c r="H4931" s="8">
        <v>541</v>
      </c>
      <c r="J4931" t="s">
        <v>23</v>
      </c>
      <c r="K4931" s="7">
        <v>924</v>
      </c>
      <c r="L4931" s="9">
        <v>1</v>
      </c>
      <c r="M4931" t="s">
        <v>32</v>
      </c>
      <c r="N4931" t="s">
        <v>33</v>
      </c>
      <c r="O4931" s="27" t="str">
        <f>HYPERLINK("https://www.ncbi.nlm.nih.gov/nuccore/NZ_CP017248.1?report=graph&amp;from=6124394&amp;to=6124398", "TTA_codon")</f>
        <v>TTA_codon</v>
      </c>
    </row>
    <row r="4932" spans="1:15" x14ac:dyDescent="0.15">
      <c r="A4932" t="s">
        <v>21</v>
      </c>
      <c r="B4932">
        <v>1001418</v>
      </c>
      <c r="C4932">
        <v>366555</v>
      </c>
      <c r="F4932" s="7">
        <v>1</v>
      </c>
      <c r="G4932" s="7">
        <v>91</v>
      </c>
      <c r="H4932" s="8">
        <v>85</v>
      </c>
      <c r="J4932" t="s">
        <v>23</v>
      </c>
      <c r="K4932" s="7">
        <v>1254</v>
      </c>
      <c r="L4932" s="9">
        <v>1</v>
      </c>
      <c r="M4932" t="s">
        <v>3760</v>
      </c>
      <c r="N4932" t="s">
        <v>180</v>
      </c>
      <c r="O4932" s="27" t="str">
        <f>HYPERLINK("https://www.ncbi.nlm.nih.gov/nuccore/NZ_FRBI01000011.1?report=graph&amp;from=105772&amp;to=105776", "TTA_codon")</f>
        <v>TTA_codon</v>
      </c>
    </row>
    <row r="4933" spans="1:15" x14ac:dyDescent="0.15">
      <c r="A4933" t="s">
        <v>21</v>
      </c>
      <c r="B4933" t="s">
        <v>3761</v>
      </c>
    </row>
    <row r="4934" spans="1:15" x14ac:dyDescent="0.15">
      <c r="A4934" t="s">
        <v>21</v>
      </c>
      <c r="B4934">
        <v>1000213</v>
      </c>
      <c r="C4934">
        <v>347401</v>
      </c>
      <c r="F4934" s="7">
        <v>1</v>
      </c>
      <c r="G4934" s="7">
        <v>112</v>
      </c>
      <c r="H4934" s="8">
        <v>112</v>
      </c>
      <c r="J4934" t="s">
        <v>23</v>
      </c>
      <c r="K4934" s="7">
        <v>414</v>
      </c>
      <c r="L4934" s="9">
        <v>1</v>
      </c>
      <c r="M4934" t="s">
        <v>217</v>
      </c>
      <c r="N4934" t="s">
        <v>218</v>
      </c>
      <c r="O4934" s="27" t="str">
        <f>HYPERLINK("https://www.ncbi.nlm.nih.gov/nuccore/NC_021985.1?report=graph&amp;from=3859628&amp;to=3859632", "TTA_codon")</f>
        <v>TTA_codon</v>
      </c>
    </row>
    <row r="4935" spans="1:15" x14ac:dyDescent="0.15">
      <c r="A4935" t="s">
        <v>21</v>
      </c>
      <c r="B4935">
        <v>1000213</v>
      </c>
      <c r="C4935">
        <v>347497</v>
      </c>
      <c r="F4935" s="7">
        <v>1</v>
      </c>
      <c r="G4935" s="7">
        <v>112</v>
      </c>
      <c r="H4935" s="8">
        <v>112</v>
      </c>
      <c r="J4935" t="s">
        <v>23</v>
      </c>
      <c r="K4935" s="7">
        <v>414</v>
      </c>
      <c r="L4935" s="9">
        <v>1</v>
      </c>
      <c r="M4935" t="s">
        <v>53</v>
      </c>
      <c r="N4935" t="s">
        <v>54</v>
      </c>
      <c r="O4935" s="27" t="str">
        <f>HYPERLINK("https://www.ncbi.nlm.nih.gov/nuccore/NC_003155.5?report=graph&amp;from=4622379&amp;to=4622383", "TTA_codon")</f>
        <v>TTA_codon</v>
      </c>
    </row>
    <row r="4936" spans="1:15" x14ac:dyDescent="0.15">
      <c r="A4936" t="s">
        <v>21</v>
      </c>
      <c r="B4936">
        <v>1000213</v>
      </c>
      <c r="C4936">
        <v>362563</v>
      </c>
      <c r="F4936" s="7">
        <v>1</v>
      </c>
      <c r="G4936" s="7">
        <v>112</v>
      </c>
      <c r="H4936" s="8">
        <v>112</v>
      </c>
      <c r="J4936" t="s">
        <v>23</v>
      </c>
      <c r="K4936" s="7">
        <v>414</v>
      </c>
      <c r="L4936" s="9">
        <v>1</v>
      </c>
      <c r="M4936" t="s">
        <v>32</v>
      </c>
      <c r="N4936" t="s">
        <v>33</v>
      </c>
      <c r="O4936" s="27" t="str">
        <f>HYPERLINK("https://www.ncbi.nlm.nih.gov/nuccore/NZ_CP017248.1?report=graph&amp;from=5419839&amp;to=5419843", "TTA_codon")</f>
        <v>TTA_codon</v>
      </c>
    </row>
    <row r="4937" spans="1:15" x14ac:dyDescent="0.15">
      <c r="A4937" t="s">
        <v>21</v>
      </c>
      <c r="B4937" t="s">
        <v>3762</v>
      </c>
    </row>
    <row r="4938" spans="1:15" x14ac:dyDescent="0.15">
      <c r="A4938" t="s">
        <v>21</v>
      </c>
      <c r="B4938">
        <v>1001488</v>
      </c>
      <c r="C4938">
        <v>357295</v>
      </c>
      <c r="F4938" s="7">
        <v>1</v>
      </c>
      <c r="G4938" s="7">
        <v>286</v>
      </c>
      <c r="H4938" s="8">
        <v>253</v>
      </c>
      <c r="J4938" t="s">
        <v>23</v>
      </c>
      <c r="K4938" s="7">
        <v>1764</v>
      </c>
      <c r="L4938" s="9">
        <v>1</v>
      </c>
      <c r="M4938" t="s">
        <v>250</v>
      </c>
      <c r="N4938" t="s">
        <v>251</v>
      </c>
      <c r="O4938" s="27" t="str">
        <f>HYPERLINK("https://www.ncbi.nlm.nih.gov/nuccore/NZ_CP009922.2?report=graph&amp;from=4966841&amp;to=4966845", "TTA_codon")</f>
        <v>TTA_codon</v>
      </c>
    </row>
    <row r="4939" spans="1:15" x14ac:dyDescent="0.15">
      <c r="A4939" t="s">
        <v>21</v>
      </c>
      <c r="B4939">
        <v>1001488</v>
      </c>
      <c r="C4939">
        <v>363139</v>
      </c>
      <c r="F4939" s="7">
        <v>1</v>
      </c>
      <c r="G4939" s="7">
        <v>403</v>
      </c>
      <c r="H4939" s="8">
        <v>364</v>
      </c>
      <c r="J4939" t="s">
        <v>23</v>
      </c>
      <c r="K4939" s="7">
        <v>1707</v>
      </c>
      <c r="L4939" s="9">
        <v>1</v>
      </c>
      <c r="M4939" t="s">
        <v>1483</v>
      </c>
      <c r="N4939" t="s">
        <v>401</v>
      </c>
      <c r="O4939" s="27" t="str">
        <f>HYPERLINK("https://www.ncbi.nlm.nih.gov/nuccore/NZ_LFBV01000001.1?report=graph&amp;from=379983&amp;to=379987", "TTA_codon")</f>
        <v>TTA_codon</v>
      </c>
    </row>
    <row r="4940" spans="1:15" x14ac:dyDescent="0.15">
      <c r="A4940" t="s">
        <v>21</v>
      </c>
      <c r="B4940">
        <v>1001488</v>
      </c>
      <c r="C4940">
        <v>364207</v>
      </c>
      <c r="F4940" s="7">
        <v>3</v>
      </c>
      <c r="G4940" s="7" t="s">
        <v>3763</v>
      </c>
      <c r="H4940" s="8" t="s">
        <v>3764</v>
      </c>
      <c r="J4940" t="s">
        <v>23</v>
      </c>
      <c r="K4940" s="7">
        <v>1689</v>
      </c>
      <c r="L4940" s="9">
        <v>1</v>
      </c>
      <c r="M4940" t="s">
        <v>254</v>
      </c>
      <c r="N4940" t="s">
        <v>255</v>
      </c>
      <c r="O4940" s="27" t="str">
        <f>HYPERLINK("https://www.ncbi.nlm.nih.gov/nuccore/NZ_CP018047.1?report=graph&amp;from=7402813&amp;to=7402964", "TTA_codon")</f>
        <v>TTA_codon</v>
      </c>
    </row>
    <row r="4941" spans="1:15" x14ac:dyDescent="0.15">
      <c r="A4941" t="s">
        <v>21</v>
      </c>
      <c r="B4941">
        <v>1001488</v>
      </c>
      <c r="C4941">
        <v>364784</v>
      </c>
      <c r="F4941" s="7">
        <v>1</v>
      </c>
      <c r="G4941" s="7">
        <v>130</v>
      </c>
      <c r="H4941" s="8">
        <v>103</v>
      </c>
      <c r="J4941" t="s">
        <v>23</v>
      </c>
      <c r="K4941" s="7">
        <v>1743</v>
      </c>
      <c r="L4941" s="9">
        <v>1</v>
      </c>
      <c r="M4941" t="s">
        <v>3765</v>
      </c>
      <c r="N4941" t="s">
        <v>110</v>
      </c>
      <c r="O4941" s="27" t="str">
        <f>HYPERLINK("https://www.ncbi.nlm.nih.gov/nuccore/NZ_MUME01000065.1?report=graph&amp;from=12430&amp;to=12434", "TTA_codon")</f>
        <v>TTA_codon</v>
      </c>
    </row>
    <row r="4942" spans="1:15" x14ac:dyDescent="0.15">
      <c r="A4942" t="s">
        <v>21</v>
      </c>
      <c r="B4942" t="s">
        <v>3766</v>
      </c>
    </row>
    <row r="4943" spans="1:15" x14ac:dyDescent="0.15">
      <c r="A4943" t="s">
        <v>21</v>
      </c>
      <c r="B4943">
        <v>1001027</v>
      </c>
      <c r="C4943">
        <v>354579</v>
      </c>
      <c r="F4943" s="7">
        <v>1</v>
      </c>
      <c r="G4943" s="7">
        <v>925</v>
      </c>
      <c r="H4943" s="8">
        <v>925</v>
      </c>
      <c r="J4943" t="s">
        <v>23</v>
      </c>
      <c r="K4943" s="7">
        <v>1011</v>
      </c>
      <c r="L4943" s="9">
        <v>-1</v>
      </c>
      <c r="M4943" t="s">
        <v>1320</v>
      </c>
      <c r="N4943" t="s">
        <v>272</v>
      </c>
      <c r="O4943" s="27" t="str">
        <f>HYPERLINK("https://www.ncbi.nlm.nih.gov/nuccore/NZ_JOEY01000003.1?report=graph&amp;from=226898&amp;to=226902", "TTA_codon")</f>
        <v>TTA_codon</v>
      </c>
    </row>
    <row r="4944" spans="1:15" x14ac:dyDescent="0.15">
      <c r="A4944" t="s">
        <v>21</v>
      </c>
      <c r="B4944">
        <v>1001027</v>
      </c>
      <c r="C4944">
        <v>358112</v>
      </c>
      <c r="F4944" s="7">
        <v>1</v>
      </c>
      <c r="G4944" s="7">
        <v>790</v>
      </c>
      <c r="H4944" s="8">
        <v>787</v>
      </c>
      <c r="J4944" t="s">
        <v>23</v>
      </c>
      <c r="K4944" s="7">
        <v>996</v>
      </c>
      <c r="L4944" s="9">
        <v>-1</v>
      </c>
      <c r="M4944" t="s">
        <v>3767</v>
      </c>
      <c r="N4944" t="s">
        <v>119</v>
      </c>
      <c r="O4944" s="27" t="str">
        <f>HYPERLINK("https://www.ncbi.nlm.nih.gov/nuccore/NZ_LIPP01000149.1?report=graph&amp;from=51157&amp;to=51161", "TTA_codon")</f>
        <v>TTA_codon</v>
      </c>
    </row>
    <row r="4945" spans="1:15" x14ac:dyDescent="0.15">
      <c r="A4945" t="s">
        <v>21</v>
      </c>
      <c r="B4945" t="s">
        <v>3768</v>
      </c>
    </row>
    <row r="4946" spans="1:15" x14ac:dyDescent="0.15">
      <c r="A4946" t="s">
        <v>21</v>
      </c>
      <c r="B4946">
        <v>1000538</v>
      </c>
      <c r="C4946">
        <v>349691</v>
      </c>
      <c r="F4946" s="7">
        <v>1</v>
      </c>
      <c r="G4946" s="7">
        <v>70</v>
      </c>
      <c r="H4946" s="8">
        <v>70</v>
      </c>
      <c r="J4946" t="s">
        <v>23</v>
      </c>
      <c r="K4946" s="7">
        <v>423</v>
      </c>
      <c r="L4946" s="9">
        <v>-1</v>
      </c>
      <c r="M4946" t="s">
        <v>3366</v>
      </c>
      <c r="N4946" t="s">
        <v>335</v>
      </c>
      <c r="O4946" s="27" t="str">
        <f>HYPERLINK("https://www.ncbi.nlm.nih.gov/nuccore/NZ_AGBF01000009.1?report=graph&amp;from=86383&amp;to=86387", "TTA_codon")</f>
        <v>TTA_codon</v>
      </c>
    </row>
    <row r="4947" spans="1:15" x14ac:dyDescent="0.15">
      <c r="A4947" t="s">
        <v>21</v>
      </c>
      <c r="B4947">
        <v>1000538</v>
      </c>
      <c r="C4947">
        <v>351301</v>
      </c>
      <c r="F4947" s="7">
        <v>1</v>
      </c>
      <c r="G4947" s="7">
        <v>172</v>
      </c>
      <c r="H4947" s="8">
        <v>172</v>
      </c>
      <c r="J4947" t="s">
        <v>23</v>
      </c>
      <c r="K4947" s="7">
        <v>423</v>
      </c>
      <c r="L4947" s="9">
        <v>-1</v>
      </c>
      <c r="M4947" t="s">
        <v>65</v>
      </c>
      <c r="N4947" t="s">
        <v>66</v>
      </c>
      <c r="O4947" s="27" t="str">
        <f>HYPERLINK("https://www.ncbi.nlm.nih.gov/nuccore/NC_020504.1?report=graph&amp;from=4779520&amp;to=4779524", "TTA_codon")</f>
        <v>TTA_codon</v>
      </c>
    </row>
    <row r="4948" spans="1:15" x14ac:dyDescent="0.15">
      <c r="A4948" t="s">
        <v>21</v>
      </c>
      <c r="B4948" t="s">
        <v>3769</v>
      </c>
    </row>
    <row r="4949" spans="1:15" x14ac:dyDescent="0.15">
      <c r="A4949" t="s">
        <v>21</v>
      </c>
      <c r="B4949">
        <v>1000773</v>
      </c>
      <c r="C4949">
        <v>351761</v>
      </c>
      <c r="F4949" s="7">
        <v>1</v>
      </c>
      <c r="G4949" s="7">
        <v>352</v>
      </c>
      <c r="H4949" s="8">
        <v>352</v>
      </c>
      <c r="J4949" t="s">
        <v>23</v>
      </c>
      <c r="K4949" s="7">
        <v>1425</v>
      </c>
      <c r="L4949" s="9">
        <v>-1</v>
      </c>
      <c r="M4949" t="s">
        <v>2090</v>
      </c>
      <c r="N4949" t="s">
        <v>68</v>
      </c>
      <c r="O4949" s="27" t="str">
        <f>HYPERLINK("https://www.ncbi.nlm.nih.gov/nuccore/NZ_BARG01000062.1?report=graph&amp;from=96169&amp;to=96173", "TTA_codon")</f>
        <v>TTA_codon</v>
      </c>
    </row>
    <row r="4950" spans="1:15" x14ac:dyDescent="0.15">
      <c r="A4950" t="s">
        <v>21</v>
      </c>
      <c r="B4950">
        <v>1000773</v>
      </c>
      <c r="C4950">
        <v>357927</v>
      </c>
      <c r="F4950" s="7">
        <v>1</v>
      </c>
      <c r="G4950" s="7">
        <v>370</v>
      </c>
      <c r="H4950" s="8">
        <v>370</v>
      </c>
      <c r="J4950" t="s">
        <v>23</v>
      </c>
      <c r="K4950" s="7">
        <v>1449</v>
      </c>
      <c r="L4950" s="9">
        <v>-1</v>
      </c>
      <c r="M4950" t="s">
        <v>261</v>
      </c>
      <c r="N4950" t="s">
        <v>262</v>
      </c>
      <c r="O4950" s="27" t="str">
        <f>HYPERLINK("https://www.ncbi.nlm.nih.gov/nuccore/NZ_CP011340.1?report=graph&amp;from=1022851&amp;to=1022855", "TTA_codon")</f>
        <v>TTA_codon</v>
      </c>
    </row>
    <row r="4951" spans="1:15" x14ac:dyDescent="0.15">
      <c r="A4951" t="s">
        <v>21</v>
      </c>
      <c r="B4951" t="s">
        <v>3770</v>
      </c>
    </row>
    <row r="4952" spans="1:15" x14ac:dyDescent="0.15">
      <c r="A4952" t="s">
        <v>21</v>
      </c>
      <c r="B4952">
        <v>1000327</v>
      </c>
      <c r="C4952">
        <v>348041</v>
      </c>
      <c r="F4952" s="7">
        <v>1</v>
      </c>
      <c r="G4952" s="7">
        <v>163</v>
      </c>
      <c r="H4952" s="8">
        <v>163</v>
      </c>
      <c r="J4952" t="s">
        <v>23</v>
      </c>
      <c r="K4952" s="7">
        <v>396</v>
      </c>
      <c r="L4952" s="9">
        <v>-1</v>
      </c>
      <c r="M4952" t="s">
        <v>59</v>
      </c>
      <c r="N4952" t="s">
        <v>60</v>
      </c>
      <c r="O4952" s="27" t="str">
        <f>HYPERLINK("https://www.ncbi.nlm.nih.gov/nuccore/NC_016582.1?report=graph&amp;from=2284507&amp;to=2284511", "TTA_codon")</f>
        <v>TTA_codon</v>
      </c>
    </row>
    <row r="4953" spans="1:15" x14ac:dyDescent="0.15">
      <c r="A4953" t="s">
        <v>21</v>
      </c>
      <c r="B4953">
        <v>1000327</v>
      </c>
      <c r="C4953">
        <v>356014</v>
      </c>
      <c r="F4953" s="7">
        <v>1</v>
      </c>
      <c r="G4953" s="7">
        <v>73</v>
      </c>
      <c r="H4953" s="8">
        <v>73</v>
      </c>
      <c r="J4953" t="s">
        <v>23</v>
      </c>
      <c r="K4953" s="7">
        <v>399</v>
      </c>
      <c r="L4953" s="9">
        <v>-1</v>
      </c>
      <c r="M4953" t="s">
        <v>3572</v>
      </c>
      <c r="N4953" t="s">
        <v>146</v>
      </c>
      <c r="O4953" s="27" t="str">
        <f>HYPERLINK("https://www.ncbi.nlm.nih.gov/nuccore/NZ_JOFH01000001.1?report=graph&amp;from=423098&amp;to=423102", "TTA_codon")</f>
        <v>TTA_codon</v>
      </c>
    </row>
    <row r="4954" spans="1:15" x14ac:dyDescent="0.15">
      <c r="A4954" t="s">
        <v>21</v>
      </c>
      <c r="B4954" t="s">
        <v>3771</v>
      </c>
    </row>
    <row r="4955" spans="1:15" x14ac:dyDescent="0.15">
      <c r="A4955" t="s">
        <v>21</v>
      </c>
      <c r="B4955">
        <v>1001245</v>
      </c>
      <c r="C4955">
        <v>357718</v>
      </c>
      <c r="F4955" s="7">
        <v>1</v>
      </c>
      <c r="G4955" s="7">
        <v>40</v>
      </c>
      <c r="H4955" s="8">
        <v>40</v>
      </c>
      <c r="J4955" t="s">
        <v>23</v>
      </c>
      <c r="K4955" s="7">
        <v>1200</v>
      </c>
      <c r="L4955" s="9">
        <v>1</v>
      </c>
      <c r="M4955" t="s">
        <v>3772</v>
      </c>
      <c r="N4955" t="s">
        <v>83</v>
      </c>
      <c r="O4955" s="27" t="str">
        <f>HYPERLINK("https://www.ncbi.nlm.nih.gov/nuccore/NZ_DF968385.1?report=graph&amp;from=460&amp;to=464", "TTA_codon")</f>
        <v>TTA_codon</v>
      </c>
    </row>
    <row r="4956" spans="1:15" x14ac:dyDescent="0.15">
      <c r="A4956" t="s">
        <v>21</v>
      </c>
      <c r="B4956">
        <v>1001245</v>
      </c>
      <c r="C4956">
        <v>364556</v>
      </c>
      <c r="F4956" s="7">
        <v>1</v>
      </c>
      <c r="G4956" s="7">
        <v>40</v>
      </c>
      <c r="H4956" s="8">
        <v>40</v>
      </c>
      <c r="J4956" t="s">
        <v>23</v>
      </c>
      <c r="K4956" s="7">
        <v>1200</v>
      </c>
      <c r="L4956" s="9">
        <v>1</v>
      </c>
      <c r="M4956" t="s">
        <v>3773</v>
      </c>
      <c r="N4956" t="s">
        <v>108</v>
      </c>
      <c r="O4956" s="27" t="str">
        <f>HYPERLINK("https://www.ncbi.nlm.nih.gov/nuccore/NZ_MUMD01000483.1?report=graph&amp;from=2016&amp;to=2020", "TTA_codon")</f>
        <v>TTA_codon</v>
      </c>
    </row>
    <row r="4957" spans="1:15" x14ac:dyDescent="0.15">
      <c r="A4957" t="s">
        <v>21</v>
      </c>
      <c r="B4957" t="s">
        <v>3774</v>
      </c>
    </row>
    <row r="4958" spans="1:15" x14ac:dyDescent="0.15">
      <c r="A4958" t="s">
        <v>21</v>
      </c>
      <c r="B4958">
        <v>1000905</v>
      </c>
      <c r="C4958">
        <v>353018</v>
      </c>
      <c r="F4958" s="7">
        <v>1</v>
      </c>
      <c r="G4958" s="7">
        <v>67</v>
      </c>
      <c r="H4958" s="8">
        <v>67</v>
      </c>
      <c r="J4958" t="s">
        <v>23</v>
      </c>
      <c r="K4958" s="7">
        <v>975</v>
      </c>
      <c r="L4958" s="9">
        <v>1</v>
      </c>
      <c r="M4958" t="s">
        <v>1359</v>
      </c>
      <c r="N4958" t="s">
        <v>306</v>
      </c>
      <c r="O4958" s="27" t="str">
        <f>HYPERLINK("https://www.ncbi.nlm.nih.gov/nuccore/NZ_KL571077.1?report=graph&amp;from=45116&amp;to=45120", "TTA_codon")</f>
        <v>TTA_codon</v>
      </c>
    </row>
    <row r="4959" spans="1:15" x14ac:dyDescent="0.15">
      <c r="A4959" t="s">
        <v>21</v>
      </c>
      <c r="B4959">
        <v>1000905</v>
      </c>
      <c r="C4959">
        <v>364467</v>
      </c>
      <c r="F4959" s="7">
        <v>1</v>
      </c>
      <c r="G4959" s="7">
        <v>121</v>
      </c>
      <c r="H4959" s="8">
        <v>121</v>
      </c>
      <c r="J4959" t="s">
        <v>23</v>
      </c>
      <c r="K4959" s="7">
        <v>966</v>
      </c>
      <c r="L4959" s="9">
        <v>1</v>
      </c>
      <c r="M4959" t="s">
        <v>3775</v>
      </c>
      <c r="N4959" t="s">
        <v>326</v>
      </c>
      <c r="O4959" s="27" t="str">
        <f>HYPERLINK("https://www.ncbi.nlm.nih.gov/nuccore/NZ_MUBL01000101.1?report=graph&amp;from=419&amp;to=423", "TTA_codon")</f>
        <v>TTA_codon</v>
      </c>
    </row>
    <row r="4960" spans="1:15" x14ac:dyDescent="0.15">
      <c r="A4960" t="s">
        <v>21</v>
      </c>
      <c r="B4960" t="s">
        <v>3776</v>
      </c>
    </row>
    <row r="4961" spans="1:15" x14ac:dyDescent="0.15">
      <c r="A4961" t="s">
        <v>21</v>
      </c>
      <c r="B4961">
        <v>1000882</v>
      </c>
      <c r="C4961">
        <v>347950</v>
      </c>
      <c r="F4961" s="7">
        <v>1</v>
      </c>
      <c r="G4961" s="7">
        <v>346</v>
      </c>
      <c r="H4961" s="8">
        <v>337</v>
      </c>
      <c r="J4961" t="s">
        <v>23</v>
      </c>
      <c r="K4961" s="7">
        <v>3189</v>
      </c>
      <c r="L4961" s="9">
        <v>-1</v>
      </c>
      <c r="M4961" t="s">
        <v>57</v>
      </c>
      <c r="N4961" t="s">
        <v>58</v>
      </c>
      <c r="O4961" s="27" t="str">
        <f>HYPERLINK("https://www.ncbi.nlm.nih.gov/nuccore/NC_013929.1?report=graph&amp;from=7552298&amp;to=7552302", "TTA_codon")</f>
        <v>TTA_codon</v>
      </c>
    </row>
    <row r="4962" spans="1:15" x14ac:dyDescent="0.15">
      <c r="A4962" t="s">
        <v>21</v>
      </c>
      <c r="B4962">
        <v>1000882</v>
      </c>
      <c r="C4962">
        <v>352758</v>
      </c>
      <c r="F4962" s="7">
        <v>1</v>
      </c>
      <c r="G4962" s="7">
        <v>133</v>
      </c>
      <c r="H4962" s="8">
        <v>43</v>
      </c>
      <c r="J4962" t="s">
        <v>23</v>
      </c>
      <c r="K4962" s="7">
        <v>2895</v>
      </c>
      <c r="L4962" s="9">
        <v>-1</v>
      </c>
      <c r="M4962" t="s">
        <v>472</v>
      </c>
      <c r="N4962" t="s">
        <v>473</v>
      </c>
      <c r="O4962" s="27" t="str">
        <f>HYPERLINK("https://www.ncbi.nlm.nih.gov/nuccore/NZ_ASHX02000001.1?report=graph&amp;from=242302&amp;to=242306", "TTA_codon")</f>
        <v>TTA_codon</v>
      </c>
    </row>
    <row r="4963" spans="1:15" x14ac:dyDescent="0.15">
      <c r="A4963" t="s">
        <v>21</v>
      </c>
      <c r="B4963">
        <v>1000882</v>
      </c>
      <c r="C4963">
        <v>353366</v>
      </c>
      <c r="F4963" s="7">
        <v>1</v>
      </c>
      <c r="G4963" s="7">
        <v>265</v>
      </c>
      <c r="H4963" s="8">
        <v>178</v>
      </c>
      <c r="J4963" t="s">
        <v>23</v>
      </c>
      <c r="K4963" s="7">
        <v>3051</v>
      </c>
      <c r="L4963" s="9">
        <v>-1</v>
      </c>
      <c r="M4963" t="s">
        <v>590</v>
      </c>
      <c r="N4963" t="s">
        <v>169</v>
      </c>
      <c r="O4963" s="27" t="str">
        <f>HYPERLINK("https://www.ncbi.nlm.nih.gov/nuccore/NZ_JNWJ01000005.1?report=graph&amp;from=51754&amp;to=51758", "TTA_codon")</f>
        <v>TTA_codon</v>
      </c>
    </row>
    <row r="4964" spans="1:15" x14ac:dyDescent="0.15">
      <c r="A4964" t="s">
        <v>21</v>
      </c>
      <c r="B4964">
        <v>1000882</v>
      </c>
      <c r="C4964">
        <v>353688</v>
      </c>
      <c r="F4964" s="7">
        <v>2</v>
      </c>
      <c r="G4964" s="7" t="s">
        <v>1223</v>
      </c>
      <c r="H4964" s="8" t="s">
        <v>3777</v>
      </c>
      <c r="J4964" t="s">
        <v>23</v>
      </c>
      <c r="K4964" s="7">
        <v>2901</v>
      </c>
      <c r="L4964" s="9">
        <v>-1</v>
      </c>
      <c r="M4964" t="s">
        <v>546</v>
      </c>
      <c r="N4964" t="s">
        <v>140</v>
      </c>
      <c r="O4964" s="27" t="str">
        <f>HYPERLINK("https://www.ncbi.nlm.nih.gov/nuccore/NZ_JNXG01000003.1?report=graph&amp;from=362370&amp;to=362935", "TTA_codon")</f>
        <v>TTA_codon</v>
      </c>
    </row>
    <row r="4965" spans="1:15" x14ac:dyDescent="0.15">
      <c r="A4965" t="s">
        <v>21</v>
      </c>
      <c r="B4965">
        <v>1000882</v>
      </c>
      <c r="C4965">
        <v>355921</v>
      </c>
      <c r="F4965" s="7">
        <v>1</v>
      </c>
      <c r="G4965" s="7">
        <v>1753</v>
      </c>
      <c r="H4965" s="8">
        <v>1489</v>
      </c>
      <c r="J4965" t="s">
        <v>23</v>
      </c>
      <c r="K4965" s="7">
        <v>2985</v>
      </c>
      <c r="L4965" s="9">
        <v>-1</v>
      </c>
      <c r="M4965" t="s">
        <v>3778</v>
      </c>
      <c r="N4965" t="s">
        <v>384</v>
      </c>
      <c r="O4965" s="27" t="str">
        <f>HYPERLINK("https://www.ncbi.nlm.nih.gov/nuccore/NZ_JOAK01000040.1?report=graph&amp;from=49496&amp;to=49500", "TTA_codon")</f>
        <v>TTA_codon</v>
      </c>
    </row>
    <row r="4966" spans="1:15" x14ac:dyDescent="0.15">
      <c r="A4966" t="s">
        <v>21</v>
      </c>
      <c r="B4966">
        <v>1000882</v>
      </c>
      <c r="C4966">
        <v>359192</v>
      </c>
      <c r="F4966" s="7">
        <v>2</v>
      </c>
      <c r="G4966" s="7" t="s">
        <v>3779</v>
      </c>
      <c r="H4966" s="8" t="s">
        <v>3780</v>
      </c>
      <c r="J4966" t="s">
        <v>23</v>
      </c>
      <c r="K4966" s="7">
        <v>3060</v>
      </c>
      <c r="L4966" s="9">
        <v>-1</v>
      </c>
      <c r="M4966" t="s">
        <v>3781</v>
      </c>
      <c r="N4966" t="s">
        <v>451</v>
      </c>
      <c r="O4966" s="27" t="str">
        <f>HYPERLINK("https://www.ncbi.nlm.nih.gov/nuccore/NZ_LIQZ01000279.1?report=graph&amp;from=10930&amp;to=12248", "TTA_codon")</f>
        <v>TTA_codon</v>
      </c>
    </row>
    <row r="4967" spans="1:15" x14ac:dyDescent="0.15">
      <c r="A4967" t="s">
        <v>21</v>
      </c>
      <c r="B4967" t="s">
        <v>3782</v>
      </c>
    </row>
    <row r="4968" spans="1:15" x14ac:dyDescent="0.15">
      <c r="A4968" t="s">
        <v>21</v>
      </c>
      <c r="B4968">
        <v>1001301</v>
      </c>
      <c r="C4968">
        <v>359104</v>
      </c>
      <c r="F4968" s="7">
        <v>1</v>
      </c>
      <c r="G4968" s="7">
        <v>496</v>
      </c>
      <c r="H4968" s="8">
        <v>496</v>
      </c>
      <c r="J4968" t="s">
        <v>23</v>
      </c>
      <c r="K4968" s="7">
        <v>840</v>
      </c>
      <c r="L4968" s="9">
        <v>1</v>
      </c>
      <c r="M4968" t="s">
        <v>3783</v>
      </c>
      <c r="N4968" t="s">
        <v>451</v>
      </c>
      <c r="O4968" s="27" t="str">
        <f>HYPERLINK("https://www.ncbi.nlm.nih.gov/nuccore/NZ_LIQZ01000003.1?report=graph&amp;from=19697&amp;to=19701", "TTA_codon")</f>
        <v>TTA_codon</v>
      </c>
    </row>
    <row r="4969" spans="1:15" x14ac:dyDescent="0.15">
      <c r="A4969" t="s">
        <v>21</v>
      </c>
      <c r="B4969">
        <v>1001301</v>
      </c>
      <c r="C4969">
        <v>362001</v>
      </c>
      <c r="F4969" s="7">
        <v>1</v>
      </c>
      <c r="G4969" s="7">
        <v>496</v>
      </c>
      <c r="H4969" s="8">
        <v>493</v>
      </c>
      <c r="J4969" t="s">
        <v>23</v>
      </c>
      <c r="K4969" s="7">
        <v>837</v>
      </c>
      <c r="L4969" s="9">
        <v>1</v>
      </c>
      <c r="M4969" t="s">
        <v>3784</v>
      </c>
      <c r="N4969" t="s">
        <v>187</v>
      </c>
      <c r="O4969" s="27" t="str">
        <f>HYPERLINK("https://www.ncbi.nlm.nih.gov/nuccore/NZ_MAXF01000158.1?report=graph&amp;from=2417&amp;to=2421", "TTA_codon")</f>
        <v>TTA_codon</v>
      </c>
    </row>
    <row r="4970" spans="1:15" x14ac:dyDescent="0.15">
      <c r="A4970" t="s">
        <v>21</v>
      </c>
      <c r="B4970" t="s">
        <v>3785</v>
      </c>
    </row>
    <row r="4971" spans="1:15" x14ac:dyDescent="0.15">
      <c r="A4971" t="s">
        <v>21</v>
      </c>
      <c r="B4971">
        <v>1000637</v>
      </c>
      <c r="C4971">
        <v>350487</v>
      </c>
      <c r="F4971" s="7">
        <v>1</v>
      </c>
      <c r="G4971" s="7">
        <v>235</v>
      </c>
      <c r="H4971" s="8">
        <v>154</v>
      </c>
      <c r="J4971" t="s">
        <v>23</v>
      </c>
      <c r="K4971" s="7">
        <v>1131</v>
      </c>
      <c r="L4971" s="9">
        <v>-1</v>
      </c>
      <c r="M4971" t="s">
        <v>3786</v>
      </c>
      <c r="N4971" t="s">
        <v>134</v>
      </c>
      <c r="O4971" s="27" t="str">
        <f>HYPERLINK("https://www.ncbi.nlm.nih.gov/nuccore/NZ_AJSZ01000211.1?report=graph&amp;from=2678&amp;to=2682", "TTA_codon")</f>
        <v>TTA_codon</v>
      </c>
    </row>
    <row r="4972" spans="1:15" x14ac:dyDescent="0.15">
      <c r="A4972" t="s">
        <v>21</v>
      </c>
      <c r="B4972">
        <v>1000637</v>
      </c>
      <c r="C4972">
        <v>351185</v>
      </c>
      <c r="F4972" s="7">
        <v>1</v>
      </c>
      <c r="G4972" s="7">
        <v>136</v>
      </c>
      <c r="H4972" s="8">
        <v>136</v>
      </c>
      <c r="J4972" t="s">
        <v>23</v>
      </c>
      <c r="K4972" s="7">
        <v>1209</v>
      </c>
      <c r="L4972" s="9">
        <v>-1</v>
      </c>
      <c r="M4972" t="s">
        <v>65</v>
      </c>
      <c r="N4972" t="s">
        <v>66</v>
      </c>
      <c r="O4972" s="27" t="str">
        <f>HYPERLINK("https://www.ncbi.nlm.nih.gov/nuccore/NC_020504.1?report=graph&amp;from=2761622&amp;to=2761626", "TTA_codon")</f>
        <v>TTA_codon</v>
      </c>
    </row>
    <row r="4973" spans="1:15" x14ac:dyDescent="0.15">
      <c r="A4973" t="s">
        <v>21</v>
      </c>
      <c r="B4973">
        <v>1000637</v>
      </c>
      <c r="C4973">
        <v>355384</v>
      </c>
      <c r="F4973" s="7">
        <v>1</v>
      </c>
      <c r="G4973" s="7">
        <v>136</v>
      </c>
      <c r="H4973" s="8">
        <v>58</v>
      </c>
      <c r="J4973" t="s">
        <v>23</v>
      </c>
      <c r="K4973" s="7">
        <v>1152</v>
      </c>
      <c r="L4973" s="9">
        <v>-1</v>
      </c>
      <c r="M4973" t="s">
        <v>1181</v>
      </c>
      <c r="N4973" t="s">
        <v>198</v>
      </c>
      <c r="O4973" s="27" t="str">
        <f>HYPERLINK("https://www.ncbi.nlm.nih.gov/nuccore/NZ_JOFL01000007.1?report=graph&amp;from=93161&amp;to=93165", "TTA_codon")</f>
        <v>TTA_codon</v>
      </c>
    </row>
    <row r="4974" spans="1:15" x14ac:dyDescent="0.15">
      <c r="A4974" t="s">
        <v>21</v>
      </c>
      <c r="B4974">
        <v>1000637</v>
      </c>
      <c r="C4974">
        <v>357923</v>
      </c>
      <c r="F4974" s="7">
        <v>1</v>
      </c>
      <c r="G4974" s="7">
        <v>136</v>
      </c>
      <c r="H4974" s="8">
        <v>94</v>
      </c>
      <c r="J4974" t="s">
        <v>23</v>
      </c>
      <c r="K4974" s="7">
        <v>1170</v>
      </c>
      <c r="L4974" s="9">
        <v>-1</v>
      </c>
      <c r="M4974" t="s">
        <v>261</v>
      </c>
      <c r="N4974" t="s">
        <v>262</v>
      </c>
      <c r="O4974" s="27" t="str">
        <f>HYPERLINK("https://www.ncbi.nlm.nih.gov/nuccore/NZ_CP011340.1?report=graph&amp;from=2175053&amp;to=2175057", "TTA_codon")</f>
        <v>TTA_codon</v>
      </c>
    </row>
    <row r="4975" spans="1:15" x14ac:dyDescent="0.15">
      <c r="A4975" t="s">
        <v>21</v>
      </c>
      <c r="B4975" t="s">
        <v>3787</v>
      </c>
    </row>
    <row r="4976" spans="1:15" x14ac:dyDescent="0.15">
      <c r="A4976" t="s">
        <v>21</v>
      </c>
      <c r="B4976">
        <v>1001357</v>
      </c>
      <c r="C4976">
        <v>360987</v>
      </c>
      <c r="F4976" s="7">
        <v>1</v>
      </c>
      <c r="G4976" s="7">
        <v>37</v>
      </c>
      <c r="H4976" s="8">
        <v>37</v>
      </c>
      <c r="J4976" t="s">
        <v>23</v>
      </c>
      <c r="K4976" s="7">
        <v>969</v>
      </c>
      <c r="L4976" s="9">
        <v>1</v>
      </c>
      <c r="M4976" t="s">
        <v>3788</v>
      </c>
      <c r="N4976" t="s">
        <v>97</v>
      </c>
      <c r="O4976" s="27" t="str">
        <f>HYPERLINK("https://www.ncbi.nlm.nih.gov/nuccore/NZ_LOHS01000030.1?report=graph&amp;from=6365&amp;to=6369", "TTA_codon")</f>
        <v>TTA_codon</v>
      </c>
    </row>
    <row r="4977" spans="1:15" x14ac:dyDescent="0.15">
      <c r="A4977" t="s">
        <v>21</v>
      </c>
      <c r="B4977">
        <v>1001357</v>
      </c>
      <c r="C4977">
        <v>363266</v>
      </c>
      <c r="F4977" s="7">
        <v>1</v>
      </c>
      <c r="G4977" s="7">
        <v>40</v>
      </c>
      <c r="H4977" s="8">
        <v>40</v>
      </c>
      <c r="J4977" t="s">
        <v>23</v>
      </c>
      <c r="K4977" s="7">
        <v>957</v>
      </c>
      <c r="L4977" s="9">
        <v>1</v>
      </c>
      <c r="M4977" t="s">
        <v>3789</v>
      </c>
      <c r="N4977" t="s">
        <v>28</v>
      </c>
      <c r="O4977" s="27" t="str">
        <f>HYPERLINK("https://www.ncbi.nlm.nih.gov/nuccore/NZ_JUJA01000100.1?report=graph&amp;from=2742&amp;to=2746", "TTA_codon")</f>
        <v>TTA_codon</v>
      </c>
    </row>
    <row r="4978" spans="1:15" x14ac:dyDescent="0.15">
      <c r="A4978" t="s">
        <v>21</v>
      </c>
      <c r="B4978" t="s">
        <v>3790</v>
      </c>
    </row>
    <row r="4979" spans="1:15" x14ac:dyDescent="0.15">
      <c r="A4979" t="s">
        <v>21</v>
      </c>
      <c r="B4979">
        <v>1001147</v>
      </c>
      <c r="C4979">
        <v>356217</v>
      </c>
      <c r="F4979" s="7">
        <v>1</v>
      </c>
      <c r="G4979" s="7">
        <v>115</v>
      </c>
      <c r="H4979" s="8">
        <v>115</v>
      </c>
      <c r="J4979" t="s">
        <v>23</v>
      </c>
      <c r="K4979" s="7">
        <v>417</v>
      </c>
      <c r="L4979" s="9">
        <v>1</v>
      </c>
      <c r="M4979" t="s">
        <v>76</v>
      </c>
      <c r="N4979" t="s">
        <v>77</v>
      </c>
      <c r="O4979" s="27" t="str">
        <f>HYPERLINK("https://www.ncbi.nlm.nih.gov/nuccore/NZ_JNXD01000010.1?report=graph&amp;from=37823&amp;to=37827", "TTA_codon")</f>
        <v>TTA_codon</v>
      </c>
    </row>
    <row r="4980" spans="1:15" x14ac:dyDescent="0.15">
      <c r="A4980" t="s">
        <v>21</v>
      </c>
      <c r="B4980">
        <v>1001147</v>
      </c>
      <c r="C4980">
        <v>357746</v>
      </c>
      <c r="F4980" s="7">
        <v>1</v>
      </c>
      <c r="G4980" s="7">
        <v>115</v>
      </c>
      <c r="H4980" s="8">
        <v>115</v>
      </c>
      <c r="J4980" t="s">
        <v>23</v>
      </c>
      <c r="K4980" s="7">
        <v>417</v>
      </c>
      <c r="L4980" s="9">
        <v>1</v>
      </c>
      <c r="M4980" t="s">
        <v>82</v>
      </c>
      <c r="N4980" t="s">
        <v>83</v>
      </c>
      <c r="O4980" s="27" t="str">
        <f>HYPERLINK("https://www.ncbi.nlm.nih.gov/nuccore/NZ_DF968256.1?report=graph&amp;from=29207&amp;to=29211", "TTA_codon")</f>
        <v>TTA_codon</v>
      </c>
    </row>
    <row r="4981" spans="1:15" x14ac:dyDescent="0.15">
      <c r="A4981" t="s">
        <v>21</v>
      </c>
      <c r="B4981" t="s">
        <v>3791</v>
      </c>
    </row>
    <row r="4982" spans="1:15" x14ac:dyDescent="0.15">
      <c r="A4982" t="s">
        <v>21</v>
      </c>
      <c r="B4982">
        <v>1001064</v>
      </c>
      <c r="C4982">
        <v>347605</v>
      </c>
      <c r="F4982" s="7">
        <v>1</v>
      </c>
      <c r="G4982" s="7">
        <v>61</v>
      </c>
      <c r="H4982" s="8">
        <v>58</v>
      </c>
      <c r="J4982" t="s">
        <v>23</v>
      </c>
      <c r="K4982" s="7">
        <v>1557</v>
      </c>
      <c r="L4982" s="9">
        <v>-1</v>
      </c>
      <c r="M4982" t="s">
        <v>55</v>
      </c>
      <c r="N4982" t="s">
        <v>56</v>
      </c>
      <c r="O4982" s="27" t="str">
        <f>HYPERLINK("https://www.ncbi.nlm.nih.gov/nuccore/NC_010572.1?report=graph&amp;from=7662018&amp;to=7662022", "TTA_codon")</f>
        <v>TTA_codon</v>
      </c>
    </row>
    <row r="4983" spans="1:15" x14ac:dyDescent="0.15">
      <c r="A4983" t="s">
        <v>21</v>
      </c>
      <c r="B4983">
        <v>1001064</v>
      </c>
      <c r="C4983">
        <v>355044</v>
      </c>
      <c r="F4983" s="7">
        <v>3</v>
      </c>
      <c r="G4983" s="7" t="s">
        <v>3792</v>
      </c>
      <c r="H4983" s="8" t="s">
        <v>3793</v>
      </c>
      <c r="J4983" t="s">
        <v>23</v>
      </c>
      <c r="K4983" s="7">
        <v>1548</v>
      </c>
      <c r="L4983" s="9">
        <v>-1</v>
      </c>
      <c r="M4983" t="s">
        <v>3794</v>
      </c>
      <c r="N4983" t="s">
        <v>433</v>
      </c>
      <c r="O4983" s="27" t="str">
        <f>HYPERLINK("https://www.ncbi.nlm.nih.gov/nuccore/NZ_JOBF01000021.1?report=graph&amp;from=118654&amp;to=118919", "TTA_codon")</f>
        <v>TTA_codon</v>
      </c>
    </row>
    <row r="4984" spans="1:15" x14ac:dyDescent="0.15">
      <c r="A4984" t="s">
        <v>21</v>
      </c>
      <c r="B4984">
        <v>1001064</v>
      </c>
      <c r="C4984">
        <v>360012</v>
      </c>
      <c r="F4984" s="7">
        <v>1</v>
      </c>
      <c r="G4984" s="7">
        <v>79</v>
      </c>
      <c r="H4984" s="8">
        <v>73</v>
      </c>
      <c r="J4984" t="s">
        <v>23</v>
      </c>
      <c r="K4984" s="7">
        <v>1542</v>
      </c>
      <c r="L4984" s="9">
        <v>-1</v>
      </c>
      <c r="M4984" t="s">
        <v>496</v>
      </c>
      <c r="N4984" t="s">
        <v>125</v>
      </c>
      <c r="O4984" s="27" t="str">
        <f>HYPERLINK("https://www.ncbi.nlm.nih.gov/nuccore/NZ_KQ948454.1?report=graph&amp;from=110803&amp;to=110807", "TTA_codon")</f>
        <v>TTA_codon</v>
      </c>
    </row>
    <row r="4985" spans="1:15" x14ac:dyDescent="0.15">
      <c r="A4985" t="s">
        <v>21</v>
      </c>
      <c r="B4985">
        <v>1001064</v>
      </c>
      <c r="C4985">
        <v>364964</v>
      </c>
      <c r="F4985" s="7">
        <v>1</v>
      </c>
      <c r="G4985" s="7">
        <v>208</v>
      </c>
      <c r="H4985" s="8">
        <v>202</v>
      </c>
      <c r="J4985" t="s">
        <v>23</v>
      </c>
      <c r="K4985" s="7">
        <v>1539</v>
      </c>
      <c r="L4985" s="9">
        <v>-1</v>
      </c>
      <c r="M4985" t="s">
        <v>111</v>
      </c>
      <c r="N4985" t="s">
        <v>112</v>
      </c>
      <c r="O4985" s="27" t="str">
        <f>HYPERLINK("https://www.ncbi.nlm.nih.gov/nuccore/NZ_CP021744.1?report=graph&amp;from=3109935&amp;to=3109939", "TTA_codon")</f>
        <v>TTA_codon</v>
      </c>
    </row>
    <row r="4986" spans="1:15" x14ac:dyDescent="0.15">
      <c r="A4986" t="s">
        <v>195</v>
      </c>
      <c r="B4986" t="s">
        <v>3795</v>
      </c>
    </row>
    <row r="4987" spans="1:15" x14ac:dyDescent="0.15">
      <c r="A4987" t="s">
        <v>195</v>
      </c>
      <c r="B4987">
        <v>1000127</v>
      </c>
      <c r="C4987">
        <v>346884</v>
      </c>
      <c r="F4987" s="7">
        <v>1</v>
      </c>
      <c r="G4987" s="7">
        <v>295</v>
      </c>
      <c r="H4987" s="8">
        <v>202</v>
      </c>
      <c r="J4987" t="s">
        <v>23</v>
      </c>
      <c r="K4987" s="7">
        <v>1002</v>
      </c>
      <c r="L4987" s="9">
        <v>1</v>
      </c>
      <c r="M4987" t="s">
        <v>39</v>
      </c>
      <c r="N4987" t="s">
        <v>40</v>
      </c>
      <c r="O4987" s="27" t="str">
        <f>HYPERLINK("https://www.ncbi.nlm.nih.gov/nuccore/NZ_CP017157.1?report=graph&amp;from=2556700&amp;to=2556704", "TTA_codon")</f>
        <v>TTA_codon</v>
      </c>
    </row>
    <row r="4988" spans="1:15" x14ac:dyDescent="0.15">
      <c r="A4988" t="s">
        <v>21</v>
      </c>
      <c r="B4988">
        <v>1000127</v>
      </c>
      <c r="C4988">
        <v>348637</v>
      </c>
      <c r="F4988" s="7">
        <v>1</v>
      </c>
      <c r="G4988" s="7">
        <v>250</v>
      </c>
      <c r="H4988" s="8">
        <v>220</v>
      </c>
      <c r="J4988" t="s">
        <v>23</v>
      </c>
      <c r="K4988" s="7">
        <v>1020</v>
      </c>
      <c r="L4988" s="9">
        <v>1</v>
      </c>
      <c r="M4988" t="s">
        <v>61</v>
      </c>
      <c r="N4988" t="s">
        <v>62</v>
      </c>
      <c r="O4988" s="27" t="str">
        <f>HYPERLINK("https://www.ncbi.nlm.nih.gov/nuccore/NZ_DS999641.1?report=graph&amp;from=6253173&amp;to=6253177", "TTA_codon")</f>
        <v>TTA_codon</v>
      </c>
    </row>
    <row r="4989" spans="1:15" x14ac:dyDescent="0.15">
      <c r="A4989" t="s">
        <v>21</v>
      </c>
      <c r="B4989">
        <v>1000127</v>
      </c>
      <c r="C4989">
        <v>362613</v>
      </c>
      <c r="F4989" s="7">
        <v>1</v>
      </c>
      <c r="G4989" s="7">
        <v>508</v>
      </c>
      <c r="H4989" s="8">
        <v>424</v>
      </c>
      <c r="J4989" t="s">
        <v>23</v>
      </c>
      <c r="K4989" s="7">
        <v>972</v>
      </c>
      <c r="L4989" s="9">
        <v>1</v>
      </c>
      <c r="M4989" t="s">
        <v>32</v>
      </c>
      <c r="N4989" t="s">
        <v>33</v>
      </c>
      <c r="O4989" s="27" t="str">
        <f>HYPERLINK("https://www.ncbi.nlm.nih.gov/nuccore/NZ_CP017248.1?report=graph&amp;from=7664237&amp;to=7664241", "TTA_codon")</f>
        <v>TTA_codon</v>
      </c>
    </row>
    <row r="4990" spans="1:15" x14ac:dyDescent="0.15">
      <c r="A4990" t="s">
        <v>21</v>
      </c>
      <c r="B4990">
        <v>1000127</v>
      </c>
      <c r="C4990">
        <v>363326</v>
      </c>
      <c r="F4990" s="7">
        <v>1</v>
      </c>
      <c r="G4990" s="7">
        <v>379</v>
      </c>
      <c r="H4990" s="8">
        <v>265</v>
      </c>
      <c r="J4990" t="s">
        <v>23</v>
      </c>
      <c r="K4990" s="7">
        <v>936</v>
      </c>
      <c r="L4990" s="9">
        <v>1</v>
      </c>
      <c r="M4990" t="s">
        <v>3796</v>
      </c>
      <c r="N4990" t="s">
        <v>28</v>
      </c>
      <c r="O4990" s="27" t="str">
        <f>HYPERLINK("https://www.ncbi.nlm.nih.gov/nuccore/NZ_JUJA01000140.1?report=graph&amp;from=115567&amp;to=115571", "TTA_codon")</f>
        <v>TTA_codon</v>
      </c>
    </row>
    <row r="4991" spans="1:15" x14ac:dyDescent="0.15">
      <c r="A4991" t="s">
        <v>21</v>
      </c>
      <c r="B4991" t="s">
        <v>3797</v>
      </c>
    </row>
    <row r="4992" spans="1:15" x14ac:dyDescent="0.15">
      <c r="A4992" t="s">
        <v>21</v>
      </c>
      <c r="B4992">
        <v>1000488</v>
      </c>
      <c r="C4992">
        <v>349234</v>
      </c>
      <c r="F4992" s="7">
        <v>1</v>
      </c>
      <c r="G4992" s="7">
        <v>115</v>
      </c>
      <c r="H4992" s="8">
        <v>70</v>
      </c>
      <c r="J4992" t="s">
        <v>23</v>
      </c>
      <c r="K4992" s="7">
        <v>999</v>
      </c>
      <c r="L4992" s="9">
        <v>-1</v>
      </c>
      <c r="M4992" t="s">
        <v>211</v>
      </c>
      <c r="N4992" t="s">
        <v>212</v>
      </c>
      <c r="O4992" s="27" t="str">
        <f>HYPERLINK("https://www.ncbi.nlm.nih.gov/nuccore/NZ_GG657754.1?report=graph&amp;from=9258013&amp;to=9258017", "TTA_codon")</f>
        <v>TTA_codon</v>
      </c>
    </row>
    <row r="4993" spans="1:15" x14ac:dyDescent="0.15">
      <c r="A4993" t="s">
        <v>21</v>
      </c>
      <c r="B4993">
        <v>1000488</v>
      </c>
      <c r="C4993">
        <v>357098</v>
      </c>
      <c r="F4993" s="7">
        <v>1</v>
      </c>
      <c r="G4993" s="7">
        <v>163</v>
      </c>
      <c r="H4993" s="8">
        <v>163</v>
      </c>
      <c r="J4993" t="s">
        <v>23</v>
      </c>
      <c r="K4993" s="7">
        <v>1116</v>
      </c>
      <c r="L4993" s="9">
        <v>-1</v>
      </c>
      <c r="M4993" t="s">
        <v>162</v>
      </c>
      <c r="N4993" t="s">
        <v>163</v>
      </c>
      <c r="O4993" s="27" t="str">
        <f>HYPERLINK("https://www.ncbi.nlm.nih.gov/nuccore/NZ_CP010519.1?report=graph&amp;from=121794&amp;to=121798", "TTA_codon")</f>
        <v>TTA_codon</v>
      </c>
    </row>
    <row r="4994" spans="1:15" x14ac:dyDescent="0.15">
      <c r="A4994" t="s">
        <v>21</v>
      </c>
      <c r="B4994">
        <v>1000488</v>
      </c>
      <c r="C4994">
        <v>360202</v>
      </c>
      <c r="F4994" s="7">
        <v>1</v>
      </c>
      <c r="G4994" s="7">
        <v>115</v>
      </c>
      <c r="H4994" s="8">
        <v>70</v>
      </c>
      <c r="J4994" t="s">
        <v>23</v>
      </c>
      <c r="K4994" s="7">
        <v>987</v>
      </c>
      <c r="L4994" s="9">
        <v>-1</v>
      </c>
      <c r="M4994" t="s">
        <v>630</v>
      </c>
      <c r="N4994" t="s">
        <v>125</v>
      </c>
      <c r="O4994" s="27" t="str">
        <f>HYPERLINK("https://www.ncbi.nlm.nih.gov/nuccore/NZ_KQ948468.1?report=graph&amp;from=224305&amp;to=224309", "TTA_codon")</f>
        <v>TTA_codon</v>
      </c>
    </row>
    <row r="4995" spans="1:15" x14ac:dyDescent="0.15">
      <c r="A4995" t="s">
        <v>21</v>
      </c>
      <c r="B4995" t="s">
        <v>3798</v>
      </c>
    </row>
    <row r="4996" spans="1:15" x14ac:dyDescent="0.15">
      <c r="A4996" t="s">
        <v>21</v>
      </c>
      <c r="B4996">
        <v>1000741</v>
      </c>
      <c r="C4996">
        <v>351297</v>
      </c>
      <c r="F4996" s="7">
        <v>1</v>
      </c>
      <c r="G4996" s="7">
        <v>40</v>
      </c>
      <c r="H4996" s="8">
        <v>40</v>
      </c>
      <c r="J4996" t="s">
        <v>23</v>
      </c>
      <c r="K4996" s="7">
        <v>858</v>
      </c>
      <c r="L4996" s="9">
        <v>1</v>
      </c>
      <c r="M4996" t="s">
        <v>65</v>
      </c>
      <c r="N4996" t="s">
        <v>66</v>
      </c>
      <c r="O4996" s="27" t="str">
        <f>HYPERLINK("https://www.ncbi.nlm.nih.gov/nuccore/NC_020504.1?report=graph&amp;from=2820866&amp;to=2820870", "TTA_codon")</f>
        <v>TTA_codon</v>
      </c>
    </row>
    <row r="4997" spans="1:15" x14ac:dyDescent="0.15">
      <c r="A4997" t="s">
        <v>21</v>
      </c>
      <c r="B4997">
        <v>1000741</v>
      </c>
      <c r="C4997">
        <v>353134</v>
      </c>
      <c r="F4997" s="7">
        <v>1</v>
      </c>
      <c r="G4997" s="7">
        <v>40</v>
      </c>
      <c r="H4997" s="8">
        <v>40</v>
      </c>
      <c r="J4997" t="s">
        <v>23</v>
      </c>
      <c r="K4997" s="7">
        <v>1053</v>
      </c>
      <c r="L4997" s="9">
        <v>1</v>
      </c>
      <c r="M4997" t="s">
        <v>851</v>
      </c>
      <c r="N4997" t="s">
        <v>306</v>
      </c>
      <c r="O4997" s="27" t="str">
        <f>HYPERLINK("https://www.ncbi.nlm.nih.gov/nuccore/NZ_KL571064.1?report=graph&amp;from=97573&amp;to=97577", "TTA_codon")</f>
        <v>TTA_codon</v>
      </c>
    </row>
    <row r="4998" spans="1:15" x14ac:dyDescent="0.15">
      <c r="A4998" t="s">
        <v>21</v>
      </c>
      <c r="B4998">
        <v>1000741</v>
      </c>
      <c r="C4998">
        <v>356551</v>
      </c>
      <c r="F4998" s="7">
        <v>1</v>
      </c>
      <c r="G4998" s="7">
        <v>40</v>
      </c>
      <c r="H4998" s="8">
        <v>40</v>
      </c>
      <c r="J4998" t="s">
        <v>23</v>
      </c>
      <c r="K4998" s="7">
        <v>1053</v>
      </c>
      <c r="L4998" s="9">
        <v>1</v>
      </c>
      <c r="M4998" t="s">
        <v>508</v>
      </c>
      <c r="N4998" t="s">
        <v>509</v>
      </c>
      <c r="O4998" s="27" t="str">
        <f>HYPERLINK("https://www.ncbi.nlm.nih.gov/nuccore/NZ_CP009438.1?report=graph&amp;from=295291&amp;to=295295", "TTA_codon")</f>
        <v>TTA_codon</v>
      </c>
    </row>
    <row r="4999" spans="1:15" x14ac:dyDescent="0.15">
      <c r="A4999" t="s">
        <v>21</v>
      </c>
      <c r="B4999">
        <v>1000741</v>
      </c>
      <c r="C4999">
        <v>362053</v>
      </c>
      <c r="F4999" s="7">
        <v>1</v>
      </c>
      <c r="G4999" s="7">
        <v>40</v>
      </c>
      <c r="H4999" s="8">
        <v>40</v>
      </c>
      <c r="J4999" t="s">
        <v>23</v>
      </c>
      <c r="K4999" s="7">
        <v>855</v>
      </c>
      <c r="L4999" s="9">
        <v>1</v>
      </c>
      <c r="M4999" t="s">
        <v>3799</v>
      </c>
      <c r="N4999" t="s">
        <v>187</v>
      </c>
      <c r="O4999" s="27" t="str">
        <f>HYPERLINK("https://www.ncbi.nlm.nih.gov/nuccore/NZ_MAXF01000160.1?report=graph&amp;from=9921&amp;to=9925", "TTA_codon")</f>
        <v>TTA_codon</v>
      </c>
    </row>
    <row r="5000" spans="1:15" x14ac:dyDescent="0.15">
      <c r="A5000" t="s">
        <v>21</v>
      </c>
      <c r="B5000" t="s">
        <v>3800</v>
      </c>
    </row>
    <row r="5001" spans="1:15" x14ac:dyDescent="0.15">
      <c r="A5001" t="s">
        <v>21</v>
      </c>
      <c r="B5001">
        <v>1000569</v>
      </c>
      <c r="C5001">
        <v>349957</v>
      </c>
      <c r="F5001" s="7">
        <v>1</v>
      </c>
      <c r="G5001" s="7">
        <v>130</v>
      </c>
      <c r="H5001" s="8">
        <v>130</v>
      </c>
      <c r="J5001" t="s">
        <v>23</v>
      </c>
      <c r="K5001" s="7">
        <v>561</v>
      </c>
      <c r="L5001" s="9">
        <v>1</v>
      </c>
      <c r="M5001" t="s">
        <v>1796</v>
      </c>
      <c r="N5001" t="s">
        <v>249</v>
      </c>
      <c r="O5001" s="27" t="str">
        <f>HYPERLINK("https://www.ncbi.nlm.nih.gov/nuccore/NZ_AHBF01000018.1?report=graph&amp;from=190507&amp;to=190511", "TTA_codon")</f>
        <v>TTA_codon</v>
      </c>
    </row>
    <row r="5002" spans="1:15" x14ac:dyDescent="0.15">
      <c r="A5002" t="s">
        <v>21</v>
      </c>
      <c r="B5002">
        <v>1000569</v>
      </c>
      <c r="C5002">
        <v>352072</v>
      </c>
      <c r="F5002" s="7">
        <v>1</v>
      </c>
      <c r="G5002" s="7">
        <v>118</v>
      </c>
      <c r="H5002" s="8">
        <v>118</v>
      </c>
      <c r="J5002" t="s">
        <v>23</v>
      </c>
      <c r="K5002" s="7">
        <v>621</v>
      </c>
      <c r="L5002" s="9">
        <v>1</v>
      </c>
      <c r="M5002" t="s">
        <v>1912</v>
      </c>
      <c r="N5002" t="s">
        <v>70</v>
      </c>
      <c r="O5002" s="27" t="str">
        <f>HYPERLINK("https://www.ncbi.nlm.nih.gov/nuccore/NZ_KB904665.1?report=graph&amp;from=11678&amp;to=11682", "TTA_codon")</f>
        <v>TTA_codon</v>
      </c>
    </row>
    <row r="5003" spans="1:15" x14ac:dyDescent="0.15">
      <c r="A5003" t="s">
        <v>21</v>
      </c>
      <c r="B5003">
        <v>1000569</v>
      </c>
      <c r="C5003">
        <v>357268</v>
      </c>
      <c r="F5003" s="7">
        <v>1</v>
      </c>
      <c r="G5003" s="7">
        <v>130</v>
      </c>
      <c r="H5003" s="8">
        <v>97</v>
      </c>
      <c r="J5003" t="s">
        <v>23</v>
      </c>
      <c r="K5003" s="7">
        <v>669</v>
      </c>
      <c r="L5003" s="9">
        <v>1</v>
      </c>
      <c r="M5003" t="s">
        <v>250</v>
      </c>
      <c r="N5003" t="s">
        <v>251</v>
      </c>
      <c r="O5003" s="27" t="str">
        <f>HYPERLINK("https://www.ncbi.nlm.nih.gov/nuccore/NZ_CP009922.2?report=graph&amp;from=3696388&amp;to=3696392", "TTA_codon")</f>
        <v>TTA_codon</v>
      </c>
    </row>
    <row r="5004" spans="1:15" x14ac:dyDescent="0.15">
      <c r="A5004" t="s">
        <v>21</v>
      </c>
      <c r="B5004" t="s">
        <v>3801</v>
      </c>
    </row>
    <row r="5005" spans="1:15" x14ac:dyDescent="0.15">
      <c r="A5005" t="s">
        <v>21</v>
      </c>
      <c r="B5005">
        <v>1001300</v>
      </c>
      <c r="C5005">
        <v>359096</v>
      </c>
      <c r="F5005" s="7">
        <v>1</v>
      </c>
      <c r="G5005" s="7">
        <v>1057</v>
      </c>
      <c r="H5005" s="8">
        <v>1036</v>
      </c>
      <c r="J5005" t="s">
        <v>23</v>
      </c>
      <c r="K5005" s="7">
        <v>2079</v>
      </c>
      <c r="L5005" s="9">
        <v>-1</v>
      </c>
      <c r="M5005" t="s">
        <v>3802</v>
      </c>
      <c r="N5005" t="s">
        <v>451</v>
      </c>
      <c r="O5005" s="27" t="str">
        <f>HYPERLINK("https://www.ncbi.nlm.nih.gov/nuccore/NZ_LIQZ01000014.1?report=graph&amp;from=45224&amp;to=45228", "TTA_codon")</f>
        <v>TTA_codon</v>
      </c>
    </row>
    <row r="5006" spans="1:15" x14ac:dyDescent="0.15">
      <c r="A5006" t="s">
        <v>21</v>
      </c>
      <c r="B5006">
        <v>1001300</v>
      </c>
      <c r="C5006">
        <v>365256</v>
      </c>
      <c r="F5006" s="7">
        <v>2</v>
      </c>
      <c r="G5006" s="7" t="s">
        <v>3803</v>
      </c>
      <c r="H5006" s="8" t="s">
        <v>3804</v>
      </c>
      <c r="J5006" t="s">
        <v>23</v>
      </c>
      <c r="K5006" s="7">
        <v>2040</v>
      </c>
      <c r="L5006" s="9">
        <v>-1</v>
      </c>
      <c r="M5006" t="s">
        <v>1288</v>
      </c>
      <c r="N5006" t="s">
        <v>347</v>
      </c>
      <c r="O5006" s="27" t="str">
        <f>HYPERLINK("https://www.ncbi.nlm.nih.gov/nuccore/NZ_FNFF01000009.1?report=graph&amp;from=259500&amp;to=260074", "TTA_codon")</f>
        <v>TTA_codon</v>
      </c>
    </row>
    <row r="5007" spans="1:15" x14ac:dyDescent="0.15">
      <c r="A5007" t="s">
        <v>21</v>
      </c>
      <c r="B5007" t="s">
        <v>3805</v>
      </c>
    </row>
    <row r="5008" spans="1:15" x14ac:dyDescent="0.15">
      <c r="A5008" t="s">
        <v>21</v>
      </c>
      <c r="B5008">
        <v>1000373</v>
      </c>
      <c r="C5008">
        <v>348268</v>
      </c>
      <c r="F5008" s="7">
        <v>1</v>
      </c>
      <c r="G5008" s="7">
        <v>55</v>
      </c>
      <c r="H5008" s="8">
        <v>37</v>
      </c>
      <c r="J5008" t="s">
        <v>23</v>
      </c>
      <c r="K5008" s="7">
        <v>1308</v>
      </c>
      <c r="L5008" s="9">
        <v>1</v>
      </c>
      <c r="M5008" t="s">
        <v>59</v>
      </c>
      <c r="N5008" t="s">
        <v>60</v>
      </c>
      <c r="O5008" s="27" t="str">
        <f>HYPERLINK("https://www.ncbi.nlm.nih.gov/nuccore/NC_016582.1?report=graph&amp;from=4013989&amp;to=4013993", "TTA_codon")</f>
        <v>TTA_codon</v>
      </c>
    </row>
    <row r="5009" spans="1:15" x14ac:dyDescent="0.15">
      <c r="A5009" t="s">
        <v>21</v>
      </c>
      <c r="B5009">
        <v>1000373</v>
      </c>
      <c r="C5009">
        <v>349166</v>
      </c>
      <c r="F5009" s="7">
        <v>1</v>
      </c>
      <c r="G5009" s="7">
        <v>55</v>
      </c>
      <c r="H5009" s="8">
        <v>55</v>
      </c>
      <c r="J5009" t="s">
        <v>23</v>
      </c>
      <c r="K5009" s="7">
        <v>1314</v>
      </c>
      <c r="L5009" s="9">
        <v>1</v>
      </c>
      <c r="M5009" t="s">
        <v>211</v>
      </c>
      <c r="N5009" t="s">
        <v>212</v>
      </c>
      <c r="O5009" s="27" t="str">
        <f>HYPERLINK("https://www.ncbi.nlm.nih.gov/nuccore/NZ_GG657754.1?report=graph&amp;from=2892713&amp;to=2892717", "TTA_codon")</f>
        <v>TTA_codon</v>
      </c>
    </row>
    <row r="5010" spans="1:15" x14ac:dyDescent="0.15">
      <c r="A5010" t="s">
        <v>21</v>
      </c>
      <c r="B5010" t="s">
        <v>3806</v>
      </c>
    </row>
    <row r="5011" spans="1:15" x14ac:dyDescent="0.15">
      <c r="A5011" t="s">
        <v>21</v>
      </c>
      <c r="B5011">
        <v>1001190</v>
      </c>
      <c r="C5011">
        <v>355764</v>
      </c>
      <c r="F5011" s="7">
        <v>1</v>
      </c>
      <c r="G5011" s="7">
        <v>79</v>
      </c>
      <c r="H5011" s="8">
        <v>67</v>
      </c>
      <c r="J5011" t="s">
        <v>23</v>
      </c>
      <c r="K5011" s="7">
        <v>456</v>
      </c>
      <c r="L5011" s="9">
        <v>-1</v>
      </c>
      <c r="M5011" t="s">
        <v>688</v>
      </c>
      <c r="N5011" t="s">
        <v>278</v>
      </c>
      <c r="O5011" s="27" t="str">
        <f>HYPERLINK("https://www.ncbi.nlm.nih.gov/nuccore/NZ_JOID01000009.1?report=graph&amp;from=40434&amp;to=40438", "TTA_codon")</f>
        <v>TTA_codon</v>
      </c>
    </row>
    <row r="5012" spans="1:15" x14ac:dyDescent="0.15">
      <c r="A5012" t="s">
        <v>21</v>
      </c>
      <c r="B5012">
        <v>1001190</v>
      </c>
      <c r="C5012">
        <v>356733</v>
      </c>
      <c r="F5012" s="7">
        <v>2</v>
      </c>
      <c r="G5012" s="7" t="s">
        <v>3807</v>
      </c>
      <c r="H5012" s="8" t="s">
        <v>3808</v>
      </c>
      <c r="J5012" t="s">
        <v>23</v>
      </c>
      <c r="K5012" s="7">
        <v>465</v>
      </c>
      <c r="L5012" s="9">
        <v>-1</v>
      </c>
      <c r="M5012" t="s">
        <v>147</v>
      </c>
      <c r="N5012" t="s">
        <v>148</v>
      </c>
      <c r="O5012" s="27" t="str">
        <f>HYPERLINK("https://www.ncbi.nlm.nih.gov/nuccore/NZ_CP021080.1?report=graph&amp;from=5501641&amp;to=5501666", "TTA_codon")</f>
        <v>TTA_codon</v>
      </c>
    </row>
    <row r="5013" spans="1:15" x14ac:dyDescent="0.15">
      <c r="A5013" t="s">
        <v>21</v>
      </c>
      <c r="B5013">
        <v>1001190</v>
      </c>
      <c r="C5013">
        <v>359538</v>
      </c>
      <c r="F5013" s="7">
        <v>1</v>
      </c>
      <c r="G5013" s="7">
        <v>187</v>
      </c>
      <c r="H5013" s="8">
        <v>175</v>
      </c>
      <c r="J5013" t="s">
        <v>23</v>
      </c>
      <c r="K5013" s="7">
        <v>453</v>
      </c>
      <c r="L5013" s="9">
        <v>-1</v>
      </c>
      <c r="M5013" t="s">
        <v>151</v>
      </c>
      <c r="N5013" t="s">
        <v>152</v>
      </c>
      <c r="O5013" s="27" t="str">
        <f>HYPERLINK("https://www.ncbi.nlm.nih.gov/nuccore/NZ_CP013129.1?report=graph&amp;from=6797289&amp;to=6797293", "TTA_codon")</f>
        <v>TTA_codon</v>
      </c>
    </row>
    <row r="5014" spans="1:15" x14ac:dyDescent="0.15">
      <c r="A5014" t="s">
        <v>21</v>
      </c>
      <c r="B5014">
        <v>1001190</v>
      </c>
      <c r="C5014">
        <v>364737</v>
      </c>
      <c r="F5014" s="7">
        <v>1</v>
      </c>
      <c r="G5014" s="7">
        <v>175</v>
      </c>
      <c r="H5014" s="8">
        <v>163</v>
      </c>
      <c r="J5014" t="s">
        <v>23</v>
      </c>
      <c r="K5014" s="7">
        <v>459</v>
      </c>
      <c r="L5014" s="9">
        <v>-1</v>
      </c>
      <c r="M5014" t="s">
        <v>3809</v>
      </c>
      <c r="N5014" t="s">
        <v>110</v>
      </c>
      <c r="O5014" s="27" t="str">
        <f>HYPERLINK("https://www.ncbi.nlm.nih.gov/nuccore/NZ_MUME01000186.1?report=graph&amp;from=5489&amp;to=5493", "TTA_codon")</f>
        <v>TTA_codon</v>
      </c>
    </row>
    <row r="5015" spans="1:15" x14ac:dyDescent="0.15">
      <c r="A5015" t="s">
        <v>21</v>
      </c>
      <c r="B5015" t="s">
        <v>3810</v>
      </c>
    </row>
    <row r="5016" spans="1:15" x14ac:dyDescent="0.15">
      <c r="A5016" t="s">
        <v>21</v>
      </c>
      <c r="B5016">
        <v>1001518</v>
      </c>
      <c r="C5016">
        <v>359318</v>
      </c>
      <c r="F5016" s="7">
        <v>1</v>
      </c>
      <c r="G5016" s="7">
        <v>1246</v>
      </c>
      <c r="H5016" s="8">
        <v>1132</v>
      </c>
      <c r="J5016" t="s">
        <v>23</v>
      </c>
      <c r="K5016" s="7">
        <v>1203</v>
      </c>
      <c r="L5016" s="9">
        <v>1</v>
      </c>
      <c r="M5016" t="s">
        <v>3811</v>
      </c>
      <c r="N5016" t="s">
        <v>89</v>
      </c>
      <c r="O5016" s="27" t="str">
        <f>HYPERLINK("https://www.ncbi.nlm.nih.gov/nuccore/NZ_LIRG01000617.1?report=graph&amp;from=5291&amp;to=5295", "TTA_codon")</f>
        <v>TTA_codon</v>
      </c>
    </row>
    <row r="5017" spans="1:15" x14ac:dyDescent="0.15">
      <c r="A5017" t="s">
        <v>21</v>
      </c>
      <c r="B5017">
        <v>1001518</v>
      </c>
      <c r="C5017">
        <v>366420</v>
      </c>
      <c r="F5017" s="7">
        <v>1</v>
      </c>
      <c r="G5017" s="7">
        <v>1126</v>
      </c>
      <c r="H5017" s="8">
        <v>1099</v>
      </c>
      <c r="J5017" t="s">
        <v>23</v>
      </c>
      <c r="K5017" s="7">
        <v>1239</v>
      </c>
      <c r="L5017" s="9">
        <v>1</v>
      </c>
      <c r="M5017" t="s">
        <v>2344</v>
      </c>
      <c r="N5017" t="s">
        <v>375</v>
      </c>
      <c r="O5017" s="27" t="str">
        <f>HYPERLINK("https://www.ncbi.nlm.nih.gov/nuccore/NZ_FONG01000007.1?report=graph&amp;from=240252&amp;to=240256", "TTA_codon")</f>
        <v>TTA_codon</v>
      </c>
    </row>
    <row r="5018" spans="1:15" x14ac:dyDescent="0.15">
      <c r="A5018" t="s">
        <v>21</v>
      </c>
      <c r="B5018" t="s">
        <v>3812</v>
      </c>
    </row>
    <row r="5019" spans="1:15" x14ac:dyDescent="0.15">
      <c r="A5019" t="s">
        <v>21</v>
      </c>
      <c r="B5019">
        <v>1000823</v>
      </c>
      <c r="C5019">
        <v>352293</v>
      </c>
      <c r="F5019" s="7">
        <v>1</v>
      </c>
      <c r="G5019" s="7">
        <v>973</v>
      </c>
      <c r="H5019" s="8">
        <v>928</v>
      </c>
      <c r="J5019" t="s">
        <v>23</v>
      </c>
      <c r="K5019" s="7">
        <v>1194</v>
      </c>
      <c r="L5019" s="9">
        <v>-1</v>
      </c>
      <c r="M5019" t="s">
        <v>3813</v>
      </c>
      <c r="N5019" t="s">
        <v>72</v>
      </c>
      <c r="O5019" s="27" t="str">
        <f>HYPERLINK("https://www.ncbi.nlm.nih.gov/nuccore/NZ_KB905817.1?report=graph&amp;from=375720&amp;to=375724", "TTA_codon")</f>
        <v>TTA_codon</v>
      </c>
    </row>
    <row r="5020" spans="1:15" x14ac:dyDescent="0.15">
      <c r="A5020" t="s">
        <v>21</v>
      </c>
      <c r="B5020">
        <v>1000823</v>
      </c>
      <c r="C5020">
        <v>355396</v>
      </c>
      <c r="F5020" s="7">
        <v>1</v>
      </c>
      <c r="G5020" s="7">
        <v>970</v>
      </c>
      <c r="H5020" s="8">
        <v>832</v>
      </c>
      <c r="J5020" t="s">
        <v>23</v>
      </c>
      <c r="K5020" s="7">
        <v>1101</v>
      </c>
      <c r="L5020" s="9">
        <v>-1</v>
      </c>
      <c r="M5020" t="s">
        <v>1181</v>
      </c>
      <c r="N5020" t="s">
        <v>198</v>
      </c>
      <c r="O5020" s="27" t="str">
        <f>HYPERLINK("https://www.ncbi.nlm.nih.gov/nuccore/NZ_JOFL01000007.1?report=graph&amp;from=235406&amp;to=235410", "TTA_codon")</f>
        <v>TTA_codon</v>
      </c>
    </row>
    <row r="5021" spans="1:15" x14ac:dyDescent="0.15">
      <c r="A5021" t="s">
        <v>21</v>
      </c>
      <c r="B5021" t="s">
        <v>3814</v>
      </c>
    </row>
    <row r="5022" spans="1:15" x14ac:dyDescent="0.15">
      <c r="A5022" t="s">
        <v>21</v>
      </c>
      <c r="B5022">
        <v>1000414</v>
      </c>
      <c r="C5022">
        <v>348575</v>
      </c>
      <c r="F5022" s="7">
        <v>1</v>
      </c>
      <c r="G5022" s="7">
        <v>163</v>
      </c>
      <c r="H5022" s="8">
        <v>163</v>
      </c>
      <c r="J5022" t="s">
        <v>23</v>
      </c>
      <c r="K5022" s="7">
        <v>915</v>
      </c>
      <c r="L5022" s="9">
        <v>-1</v>
      </c>
      <c r="M5022" t="s">
        <v>61</v>
      </c>
      <c r="N5022" t="s">
        <v>62</v>
      </c>
      <c r="O5022" s="27" t="str">
        <f>HYPERLINK("https://www.ncbi.nlm.nih.gov/nuccore/NZ_DS999641.1?report=graph&amp;from=2647916&amp;to=2647920", "TTA_codon")</f>
        <v>TTA_codon</v>
      </c>
    </row>
    <row r="5023" spans="1:15" x14ac:dyDescent="0.15">
      <c r="A5023" t="s">
        <v>21</v>
      </c>
      <c r="B5023">
        <v>1000414</v>
      </c>
      <c r="C5023">
        <v>349504</v>
      </c>
      <c r="F5023" s="7">
        <v>1</v>
      </c>
      <c r="G5023" s="7">
        <v>163</v>
      </c>
      <c r="H5023" s="8">
        <v>163</v>
      </c>
      <c r="J5023" t="s">
        <v>23</v>
      </c>
      <c r="K5023" s="7">
        <v>915</v>
      </c>
      <c r="L5023" s="9">
        <v>-1</v>
      </c>
      <c r="M5023" t="s">
        <v>479</v>
      </c>
      <c r="N5023" t="s">
        <v>64</v>
      </c>
      <c r="O5023" s="27" t="str">
        <f>HYPERLINK("https://www.ncbi.nlm.nih.gov/nuccore/NZ_AEYX01000001.1?report=graph&amp;from=9896&amp;to=9900", "TTA_codon")</f>
        <v>TTA_codon</v>
      </c>
    </row>
    <row r="5024" spans="1:15" x14ac:dyDescent="0.15">
      <c r="A5024" t="s">
        <v>21</v>
      </c>
      <c r="B5024">
        <v>1000414</v>
      </c>
      <c r="C5024">
        <v>359125</v>
      </c>
      <c r="F5024" s="7">
        <v>1</v>
      </c>
      <c r="G5024" s="7">
        <v>154</v>
      </c>
      <c r="H5024" s="8">
        <v>151</v>
      </c>
      <c r="J5024" t="s">
        <v>23</v>
      </c>
      <c r="K5024" s="7">
        <v>912</v>
      </c>
      <c r="L5024" s="9">
        <v>-1</v>
      </c>
      <c r="M5024" t="s">
        <v>565</v>
      </c>
      <c r="N5024" t="s">
        <v>451</v>
      </c>
      <c r="O5024" s="27" t="str">
        <f>HYPERLINK("https://www.ncbi.nlm.nih.gov/nuccore/NZ_LIQZ01000214.1?report=graph&amp;from=42074&amp;to=42078", "TTA_codon")</f>
        <v>TTA_codon</v>
      </c>
    </row>
    <row r="5025" spans="1:15" x14ac:dyDescent="0.15">
      <c r="A5025" t="s">
        <v>21</v>
      </c>
      <c r="B5025">
        <v>1000414</v>
      </c>
      <c r="C5025">
        <v>363310</v>
      </c>
      <c r="F5025" s="7">
        <v>1</v>
      </c>
      <c r="G5025" s="7">
        <v>163</v>
      </c>
      <c r="H5025" s="8">
        <v>163</v>
      </c>
      <c r="J5025" t="s">
        <v>23</v>
      </c>
      <c r="K5025" s="7">
        <v>915</v>
      </c>
      <c r="L5025" s="9">
        <v>-1</v>
      </c>
      <c r="M5025" t="s">
        <v>585</v>
      </c>
      <c r="N5025" t="s">
        <v>28</v>
      </c>
      <c r="O5025" s="27" t="str">
        <f>HYPERLINK("https://www.ncbi.nlm.nih.gov/nuccore/NZ_JUJA01000030.1?report=graph&amp;from=5680&amp;to=5684", "TTA_codon")</f>
        <v>TTA_codon</v>
      </c>
    </row>
    <row r="5026" spans="1:15" x14ac:dyDescent="0.15">
      <c r="A5026" t="s">
        <v>21</v>
      </c>
      <c r="B5026" t="s">
        <v>3815</v>
      </c>
    </row>
    <row r="5027" spans="1:15" x14ac:dyDescent="0.15">
      <c r="A5027" t="s">
        <v>21</v>
      </c>
      <c r="B5027">
        <v>1000568</v>
      </c>
      <c r="C5027">
        <v>348780</v>
      </c>
      <c r="F5027" s="7">
        <v>1</v>
      </c>
      <c r="G5027" s="7">
        <v>358</v>
      </c>
      <c r="H5027" s="8">
        <v>208</v>
      </c>
      <c r="J5027" t="s">
        <v>23</v>
      </c>
      <c r="K5027" s="7">
        <v>1506</v>
      </c>
      <c r="L5027" s="9">
        <v>-1</v>
      </c>
      <c r="M5027" t="s">
        <v>211</v>
      </c>
      <c r="N5027" t="s">
        <v>212</v>
      </c>
      <c r="O5027" s="27" t="str">
        <f>HYPERLINK("https://www.ncbi.nlm.nih.gov/nuccore/NZ_GG657754.1?report=graph&amp;from=10745020&amp;to=10745024", "TTA_codon")</f>
        <v>TTA_codon</v>
      </c>
    </row>
    <row r="5028" spans="1:15" x14ac:dyDescent="0.15">
      <c r="A5028" t="s">
        <v>21</v>
      </c>
      <c r="B5028">
        <v>1000568</v>
      </c>
      <c r="C5028">
        <v>349955</v>
      </c>
      <c r="F5028" s="7">
        <v>1</v>
      </c>
      <c r="G5028" s="7">
        <v>352</v>
      </c>
      <c r="H5028" s="8">
        <v>304</v>
      </c>
      <c r="J5028" t="s">
        <v>23</v>
      </c>
      <c r="K5028" s="7">
        <v>1629</v>
      </c>
      <c r="L5028" s="9">
        <v>-1</v>
      </c>
      <c r="M5028" t="s">
        <v>917</v>
      </c>
      <c r="N5028" t="s">
        <v>249</v>
      </c>
      <c r="O5028" s="27" t="str">
        <f>HYPERLINK("https://www.ncbi.nlm.nih.gov/nuccore/NZ_AHBF01000033.1?report=graph&amp;from=106467&amp;to=106471", "TTA_codon")</f>
        <v>TTA_codon</v>
      </c>
    </row>
    <row r="5029" spans="1:15" x14ac:dyDescent="0.15">
      <c r="A5029" t="s">
        <v>21</v>
      </c>
      <c r="B5029">
        <v>1000568</v>
      </c>
      <c r="C5029">
        <v>350796</v>
      </c>
      <c r="F5029" s="7">
        <v>1</v>
      </c>
      <c r="G5029" s="7">
        <v>1234</v>
      </c>
      <c r="H5029" s="8">
        <v>1114</v>
      </c>
      <c r="J5029" t="s">
        <v>23</v>
      </c>
      <c r="K5029" s="7">
        <v>1590</v>
      </c>
      <c r="L5029" s="9">
        <v>-1</v>
      </c>
      <c r="M5029" t="s">
        <v>3816</v>
      </c>
      <c r="N5029" t="s">
        <v>51</v>
      </c>
      <c r="O5029" s="27" t="str">
        <f>HYPERLINK("https://www.ncbi.nlm.nih.gov/nuccore/NZ_AEJB01000515.1?report=graph&amp;from=11338&amp;to=11342", "TTA_codon")</f>
        <v>TTA_codon</v>
      </c>
    </row>
    <row r="5030" spans="1:15" x14ac:dyDescent="0.15">
      <c r="A5030" t="s">
        <v>21</v>
      </c>
      <c r="B5030">
        <v>1000568</v>
      </c>
      <c r="C5030">
        <v>352294</v>
      </c>
      <c r="F5030" s="7">
        <v>1</v>
      </c>
      <c r="G5030" s="7">
        <v>352</v>
      </c>
      <c r="H5030" s="8">
        <v>310</v>
      </c>
      <c r="J5030" t="s">
        <v>23</v>
      </c>
      <c r="K5030" s="7">
        <v>1626</v>
      </c>
      <c r="L5030" s="9">
        <v>-1</v>
      </c>
      <c r="M5030" t="s">
        <v>3817</v>
      </c>
      <c r="N5030" t="s">
        <v>72</v>
      </c>
      <c r="O5030" s="27" t="str">
        <f>HYPERLINK("https://www.ncbi.nlm.nih.gov/nuccore/NZ_KB905818.1?report=graph&amp;from=235256&amp;to=235260", "TTA_codon")</f>
        <v>TTA_codon</v>
      </c>
    </row>
    <row r="5031" spans="1:15" x14ac:dyDescent="0.15">
      <c r="A5031" t="s">
        <v>21</v>
      </c>
      <c r="B5031">
        <v>1000568</v>
      </c>
      <c r="C5031">
        <v>352573</v>
      </c>
      <c r="F5031" s="7">
        <v>1</v>
      </c>
      <c r="G5031" s="7">
        <v>1090</v>
      </c>
      <c r="H5031" s="8">
        <v>1000</v>
      </c>
      <c r="J5031" t="s">
        <v>23</v>
      </c>
      <c r="K5031" s="7">
        <v>1602</v>
      </c>
      <c r="L5031" s="9">
        <v>-1</v>
      </c>
      <c r="M5031" t="s">
        <v>3818</v>
      </c>
      <c r="N5031" t="s">
        <v>436</v>
      </c>
      <c r="O5031" s="27" t="str">
        <f>HYPERLINK("https://www.ncbi.nlm.nih.gov/nuccore/NZ_AUBE01000014.1?report=graph&amp;from=99520&amp;to=99524", "TTA_codon")</f>
        <v>TTA_codon</v>
      </c>
    </row>
    <row r="5032" spans="1:15" x14ac:dyDescent="0.15">
      <c r="A5032" t="s">
        <v>21</v>
      </c>
      <c r="B5032">
        <v>1000568</v>
      </c>
      <c r="C5032">
        <v>354302</v>
      </c>
      <c r="F5032" s="7">
        <v>1</v>
      </c>
      <c r="G5032" s="7">
        <v>277</v>
      </c>
      <c r="H5032" s="8">
        <v>253</v>
      </c>
      <c r="J5032" t="s">
        <v>23</v>
      </c>
      <c r="K5032" s="7">
        <v>1686</v>
      </c>
      <c r="L5032" s="9">
        <v>-1</v>
      </c>
      <c r="M5032" t="s">
        <v>3819</v>
      </c>
      <c r="N5032" t="s">
        <v>142</v>
      </c>
      <c r="O5032" s="27" t="str">
        <f>HYPERLINK("https://www.ncbi.nlm.nih.gov/nuccore/NZ_JOEI01000004.1?report=graph&amp;from=231722&amp;to=231726", "TTA_codon")</f>
        <v>TTA_codon</v>
      </c>
    </row>
    <row r="5033" spans="1:15" x14ac:dyDescent="0.15">
      <c r="A5033" t="s">
        <v>21</v>
      </c>
      <c r="B5033">
        <v>1000568</v>
      </c>
      <c r="C5033">
        <v>365573</v>
      </c>
      <c r="F5033" s="7">
        <v>2</v>
      </c>
      <c r="G5033" s="7" t="s">
        <v>3820</v>
      </c>
      <c r="H5033" s="8" t="s">
        <v>3821</v>
      </c>
      <c r="J5033" t="s">
        <v>23</v>
      </c>
      <c r="K5033" s="7">
        <v>1524</v>
      </c>
      <c r="L5033" s="9">
        <v>-1</v>
      </c>
      <c r="M5033" t="s">
        <v>213</v>
      </c>
      <c r="N5033" t="s">
        <v>214</v>
      </c>
      <c r="O5033" s="27" t="str">
        <f>HYPERLINK("https://www.ncbi.nlm.nih.gov/nuccore/NZ_FNST01000002.1?report=graph&amp;from=7297567&amp;to=7298390", "TTA_codon")</f>
        <v>TTA_codon</v>
      </c>
    </row>
    <row r="5034" spans="1:15" x14ac:dyDescent="0.15">
      <c r="A5034" t="s">
        <v>21</v>
      </c>
      <c r="B5034" t="s">
        <v>3822</v>
      </c>
    </row>
    <row r="5035" spans="1:15" x14ac:dyDescent="0.15">
      <c r="A5035" t="s">
        <v>21</v>
      </c>
      <c r="B5035">
        <v>1000646</v>
      </c>
      <c r="C5035">
        <v>350527</v>
      </c>
      <c r="F5035" s="7">
        <v>2</v>
      </c>
      <c r="G5035" s="7" t="s">
        <v>3823</v>
      </c>
      <c r="H5035" s="8" t="s">
        <v>3824</v>
      </c>
      <c r="J5035" t="s">
        <v>23</v>
      </c>
      <c r="K5035" s="7">
        <v>1494</v>
      </c>
      <c r="L5035" s="9">
        <v>1</v>
      </c>
      <c r="M5035" t="s">
        <v>3825</v>
      </c>
      <c r="N5035" t="s">
        <v>134</v>
      </c>
      <c r="O5035" s="27" t="str">
        <f>HYPERLINK("https://www.ncbi.nlm.nih.gov/nuccore/NZ_AJSZ01000027.1?report=graph&amp;from=5296&amp;to=5990", "TTA_codon")</f>
        <v>TTA_codon</v>
      </c>
    </row>
    <row r="5036" spans="1:15" x14ac:dyDescent="0.15">
      <c r="A5036" t="s">
        <v>21</v>
      </c>
      <c r="B5036">
        <v>1000646</v>
      </c>
      <c r="C5036">
        <v>352417</v>
      </c>
      <c r="F5036" s="7">
        <v>1</v>
      </c>
      <c r="G5036" s="7">
        <v>718</v>
      </c>
      <c r="H5036" s="8">
        <v>637</v>
      </c>
      <c r="J5036" t="s">
        <v>23</v>
      </c>
      <c r="K5036" s="7">
        <v>1440</v>
      </c>
      <c r="L5036" s="9">
        <v>1</v>
      </c>
      <c r="M5036" t="s">
        <v>30</v>
      </c>
      <c r="N5036" t="s">
        <v>31</v>
      </c>
      <c r="O5036" s="27" t="str">
        <f>HYPERLINK("https://www.ncbi.nlm.nih.gov/nuccore/NZ_KB913030.1?report=graph&amp;from=166533&amp;to=166537", "TTA_codon")</f>
        <v>TTA_codon</v>
      </c>
    </row>
    <row r="5037" spans="1:15" x14ac:dyDescent="0.15">
      <c r="A5037" t="s">
        <v>21</v>
      </c>
      <c r="B5037">
        <v>1000646</v>
      </c>
      <c r="C5037">
        <v>354591</v>
      </c>
      <c r="F5037" s="7">
        <v>1</v>
      </c>
      <c r="G5037" s="7">
        <v>778</v>
      </c>
      <c r="H5037" s="8">
        <v>676</v>
      </c>
      <c r="J5037" t="s">
        <v>23</v>
      </c>
      <c r="K5037" s="7">
        <v>1452</v>
      </c>
      <c r="L5037" s="9">
        <v>1</v>
      </c>
      <c r="M5037" t="s">
        <v>3569</v>
      </c>
      <c r="N5037" t="s">
        <v>272</v>
      </c>
      <c r="O5037" s="27" t="str">
        <f>HYPERLINK("https://www.ncbi.nlm.nih.gov/nuccore/NZ_JOEY01000043.1?report=graph&amp;from=160727&amp;to=160731", "TTA_codon")</f>
        <v>TTA_codon</v>
      </c>
    </row>
    <row r="5038" spans="1:15" x14ac:dyDescent="0.15">
      <c r="A5038" t="s">
        <v>21</v>
      </c>
      <c r="B5038">
        <v>1000646</v>
      </c>
      <c r="C5038">
        <v>355403</v>
      </c>
      <c r="F5038" s="7">
        <v>1</v>
      </c>
      <c r="G5038" s="7">
        <v>718</v>
      </c>
      <c r="H5038" s="8">
        <v>616</v>
      </c>
      <c r="J5038" t="s">
        <v>23</v>
      </c>
      <c r="K5038" s="7">
        <v>1446</v>
      </c>
      <c r="L5038" s="9">
        <v>1</v>
      </c>
      <c r="M5038" t="s">
        <v>809</v>
      </c>
      <c r="N5038" t="s">
        <v>198</v>
      </c>
      <c r="O5038" s="27" t="str">
        <f>HYPERLINK("https://www.ncbi.nlm.nih.gov/nuccore/NZ_JOFL01000001.1?report=graph&amp;from=281870&amp;to=281874", "TTA_codon")</f>
        <v>TTA_codon</v>
      </c>
    </row>
    <row r="5039" spans="1:15" x14ac:dyDescent="0.15">
      <c r="A5039" t="s">
        <v>21</v>
      </c>
      <c r="B5039">
        <v>1000646</v>
      </c>
      <c r="C5039">
        <v>356077</v>
      </c>
      <c r="F5039" s="7">
        <v>1</v>
      </c>
      <c r="G5039" s="7">
        <v>646</v>
      </c>
      <c r="H5039" s="8">
        <v>496</v>
      </c>
      <c r="J5039" t="s">
        <v>23</v>
      </c>
      <c r="K5039" s="7">
        <v>1326</v>
      </c>
      <c r="L5039" s="9">
        <v>1</v>
      </c>
      <c r="M5039" t="s">
        <v>3572</v>
      </c>
      <c r="N5039" t="s">
        <v>146</v>
      </c>
      <c r="O5039" s="27" t="str">
        <f>HYPERLINK("https://www.ncbi.nlm.nih.gov/nuccore/NZ_JOFH01000001.1?report=graph&amp;from=77237&amp;to=77241", "TTA_codon")</f>
        <v>TTA_codon</v>
      </c>
    </row>
    <row r="5040" spans="1:15" x14ac:dyDescent="0.15">
      <c r="A5040" t="s">
        <v>21</v>
      </c>
      <c r="B5040">
        <v>1000646</v>
      </c>
      <c r="C5040">
        <v>359474</v>
      </c>
      <c r="F5040" s="7">
        <v>1</v>
      </c>
      <c r="G5040" s="7">
        <v>718</v>
      </c>
      <c r="H5040" s="8">
        <v>670</v>
      </c>
      <c r="J5040" t="s">
        <v>23</v>
      </c>
      <c r="K5040" s="7">
        <v>1476</v>
      </c>
      <c r="L5040" s="9">
        <v>1</v>
      </c>
      <c r="M5040" t="s">
        <v>151</v>
      </c>
      <c r="N5040" t="s">
        <v>152</v>
      </c>
      <c r="O5040" s="27" t="str">
        <f>HYPERLINK("https://www.ncbi.nlm.nih.gov/nuccore/NZ_CP013129.1?report=graph&amp;from=768360&amp;to=768364", "TTA_codon")</f>
        <v>TTA_codon</v>
      </c>
    </row>
    <row r="5041" spans="1:15" x14ac:dyDescent="0.15">
      <c r="A5041" t="s">
        <v>21</v>
      </c>
      <c r="B5041">
        <v>1000646</v>
      </c>
      <c r="C5041">
        <v>359848</v>
      </c>
      <c r="F5041" s="7">
        <v>1</v>
      </c>
      <c r="G5041" s="7">
        <v>778</v>
      </c>
      <c r="H5041" s="8">
        <v>676</v>
      </c>
      <c r="J5041" t="s">
        <v>23</v>
      </c>
      <c r="K5041" s="7">
        <v>1416</v>
      </c>
      <c r="L5041" s="9">
        <v>1</v>
      </c>
      <c r="M5041" t="s">
        <v>3573</v>
      </c>
      <c r="N5041" t="s">
        <v>91</v>
      </c>
      <c r="O5041" s="27" t="str">
        <f>HYPERLINK("https://www.ncbi.nlm.nih.gov/nuccore/NZ_KQ948317.1?report=graph&amp;from=139877&amp;to=139881", "TTA_codon")</f>
        <v>TTA_codon</v>
      </c>
    </row>
    <row r="5042" spans="1:15" x14ac:dyDescent="0.15">
      <c r="A5042" t="s">
        <v>21</v>
      </c>
      <c r="B5042">
        <v>1000646</v>
      </c>
      <c r="C5042">
        <v>361155</v>
      </c>
      <c r="F5042" s="7">
        <v>1</v>
      </c>
      <c r="G5042" s="7">
        <v>778</v>
      </c>
      <c r="H5042" s="8">
        <v>676</v>
      </c>
      <c r="J5042" t="s">
        <v>23</v>
      </c>
      <c r="K5042" s="7">
        <v>1416</v>
      </c>
      <c r="L5042" s="9">
        <v>1</v>
      </c>
      <c r="M5042" t="s">
        <v>98</v>
      </c>
      <c r="N5042" t="s">
        <v>99</v>
      </c>
      <c r="O5042" s="27" t="str">
        <f>HYPERLINK("https://www.ncbi.nlm.nih.gov/nuccore/NZ_CP016438.1?report=graph&amp;from=663278&amp;to=663282", "TTA_codon")</f>
        <v>TTA_codon</v>
      </c>
    </row>
    <row r="5043" spans="1:15" x14ac:dyDescent="0.15">
      <c r="A5043" t="s">
        <v>21</v>
      </c>
      <c r="B5043" t="s">
        <v>3826</v>
      </c>
    </row>
    <row r="5044" spans="1:15" x14ac:dyDescent="0.15">
      <c r="A5044" t="s">
        <v>21</v>
      </c>
      <c r="B5044">
        <v>1000995</v>
      </c>
      <c r="C5044">
        <v>353728</v>
      </c>
      <c r="F5044" s="7">
        <v>1</v>
      </c>
      <c r="G5044" s="7">
        <v>97</v>
      </c>
      <c r="H5044" s="8">
        <v>97</v>
      </c>
      <c r="J5044" t="s">
        <v>23</v>
      </c>
      <c r="K5044" s="7">
        <v>1341</v>
      </c>
      <c r="L5044" s="9">
        <v>1</v>
      </c>
      <c r="M5044" t="s">
        <v>3545</v>
      </c>
      <c r="N5044" t="s">
        <v>246</v>
      </c>
      <c r="O5044" s="27" t="str">
        <f>HYPERLINK("https://www.ncbi.nlm.nih.gov/nuccore/NZ_JNYR01000030.1?report=graph&amp;from=68870&amp;to=68874", "TTA_codon")</f>
        <v>TTA_codon</v>
      </c>
    </row>
    <row r="5045" spans="1:15" x14ac:dyDescent="0.15">
      <c r="A5045" t="s">
        <v>21</v>
      </c>
      <c r="B5045">
        <v>1000995</v>
      </c>
      <c r="C5045">
        <v>354162</v>
      </c>
      <c r="F5045" s="7">
        <v>1</v>
      </c>
      <c r="G5045" s="7">
        <v>97</v>
      </c>
      <c r="H5045" s="8">
        <v>61</v>
      </c>
      <c r="J5045" t="s">
        <v>23</v>
      </c>
      <c r="K5045" s="7">
        <v>1329</v>
      </c>
      <c r="L5045" s="9">
        <v>1</v>
      </c>
      <c r="M5045" t="s">
        <v>3827</v>
      </c>
      <c r="N5045" t="s">
        <v>361</v>
      </c>
      <c r="O5045" s="27" t="str">
        <f>HYPERLINK("https://www.ncbi.nlm.nih.gov/nuccore/NZ_JODY01000027.1?report=graph&amp;from=34800&amp;to=34804", "TTA_codon")</f>
        <v>TTA_codon</v>
      </c>
    </row>
    <row r="5046" spans="1:15" x14ac:dyDescent="0.15">
      <c r="A5046" t="s">
        <v>21</v>
      </c>
      <c r="B5046" t="s">
        <v>3828</v>
      </c>
    </row>
    <row r="5047" spans="1:15" x14ac:dyDescent="0.15">
      <c r="A5047" t="s">
        <v>21</v>
      </c>
      <c r="B5047">
        <v>1000657</v>
      </c>
      <c r="C5047">
        <v>350669</v>
      </c>
      <c r="F5047" s="7">
        <v>1</v>
      </c>
      <c r="G5047" s="7">
        <v>64</v>
      </c>
      <c r="H5047" s="8">
        <v>64</v>
      </c>
      <c r="J5047" t="s">
        <v>23</v>
      </c>
      <c r="K5047" s="7">
        <v>1086</v>
      </c>
      <c r="L5047" s="9">
        <v>1</v>
      </c>
      <c r="M5047" t="s">
        <v>2337</v>
      </c>
      <c r="N5047" t="s">
        <v>134</v>
      </c>
      <c r="O5047" s="27" t="str">
        <f>HYPERLINK("https://www.ncbi.nlm.nih.gov/nuccore/NZ_AJSZ01000445.1?report=graph&amp;from=17921&amp;to=17925", "TTA_codon")</f>
        <v>TTA_codon</v>
      </c>
    </row>
    <row r="5048" spans="1:15" x14ac:dyDescent="0.15">
      <c r="A5048" t="s">
        <v>21</v>
      </c>
      <c r="B5048">
        <v>1000657</v>
      </c>
      <c r="C5048">
        <v>363169</v>
      </c>
      <c r="F5048" s="7">
        <v>1</v>
      </c>
      <c r="G5048" s="7">
        <v>64</v>
      </c>
      <c r="H5048" s="8">
        <v>64</v>
      </c>
      <c r="J5048" t="s">
        <v>23</v>
      </c>
      <c r="K5048" s="7">
        <v>1086</v>
      </c>
      <c r="L5048" s="9">
        <v>1</v>
      </c>
      <c r="M5048" t="s">
        <v>1921</v>
      </c>
      <c r="N5048" t="s">
        <v>401</v>
      </c>
      <c r="O5048" s="27" t="str">
        <f>HYPERLINK("https://www.ncbi.nlm.nih.gov/nuccore/NZ_LFBV01000012.1?report=graph&amp;from=127118&amp;to=127122", "TTA_codon")</f>
        <v>TTA_codon</v>
      </c>
    </row>
    <row r="5049" spans="1:15" x14ac:dyDescent="0.15">
      <c r="A5049" t="s">
        <v>195</v>
      </c>
      <c r="B5049" t="s">
        <v>3829</v>
      </c>
    </row>
    <row r="5050" spans="1:15" x14ac:dyDescent="0.15">
      <c r="A5050" t="s">
        <v>195</v>
      </c>
      <c r="B5050">
        <v>1000050</v>
      </c>
      <c r="C5050">
        <v>346241</v>
      </c>
      <c r="F5050" s="7">
        <v>1</v>
      </c>
      <c r="G5050" s="7">
        <v>1093</v>
      </c>
      <c r="H5050" s="8">
        <v>1090</v>
      </c>
      <c r="J5050" t="s">
        <v>23</v>
      </c>
      <c r="K5050" s="7">
        <v>3834</v>
      </c>
      <c r="L5050" s="9">
        <v>-1</v>
      </c>
      <c r="M5050" t="s">
        <v>3830</v>
      </c>
      <c r="N5050" t="s">
        <v>68</v>
      </c>
      <c r="O5050" s="27" t="str">
        <f>HYPERLINK("https://www.ncbi.nlm.nih.gov/nuccore/NZ_BARG01000036.1?report=graph&amp;from=104934&amp;to=104938", "TTA_codon")</f>
        <v>TTA_codon</v>
      </c>
    </row>
    <row r="5051" spans="1:15" x14ac:dyDescent="0.15">
      <c r="A5051" t="s">
        <v>21</v>
      </c>
      <c r="B5051">
        <v>1000050</v>
      </c>
      <c r="C5051">
        <v>366380</v>
      </c>
      <c r="F5051" s="7">
        <v>1</v>
      </c>
      <c r="G5051" s="7">
        <v>1036</v>
      </c>
      <c r="H5051" s="8">
        <v>178</v>
      </c>
      <c r="J5051" t="s">
        <v>23</v>
      </c>
      <c r="K5051" s="7">
        <v>2994</v>
      </c>
      <c r="L5051" s="9">
        <v>-1</v>
      </c>
      <c r="M5051" t="s">
        <v>3263</v>
      </c>
      <c r="N5051" t="s">
        <v>375</v>
      </c>
      <c r="O5051" s="27" t="str">
        <f>HYPERLINK("https://www.ncbi.nlm.nih.gov/nuccore/NZ_FONG01000012.1?report=graph&amp;from=160349&amp;to=160353", "TTA_codon")</f>
        <v>TTA_codon</v>
      </c>
    </row>
    <row r="5052" spans="1:15" x14ac:dyDescent="0.15">
      <c r="A5052" t="s">
        <v>21</v>
      </c>
      <c r="B5052" t="s">
        <v>3831</v>
      </c>
    </row>
    <row r="5053" spans="1:15" x14ac:dyDescent="0.15">
      <c r="A5053" t="s">
        <v>21</v>
      </c>
      <c r="B5053">
        <v>1001334</v>
      </c>
      <c r="C5053">
        <v>360199</v>
      </c>
      <c r="F5053" s="7">
        <v>1</v>
      </c>
      <c r="G5053" s="7">
        <v>37</v>
      </c>
      <c r="H5053" s="8">
        <v>37</v>
      </c>
      <c r="J5053" t="s">
        <v>23</v>
      </c>
      <c r="K5053" s="7">
        <v>342</v>
      </c>
      <c r="L5053" s="9">
        <v>1</v>
      </c>
      <c r="M5053" t="s">
        <v>3832</v>
      </c>
      <c r="N5053" t="s">
        <v>125</v>
      </c>
      <c r="O5053" s="27" t="str">
        <f>HYPERLINK("https://www.ncbi.nlm.nih.gov/nuccore/NZ_KQ948478.1?report=graph&amp;from=15712&amp;to=15716", "TTA_codon")</f>
        <v>TTA_codon</v>
      </c>
    </row>
    <row r="5054" spans="1:15" x14ac:dyDescent="0.15">
      <c r="A5054" t="s">
        <v>21</v>
      </c>
      <c r="B5054">
        <v>1001334</v>
      </c>
      <c r="C5054">
        <v>365987</v>
      </c>
      <c r="F5054" s="7">
        <v>1</v>
      </c>
      <c r="G5054" s="7">
        <v>37</v>
      </c>
      <c r="H5054" s="8">
        <v>37</v>
      </c>
      <c r="J5054" t="s">
        <v>23</v>
      </c>
      <c r="K5054" s="7">
        <v>333</v>
      </c>
      <c r="L5054" s="9">
        <v>1</v>
      </c>
      <c r="M5054" t="s">
        <v>3833</v>
      </c>
      <c r="N5054" t="s">
        <v>115</v>
      </c>
      <c r="O5054" s="27" t="str">
        <f>HYPERLINK("https://www.ncbi.nlm.nih.gov/nuccore/NZ_FODD01000027.1?report=graph&amp;from=19977&amp;to=19981", "TTA_codon")</f>
        <v>TTA_codon</v>
      </c>
    </row>
    <row r="5055" spans="1:15" x14ac:dyDescent="0.15">
      <c r="A5055" t="s">
        <v>21</v>
      </c>
      <c r="B5055" t="s">
        <v>3834</v>
      </c>
    </row>
    <row r="5056" spans="1:15" x14ac:dyDescent="0.15">
      <c r="A5056" t="s">
        <v>21</v>
      </c>
      <c r="B5056">
        <v>1000562</v>
      </c>
      <c r="C5056">
        <v>349924</v>
      </c>
      <c r="F5056" s="7">
        <v>1</v>
      </c>
      <c r="G5056" s="7">
        <v>142</v>
      </c>
      <c r="H5056" s="8">
        <v>67</v>
      </c>
      <c r="J5056" t="s">
        <v>23</v>
      </c>
      <c r="K5056" s="7">
        <v>1953</v>
      </c>
      <c r="L5056" s="9">
        <v>1</v>
      </c>
      <c r="M5056" t="s">
        <v>3835</v>
      </c>
      <c r="N5056" t="s">
        <v>249</v>
      </c>
      <c r="O5056" s="27" t="str">
        <f>HYPERLINK("https://www.ncbi.nlm.nih.gov/nuccore/NZ_AHBF01000026.1?report=graph&amp;from=124703&amp;to=124707", "TTA_codon")</f>
        <v>TTA_codon</v>
      </c>
    </row>
    <row r="5057" spans="1:15" x14ac:dyDescent="0.15">
      <c r="A5057" t="s">
        <v>21</v>
      </c>
      <c r="B5057">
        <v>1000562</v>
      </c>
      <c r="C5057">
        <v>362189</v>
      </c>
      <c r="F5057" s="7">
        <v>1</v>
      </c>
      <c r="G5057" s="7">
        <v>142</v>
      </c>
      <c r="H5057" s="8">
        <v>142</v>
      </c>
      <c r="J5057" t="s">
        <v>23</v>
      </c>
      <c r="K5057" s="7">
        <v>2058</v>
      </c>
      <c r="L5057" s="9">
        <v>1</v>
      </c>
      <c r="M5057" t="s">
        <v>39</v>
      </c>
      <c r="N5057" t="s">
        <v>40</v>
      </c>
      <c r="O5057" s="27" t="str">
        <f>HYPERLINK("https://www.ncbi.nlm.nih.gov/nuccore/NZ_CP017157.1?report=graph&amp;from=4890274&amp;to=4890278", "TTA_codon")</f>
        <v>TTA_codon</v>
      </c>
    </row>
    <row r="5058" spans="1:15" x14ac:dyDescent="0.15">
      <c r="A5058" t="s">
        <v>21</v>
      </c>
      <c r="B5058" t="s">
        <v>3836</v>
      </c>
    </row>
    <row r="5059" spans="1:15" x14ac:dyDescent="0.15">
      <c r="A5059" t="s">
        <v>21</v>
      </c>
      <c r="B5059">
        <v>1000660</v>
      </c>
      <c r="C5059">
        <v>350691</v>
      </c>
      <c r="F5059" s="7">
        <v>1</v>
      </c>
      <c r="G5059" s="7">
        <v>79</v>
      </c>
      <c r="H5059" s="8">
        <v>79</v>
      </c>
      <c r="J5059" t="s">
        <v>23</v>
      </c>
      <c r="K5059" s="7">
        <v>1011</v>
      </c>
      <c r="L5059" s="9">
        <v>1</v>
      </c>
      <c r="M5059" t="s">
        <v>3837</v>
      </c>
      <c r="N5059" t="s">
        <v>134</v>
      </c>
      <c r="O5059" s="27" t="str">
        <f>HYPERLINK("https://www.ncbi.nlm.nih.gov/nuccore/NZ_AJSZ01000560.1?report=graph&amp;from=468&amp;to=472", "TTA_codon")</f>
        <v>TTA_codon</v>
      </c>
    </row>
    <row r="5060" spans="1:15" x14ac:dyDescent="0.15">
      <c r="A5060" t="s">
        <v>21</v>
      </c>
      <c r="B5060">
        <v>1000660</v>
      </c>
      <c r="C5060">
        <v>363194</v>
      </c>
      <c r="F5060" s="7">
        <v>1</v>
      </c>
      <c r="G5060" s="7">
        <v>79</v>
      </c>
      <c r="H5060" s="8">
        <v>79</v>
      </c>
      <c r="J5060" t="s">
        <v>23</v>
      </c>
      <c r="K5060" s="7">
        <v>981</v>
      </c>
      <c r="L5060" s="9">
        <v>1</v>
      </c>
      <c r="M5060" t="s">
        <v>989</v>
      </c>
      <c r="N5060" t="s">
        <v>401</v>
      </c>
      <c r="O5060" s="27" t="str">
        <f>HYPERLINK("https://www.ncbi.nlm.nih.gov/nuccore/NZ_LFBV01000003.1?report=graph&amp;from=578611&amp;to=578615", "TTA_codon")</f>
        <v>TTA_codon</v>
      </c>
    </row>
    <row r="5061" spans="1:15" x14ac:dyDescent="0.15">
      <c r="A5061" t="s">
        <v>195</v>
      </c>
      <c r="B5061" t="s">
        <v>3838</v>
      </c>
    </row>
    <row r="5062" spans="1:15" x14ac:dyDescent="0.15">
      <c r="A5062" t="s">
        <v>195</v>
      </c>
      <c r="B5062">
        <v>1000052</v>
      </c>
      <c r="C5062">
        <v>346255</v>
      </c>
      <c r="F5062" s="7">
        <v>1</v>
      </c>
      <c r="G5062" s="7">
        <v>106</v>
      </c>
      <c r="H5062" s="8">
        <v>76</v>
      </c>
      <c r="J5062" t="s">
        <v>23</v>
      </c>
      <c r="K5062" s="7">
        <v>1578</v>
      </c>
      <c r="L5062" s="9">
        <v>1</v>
      </c>
      <c r="M5062" t="s">
        <v>1125</v>
      </c>
      <c r="N5062" t="s">
        <v>68</v>
      </c>
      <c r="O5062" s="27" t="str">
        <f>HYPERLINK("https://www.ncbi.nlm.nih.gov/nuccore/NZ_BARG01000124.1?report=graph&amp;from=1604&amp;to=1608", "TTA_codon")</f>
        <v>TTA_codon</v>
      </c>
    </row>
    <row r="5063" spans="1:15" x14ac:dyDescent="0.15">
      <c r="A5063" t="s">
        <v>21</v>
      </c>
      <c r="B5063">
        <v>1000052</v>
      </c>
      <c r="C5063">
        <v>353810</v>
      </c>
      <c r="F5063" s="7">
        <v>1</v>
      </c>
      <c r="G5063" s="7">
        <v>91</v>
      </c>
      <c r="H5063" s="8">
        <v>55</v>
      </c>
      <c r="J5063" t="s">
        <v>23</v>
      </c>
      <c r="K5063" s="7">
        <v>1605</v>
      </c>
      <c r="L5063" s="9">
        <v>1</v>
      </c>
      <c r="M5063" t="s">
        <v>1533</v>
      </c>
      <c r="N5063" t="s">
        <v>246</v>
      </c>
      <c r="O5063" s="27" t="str">
        <f>HYPERLINK("https://www.ncbi.nlm.nih.gov/nuccore/NZ_JNYR01000001.1?report=graph&amp;from=3492&amp;to=3496", "TTA_codon")</f>
        <v>TTA_codon</v>
      </c>
    </row>
    <row r="5064" spans="1:15" x14ac:dyDescent="0.15">
      <c r="A5064" t="s">
        <v>21</v>
      </c>
      <c r="B5064">
        <v>1000052</v>
      </c>
      <c r="C5064">
        <v>362074</v>
      </c>
      <c r="F5064" s="7">
        <v>1</v>
      </c>
      <c r="G5064" s="7">
        <v>109</v>
      </c>
      <c r="H5064" s="8">
        <v>109</v>
      </c>
      <c r="J5064" t="s">
        <v>23</v>
      </c>
      <c r="K5064" s="7">
        <v>1608</v>
      </c>
      <c r="L5064" s="9">
        <v>1</v>
      </c>
      <c r="M5064" t="s">
        <v>3839</v>
      </c>
      <c r="N5064" t="s">
        <v>187</v>
      </c>
      <c r="O5064" s="27" t="str">
        <f>HYPERLINK("https://www.ncbi.nlm.nih.gov/nuccore/NZ_MAXF01000136.1?report=graph&amp;from=4286&amp;to=4290", "TTA_codon")</f>
        <v>TTA_codon</v>
      </c>
    </row>
    <row r="5065" spans="1:15" x14ac:dyDescent="0.15">
      <c r="A5065" t="s">
        <v>21</v>
      </c>
      <c r="B5065" t="s">
        <v>3840</v>
      </c>
    </row>
    <row r="5066" spans="1:15" x14ac:dyDescent="0.15">
      <c r="A5066" t="s">
        <v>21</v>
      </c>
      <c r="B5066">
        <v>1001026</v>
      </c>
      <c r="C5066">
        <v>354575</v>
      </c>
      <c r="F5066" s="7">
        <v>1</v>
      </c>
      <c r="G5066" s="7">
        <v>103</v>
      </c>
      <c r="H5066" s="8">
        <v>103</v>
      </c>
      <c r="J5066" t="s">
        <v>23</v>
      </c>
      <c r="K5066" s="7">
        <v>1923</v>
      </c>
      <c r="L5066" s="9">
        <v>1</v>
      </c>
      <c r="M5066" t="s">
        <v>3841</v>
      </c>
      <c r="N5066" t="s">
        <v>272</v>
      </c>
      <c r="O5066" s="27" t="str">
        <f>HYPERLINK("https://www.ncbi.nlm.nih.gov/nuccore/NZ_JOEY01000049.1?report=graph&amp;from=71261&amp;to=71265", "TTA_codon")</f>
        <v>TTA_codon</v>
      </c>
    </row>
    <row r="5067" spans="1:15" x14ac:dyDescent="0.15">
      <c r="A5067" t="s">
        <v>21</v>
      </c>
      <c r="B5067">
        <v>1001026</v>
      </c>
      <c r="C5067">
        <v>356659</v>
      </c>
      <c r="F5067" s="7">
        <v>1</v>
      </c>
      <c r="G5067" s="7">
        <v>103</v>
      </c>
      <c r="H5067" s="8">
        <v>103</v>
      </c>
      <c r="J5067" t="s">
        <v>23</v>
      </c>
      <c r="K5067" s="7">
        <v>1923</v>
      </c>
      <c r="L5067" s="9">
        <v>1</v>
      </c>
      <c r="M5067" t="s">
        <v>147</v>
      </c>
      <c r="N5067" t="s">
        <v>148</v>
      </c>
      <c r="O5067" s="27" t="str">
        <f>HYPERLINK("https://www.ncbi.nlm.nih.gov/nuccore/NZ_CP021080.1?report=graph&amp;from=2089344&amp;to=2089348", "TTA_codon")</f>
        <v>TTA_codon</v>
      </c>
    </row>
    <row r="5068" spans="1:15" x14ac:dyDescent="0.15">
      <c r="A5068" t="s">
        <v>21</v>
      </c>
      <c r="B5068">
        <v>1001026</v>
      </c>
      <c r="C5068">
        <v>360074</v>
      </c>
      <c r="F5068" s="7">
        <v>1</v>
      </c>
      <c r="G5068" s="7">
        <v>103</v>
      </c>
      <c r="H5068" s="8">
        <v>103</v>
      </c>
      <c r="J5068" t="s">
        <v>23</v>
      </c>
      <c r="K5068" s="7">
        <v>1923</v>
      </c>
      <c r="L5068" s="9">
        <v>1</v>
      </c>
      <c r="M5068" t="s">
        <v>312</v>
      </c>
      <c r="N5068" t="s">
        <v>125</v>
      </c>
      <c r="O5068" s="27" t="str">
        <f>HYPERLINK("https://www.ncbi.nlm.nih.gov/nuccore/NZ_KQ948456.1?report=graph&amp;from=163914&amp;to=163918", "TTA_codon")</f>
        <v>TTA_codon</v>
      </c>
    </row>
    <row r="5069" spans="1:15" x14ac:dyDescent="0.15">
      <c r="A5069" t="s">
        <v>21</v>
      </c>
      <c r="B5069">
        <v>1001026</v>
      </c>
      <c r="C5069">
        <v>360392</v>
      </c>
      <c r="F5069" s="7">
        <v>1</v>
      </c>
      <c r="G5069" s="7">
        <v>103</v>
      </c>
      <c r="H5069" s="8">
        <v>103</v>
      </c>
      <c r="J5069" t="s">
        <v>23</v>
      </c>
      <c r="K5069" s="7">
        <v>1923</v>
      </c>
      <c r="L5069" s="9">
        <v>1</v>
      </c>
      <c r="M5069" t="s">
        <v>121</v>
      </c>
      <c r="N5069" t="s">
        <v>122</v>
      </c>
      <c r="O5069" s="27" t="str">
        <f>HYPERLINK("https://www.ncbi.nlm.nih.gov/nuccore/NZ_CP016279.1?report=graph&amp;from=9097919&amp;to=9097923", "TTA_codon")</f>
        <v>TTA_codon</v>
      </c>
    </row>
    <row r="5070" spans="1:15" x14ac:dyDescent="0.15">
      <c r="A5070" t="s">
        <v>21</v>
      </c>
      <c r="B5070" t="s">
        <v>3842</v>
      </c>
    </row>
    <row r="5071" spans="1:15" x14ac:dyDescent="0.15">
      <c r="A5071" t="s">
        <v>21</v>
      </c>
      <c r="B5071">
        <v>1001104</v>
      </c>
      <c r="C5071">
        <v>355615</v>
      </c>
      <c r="F5071" s="7">
        <v>1</v>
      </c>
      <c r="G5071" s="7">
        <v>124</v>
      </c>
      <c r="H5071" s="8">
        <v>103</v>
      </c>
      <c r="J5071" t="s">
        <v>23</v>
      </c>
      <c r="K5071" s="7">
        <v>1467</v>
      </c>
      <c r="L5071" s="9">
        <v>1</v>
      </c>
      <c r="M5071" t="s">
        <v>277</v>
      </c>
      <c r="N5071" t="s">
        <v>278</v>
      </c>
      <c r="O5071" s="27" t="str">
        <f>HYPERLINK("https://www.ncbi.nlm.nih.gov/nuccore/NZ_JOID01000016.1?report=graph&amp;from=36653&amp;to=36657", "TTA_codon")</f>
        <v>TTA_codon</v>
      </c>
    </row>
    <row r="5072" spans="1:15" x14ac:dyDescent="0.15">
      <c r="A5072" t="s">
        <v>21</v>
      </c>
      <c r="B5072">
        <v>1001104</v>
      </c>
      <c r="C5072">
        <v>357270</v>
      </c>
      <c r="F5072" s="7">
        <v>1</v>
      </c>
      <c r="G5072" s="7">
        <v>274</v>
      </c>
      <c r="H5072" s="8">
        <v>250</v>
      </c>
      <c r="J5072" t="s">
        <v>23</v>
      </c>
      <c r="K5072" s="7">
        <v>1494</v>
      </c>
      <c r="L5072" s="9">
        <v>1</v>
      </c>
      <c r="M5072" t="s">
        <v>250</v>
      </c>
      <c r="N5072" t="s">
        <v>251</v>
      </c>
      <c r="O5072" s="27" t="str">
        <f>HYPERLINK("https://www.ncbi.nlm.nih.gov/nuccore/NZ_CP009922.2?report=graph&amp;from=1282523&amp;to=1282527", "TTA_codon")</f>
        <v>TTA_codon</v>
      </c>
    </row>
    <row r="5073" spans="1:15" x14ac:dyDescent="0.15">
      <c r="A5073" t="s">
        <v>21</v>
      </c>
      <c r="B5073">
        <v>1001104</v>
      </c>
      <c r="C5073">
        <v>362214</v>
      </c>
      <c r="F5073" s="7">
        <v>1</v>
      </c>
      <c r="G5073" s="7">
        <v>124</v>
      </c>
      <c r="H5073" s="8">
        <v>124</v>
      </c>
      <c r="J5073" t="s">
        <v>23</v>
      </c>
      <c r="K5073" s="7">
        <v>1491</v>
      </c>
      <c r="L5073" s="9">
        <v>1</v>
      </c>
      <c r="M5073" t="s">
        <v>39</v>
      </c>
      <c r="N5073" t="s">
        <v>40</v>
      </c>
      <c r="O5073" s="27" t="str">
        <f>HYPERLINK("https://www.ncbi.nlm.nih.gov/nuccore/NZ_CP017157.1?report=graph&amp;from=4508847&amp;to=4508851", "TTA_codon")</f>
        <v>TTA_codon</v>
      </c>
    </row>
    <row r="5074" spans="1:15" x14ac:dyDescent="0.15">
      <c r="A5074" t="s">
        <v>21</v>
      </c>
      <c r="B5074" t="s">
        <v>3843</v>
      </c>
    </row>
    <row r="5075" spans="1:15" x14ac:dyDescent="0.15">
      <c r="A5075" t="s">
        <v>21</v>
      </c>
      <c r="B5075">
        <v>1000182</v>
      </c>
      <c r="C5075">
        <v>347292</v>
      </c>
      <c r="F5075" s="7">
        <v>1</v>
      </c>
      <c r="G5075" s="7">
        <v>1111</v>
      </c>
      <c r="H5075" s="8">
        <v>1015</v>
      </c>
      <c r="J5075" t="s">
        <v>23</v>
      </c>
      <c r="K5075" s="7">
        <v>1281</v>
      </c>
      <c r="L5075" s="9">
        <v>-1</v>
      </c>
      <c r="M5075" t="s">
        <v>53</v>
      </c>
      <c r="N5075" t="s">
        <v>54</v>
      </c>
      <c r="O5075" s="27" t="str">
        <f>HYPERLINK("https://www.ncbi.nlm.nih.gov/nuccore/NC_003155.5?report=graph&amp;from=4616423&amp;to=4616427", "TTA_codon")</f>
        <v>TTA_codon</v>
      </c>
    </row>
    <row r="5076" spans="1:15" x14ac:dyDescent="0.15">
      <c r="A5076" t="s">
        <v>21</v>
      </c>
      <c r="B5076">
        <v>1000182</v>
      </c>
      <c r="C5076">
        <v>359454</v>
      </c>
      <c r="F5076" s="7">
        <v>1</v>
      </c>
      <c r="G5076" s="7">
        <v>1207</v>
      </c>
      <c r="H5076" s="8">
        <v>1162</v>
      </c>
      <c r="J5076" t="s">
        <v>23</v>
      </c>
      <c r="K5076" s="7">
        <v>1389</v>
      </c>
      <c r="L5076" s="9">
        <v>-1</v>
      </c>
      <c r="M5076" t="s">
        <v>151</v>
      </c>
      <c r="N5076" t="s">
        <v>152</v>
      </c>
      <c r="O5076" s="27" t="str">
        <f>HYPERLINK("https://www.ncbi.nlm.nih.gov/nuccore/NZ_CP013129.1?report=graph&amp;from=4878074&amp;to=4878078", "TTA_codon")</f>
        <v>TTA_codon</v>
      </c>
    </row>
    <row r="5077" spans="1:15" x14ac:dyDescent="0.15">
      <c r="A5077" t="s">
        <v>21</v>
      </c>
      <c r="B5077">
        <v>1000182</v>
      </c>
      <c r="C5077">
        <v>360912</v>
      </c>
      <c r="F5077" s="7">
        <v>1</v>
      </c>
      <c r="G5077" s="7">
        <v>1006</v>
      </c>
      <c r="H5077" s="8">
        <v>964</v>
      </c>
      <c r="J5077" t="s">
        <v>23</v>
      </c>
      <c r="K5077" s="7">
        <v>1362</v>
      </c>
      <c r="L5077" s="9">
        <v>-1</v>
      </c>
      <c r="M5077" t="s">
        <v>1250</v>
      </c>
      <c r="N5077" t="s">
        <v>97</v>
      </c>
      <c r="O5077" s="27" t="str">
        <f>HYPERLINK("https://www.ncbi.nlm.nih.gov/nuccore/NZ_LOHS01000076.1?report=graph&amp;from=4756&amp;to=4760", "TTA_codon")</f>
        <v>TTA_codon</v>
      </c>
    </row>
    <row r="5078" spans="1:15" x14ac:dyDescent="0.15">
      <c r="A5078" t="s">
        <v>21</v>
      </c>
      <c r="B5078">
        <v>1000182</v>
      </c>
      <c r="C5078">
        <v>364825</v>
      </c>
      <c r="F5078" s="7">
        <v>1</v>
      </c>
      <c r="G5078" s="7">
        <v>1126</v>
      </c>
      <c r="H5078" s="8">
        <v>1072</v>
      </c>
      <c r="J5078" t="s">
        <v>23</v>
      </c>
      <c r="K5078" s="7">
        <v>1380</v>
      </c>
      <c r="L5078" s="9">
        <v>-1</v>
      </c>
      <c r="M5078" t="s">
        <v>126</v>
      </c>
      <c r="N5078" t="s">
        <v>127</v>
      </c>
      <c r="O5078" s="27" t="str">
        <f>HYPERLINK("https://www.ncbi.nlm.nih.gov/nuccore/NZ_CP021748.1?report=graph&amp;from=1251921&amp;to=1251925", "TTA_codon")</f>
        <v>TTA_codon</v>
      </c>
    </row>
    <row r="5079" spans="1:15" x14ac:dyDescent="0.15">
      <c r="A5079" t="s">
        <v>21</v>
      </c>
      <c r="B5079" t="s">
        <v>3844</v>
      </c>
    </row>
    <row r="5080" spans="1:15" x14ac:dyDescent="0.15">
      <c r="A5080" t="s">
        <v>21</v>
      </c>
      <c r="B5080">
        <v>1000196</v>
      </c>
      <c r="C5080">
        <v>347334</v>
      </c>
      <c r="F5080" s="7">
        <v>1</v>
      </c>
      <c r="G5080" s="7">
        <v>49</v>
      </c>
      <c r="H5080" s="8">
        <v>43</v>
      </c>
      <c r="J5080" t="s">
        <v>23</v>
      </c>
      <c r="K5080" s="7">
        <v>369</v>
      </c>
      <c r="L5080" s="9">
        <v>1</v>
      </c>
      <c r="M5080" t="s">
        <v>217</v>
      </c>
      <c r="N5080" t="s">
        <v>218</v>
      </c>
      <c r="O5080" s="27" t="str">
        <f>HYPERLINK("https://www.ncbi.nlm.nih.gov/nuccore/NC_021985.1?report=graph&amp;from=887019&amp;to=887023", "TTA_codon")</f>
        <v>TTA_codon</v>
      </c>
    </row>
    <row r="5081" spans="1:15" x14ac:dyDescent="0.15">
      <c r="A5081" t="s">
        <v>21</v>
      </c>
      <c r="B5081">
        <v>1000196</v>
      </c>
      <c r="C5081">
        <v>349574</v>
      </c>
      <c r="F5081" s="7">
        <v>1</v>
      </c>
      <c r="G5081" s="7">
        <v>49</v>
      </c>
      <c r="H5081" s="8">
        <v>49</v>
      </c>
      <c r="J5081" t="s">
        <v>23</v>
      </c>
      <c r="K5081" s="7">
        <v>372</v>
      </c>
      <c r="L5081" s="9">
        <v>1</v>
      </c>
      <c r="M5081" t="s">
        <v>3845</v>
      </c>
      <c r="N5081" t="s">
        <v>335</v>
      </c>
      <c r="O5081" s="27" t="str">
        <f>HYPERLINK("https://www.ncbi.nlm.nih.gov/nuccore/NZ_AGBF01000034.1?report=graph&amp;from=17109&amp;to=17113", "TTA_codon")</f>
        <v>TTA_codon</v>
      </c>
    </row>
    <row r="5082" spans="1:15" x14ac:dyDescent="0.15">
      <c r="A5082" t="s">
        <v>21</v>
      </c>
      <c r="B5082">
        <v>1000196</v>
      </c>
      <c r="C5082">
        <v>353547</v>
      </c>
      <c r="F5082" s="7">
        <v>1</v>
      </c>
      <c r="G5082" s="7">
        <v>49</v>
      </c>
      <c r="H5082" s="8">
        <v>43</v>
      </c>
      <c r="J5082" t="s">
        <v>23</v>
      </c>
      <c r="K5082" s="7">
        <v>369</v>
      </c>
      <c r="L5082" s="9">
        <v>1</v>
      </c>
      <c r="M5082" t="s">
        <v>3195</v>
      </c>
      <c r="N5082" t="s">
        <v>140</v>
      </c>
      <c r="O5082" s="27" t="str">
        <f>HYPERLINK("https://www.ncbi.nlm.nih.gov/nuccore/NZ_JNXG01000015.1?report=graph&amp;from=103887&amp;to=103891", "TTA_codon")</f>
        <v>TTA_codon</v>
      </c>
    </row>
    <row r="5083" spans="1:15" x14ac:dyDescent="0.15">
      <c r="A5083" t="s">
        <v>21</v>
      </c>
      <c r="B5083">
        <v>1000196</v>
      </c>
      <c r="C5083">
        <v>354798</v>
      </c>
      <c r="F5083" s="7">
        <v>1</v>
      </c>
      <c r="G5083" s="7">
        <v>49</v>
      </c>
      <c r="H5083" s="8">
        <v>43</v>
      </c>
      <c r="J5083" t="s">
        <v>23</v>
      </c>
      <c r="K5083" s="7">
        <v>369</v>
      </c>
      <c r="L5083" s="9">
        <v>1</v>
      </c>
      <c r="M5083" t="s">
        <v>2523</v>
      </c>
      <c r="N5083" t="s">
        <v>25</v>
      </c>
      <c r="O5083" s="27" t="str">
        <f>HYPERLINK("https://www.ncbi.nlm.nih.gov/nuccore/NZ_JOFU01000036.1?report=graph&amp;from=69088&amp;to=69092", "TTA_codon")</f>
        <v>TTA_codon</v>
      </c>
    </row>
    <row r="5084" spans="1:15" x14ac:dyDescent="0.15">
      <c r="A5084" t="s">
        <v>21</v>
      </c>
      <c r="B5084">
        <v>1000196</v>
      </c>
      <c r="C5084">
        <v>356333</v>
      </c>
      <c r="F5084" s="7">
        <v>1</v>
      </c>
      <c r="G5084" s="7">
        <v>49</v>
      </c>
      <c r="H5084" s="8">
        <v>49</v>
      </c>
      <c r="J5084" t="s">
        <v>23</v>
      </c>
      <c r="K5084" s="7">
        <v>378</v>
      </c>
      <c r="L5084" s="9">
        <v>1</v>
      </c>
      <c r="M5084" t="s">
        <v>3846</v>
      </c>
      <c r="N5084" t="s">
        <v>354</v>
      </c>
      <c r="O5084" s="27" t="str">
        <f>HYPERLINK("https://www.ncbi.nlm.nih.gov/nuccore/NZ_JQJU01000030.1?report=graph&amp;from=77317&amp;to=77321", "TTA_codon")</f>
        <v>TTA_codon</v>
      </c>
    </row>
    <row r="5085" spans="1:15" x14ac:dyDescent="0.15">
      <c r="A5085" t="s">
        <v>21</v>
      </c>
      <c r="B5085">
        <v>1000196</v>
      </c>
      <c r="C5085">
        <v>356820</v>
      </c>
      <c r="F5085" s="7">
        <v>1</v>
      </c>
      <c r="G5085" s="7">
        <v>49</v>
      </c>
      <c r="H5085" s="8">
        <v>49</v>
      </c>
      <c r="J5085" t="s">
        <v>23</v>
      </c>
      <c r="K5085" s="7">
        <v>375</v>
      </c>
      <c r="L5085" s="9">
        <v>1</v>
      </c>
      <c r="M5085" t="s">
        <v>78</v>
      </c>
      <c r="N5085" t="s">
        <v>79</v>
      </c>
      <c r="O5085" s="27" t="str">
        <f>HYPERLINK("https://www.ncbi.nlm.nih.gov/nuccore/NZ_CP009313.1?report=graph&amp;from=6258183&amp;to=6258187", "TTA_codon")</f>
        <v>TTA_codon</v>
      </c>
    </row>
    <row r="5086" spans="1:15" x14ac:dyDescent="0.15">
      <c r="A5086" t="s">
        <v>21</v>
      </c>
      <c r="B5086">
        <v>1000196</v>
      </c>
      <c r="C5086">
        <v>358049</v>
      </c>
      <c r="F5086" s="7">
        <v>1</v>
      </c>
      <c r="G5086" s="7">
        <v>49</v>
      </c>
      <c r="H5086" s="8">
        <v>43</v>
      </c>
      <c r="J5086" t="s">
        <v>23</v>
      </c>
      <c r="K5086" s="7">
        <v>372</v>
      </c>
      <c r="L5086" s="9">
        <v>1</v>
      </c>
      <c r="M5086" t="s">
        <v>3847</v>
      </c>
      <c r="N5086" t="s">
        <v>119</v>
      </c>
      <c r="O5086" s="27" t="str">
        <f>HYPERLINK("https://www.ncbi.nlm.nih.gov/nuccore/NZ_LIPP01000220.1?report=graph&amp;from=22664&amp;to=22668", "TTA_codon")</f>
        <v>TTA_codon</v>
      </c>
    </row>
    <row r="5087" spans="1:15" x14ac:dyDescent="0.15">
      <c r="A5087" t="s">
        <v>21</v>
      </c>
      <c r="B5087">
        <v>1000196</v>
      </c>
      <c r="C5087">
        <v>360330</v>
      </c>
      <c r="F5087" s="7">
        <v>1</v>
      </c>
      <c r="G5087" s="7">
        <v>49</v>
      </c>
      <c r="H5087" s="8">
        <v>43</v>
      </c>
      <c r="J5087" t="s">
        <v>23</v>
      </c>
      <c r="K5087" s="7">
        <v>369</v>
      </c>
      <c r="L5087" s="9">
        <v>1</v>
      </c>
      <c r="M5087" t="s">
        <v>121</v>
      </c>
      <c r="N5087" t="s">
        <v>122</v>
      </c>
      <c r="O5087" s="27" t="str">
        <f>HYPERLINK("https://www.ncbi.nlm.nih.gov/nuccore/NZ_CP016279.1?report=graph&amp;from=6148099&amp;to=6148103", "TTA_codon")</f>
        <v>TTA_codon</v>
      </c>
    </row>
    <row r="5088" spans="1:15" x14ac:dyDescent="0.15">
      <c r="A5088" t="s">
        <v>21</v>
      </c>
      <c r="B5088">
        <v>1000196</v>
      </c>
      <c r="C5088">
        <v>364647</v>
      </c>
      <c r="F5088" s="7">
        <v>1</v>
      </c>
      <c r="G5088" s="7">
        <v>49</v>
      </c>
      <c r="H5088" s="8">
        <v>43</v>
      </c>
      <c r="J5088" t="s">
        <v>23</v>
      </c>
      <c r="K5088" s="7">
        <v>369</v>
      </c>
      <c r="L5088" s="9">
        <v>1</v>
      </c>
      <c r="M5088" t="s">
        <v>2524</v>
      </c>
      <c r="N5088" t="s">
        <v>110</v>
      </c>
      <c r="O5088" s="27" t="str">
        <f>HYPERLINK("https://www.ncbi.nlm.nih.gov/nuccore/NZ_MUME01000276.1?report=graph&amp;from=18155&amp;to=18159", "TTA_codon")</f>
        <v>TTA_codon</v>
      </c>
    </row>
    <row r="5089" spans="1:15" x14ac:dyDescent="0.15">
      <c r="A5089" t="s">
        <v>21</v>
      </c>
      <c r="B5089" t="s">
        <v>3848</v>
      </c>
    </row>
    <row r="5090" spans="1:15" x14ac:dyDescent="0.15">
      <c r="A5090" t="s">
        <v>21</v>
      </c>
      <c r="B5090">
        <v>1001271</v>
      </c>
      <c r="C5090">
        <v>349551</v>
      </c>
      <c r="F5090" s="7">
        <v>1</v>
      </c>
      <c r="G5090" s="7">
        <v>67</v>
      </c>
      <c r="H5090" s="8">
        <v>67</v>
      </c>
      <c r="J5090" t="s">
        <v>23</v>
      </c>
      <c r="K5090" s="7">
        <v>534</v>
      </c>
      <c r="L5090" s="9">
        <v>-1</v>
      </c>
      <c r="M5090" t="s">
        <v>63</v>
      </c>
      <c r="N5090" t="s">
        <v>64</v>
      </c>
      <c r="O5090" s="27" t="str">
        <f>HYPERLINK("https://www.ncbi.nlm.nih.gov/nuccore/NZ_AEYX01000046.1?report=graph&amp;from=136914&amp;to=136918", "TTA_codon")</f>
        <v>TTA_codon</v>
      </c>
    </row>
    <row r="5091" spans="1:15" x14ac:dyDescent="0.15">
      <c r="A5091" t="s">
        <v>21</v>
      </c>
      <c r="B5091">
        <v>1001271</v>
      </c>
      <c r="C5091">
        <v>358247</v>
      </c>
      <c r="F5091" s="7">
        <v>1</v>
      </c>
      <c r="G5091" s="7">
        <v>67</v>
      </c>
      <c r="H5091" s="8">
        <v>67</v>
      </c>
      <c r="J5091" t="s">
        <v>23</v>
      </c>
      <c r="K5091" s="7">
        <v>537</v>
      </c>
      <c r="L5091" s="9">
        <v>-1</v>
      </c>
      <c r="M5091" t="s">
        <v>3849</v>
      </c>
      <c r="N5091" t="s">
        <v>119</v>
      </c>
      <c r="O5091" s="27" t="str">
        <f>HYPERLINK("https://www.ncbi.nlm.nih.gov/nuccore/NZ_LIPP01000218.1?report=graph&amp;from=3927&amp;to=3931", "TTA_codon")</f>
        <v>TTA_codon</v>
      </c>
    </row>
    <row r="5092" spans="1:15" x14ac:dyDescent="0.15">
      <c r="A5092" t="s">
        <v>21</v>
      </c>
      <c r="B5092" t="s">
        <v>3850</v>
      </c>
    </row>
    <row r="5093" spans="1:15" x14ac:dyDescent="0.15">
      <c r="A5093" t="s">
        <v>21</v>
      </c>
      <c r="B5093">
        <v>1001404</v>
      </c>
      <c r="C5093">
        <v>362100</v>
      </c>
      <c r="F5093" s="7">
        <v>1</v>
      </c>
      <c r="G5093" s="7">
        <v>646</v>
      </c>
      <c r="H5093" s="8">
        <v>643</v>
      </c>
      <c r="J5093" t="s">
        <v>23</v>
      </c>
      <c r="K5093" s="7">
        <v>2196</v>
      </c>
      <c r="L5093" s="9">
        <v>-1</v>
      </c>
      <c r="M5093" t="s">
        <v>868</v>
      </c>
      <c r="N5093" t="s">
        <v>187</v>
      </c>
      <c r="O5093" s="27" t="str">
        <f>HYPERLINK("https://www.ncbi.nlm.nih.gov/nuccore/NZ_MAXF01000025.1?report=graph&amp;from=12316&amp;to=12320", "TTA_codon")</f>
        <v>TTA_codon</v>
      </c>
    </row>
    <row r="5094" spans="1:15" x14ac:dyDescent="0.15">
      <c r="A5094" t="s">
        <v>21</v>
      </c>
      <c r="B5094">
        <v>1001404</v>
      </c>
      <c r="C5094">
        <v>363882</v>
      </c>
      <c r="F5094" s="7">
        <v>1</v>
      </c>
      <c r="G5094" s="7">
        <v>2143</v>
      </c>
      <c r="H5094" s="8">
        <v>2119</v>
      </c>
      <c r="J5094" t="s">
        <v>23</v>
      </c>
      <c r="K5094" s="7">
        <v>2223</v>
      </c>
      <c r="L5094" s="9">
        <v>-1</v>
      </c>
      <c r="M5094" t="s">
        <v>101</v>
      </c>
      <c r="N5094" t="s">
        <v>102</v>
      </c>
      <c r="O5094" s="27" t="str">
        <f>HYPERLINK("https://www.ncbi.nlm.nih.gov/nuccore/NZ_CP019458.1?report=graph&amp;from=4014061&amp;to=4014065", "TTA_codon")</f>
        <v>TTA_codon</v>
      </c>
    </row>
    <row r="5095" spans="1:15" x14ac:dyDescent="0.15">
      <c r="A5095" t="s">
        <v>21</v>
      </c>
      <c r="B5095">
        <v>1001404</v>
      </c>
      <c r="C5095">
        <v>365763</v>
      </c>
      <c r="F5095" s="7">
        <v>2</v>
      </c>
      <c r="G5095" s="7" t="s">
        <v>3851</v>
      </c>
      <c r="H5095" s="8" t="s">
        <v>3852</v>
      </c>
      <c r="J5095" t="s">
        <v>23</v>
      </c>
      <c r="K5095" s="7">
        <v>2214</v>
      </c>
      <c r="L5095" s="9">
        <v>-1</v>
      </c>
      <c r="M5095" t="s">
        <v>213</v>
      </c>
      <c r="N5095" t="s">
        <v>214</v>
      </c>
      <c r="O5095" s="27" t="str">
        <f>HYPERLINK("https://www.ncbi.nlm.nih.gov/nuccore/NZ_FNST01000002.1?report=graph&amp;from=1602340&amp;to=1603667", "TTA_codon")</f>
        <v>TTA_codon</v>
      </c>
    </row>
    <row r="5096" spans="1:15" x14ac:dyDescent="0.15">
      <c r="A5096" t="s">
        <v>21</v>
      </c>
      <c r="B5096" t="s">
        <v>3853</v>
      </c>
    </row>
    <row r="5097" spans="1:15" x14ac:dyDescent="0.15">
      <c r="A5097" t="s">
        <v>21</v>
      </c>
      <c r="B5097">
        <v>1001006</v>
      </c>
      <c r="C5097">
        <v>354291</v>
      </c>
      <c r="F5097" s="7">
        <v>2</v>
      </c>
      <c r="G5097" s="7" t="s">
        <v>3854</v>
      </c>
      <c r="H5097" s="8" t="s">
        <v>3854</v>
      </c>
      <c r="J5097" t="s">
        <v>23</v>
      </c>
      <c r="K5097" s="7">
        <v>2052</v>
      </c>
      <c r="L5097" s="9">
        <v>-1</v>
      </c>
      <c r="M5097" t="s">
        <v>2874</v>
      </c>
      <c r="N5097" t="s">
        <v>142</v>
      </c>
      <c r="O5097" s="27" t="str">
        <f>HYPERLINK("https://www.ncbi.nlm.nih.gov/nuccore/NZ_JOEI01000029.1?report=graph&amp;from=48303&amp;to=48313", "TTA_codon")</f>
        <v>TTA_codon</v>
      </c>
    </row>
    <row r="5098" spans="1:15" x14ac:dyDescent="0.15">
      <c r="A5098" t="s">
        <v>21</v>
      </c>
      <c r="B5098">
        <v>1001006</v>
      </c>
      <c r="C5098">
        <v>357289</v>
      </c>
      <c r="F5098" s="7">
        <v>1</v>
      </c>
      <c r="G5098" s="7">
        <v>178</v>
      </c>
      <c r="H5098" s="8">
        <v>133</v>
      </c>
      <c r="J5098" t="s">
        <v>23</v>
      </c>
      <c r="K5098" s="7">
        <v>1407</v>
      </c>
      <c r="L5098" s="9">
        <v>-1</v>
      </c>
      <c r="M5098" t="s">
        <v>250</v>
      </c>
      <c r="N5098" t="s">
        <v>251</v>
      </c>
      <c r="O5098" s="27" t="str">
        <f>HYPERLINK("https://www.ncbi.nlm.nih.gov/nuccore/NZ_CP009922.2?report=graph&amp;from=1541689&amp;to=1541693", "TTA_codon")</f>
        <v>TTA_codon</v>
      </c>
    </row>
    <row r="5099" spans="1:15" x14ac:dyDescent="0.15">
      <c r="A5099" t="s">
        <v>21</v>
      </c>
      <c r="B5099">
        <v>1001006</v>
      </c>
      <c r="C5099">
        <v>357686</v>
      </c>
      <c r="F5099" s="7">
        <v>1</v>
      </c>
      <c r="G5099" s="7">
        <v>43</v>
      </c>
      <c r="H5099" s="8">
        <v>43</v>
      </c>
      <c r="J5099" t="s">
        <v>23</v>
      </c>
      <c r="K5099" s="7">
        <v>2034</v>
      </c>
      <c r="L5099" s="9">
        <v>-1</v>
      </c>
      <c r="M5099" t="s">
        <v>173</v>
      </c>
      <c r="N5099" t="s">
        <v>83</v>
      </c>
      <c r="O5099" s="27" t="str">
        <f>HYPERLINK("https://www.ncbi.nlm.nih.gov/nuccore/NZ_DF968216.1?report=graph&amp;from=114683&amp;to=114687", "TTA_codon")</f>
        <v>TTA_codon</v>
      </c>
    </row>
    <row r="5100" spans="1:15" x14ac:dyDescent="0.15">
      <c r="A5100" t="s">
        <v>21</v>
      </c>
      <c r="B5100">
        <v>1001006</v>
      </c>
      <c r="C5100">
        <v>360958</v>
      </c>
      <c r="F5100" s="7">
        <v>1</v>
      </c>
      <c r="G5100" s="7">
        <v>67</v>
      </c>
      <c r="H5100" s="8">
        <v>55</v>
      </c>
      <c r="J5100" t="s">
        <v>23</v>
      </c>
      <c r="K5100" s="7">
        <v>1368</v>
      </c>
      <c r="L5100" s="9">
        <v>-1</v>
      </c>
      <c r="M5100" t="s">
        <v>3855</v>
      </c>
      <c r="N5100" t="s">
        <v>97</v>
      </c>
      <c r="O5100" s="27" t="str">
        <f>HYPERLINK("https://www.ncbi.nlm.nih.gov/nuccore/NZ_LOHS01000190.1?report=graph&amp;from=21913&amp;to=21917", "TTA_codon")</f>
        <v>TTA_codon</v>
      </c>
    </row>
    <row r="5101" spans="1:15" x14ac:dyDescent="0.15">
      <c r="A5101" t="s">
        <v>21</v>
      </c>
      <c r="B5101">
        <v>1001006</v>
      </c>
      <c r="C5101">
        <v>361090</v>
      </c>
      <c r="F5101" s="7">
        <v>1</v>
      </c>
      <c r="G5101" s="7">
        <v>43</v>
      </c>
      <c r="H5101" s="8">
        <v>43</v>
      </c>
      <c r="J5101" t="s">
        <v>23</v>
      </c>
      <c r="K5101" s="7">
        <v>2049</v>
      </c>
      <c r="L5101" s="9">
        <v>-1</v>
      </c>
      <c r="M5101" t="s">
        <v>98</v>
      </c>
      <c r="N5101" t="s">
        <v>99</v>
      </c>
      <c r="O5101" s="27" t="str">
        <f>HYPERLINK("https://www.ncbi.nlm.nih.gov/nuccore/NZ_CP016438.1?report=graph&amp;from=9922417&amp;to=9922421", "TTA_codon")</f>
        <v>TTA_codon</v>
      </c>
    </row>
    <row r="5102" spans="1:15" x14ac:dyDescent="0.15">
      <c r="A5102" t="s">
        <v>21</v>
      </c>
      <c r="B5102" t="s">
        <v>3856</v>
      </c>
    </row>
    <row r="5103" spans="1:15" x14ac:dyDescent="0.15">
      <c r="A5103" t="s">
        <v>21</v>
      </c>
      <c r="B5103">
        <v>1000828</v>
      </c>
      <c r="C5103">
        <v>352376</v>
      </c>
      <c r="F5103" s="7">
        <v>1</v>
      </c>
      <c r="G5103" s="7">
        <v>79</v>
      </c>
      <c r="H5103" s="8">
        <v>79</v>
      </c>
      <c r="J5103" t="s">
        <v>23</v>
      </c>
      <c r="K5103" s="7">
        <v>345</v>
      </c>
      <c r="L5103" s="9">
        <v>1</v>
      </c>
      <c r="M5103" t="s">
        <v>30</v>
      </c>
      <c r="N5103" t="s">
        <v>31</v>
      </c>
      <c r="O5103" s="27" t="str">
        <f>HYPERLINK("https://www.ncbi.nlm.nih.gov/nuccore/NZ_KB913030.1?report=graph&amp;from=2319146&amp;to=2319150", "TTA_codon")</f>
        <v>TTA_codon</v>
      </c>
    </row>
    <row r="5104" spans="1:15" x14ac:dyDescent="0.15">
      <c r="A5104" t="s">
        <v>21</v>
      </c>
      <c r="B5104">
        <v>1000828</v>
      </c>
      <c r="C5104">
        <v>355861</v>
      </c>
      <c r="F5104" s="7">
        <v>1</v>
      </c>
      <c r="G5104" s="7">
        <v>109</v>
      </c>
      <c r="H5104" s="8">
        <v>109</v>
      </c>
      <c r="J5104" t="s">
        <v>23</v>
      </c>
      <c r="K5104" s="7">
        <v>345</v>
      </c>
      <c r="L5104" s="9">
        <v>1</v>
      </c>
      <c r="M5104" t="s">
        <v>3857</v>
      </c>
      <c r="N5104" t="s">
        <v>384</v>
      </c>
      <c r="O5104" s="27" t="str">
        <f>HYPERLINK("https://www.ncbi.nlm.nih.gov/nuccore/NZ_JOAK01000016.1?report=graph&amp;from=272805&amp;to=272809", "TTA_codon")</f>
        <v>TTA_codon</v>
      </c>
    </row>
    <row r="5105" spans="1:15" x14ac:dyDescent="0.15">
      <c r="A5105" t="s">
        <v>195</v>
      </c>
      <c r="B5105" t="s">
        <v>3858</v>
      </c>
    </row>
    <row r="5106" spans="1:15" x14ac:dyDescent="0.15">
      <c r="A5106" t="s">
        <v>195</v>
      </c>
      <c r="B5106">
        <v>1000152</v>
      </c>
      <c r="C5106">
        <v>347134</v>
      </c>
      <c r="F5106" s="7">
        <v>1</v>
      </c>
      <c r="G5106" s="7">
        <v>118</v>
      </c>
      <c r="H5106" s="8">
        <v>118</v>
      </c>
      <c r="J5106" t="s">
        <v>23</v>
      </c>
      <c r="K5106" s="7">
        <v>420</v>
      </c>
      <c r="L5106" s="9">
        <v>1</v>
      </c>
      <c r="M5106" t="s">
        <v>213</v>
      </c>
      <c r="N5106" t="s">
        <v>214</v>
      </c>
      <c r="O5106" s="27" t="str">
        <f>HYPERLINK("https://www.ncbi.nlm.nih.gov/nuccore/NZ_FNST01000002.1?report=graph&amp;from=3790857&amp;to=3790861", "TTA_codon")</f>
        <v>TTA_codon</v>
      </c>
    </row>
    <row r="5107" spans="1:15" x14ac:dyDescent="0.15">
      <c r="A5107" t="s">
        <v>21</v>
      </c>
      <c r="B5107">
        <v>1000152</v>
      </c>
      <c r="C5107">
        <v>363600</v>
      </c>
      <c r="F5107" s="7">
        <v>1</v>
      </c>
      <c r="G5107" s="7">
        <v>160</v>
      </c>
      <c r="H5107" s="8">
        <v>160</v>
      </c>
      <c r="J5107" t="s">
        <v>23</v>
      </c>
      <c r="K5107" s="7">
        <v>420</v>
      </c>
      <c r="L5107" s="9">
        <v>1</v>
      </c>
      <c r="M5107" t="s">
        <v>101</v>
      </c>
      <c r="N5107" t="s">
        <v>102</v>
      </c>
      <c r="O5107" s="27" t="str">
        <f>HYPERLINK("https://www.ncbi.nlm.nih.gov/nuccore/NZ_CP019458.1?report=graph&amp;from=6196896&amp;to=6196900", "TTA_codon")</f>
        <v>TTA_codon</v>
      </c>
    </row>
    <row r="5108" spans="1:15" x14ac:dyDescent="0.15">
      <c r="A5108" t="s">
        <v>21</v>
      </c>
      <c r="B5108" t="s">
        <v>3859</v>
      </c>
    </row>
    <row r="5109" spans="1:15" x14ac:dyDescent="0.15">
      <c r="A5109" t="s">
        <v>21</v>
      </c>
      <c r="B5109">
        <v>1001152</v>
      </c>
      <c r="C5109">
        <v>356232</v>
      </c>
      <c r="F5109" s="7">
        <v>1</v>
      </c>
      <c r="G5109" s="7">
        <v>37</v>
      </c>
      <c r="H5109" s="8">
        <v>37</v>
      </c>
      <c r="J5109" t="s">
        <v>23</v>
      </c>
      <c r="K5109" s="7">
        <v>858</v>
      </c>
      <c r="L5109" s="9">
        <v>-1</v>
      </c>
      <c r="M5109" t="s">
        <v>2364</v>
      </c>
      <c r="N5109" t="s">
        <v>77</v>
      </c>
      <c r="O5109" s="27" t="str">
        <f>HYPERLINK("https://www.ncbi.nlm.nih.gov/nuccore/NZ_JNXD01000016.1?report=graph&amp;from=103477&amp;to=103481", "TTA_codon")</f>
        <v>TTA_codon</v>
      </c>
    </row>
    <row r="5110" spans="1:15" x14ac:dyDescent="0.15">
      <c r="A5110" t="s">
        <v>21</v>
      </c>
      <c r="B5110">
        <v>1001152</v>
      </c>
      <c r="C5110">
        <v>356607</v>
      </c>
      <c r="F5110" s="7">
        <v>1</v>
      </c>
      <c r="G5110" s="7">
        <v>37</v>
      </c>
      <c r="H5110" s="8">
        <v>37</v>
      </c>
      <c r="J5110" t="s">
        <v>23</v>
      </c>
      <c r="K5110" s="7">
        <v>867</v>
      </c>
      <c r="L5110" s="9">
        <v>-1</v>
      </c>
      <c r="M5110" t="s">
        <v>508</v>
      </c>
      <c r="N5110" t="s">
        <v>509</v>
      </c>
      <c r="O5110" s="27" t="str">
        <f>HYPERLINK("https://www.ncbi.nlm.nih.gov/nuccore/NZ_CP009438.1?report=graph&amp;from=7008708&amp;to=7008712", "TTA_codon")</f>
        <v>TTA_codon</v>
      </c>
    </row>
    <row r="5111" spans="1:15" x14ac:dyDescent="0.15">
      <c r="A5111" t="s">
        <v>21</v>
      </c>
      <c r="B5111">
        <v>1001152</v>
      </c>
      <c r="C5111">
        <v>357776</v>
      </c>
      <c r="F5111" s="7">
        <v>1</v>
      </c>
      <c r="G5111" s="7">
        <v>37</v>
      </c>
      <c r="H5111" s="8">
        <v>37</v>
      </c>
      <c r="J5111" t="s">
        <v>23</v>
      </c>
      <c r="K5111" s="7">
        <v>858</v>
      </c>
      <c r="L5111" s="9">
        <v>-1</v>
      </c>
      <c r="M5111" t="s">
        <v>2365</v>
      </c>
      <c r="N5111" t="s">
        <v>83</v>
      </c>
      <c r="O5111" s="27" t="str">
        <f>HYPERLINK("https://www.ncbi.nlm.nih.gov/nuccore/NZ_DF968232.1?report=graph&amp;from=88968&amp;to=88972", "TTA_codon")</f>
        <v>TTA_codon</v>
      </c>
    </row>
    <row r="5112" spans="1:15" x14ac:dyDescent="0.15">
      <c r="A5112" t="s">
        <v>21</v>
      </c>
      <c r="B5112" t="s">
        <v>3860</v>
      </c>
    </row>
    <row r="5113" spans="1:15" x14ac:dyDescent="0.15">
      <c r="A5113" t="s">
        <v>21</v>
      </c>
      <c r="B5113">
        <v>1000617</v>
      </c>
      <c r="C5113">
        <v>349170</v>
      </c>
      <c r="F5113" s="7">
        <v>1</v>
      </c>
      <c r="G5113" s="7">
        <v>208</v>
      </c>
      <c r="H5113" s="8">
        <v>196</v>
      </c>
      <c r="J5113" t="s">
        <v>23</v>
      </c>
      <c r="K5113" s="7">
        <v>1128</v>
      </c>
      <c r="L5113" s="9">
        <v>1</v>
      </c>
      <c r="M5113" t="s">
        <v>211</v>
      </c>
      <c r="N5113" t="s">
        <v>212</v>
      </c>
      <c r="O5113" s="27" t="str">
        <f>HYPERLINK("https://www.ncbi.nlm.nih.gov/nuccore/NZ_GG657754.1?report=graph&amp;from=8049509&amp;to=8049513", "TTA_codon")</f>
        <v>TTA_codon</v>
      </c>
    </row>
    <row r="5114" spans="1:15" x14ac:dyDescent="0.15">
      <c r="A5114" t="s">
        <v>21</v>
      </c>
      <c r="B5114">
        <v>1000617</v>
      </c>
      <c r="C5114">
        <v>350335</v>
      </c>
      <c r="F5114" s="7">
        <v>1</v>
      </c>
      <c r="G5114" s="7">
        <v>61</v>
      </c>
      <c r="H5114" s="8">
        <v>61</v>
      </c>
      <c r="J5114" t="s">
        <v>23</v>
      </c>
      <c r="K5114" s="7">
        <v>1095</v>
      </c>
      <c r="L5114" s="9">
        <v>1</v>
      </c>
      <c r="M5114" t="s">
        <v>1224</v>
      </c>
      <c r="N5114" t="s">
        <v>36</v>
      </c>
      <c r="O5114" s="27" t="str">
        <f>HYPERLINK("https://www.ncbi.nlm.nih.gov/nuccore/NZ_JH725389.1?report=graph&amp;from=469767&amp;to=469771", "TTA_codon")</f>
        <v>TTA_codon</v>
      </c>
    </row>
    <row r="5115" spans="1:15" x14ac:dyDescent="0.15">
      <c r="A5115" t="s">
        <v>21</v>
      </c>
      <c r="B5115">
        <v>1000617</v>
      </c>
      <c r="C5115">
        <v>352013</v>
      </c>
      <c r="F5115" s="7">
        <v>1</v>
      </c>
      <c r="G5115" s="7">
        <v>196</v>
      </c>
      <c r="H5115" s="8">
        <v>184</v>
      </c>
      <c r="J5115" t="s">
        <v>23</v>
      </c>
      <c r="K5115" s="7">
        <v>1107</v>
      </c>
      <c r="L5115" s="9">
        <v>1</v>
      </c>
      <c r="M5115" t="s">
        <v>2328</v>
      </c>
      <c r="N5115" t="s">
        <v>68</v>
      </c>
      <c r="O5115" s="27" t="str">
        <f>HYPERLINK("https://www.ncbi.nlm.nih.gov/nuccore/NZ_BARG01000082.1?report=graph&amp;from=17295&amp;to=17299", "TTA_codon")</f>
        <v>TTA_codon</v>
      </c>
    </row>
    <row r="5116" spans="1:15" x14ac:dyDescent="0.15">
      <c r="A5116" t="s">
        <v>21</v>
      </c>
      <c r="B5116">
        <v>1000617</v>
      </c>
      <c r="C5116">
        <v>355952</v>
      </c>
      <c r="F5116" s="7">
        <v>1</v>
      </c>
      <c r="G5116" s="7">
        <v>334</v>
      </c>
      <c r="H5116" s="8">
        <v>328</v>
      </c>
      <c r="J5116" t="s">
        <v>23</v>
      </c>
      <c r="K5116" s="7">
        <v>1131</v>
      </c>
      <c r="L5116" s="9">
        <v>1</v>
      </c>
      <c r="M5116" t="s">
        <v>3861</v>
      </c>
      <c r="N5116" t="s">
        <v>384</v>
      </c>
      <c r="O5116" s="27" t="str">
        <f>HYPERLINK("https://www.ncbi.nlm.nih.gov/nuccore/NZ_JOAK01000025.1?report=graph&amp;from=92758&amp;to=92762", "TTA_codon")</f>
        <v>TTA_codon</v>
      </c>
    </row>
    <row r="5117" spans="1:15" x14ac:dyDescent="0.15">
      <c r="A5117" t="s">
        <v>21</v>
      </c>
      <c r="B5117">
        <v>1000617</v>
      </c>
      <c r="C5117">
        <v>364799</v>
      </c>
      <c r="F5117" s="7">
        <v>1</v>
      </c>
      <c r="G5117" s="7">
        <v>58</v>
      </c>
      <c r="H5117" s="8">
        <v>46</v>
      </c>
      <c r="J5117" t="s">
        <v>23</v>
      </c>
      <c r="K5117" s="7">
        <v>1095</v>
      </c>
      <c r="L5117" s="9">
        <v>1</v>
      </c>
      <c r="M5117" t="s">
        <v>126</v>
      </c>
      <c r="N5117" t="s">
        <v>127</v>
      </c>
      <c r="O5117" s="27" t="str">
        <f>HYPERLINK("https://www.ncbi.nlm.nih.gov/nuccore/NZ_CP021748.1?report=graph&amp;from=317421&amp;to=317425", "TTA_codon")</f>
        <v>TTA_codon</v>
      </c>
    </row>
    <row r="5118" spans="1:15" x14ac:dyDescent="0.15">
      <c r="A5118" t="s">
        <v>21</v>
      </c>
      <c r="B5118" t="s">
        <v>3862</v>
      </c>
    </row>
    <row r="5119" spans="1:15" x14ac:dyDescent="0.15">
      <c r="A5119" t="s">
        <v>21</v>
      </c>
      <c r="B5119">
        <v>1001221</v>
      </c>
      <c r="C5119">
        <v>334341</v>
      </c>
      <c r="F5119" s="7">
        <v>1</v>
      </c>
      <c r="G5119" s="7">
        <v>40</v>
      </c>
      <c r="H5119" s="8">
        <v>40</v>
      </c>
      <c r="J5119" t="s">
        <v>23</v>
      </c>
      <c r="K5119" s="7">
        <v>1464</v>
      </c>
      <c r="L5119" s="9">
        <v>1</v>
      </c>
      <c r="M5119" t="s">
        <v>98</v>
      </c>
      <c r="N5119" t="s">
        <v>99</v>
      </c>
      <c r="O5119" s="27" t="str">
        <f>HYPERLINK("https://www.ncbi.nlm.nih.gov/nuccore/NZ_CP016438.1?report=graph&amp;from=1595441&amp;to=1595445", "TTA_codon")</f>
        <v>TTA_codon</v>
      </c>
    </row>
    <row r="5120" spans="1:15" x14ac:dyDescent="0.15">
      <c r="A5120" t="s">
        <v>21</v>
      </c>
      <c r="B5120">
        <v>1001221</v>
      </c>
      <c r="C5120">
        <v>348024</v>
      </c>
      <c r="F5120" s="7">
        <v>1</v>
      </c>
      <c r="G5120" s="7">
        <v>40</v>
      </c>
      <c r="H5120" s="8">
        <v>40</v>
      </c>
      <c r="J5120" t="s">
        <v>23</v>
      </c>
      <c r="K5120" s="7">
        <v>1452</v>
      </c>
      <c r="L5120" s="9">
        <v>1</v>
      </c>
      <c r="M5120" t="s">
        <v>59</v>
      </c>
      <c r="N5120" t="s">
        <v>60</v>
      </c>
      <c r="O5120" s="27" t="str">
        <f>HYPERLINK("https://www.ncbi.nlm.nih.gov/nuccore/NC_016582.1?report=graph&amp;from=4000539&amp;to=4000543", "TTA_codon")</f>
        <v>TTA_codon</v>
      </c>
    </row>
    <row r="5121" spans="1:15" x14ac:dyDescent="0.15">
      <c r="A5121" t="s">
        <v>21</v>
      </c>
      <c r="B5121">
        <v>1001221</v>
      </c>
      <c r="C5121">
        <v>348501</v>
      </c>
      <c r="F5121" s="7">
        <v>1</v>
      </c>
      <c r="G5121" s="7">
        <v>40</v>
      </c>
      <c r="H5121" s="8">
        <v>40</v>
      </c>
      <c r="J5121" t="s">
        <v>23</v>
      </c>
      <c r="K5121" s="7">
        <v>1452</v>
      </c>
      <c r="L5121" s="9">
        <v>1</v>
      </c>
      <c r="M5121" t="s">
        <v>61</v>
      </c>
      <c r="N5121" t="s">
        <v>62</v>
      </c>
      <c r="O5121" s="27" t="str">
        <f>HYPERLINK("https://www.ncbi.nlm.nih.gov/nuccore/NZ_DS999641.1?report=graph&amp;from=858854&amp;to=858858", "TTA_codon")</f>
        <v>TTA_codon</v>
      </c>
    </row>
    <row r="5122" spans="1:15" x14ac:dyDescent="0.15">
      <c r="A5122" t="s">
        <v>21</v>
      </c>
      <c r="B5122">
        <v>1001221</v>
      </c>
      <c r="C5122">
        <v>353564</v>
      </c>
      <c r="F5122" s="7">
        <v>1</v>
      </c>
      <c r="G5122" s="7">
        <v>40</v>
      </c>
      <c r="H5122" s="8">
        <v>40</v>
      </c>
      <c r="J5122" t="s">
        <v>23</v>
      </c>
      <c r="K5122" s="7">
        <v>1449</v>
      </c>
      <c r="L5122" s="9">
        <v>1</v>
      </c>
      <c r="M5122" t="s">
        <v>3863</v>
      </c>
      <c r="N5122" t="s">
        <v>140</v>
      </c>
      <c r="O5122" s="27" t="str">
        <f>HYPERLINK("https://www.ncbi.nlm.nih.gov/nuccore/NZ_JNXG01000014.1?report=graph&amp;from=186118&amp;to=186122", "TTA_codon")</f>
        <v>TTA_codon</v>
      </c>
    </row>
    <row r="5123" spans="1:15" x14ac:dyDescent="0.15">
      <c r="A5123" t="s">
        <v>21</v>
      </c>
      <c r="B5123">
        <v>1001221</v>
      </c>
      <c r="C5123">
        <v>357263</v>
      </c>
      <c r="F5123" s="7">
        <v>1</v>
      </c>
      <c r="G5123" s="7">
        <v>61</v>
      </c>
      <c r="H5123" s="8">
        <v>61</v>
      </c>
      <c r="J5123" t="s">
        <v>23</v>
      </c>
      <c r="K5123" s="7">
        <v>1452</v>
      </c>
      <c r="L5123" s="9">
        <v>1</v>
      </c>
      <c r="M5123" t="s">
        <v>250</v>
      </c>
      <c r="N5123" t="s">
        <v>251</v>
      </c>
      <c r="O5123" s="27" t="str">
        <f>HYPERLINK("https://www.ncbi.nlm.nih.gov/nuccore/NZ_CP009922.2?report=graph&amp;from=3083128&amp;to=3083132", "TTA_codon")</f>
        <v>TTA_codon</v>
      </c>
    </row>
    <row r="5124" spans="1:15" x14ac:dyDescent="0.15">
      <c r="A5124" t="s">
        <v>21</v>
      </c>
      <c r="B5124">
        <v>1001221</v>
      </c>
      <c r="C5124">
        <v>357687</v>
      </c>
      <c r="F5124" s="7">
        <v>1</v>
      </c>
      <c r="G5124" s="7">
        <v>40</v>
      </c>
      <c r="H5124" s="8">
        <v>40</v>
      </c>
      <c r="J5124" t="s">
        <v>23</v>
      </c>
      <c r="K5124" s="7">
        <v>1452</v>
      </c>
      <c r="L5124" s="9">
        <v>1</v>
      </c>
      <c r="M5124" t="s">
        <v>1041</v>
      </c>
      <c r="N5124" t="s">
        <v>83</v>
      </c>
      <c r="O5124" s="27" t="str">
        <f>HYPERLINK("https://www.ncbi.nlm.nih.gov/nuccore/NZ_DF968469.1?report=graph&amp;from=5011&amp;to=5015", "TTA_codon")</f>
        <v>TTA_codon</v>
      </c>
    </row>
    <row r="5125" spans="1:15" x14ac:dyDescent="0.15">
      <c r="A5125" t="s">
        <v>21</v>
      </c>
      <c r="B5125" t="s">
        <v>3864</v>
      </c>
    </row>
    <row r="5126" spans="1:15" x14ac:dyDescent="0.15">
      <c r="A5126" t="s">
        <v>21</v>
      </c>
      <c r="B5126">
        <v>1000407</v>
      </c>
      <c r="C5126">
        <v>348521</v>
      </c>
      <c r="F5126" s="7">
        <v>2</v>
      </c>
      <c r="G5126" s="7" t="s">
        <v>3865</v>
      </c>
      <c r="H5126" s="8" t="s">
        <v>1010</v>
      </c>
      <c r="J5126" t="s">
        <v>23</v>
      </c>
      <c r="K5126" s="7">
        <v>1188</v>
      </c>
      <c r="L5126" s="9">
        <v>1</v>
      </c>
      <c r="M5126" t="s">
        <v>61</v>
      </c>
      <c r="N5126" t="s">
        <v>62</v>
      </c>
      <c r="O5126" s="27" t="str">
        <f>HYPERLINK("https://www.ncbi.nlm.nih.gov/nuccore/NZ_DS999641.1?report=graph&amp;from=23259&amp;to=23623", "TTA_codon")</f>
        <v>TTA_codon</v>
      </c>
    </row>
    <row r="5127" spans="1:15" x14ac:dyDescent="0.15">
      <c r="A5127" t="s">
        <v>21</v>
      </c>
      <c r="B5127">
        <v>1000407</v>
      </c>
      <c r="C5127">
        <v>349990</v>
      </c>
      <c r="F5127" s="7">
        <v>1</v>
      </c>
      <c r="G5127" s="7">
        <v>469</v>
      </c>
      <c r="H5127" s="8">
        <v>358</v>
      </c>
      <c r="J5127" t="s">
        <v>23</v>
      </c>
      <c r="K5127" s="7">
        <v>1125</v>
      </c>
      <c r="L5127" s="9">
        <v>1</v>
      </c>
      <c r="M5127" t="s">
        <v>3866</v>
      </c>
      <c r="N5127" t="s">
        <v>249</v>
      </c>
      <c r="O5127" s="27" t="str">
        <f>HYPERLINK("https://www.ncbi.nlm.nih.gov/nuccore/NZ_AHBF01000042.1?report=graph&amp;from=111400&amp;to=111404", "TTA_codon")</f>
        <v>TTA_codon</v>
      </c>
    </row>
    <row r="5128" spans="1:15" x14ac:dyDescent="0.15">
      <c r="A5128" t="s">
        <v>21</v>
      </c>
      <c r="B5128">
        <v>1000407</v>
      </c>
      <c r="C5128">
        <v>350769</v>
      </c>
      <c r="F5128" s="7">
        <v>1</v>
      </c>
      <c r="G5128" s="7">
        <v>469</v>
      </c>
      <c r="H5128" s="8">
        <v>358</v>
      </c>
      <c r="J5128" t="s">
        <v>23</v>
      </c>
      <c r="K5128" s="7">
        <v>1176</v>
      </c>
      <c r="L5128" s="9">
        <v>1</v>
      </c>
      <c r="M5128" t="s">
        <v>352</v>
      </c>
      <c r="N5128" t="s">
        <v>51</v>
      </c>
      <c r="O5128" s="27" t="str">
        <f>HYPERLINK("https://www.ncbi.nlm.nih.gov/nuccore/NZ_AEJB01000361.1?report=graph&amp;from=91639&amp;to=91643", "TTA_codon")</f>
        <v>TTA_codon</v>
      </c>
    </row>
    <row r="5129" spans="1:15" x14ac:dyDescent="0.15">
      <c r="A5129" t="s">
        <v>21</v>
      </c>
      <c r="B5129">
        <v>1000407</v>
      </c>
      <c r="C5129">
        <v>356369</v>
      </c>
      <c r="F5129" s="7">
        <v>2</v>
      </c>
      <c r="G5129" s="7" t="s">
        <v>3867</v>
      </c>
      <c r="H5129" s="8" t="s">
        <v>3867</v>
      </c>
      <c r="J5129" t="s">
        <v>23</v>
      </c>
      <c r="K5129" s="7">
        <v>1290</v>
      </c>
      <c r="L5129" s="9">
        <v>1</v>
      </c>
      <c r="M5129" t="s">
        <v>3868</v>
      </c>
      <c r="N5129" t="s">
        <v>354</v>
      </c>
      <c r="O5129" s="27" t="str">
        <f>HYPERLINK("https://www.ncbi.nlm.nih.gov/nuccore/NZ_JQJU01000011.1?report=graph&amp;from=102009&amp;to=102418", "TTA_codon")</f>
        <v>TTA_codon</v>
      </c>
    </row>
    <row r="5130" spans="1:15" x14ac:dyDescent="0.15">
      <c r="A5130" t="s">
        <v>21</v>
      </c>
      <c r="B5130">
        <v>1000407</v>
      </c>
      <c r="C5130">
        <v>358371</v>
      </c>
      <c r="F5130" s="7">
        <v>1</v>
      </c>
      <c r="G5130" s="7">
        <v>316</v>
      </c>
      <c r="H5130" s="8">
        <v>220</v>
      </c>
      <c r="J5130" t="s">
        <v>23</v>
      </c>
      <c r="K5130" s="7">
        <v>1188</v>
      </c>
      <c r="L5130" s="9">
        <v>1</v>
      </c>
      <c r="M5130" t="s">
        <v>3869</v>
      </c>
      <c r="N5130" t="s">
        <v>85</v>
      </c>
      <c r="O5130" s="27" t="str">
        <f>HYPERLINK("https://www.ncbi.nlm.nih.gov/nuccore/NZ_LIQX01000214.1?report=graph&amp;from=6910&amp;to=6914", "TTA_codon")</f>
        <v>TTA_codon</v>
      </c>
    </row>
    <row r="5131" spans="1:15" x14ac:dyDescent="0.15">
      <c r="A5131" t="s">
        <v>21</v>
      </c>
      <c r="B5131" t="s">
        <v>3870</v>
      </c>
    </row>
    <row r="5132" spans="1:15" x14ac:dyDescent="0.15">
      <c r="A5132" t="s">
        <v>21</v>
      </c>
      <c r="B5132">
        <v>1000420</v>
      </c>
      <c r="C5132">
        <v>348626</v>
      </c>
      <c r="F5132" s="7">
        <v>1</v>
      </c>
      <c r="G5132" s="7">
        <v>82</v>
      </c>
      <c r="H5132" s="8">
        <v>82</v>
      </c>
      <c r="J5132" t="s">
        <v>23</v>
      </c>
      <c r="K5132" s="7">
        <v>339</v>
      </c>
      <c r="L5132" s="9">
        <v>-1</v>
      </c>
      <c r="M5132" t="s">
        <v>61</v>
      </c>
      <c r="N5132" t="s">
        <v>62</v>
      </c>
      <c r="O5132" s="27" t="str">
        <f>HYPERLINK("https://www.ncbi.nlm.nih.gov/nuccore/NZ_DS999641.1?report=graph&amp;from=8102503&amp;to=8102507", "TTA_codon")</f>
        <v>TTA_codon</v>
      </c>
    </row>
    <row r="5133" spans="1:15" x14ac:dyDescent="0.15">
      <c r="A5133" t="s">
        <v>21</v>
      </c>
      <c r="B5133">
        <v>1000420</v>
      </c>
      <c r="C5133">
        <v>359396</v>
      </c>
      <c r="F5133" s="7">
        <v>1</v>
      </c>
      <c r="G5133" s="7">
        <v>82</v>
      </c>
      <c r="H5133" s="8">
        <v>82</v>
      </c>
      <c r="J5133" t="s">
        <v>23</v>
      </c>
      <c r="K5133" s="7">
        <v>339</v>
      </c>
      <c r="L5133" s="9">
        <v>-1</v>
      </c>
      <c r="M5133" t="s">
        <v>3871</v>
      </c>
      <c r="N5133" t="s">
        <v>89</v>
      </c>
      <c r="O5133" s="27" t="str">
        <f>HYPERLINK("https://www.ncbi.nlm.nih.gov/nuccore/NZ_LIRG01000151.1?report=graph&amp;from=21031&amp;to=21035", "TTA_codon")</f>
        <v>TTA_codon</v>
      </c>
    </row>
    <row r="5134" spans="1:15" x14ac:dyDescent="0.15">
      <c r="A5134" t="s">
        <v>21</v>
      </c>
      <c r="B5134" t="s">
        <v>3872</v>
      </c>
    </row>
    <row r="5135" spans="1:15" x14ac:dyDescent="0.15">
      <c r="A5135" t="s">
        <v>21</v>
      </c>
      <c r="B5135">
        <v>1001344</v>
      </c>
      <c r="C5135">
        <v>360626</v>
      </c>
      <c r="F5135" s="7">
        <v>1</v>
      </c>
      <c r="G5135" s="7">
        <v>1105</v>
      </c>
      <c r="H5135" s="8">
        <v>1105</v>
      </c>
      <c r="J5135" t="s">
        <v>23</v>
      </c>
      <c r="K5135" s="7">
        <v>1128</v>
      </c>
      <c r="L5135" s="9">
        <v>1</v>
      </c>
      <c r="M5135" t="s">
        <v>121</v>
      </c>
      <c r="N5135" t="s">
        <v>122</v>
      </c>
      <c r="O5135" s="27" t="str">
        <f>HYPERLINK("https://www.ncbi.nlm.nih.gov/nuccore/NZ_CP016279.1?report=graph&amp;from=6518580&amp;to=6518584", "TTA_codon")</f>
        <v>TTA_codon</v>
      </c>
    </row>
    <row r="5136" spans="1:15" x14ac:dyDescent="0.15">
      <c r="A5136" t="s">
        <v>21</v>
      </c>
      <c r="B5136">
        <v>1001344</v>
      </c>
      <c r="C5136">
        <v>362514</v>
      </c>
      <c r="F5136" s="7">
        <v>1</v>
      </c>
      <c r="G5136" s="7">
        <v>1105</v>
      </c>
      <c r="H5136" s="8">
        <v>1105</v>
      </c>
      <c r="J5136" t="s">
        <v>23</v>
      </c>
      <c r="K5136" s="7">
        <v>1128</v>
      </c>
      <c r="L5136" s="9">
        <v>1</v>
      </c>
      <c r="M5136" t="s">
        <v>32</v>
      </c>
      <c r="N5136" t="s">
        <v>33</v>
      </c>
      <c r="O5136" s="27" t="str">
        <f>HYPERLINK("https://www.ncbi.nlm.nih.gov/nuccore/NZ_CP017248.1?report=graph&amp;from=1943701&amp;to=1943705", "TTA_codon")</f>
        <v>TTA_codon</v>
      </c>
    </row>
    <row r="5137" spans="1:15" x14ac:dyDescent="0.15">
      <c r="A5137" t="s">
        <v>21</v>
      </c>
      <c r="B5137" t="s">
        <v>3873</v>
      </c>
    </row>
    <row r="5138" spans="1:15" x14ac:dyDescent="0.15">
      <c r="A5138" t="s">
        <v>21</v>
      </c>
      <c r="B5138">
        <v>1000983</v>
      </c>
      <c r="C5138">
        <v>353876</v>
      </c>
      <c r="F5138" s="7">
        <v>1</v>
      </c>
      <c r="G5138" s="7">
        <v>406</v>
      </c>
      <c r="H5138" s="8">
        <v>280</v>
      </c>
      <c r="J5138" t="s">
        <v>23</v>
      </c>
      <c r="K5138" s="7">
        <v>1332</v>
      </c>
      <c r="L5138" s="9">
        <v>-1</v>
      </c>
      <c r="M5138" t="s">
        <v>2667</v>
      </c>
      <c r="N5138" t="s">
        <v>246</v>
      </c>
      <c r="O5138" s="27" t="str">
        <f>HYPERLINK("https://www.ncbi.nlm.nih.gov/nuccore/NZ_JNYR01000034.1?report=graph&amp;from=131405&amp;to=131409", "TTA_codon")</f>
        <v>TTA_codon</v>
      </c>
    </row>
    <row r="5139" spans="1:15" x14ac:dyDescent="0.15">
      <c r="A5139" t="s">
        <v>21</v>
      </c>
      <c r="B5139">
        <v>1000983</v>
      </c>
      <c r="C5139">
        <v>365124</v>
      </c>
      <c r="F5139" s="7">
        <v>1</v>
      </c>
      <c r="G5139" s="7">
        <v>406</v>
      </c>
      <c r="H5139" s="8">
        <v>400</v>
      </c>
      <c r="J5139" t="s">
        <v>23</v>
      </c>
      <c r="K5139" s="7">
        <v>1494</v>
      </c>
      <c r="L5139" s="9">
        <v>-1</v>
      </c>
      <c r="M5139" t="s">
        <v>111</v>
      </c>
      <c r="N5139" t="s">
        <v>112</v>
      </c>
      <c r="O5139" s="27" t="str">
        <f>HYPERLINK("https://www.ncbi.nlm.nih.gov/nuccore/NZ_CP021744.1?report=graph&amp;from=7702253&amp;to=7702257", "TTA_codon")</f>
        <v>TTA_codon</v>
      </c>
    </row>
    <row r="5140" spans="1:15" x14ac:dyDescent="0.15">
      <c r="A5140" t="s">
        <v>21</v>
      </c>
      <c r="B5140" t="s">
        <v>3874</v>
      </c>
    </row>
    <row r="5141" spans="1:15" x14ac:dyDescent="0.15">
      <c r="A5141" t="s">
        <v>21</v>
      </c>
      <c r="B5141">
        <v>1001056</v>
      </c>
      <c r="C5141">
        <v>354880</v>
      </c>
      <c r="F5141" s="7">
        <v>1</v>
      </c>
      <c r="G5141" s="7">
        <v>361</v>
      </c>
      <c r="H5141" s="8">
        <v>214</v>
      </c>
      <c r="J5141" t="s">
        <v>23</v>
      </c>
      <c r="K5141" s="7">
        <v>3099</v>
      </c>
      <c r="L5141" s="9">
        <v>-1</v>
      </c>
      <c r="M5141" t="s">
        <v>3875</v>
      </c>
      <c r="N5141" t="s">
        <v>25</v>
      </c>
      <c r="O5141" s="27" t="str">
        <f>HYPERLINK("https://www.ncbi.nlm.nih.gov/nuccore/NZ_JOFU01000061.1?report=graph&amp;from=32550&amp;to=32554", "TTA_codon")</f>
        <v>TTA_codon</v>
      </c>
    </row>
    <row r="5142" spans="1:15" x14ac:dyDescent="0.15">
      <c r="A5142" t="s">
        <v>21</v>
      </c>
      <c r="B5142">
        <v>1001056</v>
      </c>
      <c r="C5142">
        <v>354882</v>
      </c>
      <c r="F5142" s="7">
        <v>1</v>
      </c>
      <c r="G5142" s="7">
        <v>361</v>
      </c>
      <c r="H5142" s="8">
        <v>361</v>
      </c>
      <c r="J5142" t="s">
        <v>23</v>
      </c>
      <c r="K5142" s="7">
        <v>3246</v>
      </c>
      <c r="L5142" s="9">
        <v>-1</v>
      </c>
      <c r="M5142" t="s">
        <v>3876</v>
      </c>
      <c r="N5142" t="s">
        <v>25</v>
      </c>
      <c r="O5142" s="27" t="str">
        <f>HYPERLINK("https://www.ncbi.nlm.nih.gov/nuccore/NZ_JOFU01000066.1?report=graph&amp;from=11634&amp;to=11638", "TTA_codon")</f>
        <v>TTA_codon</v>
      </c>
    </row>
    <row r="5143" spans="1:15" x14ac:dyDescent="0.15">
      <c r="A5143" t="s">
        <v>21</v>
      </c>
      <c r="B5143" t="s">
        <v>3877</v>
      </c>
    </row>
    <row r="5144" spans="1:15" x14ac:dyDescent="0.15">
      <c r="A5144" t="s">
        <v>21</v>
      </c>
      <c r="B5144">
        <v>1001286</v>
      </c>
      <c r="C5144">
        <v>349381</v>
      </c>
      <c r="F5144" s="7">
        <v>1</v>
      </c>
      <c r="G5144" s="7">
        <v>34</v>
      </c>
      <c r="H5144" s="8">
        <v>34</v>
      </c>
      <c r="J5144" t="s">
        <v>23</v>
      </c>
      <c r="K5144" s="7">
        <v>579</v>
      </c>
      <c r="L5144" s="9">
        <v>1</v>
      </c>
      <c r="M5144" t="s">
        <v>458</v>
      </c>
      <c r="N5144" t="s">
        <v>315</v>
      </c>
      <c r="O5144" s="27" t="str">
        <f>HYPERLINK("https://www.ncbi.nlm.nih.gov/nuccore/NC_003888.3?report=graph&amp;from=7166774&amp;to=7166778", "TTA_codon")</f>
        <v>TTA_codon</v>
      </c>
    </row>
    <row r="5145" spans="1:15" x14ac:dyDescent="0.15">
      <c r="A5145" t="s">
        <v>21</v>
      </c>
      <c r="B5145">
        <v>1001286</v>
      </c>
      <c r="C5145">
        <v>350998</v>
      </c>
      <c r="F5145" s="7">
        <v>1</v>
      </c>
      <c r="G5145" s="7">
        <v>34</v>
      </c>
      <c r="H5145" s="8">
        <v>34</v>
      </c>
      <c r="J5145" t="s">
        <v>23</v>
      </c>
      <c r="K5145" s="7">
        <v>567</v>
      </c>
      <c r="L5145" s="9">
        <v>1</v>
      </c>
      <c r="M5145" t="s">
        <v>3878</v>
      </c>
      <c r="N5145" t="s">
        <v>51</v>
      </c>
      <c r="O5145" s="27" t="str">
        <f>HYPERLINK("https://www.ncbi.nlm.nih.gov/nuccore/NZ_AEJB01000278.1?report=graph&amp;from=11346&amp;to=11350", "TTA_codon")</f>
        <v>TTA_codon</v>
      </c>
    </row>
    <row r="5146" spans="1:15" x14ac:dyDescent="0.15">
      <c r="A5146" t="s">
        <v>21</v>
      </c>
      <c r="B5146">
        <v>1001286</v>
      </c>
      <c r="C5146">
        <v>358619</v>
      </c>
      <c r="F5146" s="7">
        <v>1</v>
      </c>
      <c r="G5146" s="7">
        <v>115</v>
      </c>
      <c r="H5146" s="8">
        <v>106</v>
      </c>
      <c r="J5146" t="s">
        <v>23</v>
      </c>
      <c r="K5146" s="7">
        <v>681</v>
      </c>
      <c r="L5146" s="9">
        <v>1</v>
      </c>
      <c r="M5146" t="s">
        <v>3879</v>
      </c>
      <c r="N5146" t="s">
        <v>299</v>
      </c>
      <c r="O5146" s="27" t="str">
        <f>HYPERLINK("https://www.ncbi.nlm.nih.gov/nuccore/NZ_LIQY01000679.1?report=graph&amp;from=551&amp;to=555", "TTA_codon")</f>
        <v>TTA_codon</v>
      </c>
    </row>
    <row r="5147" spans="1:15" x14ac:dyDescent="0.15">
      <c r="A5147" t="s">
        <v>21</v>
      </c>
      <c r="B5147">
        <v>1001286</v>
      </c>
      <c r="C5147">
        <v>361010</v>
      </c>
      <c r="F5147" s="7">
        <v>1</v>
      </c>
      <c r="G5147" s="7">
        <v>34</v>
      </c>
      <c r="H5147" s="8">
        <v>34</v>
      </c>
      <c r="J5147" t="s">
        <v>23</v>
      </c>
      <c r="K5147" s="7">
        <v>555</v>
      </c>
      <c r="L5147" s="9">
        <v>1</v>
      </c>
      <c r="M5147" t="s">
        <v>3880</v>
      </c>
      <c r="N5147" t="s">
        <v>97</v>
      </c>
      <c r="O5147" s="27" t="str">
        <f>HYPERLINK("https://www.ncbi.nlm.nih.gov/nuccore/NZ_LOHS01000096.1?report=graph&amp;from=12158&amp;to=12162", "TTA_codon")</f>
        <v>TTA_codon</v>
      </c>
    </row>
    <row r="5148" spans="1:15" x14ac:dyDescent="0.15">
      <c r="A5148" t="s">
        <v>21</v>
      </c>
      <c r="B5148" t="s">
        <v>3881</v>
      </c>
    </row>
    <row r="5149" spans="1:15" x14ac:dyDescent="0.15">
      <c r="A5149" t="s">
        <v>21</v>
      </c>
      <c r="B5149">
        <v>1000816</v>
      </c>
      <c r="C5149">
        <v>352159</v>
      </c>
      <c r="F5149" s="7">
        <v>2</v>
      </c>
      <c r="G5149" s="7" t="s">
        <v>3882</v>
      </c>
      <c r="H5149" s="8" t="s">
        <v>3882</v>
      </c>
      <c r="J5149" t="s">
        <v>23</v>
      </c>
      <c r="K5149" s="7">
        <v>1032</v>
      </c>
      <c r="L5149" s="9">
        <v>-1</v>
      </c>
      <c r="M5149" t="s">
        <v>3883</v>
      </c>
      <c r="N5149" t="s">
        <v>70</v>
      </c>
      <c r="O5149" s="27" t="str">
        <f>HYPERLINK("https://www.ncbi.nlm.nih.gov/nuccore/NZ_KB904663.1?report=graph&amp;from=68732&amp;to=68784", "TTA_codon")</f>
        <v>TTA_codon</v>
      </c>
    </row>
    <row r="5150" spans="1:15" x14ac:dyDescent="0.15">
      <c r="A5150" t="s">
        <v>21</v>
      </c>
      <c r="B5150">
        <v>1000816</v>
      </c>
      <c r="C5150">
        <v>356291</v>
      </c>
      <c r="F5150" s="7">
        <v>1</v>
      </c>
      <c r="G5150" s="7">
        <v>181</v>
      </c>
      <c r="H5150" s="8">
        <v>181</v>
      </c>
      <c r="J5150" t="s">
        <v>23</v>
      </c>
      <c r="K5150" s="7">
        <v>1014</v>
      </c>
      <c r="L5150" s="9">
        <v>-1</v>
      </c>
      <c r="M5150" t="s">
        <v>2765</v>
      </c>
      <c r="N5150" t="s">
        <v>77</v>
      </c>
      <c r="O5150" s="27" t="str">
        <f>HYPERLINK("https://www.ncbi.nlm.nih.gov/nuccore/NZ_JNXD01000019.1?report=graph&amp;from=115900&amp;to=115904", "TTA_codon")</f>
        <v>TTA_codon</v>
      </c>
    </row>
    <row r="5151" spans="1:15" x14ac:dyDescent="0.15">
      <c r="A5151" t="s">
        <v>21</v>
      </c>
      <c r="B5151">
        <v>1000816</v>
      </c>
      <c r="C5151">
        <v>359209</v>
      </c>
      <c r="F5151" s="7">
        <v>1</v>
      </c>
      <c r="G5151" s="7">
        <v>181</v>
      </c>
      <c r="H5151" s="8">
        <v>181</v>
      </c>
      <c r="J5151" t="s">
        <v>23</v>
      </c>
      <c r="K5151" s="7">
        <v>1014</v>
      </c>
      <c r="L5151" s="9">
        <v>-1</v>
      </c>
      <c r="M5151" t="s">
        <v>3884</v>
      </c>
      <c r="N5151" t="s">
        <v>451</v>
      </c>
      <c r="O5151" s="27" t="str">
        <f>HYPERLINK("https://www.ncbi.nlm.nih.gov/nuccore/NZ_LIQZ01000418.1?report=graph&amp;from=12114&amp;to=12118", "TTA_codon")</f>
        <v>TTA_codon</v>
      </c>
    </row>
    <row r="5152" spans="1:15" x14ac:dyDescent="0.15">
      <c r="A5152" t="s">
        <v>21</v>
      </c>
      <c r="B5152">
        <v>1000816</v>
      </c>
      <c r="C5152">
        <v>360503</v>
      </c>
      <c r="F5152" s="7">
        <v>1</v>
      </c>
      <c r="G5152" s="7">
        <v>181</v>
      </c>
      <c r="H5152" s="8">
        <v>181</v>
      </c>
      <c r="J5152" t="s">
        <v>23</v>
      </c>
      <c r="K5152" s="7">
        <v>1014</v>
      </c>
      <c r="L5152" s="9">
        <v>-1</v>
      </c>
      <c r="M5152" t="s">
        <v>121</v>
      </c>
      <c r="N5152" t="s">
        <v>122</v>
      </c>
      <c r="O5152" s="27" t="str">
        <f>HYPERLINK("https://www.ncbi.nlm.nih.gov/nuccore/NZ_CP016279.1?report=graph&amp;from=1618879&amp;to=1618883", "TTA_codon")</f>
        <v>TTA_codon</v>
      </c>
    </row>
    <row r="5153" spans="1:15" x14ac:dyDescent="0.15">
      <c r="A5153" t="s">
        <v>21</v>
      </c>
      <c r="B5153">
        <v>1000816</v>
      </c>
      <c r="C5153">
        <v>361206</v>
      </c>
      <c r="F5153" s="7">
        <v>1</v>
      </c>
      <c r="G5153" s="7">
        <v>181</v>
      </c>
      <c r="H5153" s="8">
        <v>181</v>
      </c>
      <c r="J5153" t="s">
        <v>23</v>
      </c>
      <c r="K5153" s="7">
        <v>1014</v>
      </c>
      <c r="L5153" s="9">
        <v>-1</v>
      </c>
      <c r="M5153" t="s">
        <v>98</v>
      </c>
      <c r="N5153" t="s">
        <v>99</v>
      </c>
      <c r="O5153" s="27" t="str">
        <f>HYPERLINK("https://www.ncbi.nlm.nih.gov/nuccore/NZ_CP016438.1?report=graph&amp;from=6861843&amp;to=6861847", "TTA_codon")</f>
        <v>TTA_codon</v>
      </c>
    </row>
    <row r="5154" spans="1:15" x14ac:dyDescent="0.15">
      <c r="A5154" t="s">
        <v>21</v>
      </c>
      <c r="B5154" t="s">
        <v>3885</v>
      </c>
    </row>
    <row r="5155" spans="1:15" x14ac:dyDescent="0.15">
      <c r="A5155" t="s">
        <v>21</v>
      </c>
      <c r="B5155">
        <v>1001397</v>
      </c>
      <c r="C5155">
        <v>361958</v>
      </c>
      <c r="F5155" s="7">
        <v>1</v>
      </c>
      <c r="G5155" s="7">
        <v>826</v>
      </c>
      <c r="H5155" s="8">
        <v>826</v>
      </c>
      <c r="J5155" t="s">
        <v>23</v>
      </c>
      <c r="K5155" s="7">
        <v>1782</v>
      </c>
      <c r="L5155" s="9">
        <v>-1</v>
      </c>
      <c r="M5155" t="s">
        <v>3886</v>
      </c>
      <c r="N5155" t="s">
        <v>187</v>
      </c>
      <c r="O5155" s="27" t="str">
        <f>HYPERLINK("https://www.ncbi.nlm.nih.gov/nuccore/NZ_MAXF01000013.1?report=graph&amp;from=102773&amp;to=102777", "TTA_codon")</f>
        <v>TTA_codon</v>
      </c>
    </row>
    <row r="5156" spans="1:15" x14ac:dyDescent="0.15">
      <c r="A5156" t="s">
        <v>21</v>
      </c>
      <c r="B5156">
        <v>1001397</v>
      </c>
      <c r="C5156">
        <v>363635</v>
      </c>
      <c r="F5156" s="7">
        <v>1</v>
      </c>
      <c r="G5156" s="7">
        <v>790</v>
      </c>
      <c r="H5156" s="8">
        <v>733</v>
      </c>
      <c r="J5156" t="s">
        <v>23</v>
      </c>
      <c r="K5156" s="7">
        <v>1725</v>
      </c>
      <c r="L5156" s="9">
        <v>-1</v>
      </c>
      <c r="M5156" t="s">
        <v>101</v>
      </c>
      <c r="N5156" t="s">
        <v>102</v>
      </c>
      <c r="O5156" s="27" t="str">
        <f>HYPERLINK("https://www.ncbi.nlm.nih.gov/nuccore/NZ_CP019458.1?report=graph&amp;from=3241210&amp;to=3241214", "TTA_codon")</f>
        <v>TTA_codon</v>
      </c>
    </row>
    <row r="5157" spans="1:15" x14ac:dyDescent="0.15">
      <c r="A5157" t="s">
        <v>21</v>
      </c>
      <c r="B5157">
        <v>1001397</v>
      </c>
      <c r="C5157">
        <v>365613</v>
      </c>
      <c r="F5157" s="7">
        <v>1</v>
      </c>
      <c r="G5157" s="7">
        <v>790</v>
      </c>
      <c r="H5157" s="8">
        <v>757</v>
      </c>
      <c r="J5157" t="s">
        <v>23</v>
      </c>
      <c r="K5157" s="7">
        <v>1749</v>
      </c>
      <c r="L5157" s="9">
        <v>-1</v>
      </c>
      <c r="M5157" t="s">
        <v>213</v>
      </c>
      <c r="N5157" t="s">
        <v>214</v>
      </c>
      <c r="O5157" s="27" t="str">
        <f>HYPERLINK("https://www.ncbi.nlm.nih.gov/nuccore/NZ_FNST01000002.1?report=graph&amp;from=864752&amp;to=864756", "TTA_codon")</f>
        <v>TTA_codon</v>
      </c>
    </row>
    <row r="5158" spans="1:15" x14ac:dyDescent="0.15">
      <c r="A5158" t="s">
        <v>21</v>
      </c>
      <c r="B5158" t="s">
        <v>3887</v>
      </c>
    </row>
    <row r="5159" spans="1:15" x14ac:dyDescent="0.15">
      <c r="A5159" t="s">
        <v>21</v>
      </c>
      <c r="B5159">
        <v>1000450</v>
      </c>
      <c r="C5159">
        <v>348785</v>
      </c>
      <c r="F5159" s="7">
        <v>2</v>
      </c>
      <c r="G5159" s="7" t="s">
        <v>3888</v>
      </c>
      <c r="H5159" s="8" t="s">
        <v>3889</v>
      </c>
      <c r="J5159" t="s">
        <v>23</v>
      </c>
      <c r="K5159" s="7">
        <v>1464</v>
      </c>
      <c r="L5159" s="9">
        <v>-1</v>
      </c>
      <c r="M5159" t="s">
        <v>211</v>
      </c>
      <c r="N5159" t="s">
        <v>212</v>
      </c>
      <c r="O5159" s="27" t="str">
        <f>HYPERLINK("https://www.ncbi.nlm.nih.gov/nuccore/NZ_GG657754.1?report=graph&amp;from=8846804&amp;to=8848035", "TTA_codon")</f>
        <v>TTA_codon</v>
      </c>
    </row>
    <row r="5160" spans="1:15" x14ac:dyDescent="0.15">
      <c r="A5160" t="s">
        <v>21</v>
      </c>
      <c r="B5160">
        <v>1000450</v>
      </c>
      <c r="C5160">
        <v>353568</v>
      </c>
      <c r="F5160" s="7">
        <v>1</v>
      </c>
      <c r="G5160" s="7">
        <v>1267</v>
      </c>
      <c r="H5160" s="8">
        <v>1180</v>
      </c>
      <c r="J5160" t="s">
        <v>23</v>
      </c>
      <c r="K5160" s="7">
        <v>1425</v>
      </c>
      <c r="L5160" s="9">
        <v>-1</v>
      </c>
      <c r="M5160" t="s">
        <v>941</v>
      </c>
      <c r="N5160" t="s">
        <v>140</v>
      </c>
      <c r="O5160" s="27" t="str">
        <f>HYPERLINK("https://www.ncbi.nlm.nih.gov/nuccore/NZ_JNXG01000009.1?report=graph&amp;from=214792&amp;to=214796", "TTA_codon")</f>
        <v>TTA_codon</v>
      </c>
    </row>
    <row r="5161" spans="1:15" x14ac:dyDescent="0.15">
      <c r="A5161" t="s">
        <v>21</v>
      </c>
      <c r="B5161">
        <v>1000450</v>
      </c>
      <c r="C5161">
        <v>357138</v>
      </c>
      <c r="F5161" s="7">
        <v>1</v>
      </c>
      <c r="G5161" s="7">
        <v>1306</v>
      </c>
      <c r="H5161" s="8">
        <v>1261</v>
      </c>
      <c r="J5161" t="s">
        <v>23</v>
      </c>
      <c r="K5161" s="7">
        <v>1467</v>
      </c>
      <c r="L5161" s="9">
        <v>-1</v>
      </c>
      <c r="M5161" t="s">
        <v>205</v>
      </c>
      <c r="N5161" t="s">
        <v>206</v>
      </c>
      <c r="O5161" s="27" t="str">
        <f>HYPERLINK("https://www.ncbi.nlm.nih.gov/nuccore/NZ_CP010407.1?report=graph&amp;from=8096018&amp;to=8096022", "TTA_codon")</f>
        <v>TTA_codon</v>
      </c>
    </row>
    <row r="5162" spans="1:15" x14ac:dyDescent="0.15">
      <c r="A5162" t="s">
        <v>21</v>
      </c>
      <c r="B5162" t="s">
        <v>3890</v>
      </c>
    </row>
    <row r="5163" spans="1:15" x14ac:dyDescent="0.15">
      <c r="A5163" t="s">
        <v>21</v>
      </c>
      <c r="B5163">
        <v>1000234</v>
      </c>
      <c r="C5163">
        <v>347603</v>
      </c>
      <c r="F5163" s="7">
        <v>1</v>
      </c>
      <c r="G5163" s="7">
        <v>121</v>
      </c>
      <c r="H5163" s="8">
        <v>112</v>
      </c>
      <c r="J5163" t="s">
        <v>23</v>
      </c>
      <c r="K5163" s="7">
        <v>675</v>
      </c>
      <c r="L5163" s="9">
        <v>1</v>
      </c>
      <c r="M5163" t="s">
        <v>55</v>
      </c>
      <c r="N5163" t="s">
        <v>56</v>
      </c>
      <c r="O5163" s="27" t="str">
        <f>HYPERLINK("https://www.ncbi.nlm.nih.gov/nuccore/NC_010572.1?report=graph&amp;from=4073071&amp;to=4073075", "TTA_codon")</f>
        <v>TTA_codon</v>
      </c>
    </row>
    <row r="5164" spans="1:15" x14ac:dyDescent="0.15">
      <c r="A5164" t="s">
        <v>21</v>
      </c>
      <c r="B5164">
        <v>1000234</v>
      </c>
      <c r="C5164">
        <v>347972</v>
      </c>
      <c r="F5164" s="7">
        <v>1</v>
      </c>
      <c r="G5164" s="7">
        <v>70</v>
      </c>
      <c r="H5164" s="8">
        <v>58</v>
      </c>
      <c r="J5164" t="s">
        <v>23</v>
      </c>
      <c r="K5164" s="7">
        <v>735</v>
      </c>
      <c r="L5164" s="9">
        <v>1</v>
      </c>
      <c r="M5164" t="s">
        <v>59</v>
      </c>
      <c r="N5164" t="s">
        <v>60</v>
      </c>
      <c r="O5164" s="27" t="str">
        <f>HYPERLINK("https://www.ncbi.nlm.nih.gov/nuccore/NC_016582.1?report=graph&amp;from=3051149&amp;to=3051153", "TTA_codon")</f>
        <v>TTA_codon</v>
      </c>
    </row>
    <row r="5165" spans="1:15" x14ac:dyDescent="0.15">
      <c r="A5165" t="s">
        <v>21</v>
      </c>
      <c r="B5165">
        <v>1000234</v>
      </c>
      <c r="C5165">
        <v>348699</v>
      </c>
      <c r="F5165" s="7">
        <v>1</v>
      </c>
      <c r="G5165" s="7">
        <v>70</v>
      </c>
      <c r="H5165" s="8">
        <v>64</v>
      </c>
      <c r="J5165" t="s">
        <v>23</v>
      </c>
      <c r="K5165" s="7">
        <v>774</v>
      </c>
      <c r="L5165" s="9">
        <v>1</v>
      </c>
      <c r="M5165" t="s">
        <v>211</v>
      </c>
      <c r="N5165" t="s">
        <v>212</v>
      </c>
      <c r="O5165" s="27" t="str">
        <f>HYPERLINK("https://www.ncbi.nlm.nih.gov/nuccore/NZ_GG657754.1?report=graph&amp;from=1121118&amp;to=1121122", "TTA_codon")</f>
        <v>TTA_codon</v>
      </c>
    </row>
    <row r="5166" spans="1:15" x14ac:dyDescent="0.15">
      <c r="A5166" t="s">
        <v>21</v>
      </c>
      <c r="B5166">
        <v>1000234</v>
      </c>
      <c r="C5166">
        <v>357126</v>
      </c>
      <c r="F5166" s="7">
        <v>1</v>
      </c>
      <c r="G5166" s="7">
        <v>58</v>
      </c>
      <c r="H5166" s="8">
        <v>58</v>
      </c>
      <c r="J5166" t="s">
        <v>23</v>
      </c>
      <c r="K5166" s="7">
        <v>654</v>
      </c>
      <c r="L5166" s="9">
        <v>1</v>
      </c>
      <c r="M5166" t="s">
        <v>205</v>
      </c>
      <c r="N5166" t="s">
        <v>206</v>
      </c>
      <c r="O5166" s="27" t="str">
        <f>HYPERLINK("https://www.ncbi.nlm.nih.gov/nuccore/NZ_CP010407.1?report=graph&amp;from=6380709&amp;to=6380713", "TTA_codon")</f>
        <v>TTA_codon</v>
      </c>
    </row>
    <row r="5167" spans="1:15" x14ac:dyDescent="0.15">
      <c r="A5167" t="s">
        <v>21</v>
      </c>
      <c r="B5167">
        <v>1000234</v>
      </c>
      <c r="C5167">
        <v>363236</v>
      </c>
      <c r="F5167" s="7">
        <v>1</v>
      </c>
      <c r="G5167" s="7">
        <v>70</v>
      </c>
      <c r="H5167" s="8">
        <v>67</v>
      </c>
      <c r="J5167" t="s">
        <v>23</v>
      </c>
      <c r="K5167" s="7">
        <v>669</v>
      </c>
      <c r="L5167" s="9">
        <v>1</v>
      </c>
      <c r="M5167" t="s">
        <v>3891</v>
      </c>
      <c r="N5167" t="s">
        <v>28</v>
      </c>
      <c r="O5167" s="27" t="str">
        <f>HYPERLINK("https://www.ncbi.nlm.nih.gov/nuccore/NZ_JUJA01000137.1?report=graph&amp;from=59525&amp;to=59529", "TTA_codon")</f>
        <v>TTA_codon</v>
      </c>
    </row>
    <row r="5168" spans="1:15" x14ac:dyDescent="0.15">
      <c r="A5168" t="s">
        <v>21</v>
      </c>
      <c r="B5168" t="s">
        <v>3892</v>
      </c>
    </row>
    <row r="5169" spans="1:15" x14ac:dyDescent="0.15">
      <c r="A5169" t="s">
        <v>21</v>
      </c>
      <c r="B5169">
        <v>1001010</v>
      </c>
      <c r="C5169">
        <v>354307</v>
      </c>
      <c r="F5169" s="7">
        <v>1</v>
      </c>
      <c r="G5169" s="7">
        <v>412</v>
      </c>
      <c r="H5169" s="8">
        <v>334</v>
      </c>
      <c r="J5169" t="s">
        <v>23</v>
      </c>
      <c r="K5169" s="7">
        <v>603</v>
      </c>
      <c r="L5169" s="9">
        <v>1</v>
      </c>
      <c r="M5169" t="s">
        <v>1857</v>
      </c>
      <c r="N5169" t="s">
        <v>142</v>
      </c>
      <c r="O5169" s="27" t="str">
        <f>HYPERLINK("https://www.ncbi.nlm.nih.gov/nuccore/NZ_JOEI01000005.1?report=graph&amp;from=504363&amp;to=504367", "TTA_codon")</f>
        <v>TTA_codon</v>
      </c>
    </row>
    <row r="5170" spans="1:15" x14ac:dyDescent="0.15">
      <c r="A5170" t="s">
        <v>21</v>
      </c>
      <c r="B5170">
        <v>1001010</v>
      </c>
      <c r="C5170">
        <v>356850</v>
      </c>
      <c r="F5170" s="7">
        <v>1</v>
      </c>
      <c r="G5170" s="7">
        <v>529</v>
      </c>
      <c r="H5170" s="8">
        <v>529</v>
      </c>
      <c r="J5170" t="s">
        <v>23</v>
      </c>
      <c r="K5170" s="7">
        <v>642</v>
      </c>
      <c r="L5170" s="9">
        <v>1</v>
      </c>
      <c r="M5170" t="s">
        <v>78</v>
      </c>
      <c r="N5170" t="s">
        <v>79</v>
      </c>
      <c r="O5170" s="27" t="str">
        <f>HYPERLINK("https://www.ncbi.nlm.nih.gov/nuccore/NZ_CP009313.1?report=graph&amp;from=4524755&amp;to=4524759", "TTA_codon")</f>
        <v>TTA_codon</v>
      </c>
    </row>
    <row r="5171" spans="1:15" x14ac:dyDescent="0.15">
      <c r="A5171" t="s">
        <v>21</v>
      </c>
      <c r="B5171" t="s">
        <v>3893</v>
      </c>
    </row>
    <row r="5172" spans="1:15" x14ac:dyDescent="0.15">
      <c r="A5172" t="s">
        <v>21</v>
      </c>
      <c r="B5172">
        <v>1001260</v>
      </c>
      <c r="C5172">
        <v>349398</v>
      </c>
      <c r="F5172" s="7">
        <v>2</v>
      </c>
      <c r="G5172" s="7" t="s">
        <v>3894</v>
      </c>
      <c r="H5172" s="8" t="s">
        <v>3895</v>
      </c>
      <c r="J5172" t="s">
        <v>23</v>
      </c>
      <c r="K5172" s="7">
        <v>1620</v>
      </c>
      <c r="L5172" s="9">
        <v>1</v>
      </c>
      <c r="M5172" t="s">
        <v>458</v>
      </c>
      <c r="N5172" t="s">
        <v>315</v>
      </c>
      <c r="O5172" s="27" t="str">
        <f>HYPERLINK("https://www.ncbi.nlm.nih.gov/nuccore/NC_003888.3?report=graph&amp;from=4621176&amp;to=4621429", "TTA_codon")</f>
        <v>TTA_codon</v>
      </c>
    </row>
    <row r="5173" spans="1:15" x14ac:dyDescent="0.15">
      <c r="A5173" t="s">
        <v>21</v>
      </c>
      <c r="B5173">
        <v>1001260</v>
      </c>
      <c r="C5173">
        <v>358036</v>
      </c>
      <c r="F5173" s="7">
        <v>1</v>
      </c>
      <c r="G5173" s="7">
        <v>364</v>
      </c>
      <c r="H5173" s="8">
        <v>301</v>
      </c>
      <c r="J5173" t="s">
        <v>23</v>
      </c>
      <c r="K5173" s="7">
        <v>1584</v>
      </c>
      <c r="L5173" s="9">
        <v>1</v>
      </c>
      <c r="M5173" t="s">
        <v>261</v>
      </c>
      <c r="N5173" t="s">
        <v>262</v>
      </c>
      <c r="O5173" s="27" t="str">
        <f>HYPERLINK("https://www.ncbi.nlm.nih.gov/nuccore/NZ_CP011340.1?report=graph&amp;from=4724760&amp;to=4724764", "TTA_codon")</f>
        <v>TTA_codon</v>
      </c>
    </row>
    <row r="5174" spans="1:15" x14ac:dyDescent="0.15">
      <c r="A5174" t="s">
        <v>21</v>
      </c>
      <c r="B5174">
        <v>1001260</v>
      </c>
      <c r="C5174">
        <v>361271</v>
      </c>
      <c r="F5174" s="7">
        <v>1</v>
      </c>
      <c r="G5174" s="7">
        <v>364</v>
      </c>
      <c r="H5174" s="8">
        <v>304</v>
      </c>
      <c r="J5174" t="s">
        <v>23</v>
      </c>
      <c r="K5174" s="7">
        <v>1587</v>
      </c>
      <c r="L5174" s="9">
        <v>1</v>
      </c>
      <c r="M5174" t="s">
        <v>98</v>
      </c>
      <c r="N5174" t="s">
        <v>99</v>
      </c>
      <c r="O5174" s="27" t="str">
        <f>HYPERLINK("https://www.ncbi.nlm.nih.gov/nuccore/NZ_CP016438.1?report=graph&amp;from=4894146&amp;to=4894150", "TTA_codon")</f>
        <v>TTA_codon</v>
      </c>
    </row>
    <row r="5175" spans="1:15" x14ac:dyDescent="0.15">
      <c r="A5175" t="s">
        <v>21</v>
      </c>
      <c r="B5175">
        <v>1001260</v>
      </c>
      <c r="C5175">
        <v>364223</v>
      </c>
      <c r="F5175" s="7">
        <v>1</v>
      </c>
      <c r="G5175" s="7">
        <v>397</v>
      </c>
      <c r="H5175" s="8">
        <v>376</v>
      </c>
      <c r="J5175" t="s">
        <v>23</v>
      </c>
      <c r="K5175" s="7">
        <v>1623</v>
      </c>
      <c r="L5175" s="9">
        <v>1</v>
      </c>
      <c r="M5175" t="s">
        <v>254</v>
      </c>
      <c r="N5175" t="s">
        <v>255</v>
      </c>
      <c r="O5175" s="27" t="str">
        <f>HYPERLINK("https://www.ncbi.nlm.nih.gov/nuccore/NZ_CP018047.1?report=graph&amp;from=3438070&amp;to=3438074", "TTA_codon")</f>
        <v>TTA_codon</v>
      </c>
    </row>
    <row r="5176" spans="1:15" x14ac:dyDescent="0.15">
      <c r="A5176" t="s">
        <v>21</v>
      </c>
      <c r="B5176" t="s">
        <v>3896</v>
      </c>
    </row>
    <row r="5177" spans="1:15" x14ac:dyDescent="0.15">
      <c r="A5177" t="s">
        <v>21</v>
      </c>
      <c r="B5177">
        <v>1000815</v>
      </c>
      <c r="C5177">
        <v>352111</v>
      </c>
      <c r="F5177" s="7">
        <v>1</v>
      </c>
      <c r="G5177" s="7">
        <v>523</v>
      </c>
      <c r="H5177" s="8">
        <v>523</v>
      </c>
      <c r="J5177" t="s">
        <v>23</v>
      </c>
      <c r="K5177" s="7">
        <v>825</v>
      </c>
      <c r="L5177" s="9">
        <v>-1</v>
      </c>
      <c r="M5177" t="s">
        <v>1517</v>
      </c>
      <c r="N5177" t="s">
        <v>70</v>
      </c>
      <c r="O5177" s="27" t="str">
        <f>HYPERLINK("https://www.ncbi.nlm.nih.gov/nuccore/NZ_KB904680.1?report=graph&amp;from=137095&amp;to=137099", "TTA_codon")</f>
        <v>TTA_codon</v>
      </c>
    </row>
    <row r="5178" spans="1:15" x14ac:dyDescent="0.15">
      <c r="A5178" t="s">
        <v>21</v>
      </c>
      <c r="B5178">
        <v>1000815</v>
      </c>
      <c r="C5178">
        <v>363647</v>
      </c>
      <c r="F5178" s="7">
        <v>1</v>
      </c>
      <c r="G5178" s="7">
        <v>433</v>
      </c>
      <c r="H5178" s="8">
        <v>349</v>
      </c>
      <c r="J5178" t="s">
        <v>23</v>
      </c>
      <c r="K5178" s="7">
        <v>1149</v>
      </c>
      <c r="L5178" s="9">
        <v>-1</v>
      </c>
      <c r="M5178" t="s">
        <v>101</v>
      </c>
      <c r="N5178" t="s">
        <v>102</v>
      </c>
      <c r="O5178" s="27" t="str">
        <f>HYPERLINK("https://www.ncbi.nlm.nih.gov/nuccore/NZ_CP019458.1?report=graph&amp;from=5920360&amp;to=5920364", "TTA_codon")</f>
        <v>TTA_codon</v>
      </c>
    </row>
    <row r="5179" spans="1:15" x14ac:dyDescent="0.15">
      <c r="A5179" t="s">
        <v>21</v>
      </c>
      <c r="B5179" t="s">
        <v>3897</v>
      </c>
    </row>
    <row r="5180" spans="1:15" x14ac:dyDescent="0.15">
      <c r="A5180" t="s">
        <v>21</v>
      </c>
      <c r="B5180">
        <v>1000528</v>
      </c>
      <c r="C5180">
        <v>349596</v>
      </c>
      <c r="F5180" s="7">
        <v>1</v>
      </c>
      <c r="G5180" s="7">
        <v>235</v>
      </c>
      <c r="H5180" s="8">
        <v>235</v>
      </c>
      <c r="J5180" t="s">
        <v>23</v>
      </c>
      <c r="K5180" s="7">
        <v>1542</v>
      </c>
      <c r="L5180" s="9">
        <v>-1</v>
      </c>
      <c r="M5180" t="s">
        <v>3898</v>
      </c>
      <c r="N5180" t="s">
        <v>335</v>
      </c>
      <c r="O5180" s="27" t="str">
        <f>HYPERLINK("https://www.ncbi.nlm.nih.gov/nuccore/NZ_AGBF01000301.1?report=graph&amp;from=3686&amp;to=3690", "TTA_codon")</f>
        <v>TTA_codon</v>
      </c>
    </row>
    <row r="5181" spans="1:15" x14ac:dyDescent="0.15">
      <c r="A5181" t="s">
        <v>21</v>
      </c>
      <c r="B5181">
        <v>1000528</v>
      </c>
      <c r="C5181">
        <v>363951</v>
      </c>
      <c r="F5181" s="7">
        <v>1</v>
      </c>
      <c r="G5181" s="7">
        <v>235</v>
      </c>
      <c r="H5181" s="8">
        <v>190</v>
      </c>
      <c r="J5181" t="s">
        <v>23</v>
      </c>
      <c r="K5181" s="7">
        <v>2895</v>
      </c>
      <c r="L5181" s="9">
        <v>-1</v>
      </c>
      <c r="M5181" t="s">
        <v>3899</v>
      </c>
      <c r="N5181" t="s">
        <v>104</v>
      </c>
      <c r="O5181" s="27" t="str">
        <f>HYPERLINK("https://www.ncbi.nlm.nih.gov/nuccore/NZ_MVFC01000058.1?report=graph&amp;from=19479&amp;to=19483", "TTA_codon")</f>
        <v>TTA_codon</v>
      </c>
    </row>
    <row r="5182" spans="1:15" x14ac:dyDescent="0.15">
      <c r="A5182" t="s">
        <v>21</v>
      </c>
      <c r="B5182" t="s">
        <v>3900</v>
      </c>
    </row>
    <row r="5183" spans="1:15" x14ac:dyDescent="0.15">
      <c r="A5183" t="s">
        <v>21</v>
      </c>
      <c r="B5183">
        <v>1001258</v>
      </c>
      <c r="C5183">
        <v>357988</v>
      </c>
      <c r="F5183" s="7">
        <v>1</v>
      </c>
      <c r="G5183" s="7">
        <v>418</v>
      </c>
      <c r="H5183" s="8">
        <v>367</v>
      </c>
      <c r="J5183" t="s">
        <v>23</v>
      </c>
      <c r="K5183" s="7">
        <v>528</v>
      </c>
      <c r="L5183" s="9">
        <v>-1</v>
      </c>
      <c r="M5183" t="s">
        <v>261</v>
      </c>
      <c r="N5183" t="s">
        <v>262</v>
      </c>
      <c r="O5183" s="27" t="str">
        <f>HYPERLINK("https://www.ncbi.nlm.nih.gov/nuccore/NZ_CP011340.1?report=graph&amp;from=5265008&amp;to=5265012", "TTA_codon")</f>
        <v>TTA_codon</v>
      </c>
    </row>
    <row r="5184" spans="1:15" x14ac:dyDescent="0.15">
      <c r="A5184" t="s">
        <v>21</v>
      </c>
      <c r="B5184">
        <v>1001258</v>
      </c>
      <c r="C5184">
        <v>359216</v>
      </c>
      <c r="F5184" s="7">
        <v>3</v>
      </c>
      <c r="G5184" s="7" t="s">
        <v>3901</v>
      </c>
      <c r="H5184" s="8" t="s">
        <v>3902</v>
      </c>
      <c r="J5184" t="s">
        <v>23</v>
      </c>
      <c r="K5184" s="7">
        <v>534</v>
      </c>
      <c r="L5184" s="9">
        <v>-1</v>
      </c>
      <c r="M5184" t="s">
        <v>3903</v>
      </c>
      <c r="N5184" t="s">
        <v>451</v>
      </c>
      <c r="O5184" s="27" t="str">
        <f>HYPERLINK("https://www.ncbi.nlm.nih.gov/nuccore/NZ_LIQZ01000495.1?report=graph&amp;from=11206&amp;to=11366", "TTA_codon")</f>
        <v>TTA_codon</v>
      </c>
    </row>
    <row r="5185" spans="1:15" x14ac:dyDescent="0.15">
      <c r="A5185" t="s">
        <v>21</v>
      </c>
      <c r="B5185" t="s">
        <v>3904</v>
      </c>
    </row>
    <row r="5186" spans="1:15" x14ac:dyDescent="0.15">
      <c r="A5186" t="s">
        <v>21</v>
      </c>
      <c r="B5186">
        <v>1001090</v>
      </c>
      <c r="C5186">
        <v>355420</v>
      </c>
      <c r="F5186" s="7">
        <v>1</v>
      </c>
      <c r="G5186" s="7">
        <v>79</v>
      </c>
      <c r="H5186" s="8">
        <v>79</v>
      </c>
      <c r="J5186" t="s">
        <v>23</v>
      </c>
      <c r="K5186" s="7">
        <v>1455</v>
      </c>
      <c r="L5186" s="9">
        <v>-1</v>
      </c>
      <c r="M5186" t="s">
        <v>3905</v>
      </c>
      <c r="N5186" t="s">
        <v>198</v>
      </c>
      <c r="O5186" s="27" t="str">
        <f>HYPERLINK("https://www.ncbi.nlm.nih.gov/nuccore/NZ_JOFL01000006.1?report=graph&amp;from=90053&amp;to=90057", "TTA_codon")</f>
        <v>TTA_codon</v>
      </c>
    </row>
    <row r="5187" spans="1:15" x14ac:dyDescent="0.15">
      <c r="A5187" t="s">
        <v>21</v>
      </c>
      <c r="B5187">
        <v>1001090</v>
      </c>
      <c r="C5187">
        <v>363945</v>
      </c>
      <c r="F5187" s="7">
        <v>1</v>
      </c>
      <c r="G5187" s="7">
        <v>115</v>
      </c>
      <c r="H5187" s="8">
        <v>106</v>
      </c>
      <c r="J5187" t="s">
        <v>23</v>
      </c>
      <c r="K5187" s="7">
        <v>1440</v>
      </c>
      <c r="L5187" s="9">
        <v>-1</v>
      </c>
      <c r="M5187" t="s">
        <v>3906</v>
      </c>
      <c r="N5187" t="s">
        <v>104</v>
      </c>
      <c r="O5187" s="27" t="str">
        <f>HYPERLINK("https://www.ncbi.nlm.nih.gov/nuccore/NZ_MVFC01000001.1?report=graph&amp;from=318249&amp;to=318253", "TTA_codon")</f>
        <v>TTA_codon</v>
      </c>
    </row>
    <row r="5188" spans="1:15" x14ac:dyDescent="0.15">
      <c r="A5188" t="s">
        <v>21</v>
      </c>
      <c r="B5188" t="s">
        <v>3907</v>
      </c>
    </row>
    <row r="5189" spans="1:15" x14ac:dyDescent="0.15">
      <c r="A5189" t="s">
        <v>21</v>
      </c>
      <c r="B5189">
        <v>1001355</v>
      </c>
      <c r="C5189">
        <v>360956</v>
      </c>
      <c r="F5189" s="7">
        <v>1</v>
      </c>
      <c r="G5189" s="7">
        <v>142</v>
      </c>
      <c r="H5189" s="8">
        <v>79</v>
      </c>
      <c r="J5189" t="s">
        <v>23</v>
      </c>
      <c r="K5189" s="7">
        <v>1818</v>
      </c>
      <c r="L5189" s="9">
        <v>-1</v>
      </c>
      <c r="M5189" t="s">
        <v>3908</v>
      </c>
      <c r="N5189" t="s">
        <v>97</v>
      </c>
      <c r="O5189" s="27" t="str">
        <f>HYPERLINK("https://www.ncbi.nlm.nih.gov/nuccore/NZ_LOHS01000089.1?report=graph&amp;from=8217&amp;to=8221", "TTA_codon")</f>
        <v>TTA_codon</v>
      </c>
    </row>
    <row r="5190" spans="1:15" x14ac:dyDescent="0.15">
      <c r="A5190" t="s">
        <v>21</v>
      </c>
      <c r="B5190">
        <v>1001355</v>
      </c>
      <c r="C5190">
        <v>366425</v>
      </c>
      <c r="F5190" s="7">
        <v>1</v>
      </c>
      <c r="G5190" s="7">
        <v>151</v>
      </c>
      <c r="H5190" s="8">
        <v>151</v>
      </c>
      <c r="J5190" t="s">
        <v>23</v>
      </c>
      <c r="K5190" s="7">
        <v>1881</v>
      </c>
      <c r="L5190" s="9">
        <v>-1</v>
      </c>
      <c r="M5190" t="s">
        <v>999</v>
      </c>
      <c r="N5190" t="s">
        <v>375</v>
      </c>
      <c r="O5190" s="27" t="str">
        <f>HYPERLINK("https://www.ncbi.nlm.nih.gov/nuccore/NZ_FONG01000002.1?report=graph&amp;from=33936&amp;to=33940", "TTA_codon")</f>
        <v>TTA_codon</v>
      </c>
    </row>
    <row r="5191" spans="1:15" x14ac:dyDescent="0.15">
      <c r="A5191" t="s">
        <v>21</v>
      </c>
      <c r="B5191" t="s">
        <v>3909</v>
      </c>
    </row>
    <row r="5192" spans="1:15" x14ac:dyDescent="0.15">
      <c r="A5192" t="s">
        <v>21</v>
      </c>
      <c r="B5192">
        <v>1000874</v>
      </c>
      <c r="C5192">
        <v>352669</v>
      </c>
      <c r="F5192" s="7">
        <v>1</v>
      </c>
      <c r="G5192" s="7">
        <v>88</v>
      </c>
      <c r="H5192" s="8">
        <v>67</v>
      </c>
      <c r="J5192" t="s">
        <v>23</v>
      </c>
      <c r="K5192" s="7">
        <v>1611</v>
      </c>
      <c r="L5192" s="9">
        <v>-1</v>
      </c>
      <c r="M5192" t="s">
        <v>1092</v>
      </c>
      <c r="N5192" t="s">
        <v>436</v>
      </c>
      <c r="O5192" s="27" t="str">
        <f>HYPERLINK("https://www.ncbi.nlm.nih.gov/nuccore/NZ_AUBE01000007.1?report=graph&amp;from=334968&amp;to=334972", "TTA_codon")</f>
        <v>TTA_codon</v>
      </c>
    </row>
    <row r="5193" spans="1:15" x14ac:dyDescent="0.15">
      <c r="A5193" t="s">
        <v>21</v>
      </c>
      <c r="B5193">
        <v>1000874</v>
      </c>
      <c r="C5193">
        <v>366160</v>
      </c>
      <c r="F5193" s="7">
        <v>1</v>
      </c>
      <c r="G5193" s="7">
        <v>88</v>
      </c>
      <c r="H5193" s="8">
        <v>88</v>
      </c>
      <c r="J5193" t="s">
        <v>23</v>
      </c>
      <c r="K5193" s="7">
        <v>1638</v>
      </c>
      <c r="L5193" s="9">
        <v>-1</v>
      </c>
      <c r="M5193" t="s">
        <v>256</v>
      </c>
      <c r="N5193" t="s">
        <v>257</v>
      </c>
      <c r="O5193" s="27" t="str">
        <f>HYPERLINK("https://www.ncbi.nlm.nih.gov/nuccore/NZ_FOET01000004.1?report=graph&amp;from=121904&amp;to=121908", "TTA_codon")</f>
        <v>TTA_codon</v>
      </c>
    </row>
    <row r="5194" spans="1:15" x14ac:dyDescent="0.15">
      <c r="A5194" t="s">
        <v>21</v>
      </c>
      <c r="B5194" t="s">
        <v>3910</v>
      </c>
    </row>
    <row r="5195" spans="1:15" x14ac:dyDescent="0.15">
      <c r="A5195" t="s">
        <v>21</v>
      </c>
      <c r="B5195">
        <v>1000345</v>
      </c>
      <c r="C5195">
        <v>348127</v>
      </c>
      <c r="F5195" s="7">
        <v>1</v>
      </c>
      <c r="G5195" s="7">
        <v>55</v>
      </c>
      <c r="H5195" s="8">
        <v>46</v>
      </c>
      <c r="J5195" t="s">
        <v>23</v>
      </c>
      <c r="K5195" s="7">
        <v>633</v>
      </c>
      <c r="L5195" s="9">
        <v>-1</v>
      </c>
      <c r="M5195" t="s">
        <v>59</v>
      </c>
      <c r="N5195" t="s">
        <v>60</v>
      </c>
      <c r="O5195" s="27" t="str">
        <f>HYPERLINK("https://www.ncbi.nlm.nih.gov/nuccore/NC_016582.1?report=graph&amp;from=8107012&amp;to=8107016", "TTA_codon")</f>
        <v>TTA_codon</v>
      </c>
    </row>
    <row r="5196" spans="1:15" x14ac:dyDescent="0.15">
      <c r="A5196" t="s">
        <v>21</v>
      </c>
      <c r="B5196">
        <v>1000345</v>
      </c>
      <c r="C5196">
        <v>350474</v>
      </c>
      <c r="F5196" s="7">
        <v>1</v>
      </c>
      <c r="G5196" s="7">
        <v>136</v>
      </c>
      <c r="H5196" s="8">
        <v>136</v>
      </c>
      <c r="J5196" t="s">
        <v>23</v>
      </c>
      <c r="K5196" s="7">
        <v>639</v>
      </c>
      <c r="L5196" s="9">
        <v>-1</v>
      </c>
      <c r="M5196" t="s">
        <v>3911</v>
      </c>
      <c r="N5196" t="s">
        <v>134</v>
      </c>
      <c r="O5196" s="27" t="str">
        <f>HYPERLINK("https://www.ncbi.nlm.nih.gov/nuccore/NZ_AJSZ01000078.1?report=graph&amp;from=5584&amp;to=5588", "TTA_codon")</f>
        <v>TTA_codon</v>
      </c>
    </row>
    <row r="5197" spans="1:15" x14ac:dyDescent="0.15">
      <c r="A5197" t="s">
        <v>21</v>
      </c>
      <c r="B5197" t="s">
        <v>3912</v>
      </c>
    </row>
    <row r="5198" spans="1:15" x14ac:dyDescent="0.15">
      <c r="A5198" t="s">
        <v>21</v>
      </c>
      <c r="B5198">
        <v>1001149</v>
      </c>
      <c r="C5198">
        <v>352455</v>
      </c>
      <c r="F5198" s="7">
        <v>1</v>
      </c>
      <c r="G5198" s="7">
        <v>226</v>
      </c>
      <c r="H5198" s="8">
        <v>211</v>
      </c>
      <c r="J5198" t="s">
        <v>23</v>
      </c>
      <c r="K5198" s="7">
        <v>384</v>
      </c>
      <c r="L5198" s="9">
        <v>1</v>
      </c>
      <c r="M5198" t="s">
        <v>30</v>
      </c>
      <c r="N5198" t="s">
        <v>31</v>
      </c>
      <c r="O5198" s="27" t="str">
        <f>HYPERLINK("https://www.ncbi.nlm.nih.gov/nuccore/NZ_KB913030.1?report=graph&amp;from=2875635&amp;to=2875639", "TTA_codon")</f>
        <v>TTA_codon</v>
      </c>
    </row>
    <row r="5199" spans="1:15" x14ac:dyDescent="0.15">
      <c r="A5199" t="s">
        <v>21</v>
      </c>
      <c r="B5199">
        <v>1001149</v>
      </c>
      <c r="C5199">
        <v>352614</v>
      </c>
      <c r="F5199" s="7">
        <v>1</v>
      </c>
      <c r="G5199" s="7">
        <v>373</v>
      </c>
      <c r="H5199" s="8">
        <v>334</v>
      </c>
      <c r="J5199" t="s">
        <v>23</v>
      </c>
      <c r="K5199" s="7">
        <v>360</v>
      </c>
      <c r="L5199" s="9">
        <v>1</v>
      </c>
      <c r="M5199" t="s">
        <v>1643</v>
      </c>
      <c r="N5199" t="s">
        <v>436</v>
      </c>
      <c r="O5199" s="27" t="str">
        <f>HYPERLINK("https://www.ncbi.nlm.nih.gov/nuccore/NZ_AUBE01000002.1?report=graph&amp;from=74456&amp;to=74460", "TTA_codon")</f>
        <v>TTA_codon</v>
      </c>
    </row>
    <row r="5200" spans="1:15" x14ac:dyDescent="0.15">
      <c r="A5200" t="s">
        <v>21</v>
      </c>
      <c r="B5200">
        <v>1001149</v>
      </c>
      <c r="C5200">
        <v>354363</v>
      </c>
      <c r="F5200" s="7">
        <v>1</v>
      </c>
      <c r="G5200" s="7">
        <v>373</v>
      </c>
      <c r="H5200" s="8">
        <v>352</v>
      </c>
      <c r="J5200" t="s">
        <v>23</v>
      </c>
      <c r="K5200" s="7">
        <v>378</v>
      </c>
      <c r="L5200" s="9">
        <v>1</v>
      </c>
      <c r="M5200" t="s">
        <v>1089</v>
      </c>
      <c r="N5200" t="s">
        <v>142</v>
      </c>
      <c r="O5200" s="27" t="str">
        <f>HYPERLINK("https://www.ncbi.nlm.nih.gov/nuccore/NZ_JOEI01000007.1?report=graph&amp;from=68355&amp;to=68359", "TTA_codon")</f>
        <v>TTA_codon</v>
      </c>
    </row>
    <row r="5201" spans="1:15" x14ac:dyDescent="0.15">
      <c r="A5201" t="s">
        <v>21</v>
      </c>
      <c r="B5201">
        <v>1001149</v>
      </c>
      <c r="C5201">
        <v>356226</v>
      </c>
      <c r="F5201" s="7">
        <v>1</v>
      </c>
      <c r="G5201" s="7">
        <v>331</v>
      </c>
      <c r="H5201" s="8">
        <v>331</v>
      </c>
      <c r="J5201" t="s">
        <v>23</v>
      </c>
      <c r="K5201" s="7">
        <v>399</v>
      </c>
      <c r="L5201" s="9">
        <v>1</v>
      </c>
      <c r="M5201" t="s">
        <v>3913</v>
      </c>
      <c r="N5201" t="s">
        <v>77</v>
      </c>
      <c r="O5201" s="27" t="str">
        <f>HYPERLINK("https://www.ncbi.nlm.nih.gov/nuccore/NZ_JNXD01000009.1?report=graph&amp;from=27756&amp;to=27760", "TTA_codon")</f>
        <v>TTA_codon</v>
      </c>
    </row>
    <row r="5202" spans="1:15" x14ac:dyDescent="0.15">
      <c r="A5202" t="s">
        <v>21</v>
      </c>
      <c r="B5202">
        <v>1001149</v>
      </c>
      <c r="C5202">
        <v>357756</v>
      </c>
      <c r="F5202" s="7">
        <v>1</v>
      </c>
      <c r="G5202" s="7">
        <v>331</v>
      </c>
      <c r="H5202" s="8">
        <v>322</v>
      </c>
      <c r="J5202" t="s">
        <v>23</v>
      </c>
      <c r="K5202" s="7">
        <v>390</v>
      </c>
      <c r="L5202" s="9">
        <v>1</v>
      </c>
      <c r="M5202" t="s">
        <v>3914</v>
      </c>
      <c r="N5202" t="s">
        <v>83</v>
      </c>
      <c r="O5202" s="27" t="str">
        <f>HYPERLINK("https://www.ncbi.nlm.nih.gov/nuccore/NZ_DF968368.1?report=graph&amp;from=163773&amp;to=163777", "TTA_codon")</f>
        <v>TTA_codon</v>
      </c>
    </row>
    <row r="5203" spans="1:15" x14ac:dyDescent="0.15">
      <c r="A5203" t="s">
        <v>21</v>
      </c>
      <c r="B5203" t="s">
        <v>3915</v>
      </c>
    </row>
    <row r="5204" spans="1:15" x14ac:dyDescent="0.15">
      <c r="A5204" t="s">
        <v>21</v>
      </c>
      <c r="B5204">
        <v>1000226</v>
      </c>
      <c r="C5204">
        <v>347534</v>
      </c>
      <c r="F5204" s="7">
        <v>1</v>
      </c>
      <c r="G5204" s="7">
        <v>145</v>
      </c>
      <c r="H5204" s="8">
        <v>67</v>
      </c>
      <c r="J5204" t="s">
        <v>23</v>
      </c>
      <c r="K5204" s="7">
        <v>879</v>
      </c>
      <c r="L5204" s="9">
        <v>1</v>
      </c>
      <c r="M5204" t="s">
        <v>53</v>
      </c>
      <c r="N5204" t="s">
        <v>54</v>
      </c>
      <c r="O5204" s="27" t="str">
        <f>HYPERLINK("https://www.ncbi.nlm.nih.gov/nuccore/NC_003155.5?report=graph&amp;from=1823833&amp;to=1823837", "TTA_codon")</f>
        <v>TTA_codon</v>
      </c>
    </row>
    <row r="5205" spans="1:15" x14ac:dyDescent="0.15">
      <c r="A5205" t="s">
        <v>21</v>
      </c>
      <c r="B5205">
        <v>1000226</v>
      </c>
      <c r="C5205">
        <v>350421</v>
      </c>
      <c r="F5205" s="7">
        <v>1</v>
      </c>
      <c r="G5205" s="7">
        <v>349</v>
      </c>
      <c r="H5205" s="8">
        <v>349</v>
      </c>
      <c r="J5205" t="s">
        <v>23</v>
      </c>
      <c r="K5205" s="7">
        <v>963</v>
      </c>
      <c r="L5205" s="9">
        <v>1</v>
      </c>
      <c r="M5205" t="s">
        <v>1457</v>
      </c>
      <c r="N5205" t="s">
        <v>36</v>
      </c>
      <c r="O5205" s="27" t="str">
        <f>HYPERLINK("https://www.ncbi.nlm.nih.gov/nuccore/NZ_JH725388.1?report=graph&amp;from=629150&amp;to=629154", "TTA_codon")</f>
        <v>TTA_codon</v>
      </c>
    </row>
    <row r="5206" spans="1:15" x14ac:dyDescent="0.15">
      <c r="A5206" t="s">
        <v>21</v>
      </c>
      <c r="B5206">
        <v>1000226</v>
      </c>
      <c r="C5206">
        <v>354695</v>
      </c>
      <c r="F5206" s="7">
        <v>2</v>
      </c>
      <c r="G5206" s="7" t="s">
        <v>3916</v>
      </c>
      <c r="H5206" s="8" t="s">
        <v>3917</v>
      </c>
      <c r="J5206" t="s">
        <v>23</v>
      </c>
      <c r="K5206" s="7">
        <v>879</v>
      </c>
      <c r="L5206" s="9">
        <v>1</v>
      </c>
      <c r="M5206" t="s">
        <v>3918</v>
      </c>
      <c r="N5206" t="s">
        <v>272</v>
      </c>
      <c r="O5206" s="27" t="str">
        <f>HYPERLINK("https://www.ncbi.nlm.nih.gov/nuccore/NZ_JOEY01000060.1?report=graph&amp;from=89848&amp;to=89987", "TTA_codon")</f>
        <v>TTA_codon</v>
      </c>
    </row>
    <row r="5207" spans="1:15" x14ac:dyDescent="0.15">
      <c r="A5207" t="s">
        <v>21</v>
      </c>
      <c r="B5207">
        <v>1000226</v>
      </c>
      <c r="C5207">
        <v>359892</v>
      </c>
      <c r="F5207" s="7">
        <v>1</v>
      </c>
      <c r="G5207" s="7">
        <v>295</v>
      </c>
      <c r="H5207" s="8">
        <v>208</v>
      </c>
      <c r="J5207" t="s">
        <v>23</v>
      </c>
      <c r="K5207" s="7">
        <v>879</v>
      </c>
      <c r="L5207" s="9">
        <v>1</v>
      </c>
      <c r="M5207" t="s">
        <v>3919</v>
      </c>
      <c r="N5207" t="s">
        <v>91</v>
      </c>
      <c r="O5207" s="27" t="str">
        <f>HYPERLINK("https://www.ncbi.nlm.nih.gov/nuccore/NZ_KQ948335.1?report=graph&amp;from=33769&amp;to=33773", "TTA_codon")</f>
        <v>TTA_codon</v>
      </c>
    </row>
    <row r="5208" spans="1:15" x14ac:dyDescent="0.15">
      <c r="A5208" t="s">
        <v>21</v>
      </c>
      <c r="B5208" t="s">
        <v>3920</v>
      </c>
    </row>
    <row r="5209" spans="1:15" x14ac:dyDescent="0.15">
      <c r="A5209" t="s">
        <v>21</v>
      </c>
      <c r="B5209">
        <v>1000219</v>
      </c>
      <c r="C5209">
        <v>347433</v>
      </c>
      <c r="F5209" s="7">
        <v>1</v>
      </c>
      <c r="G5209" s="7">
        <v>511</v>
      </c>
      <c r="H5209" s="8">
        <v>442</v>
      </c>
      <c r="J5209" t="s">
        <v>23</v>
      </c>
      <c r="K5209" s="7">
        <v>1098</v>
      </c>
      <c r="L5209" s="9">
        <v>-1</v>
      </c>
      <c r="M5209" t="s">
        <v>217</v>
      </c>
      <c r="N5209" t="s">
        <v>218</v>
      </c>
      <c r="O5209" s="27" t="str">
        <f>HYPERLINK("https://www.ncbi.nlm.nih.gov/nuccore/NC_021985.1?report=graph&amp;from=3563006&amp;to=3563010", "TTA_codon")</f>
        <v>TTA_codon</v>
      </c>
    </row>
    <row r="5210" spans="1:15" x14ac:dyDescent="0.15">
      <c r="A5210" t="s">
        <v>21</v>
      </c>
      <c r="B5210">
        <v>1000219</v>
      </c>
      <c r="C5210">
        <v>349690</v>
      </c>
      <c r="F5210" s="7">
        <v>1</v>
      </c>
      <c r="G5210" s="7">
        <v>511</v>
      </c>
      <c r="H5210" s="8">
        <v>493</v>
      </c>
      <c r="J5210" t="s">
        <v>23</v>
      </c>
      <c r="K5210" s="7">
        <v>1152</v>
      </c>
      <c r="L5210" s="9">
        <v>-1</v>
      </c>
      <c r="M5210" t="s">
        <v>3921</v>
      </c>
      <c r="N5210" t="s">
        <v>335</v>
      </c>
      <c r="O5210" s="27" t="str">
        <f>HYPERLINK("https://www.ncbi.nlm.nih.gov/nuccore/NZ_AGBF01000188.1?report=graph&amp;from=8355&amp;to=8359", "TTA_codon")</f>
        <v>TTA_codon</v>
      </c>
    </row>
    <row r="5211" spans="1:15" x14ac:dyDescent="0.15">
      <c r="A5211" t="s">
        <v>21</v>
      </c>
      <c r="B5211">
        <v>1000219</v>
      </c>
      <c r="C5211">
        <v>350949</v>
      </c>
      <c r="F5211" s="7">
        <v>1</v>
      </c>
      <c r="G5211" s="7">
        <v>511</v>
      </c>
      <c r="H5211" s="8">
        <v>499</v>
      </c>
      <c r="J5211" t="s">
        <v>23</v>
      </c>
      <c r="K5211" s="7">
        <v>1164</v>
      </c>
      <c r="L5211" s="9">
        <v>-1</v>
      </c>
      <c r="M5211" t="s">
        <v>3922</v>
      </c>
      <c r="N5211" t="s">
        <v>51</v>
      </c>
      <c r="O5211" s="27" t="str">
        <f>HYPERLINK("https://www.ncbi.nlm.nih.gov/nuccore/NZ_AEJB01000200.1?report=graph&amp;from=1800&amp;to=1804", "TTA_codon")</f>
        <v>TTA_codon</v>
      </c>
    </row>
    <row r="5212" spans="1:15" x14ac:dyDescent="0.15">
      <c r="A5212" t="s">
        <v>21</v>
      </c>
      <c r="B5212">
        <v>1000219</v>
      </c>
      <c r="C5212">
        <v>351895</v>
      </c>
      <c r="F5212" s="7">
        <v>1</v>
      </c>
      <c r="G5212" s="7">
        <v>511</v>
      </c>
      <c r="H5212" s="8">
        <v>436</v>
      </c>
      <c r="J5212" t="s">
        <v>23</v>
      </c>
      <c r="K5212" s="7">
        <v>1107</v>
      </c>
      <c r="L5212" s="9">
        <v>-1</v>
      </c>
      <c r="M5212" t="s">
        <v>1956</v>
      </c>
      <c r="N5212" t="s">
        <v>68</v>
      </c>
      <c r="O5212" s="27" t="str">
        <f>HYPERLINK("https://www.ncbi.nlm.nih.gov/nuccore/NZ_BARG01000006.1?report=graph&amp;from=195544&amp;to=195548", "TTA_codon")</f>
        <v>TTA_codon</v>
      </c>
    </row>
    <row r="5213" spans="1:15" x14ac:dyDescent="0.15">
      <c r="A5213" t="s">
        <v>21</v>
      </c>
      <c r="B5213">
        <v>1000219</v>
      </c>
      <c r="C5213">
        <v>354594</v>
      </c>
      <c r="F5213" s="7">
        <v>1</v>
      </c>
      <c r="G5213" s="7">
        <v>511</v>
      </c>
      <c r="H5213" s="8">
        <v>439</v>
      </c>
      <c r="J5213" t="s">
        <v>23</v>
      </c>
      <c r="K5213" s="7">
        <v>1095</v>
      </c>
      <c r="L5213" s="9">
        <v>-1</v>
      </c>
      <c r="M5213" t="s">
        <v>1957</v>
      </c>
      <c r="N5213" t="s">
        <v>272</v>
      </c>
      <c r="O5213" s="27" t="str">
        <f>HYPERLINK("https://www.ncbi.nlm.nih.gov/nuccore/NZ_JOEY01000017.1?report=graph&amp;from=121727&amp;to=121731", "TTA_codon")</f>
        <v>TTA_codon</v>
      </c>
    </row>
    <row r="5214" spans="1:15" x14ac:dyDescent="0.15">
      <c r="A5214" t="s">
        <v>21</v>
      </c>
      <c r="B5214">
        <v>1000219</v>
      </c>
      <c r="C5214">
        <v>356727</v>
      </c>
      <c r="F5214" s="7">
        <v>1</v>
      </c>
      <c r="G5214" s="7">
        <v>511</v>
      </c>
      <c r="H5214" s="8">
        <v>442</v>
      </c>
      <c r="J5214" t="s">
        <v>23</v>
      </c>
      <c r="K5214" s="7">
        <v>1104</v>
      </c>
      <c r="L5214" s="9">
        <v>-1</v>
      </c>
      <c r="M5214" t="s">
        <v>147</v>
      </c>
      <c r="N5214" t="s">
        <v>148</v>
      </c>
      <c r="O5214" s="27" t="str">
        <f>HYPERLINK("https://www.ncbi.nlm.nih.gov/nuccore/NZ_CP021080.1?report=graph&amp;from=2603889&amp;to=2603893", "TTA_codon")</f>
        <v>TTA_codon</v>
      </c>
    </row>
    <row r="5215" spans="1:15" x14ac:dyDescent="0.15">
      <c r="A5215" t="s">
        <v>21</v>
      </c>
      <c r="B5215">
        <v>1000219</v>
      </c>
      <c r="C5215">
        <v>357874</v>
      </c>
      <c r="F5215" s="7">
        <v>1</v>
      </c>
      <c r="G5215" s="7">
        <v>511</v>
      </c>
      <c r="H5215" s="8">
        <v>430</v>
      </c>
      <c r="J5215" t="s">
        <v>23</v>
      </c>
      <c r="K5215" s="7">
        <v>1092</v>
      </c>
      <c r="L5215" s="9">
        <v>-1</v>
      </c>
      <c r="M5215" t="s">
        <v>3923</v>
      </c>
      <c r="N5215" t="s">
        <v>83</v>
      </c>
      <c r="O5215" s="27" t="str">
        <f>HYPERLINK("https://www.ncbi.nlm.nih.gov/nuccore/NZ_DF968357.1?report=graph&amp;from=90394&amp;to=90398", "TTA_codon")</f>
        <v>TTA_codon</v>
      </c>
    </row>
    <row r="5216" spans="1:15" x14ac:dyDescent="0.15">
      <c r="A5216" t="s">
        <v>21</v>
      </c>
      <c r="B5216">
        <v>1000219</v>
      </c>
      <c r="C5216">
        <v>360200</v>
      </c>
      <c r="F5216" s="7">
        <v>1</v>
      </c>
      <c r="G5216" s="7">
        <v>511</v>
      </c>
      <c r="H5216" s="8">
        <v>490</v>
      </c>
      <c r="J5216" t="s">
        <v>23</v>
      </c>
      <c r="K5216" s="7">
        <v>1152</v>
      </c>
      <c r="L5216" s="9">
        <v>-1</v>
      </c>
      <c r="M5216" t="s">
        <v>3924</v>
      </c>
      <c r="N5216" t="s">
        <v>125</v>
      </c>
      <c r="O5216" s="27" t="str">
        <f>HYPERLINK("https://www.ncbi.nlm.nih.gov/nuccore/NZ_KQ948470.1?report=graph&amp;from=123998&amp;to=124002", "TTA_codon")</f>
        <v>TTA_codon</v>
      </c>
    </row>
    <row r="5217" spans="1:15" x14ac:dyDescent="0.15">
      <c r="A5217" t="s">
        <v>21</v>
      </c>
      <c r="B5217">
        <v>1000219</v>
      </c>
      <c r="C5217">
        <v>360516</v>
      </c>
      <c r="F5217" s="7">
        <v>1</v>
      </c>
      <c r="G5217" s="7">
        <v>511</v>
      </c>
      <c r="H5217" s="8">
        <v>502</v>
      </c>
      <c r="J5217" t="s">
        <v>23</v>
      </c>
      <c r="K5217" s="7">
        <v>1173</v>
      </c>
      <c r="L5217" s="9">
        <v>-1</v>
      </c>
      <c r="M5217" t="s">
        <v>121</v>
      </c>
      <c r="N5217" t="s">
        <v>122</v>
      </c>
      <c r="O5217" s="27" t="str">
        <f>HYPERLINK("https://www.ncbi.nlm.nih.gov/nuccore/NZ_CP016279.1?report=graph&amp;from=9769125&amp;to=9769129", "TTA_codon")</f>
        <v>TTA_codon</v>
      </c>
    </row>
    <row r="5218" spans="1:15" x14ac:dyDescent="0.15">
      <c r="A5218" t="s">
        <v>21</v>
      </c>
      <c r="B5218">
        <v>1000219</v>
      </c>
      <c r="C5218">
        <v>361165</v>
      </c>
      <c r="F5218" s="7">
        <v>1</v>
      </c>
      <c r="G5218" s="7">
        <v>511</v>
      </c>
      <c r="H5218" s="8">
        <v>502</v>
      </c>
      <c r="J5218" t="s">
        <v>23</v>
      </c>
      <c r="K5218" s="7">
        <v>1158</v>
      </c>
      <c r="L5218" s="9">
        <v>-1</v>
      </c>
      <c r="M5218" t="s">
        <v>98</v>
      </c>
      <c r="N5218" t="s">
        <v>99</v>
      </c>
      <c r="O5218" s="27" t="str">
        <f>HYPERLINK("https://www.ncbi.nlm.nih.gov/nuccore/NZ_CP016438.1?report=graph&amp;from=4011503&amp;to=4011507", "TTA_codon")</f>
        <v>TTA_codon</v>
      </c>
    </row>
    <row r="5219" spans="1:15" x14ac:dyDescent="0.15">
      <c r="A5219" t="s">
        <v>195</v>
      </c>
      <c r="B5219" t="s">
        <v>3925</v>
      </c>
    </row>
    <row r="5220" spans="1:15" x14ac:dyDescent="0.15">
      <c r="A5220" t="s">
        <v>195</v>
      </c>
      <c r="B5220">
        <v>1000145</v>
      </c>
      <c r="C5220">
        <v>347039</v>
      </c>
      <c r="F5220" s="7">
        <v>1</v>
      </c>
      <c r="G5220" s="7">
        <v>3226</v>
      </c>
      <c r="H5220" s="8">
        <v>3166</v>
      </c>
      <c r="J5220" t="s">
        <v>23</v>
      </c>
      <c r="K5220" s="7">
        <v>12447</v>
      </c>
      <c r="L5220" s="9">
        <v>-1</v>
      </c>
      <c r="M5220" t="s">
        <v>126</v>
      </c>
      <c r="N5220" t="s">
        <v>127</v>
      </c>
      <c r="O5220" s="27" t="str">
        <f>HYPERLINK("https://www.ncbi.nlm.nih.gov/nuccore/NZ_CP021748.1?report=graph&amp;from=527020&amp;to=527024", "TTA_codon")</f>
        <v>TTA_codon</v>
      </c>
    </row>
    <row r="5221" spans="1:15" x14ac:dyDescent="0.15">
      <c r="A5221" t="s">
        <v>21</v>
      </c>
      <c r="B5221">
        <v>1000145</v>
      </c>
      <c r="C5221">
        <v>362421</v>
      </c>
      <c r="F5221" s="7">
        <v>1</v>
      </c>
      <c r="G5221" s="7">
        <v>3367</v>
      </c>
      <c r="H5221" s="8">
        <v>3280</v>
      </c>
      <c r="J5221" t="s">
        <v>23</v>
      </c>
      <c r="K5221" s="7">
        <v>10077</v>
      </c>
      <c r="L5221" s="9">
        <v>-1</v>
      </c>
      <c r="M5221" t="s">
        <v>32</v>
      </c>
      <c r="N5221" t="s">
        <v>33</v>
      </c>
      <c r="O5221" s="27" t="str">
        <f>HYPERLINK("https://www.ncbi.nlm.nih.gov/nuccore/NZ_CP017248.1?report=graph&amp;from=1031556&amp;to=1031560", "TTA_codon")</f>
        <v>TTA_codon</v>
      </c>
    </row>
    <row r="5222" spans="1:15" x14ac:dyDescent="0.15">
      <c r="A5222" t="s">
        <v>21</v>
      </c>
      <c r="B5222">
        <v>1000145</v>
      </c>
      <c r="C5222">
        <v>364805</v>
      </c>
      <c r="F5222" s="7">
        <v>1</v>
      </c>
      <c r="G5222" s="7">
        <v>3226</v>
      </c>
      <c r="H5222" s="8">
        <v>3208</v>
      </c>
      <c r="J5222" t="s">
        <v>23</v>
      </c>
      <c r="K5222" s="7">
        <v>14553</v>
      </c>
      <c r="L5222" s="9">
        <v>-1</v>
      </c>
      <c r="M5222" t="s">
        <v>126</v>
      </c>
      <c r="N5222" t="s">
        <v>127</v>
      </c>
      <c r="O5222" s="27" t="str">
        <f>HYPERLINK("https://www.ncbi.nlm.nih.gov/nuccore/NZ_CP021748.1?report=graph&amp;from=541587&amp;to=541591", "TTA_codon")</f>
        <v>TTA_codon</v>
      </c>
    </row>
    <row r="5223" spans="1:15" x14ac:dyDescent="0.15">
      <c r="A5223" t="s">
        <v>21</v>
      </c>
      <c r="B5223" t="s">
        <v>3926</v>
      </c>
    </row>
    <row r="5224" spans="1:15" x14ac:dyDescent="0.15">
      <c r="A5224" t="s">
        <v>21</v>
      </c>
      <c r="B5224">
        <v>1001323</v>
      </c>
      <c r="C5224">
        <v>350022</v>
      </c>
      <c r="F5224" s="7">
        <v>2</v>
      </c>
      <c r="G5224" s="7" t="s">
        <v>3927</v>
      </c>
      <c r="H5224" s="8" t="s">
        <v>3928</v>
      </c>
      <c r="J5224" t="s">
        <v>23</v>
      </c>
      <c r="K5224" s="7">
        <v>981</v>
      </c>
      <c r="L5224" s="9">
        <v>-1</v>
      </c>
      <c r="M5224" t="s">
        <v>317</v>
      </c>
      <c r="N5224" t="s">
        <v>249</v>
      </c>
      <c r="O5224" s="27" t="str">
        <f>HYPERLINK("https://www.ncbi.nlm.nih.gov/nuccore/NZ_AHBF01000004.1?report=graph&amp;from=29914&amp;to=30635", "TTA_codon")</f>
        <v>TTA_codon</v>
      </c>
    </row>
    <row r="5225" spans="1:15" x14ac:dyDescent="0.15">
      <c r="A5225" t="s">
        <v>21</v>
      </c>
      <c r="B5225">
        <v>1001323</v>
      </c>
      <c r="C5225">
        <v>359868</v>
      </c>
      <c r="F5225" s="7">
        <v>1</v>
      </c>
      <c r="G5225" s="7">
        <v>958</v>
      </c>
      <c r="H5225" s="8">
        <v>796</v>
      </c>
      <c r="J5225" t="s">
        <v>23</v>
      </c>
      <c r="K5225" s="7">
        <v>1041</v>
      </c>
      <c r="L5225" s="9">
        <v>-1</v>
      </c>
      <c r="M5225" t="s">
        <v>120</v>
      </c>
      <c r="N5225" t="s">
        <v>91</v>
      </c>
      <c r="O5225" s="27" t="str">
        <f>HYPERLINK("https://www.ncbi.nlm.nih.gov/nuccore/NZ_KQ948310.1?report=graph&amp;from=239616&amp;to=239620", "TTA_codon")</f>
        <v>TTA_codon</v>
      </c>
    </row>
    <row r="5226" spans="1:15" x14ac:dyDescent="0.15">
      <c r="A5226" t="s">
        <v>21</v>
      </c>
      <c r="B5226">
        <v>1001323</v>
      </c>
      <c r="C5226">
        <v>361176</v>
      </c>
      <c r="F5226" s="7">
        <v>2</v>
      </c>
      <c r="G5226" s="7" t="s">
        <v>3929</v>
      </c>
      <c r="H5226" s="8" t="s">
        <v>3930</v>
      </c>
      <c r="J5226" t="s">
        <v>23</v>
      </c>
      <c r="K5226" s="7">
        <v>1149</v>
      </c>
      <c r="L5226" s="9">
        <v>-1</v>
      </c>
      <c r="M5226" t="s">
        <v>98</v>
      </c>
      <c r="N5226" t="s">
        <v>99</v>
      </c>
      <c r="O5226" s="27" t="str">
        <f>HYPERLINK("https://www.ncbi.nlm.nih.gov/nuccore/NZ_CP016438.1?report=graph&amp;from=2150041&amp;to=2150084", "TTA_codon")</f>
        <v>TTA_codon</v>
      </c>
    </row>
    <row r="5227" spans="1:15" x14ac:dyDescent="0.15">
      <c r="A5227" t="s">
        <v>21</v>
      </c>
      <c r="B5227">
        <v>1001323</v>
      </c>
      <c r="C5227">
        <v>364331</v>
      </c>
      <c r="F5227" s="7">
        <v>1</v>
      </c>
      <c r="G5227" s="7">
        <v>976</v>
      </c>
      <c r="H5227" s="8">
        <v>859</v>
      </c>
      <c r="J5227" t="s">
        <v>23</v>
      </c>
      <c r="K5227" s="7">
        <v>1041</v>
      </c>
      <c r="L5227" s="9">
        <v>-1</v>
      </c>
      <c r="M5227" t="s">
        <v>105</v>
      </c>
      <c r="N5227" t="s">
        <v>106</v>
      </c>
      <c r="O5227" s="27" t="str">
        <f>HYPERLINK("https://www.ncbi.nlm.nih.gov/nuccore/NZ_CP020042.1?report=graph&amp;from=1662877&amp;to=1662881", "TTA_codon")</f>
        <v>TTA_codon</v>
      </c>
    </row>
    <row r="5228" spans="1:15" x14ac:dyDescent="0.15">
      <c r="A5228" t="s">
        <v>21</v>
      </c>
      <c r="B5228" t="s">
        <v>3931</v>
      </c>
    </row>
    <row r="5229" spans="1:15" x14ac:dyDescent="0.15">
      <c r="A5229" t="s">
        <v>21</v>
      </c>
      <c r="B5229">
        <v>1000168</v>
      </c>
      <c r="C5229">
        <v>347241</v>
      </c>
      <c r="F5229" s="7">
        <v>1</v>
      </c>
      <c r="G5229" s="7">
        <v>2014</v>
      </c>
      <c r="H5229" s="8">
        <v>1894</v>
      </c>
      <c r="J5229" t="s">
        <v>23</v>
      </c>
      <c r="K5229" s="7">
        <v>10044</v>
      </c>
      <c r="L5229" s="9">
        <v>-1</v>
      </c>
      <c r="M5229" t="s">
        <v>53</v>
      </c>
      <c r="N5229" t="s">
        <v>54</v>
      </c>
      <c r="O5229" s="27" t="str">
        <f>HYPERLINK("https://www.ncbi.nlm.nih.gov/nuccore/NC_003155.5?report=graph&amp;from=507008&amp;to=507012", "TTA_codon")</f>
        <v>TTA_codon</v>
      </c>
    </row>
    <row r="5230" spans="1:15" x14ac:dyDescent="0.15">
      <c r="A5230" t="s">
        <v>21</v>
      </c>
      <c r="B5230">
        <v>1000168</v>
      </c>
      <c r="C5230">
        <v>350000</v>
      </c>
      <c r="F5230" s="7">
        <v>1</v>
      </c>
      <c r="G5230" s="7">
        <v>1888</v>
      </c>
      <c r="H5230" s="8">
        <v>1714</v>
      </c>
      <c r="J5230" t="s">
        <v>23</v>
      </c>
      <c r="K5230" s="7">
        <v>4563</v>
      </c>
      <c r="L5230" s="9">
        <v>-1</v>
      </c>
      <c r="M5230" t="s">
        <v>1108</v>
      </c>
      <c r="N5230" t="s">
        <v>249</v>
      </c>
      <c r="O5230" s="27" t="str">
        <f>HYPERLINK("https://www.ncbi.nlm.nih.gov/nuccore/NZ_AHBF01000066.1?report=graph&amp;from=69696&amp;to=69700", "TTA_codon")</f>
        <v>TTA_codon</v>
      </c>
    </row>
    <row r="5231" spans="1:15" x14ac:dyDescent="0.15">
      <c r="A5231" t="s">
        <v>21</v>
      </c>
      <c r="B5231">
        <v>1000168</v>
      </c>
      <c r="C5231">
        <v>353789</v>
      </c>
      <c r="F5231" s="7">
        <v>1</v>
      </c>
      <c r="G5231" s="7">
        <v>1885</v>
      </c>
      <c r="H5231" s="8">
        <v>1747</v>
      </c>
      <c r="J5231" t="s">
        <v>23</v>
      </c>
      <c r="K5231" s="7">
        <v>3387</v>
      </c>
      <c r="L5231" s="9">
        <v>-1</v>
      </c>
      <c r="M5231" t="s">
        <v>1111</v>
      </c>
      <c r="N5231" t="s">
        <v>246</v>
      </c>
      <c r="O5231" s="27" t="str">
        <f>HYPERLINK("https://www.ncbi.nlm.nih.gov/nuccore/NZ_JNYR01000019.1?report=graph&amp;from=92052&amp;to=92056", "TTA_codon")</f>
        <v>TTA_codon</v>
      </c>
    </row>
    <row r="5232" spans="1:15" x14ac:dyDescent="0.15">
      <c r="A5232" t="s">
        <v>21</v>
      </c>
      <c r="B5232">
        <v>1000168</v>
      </c>
      <c r="C5232">
        <v>363961</v>
      </c>
      <c r="F5232" s="7">
        <v>1</v>
      </c>
      <c r="G5232" s="7">
        <v>2143</v>
      </c>
      <c r="H5232" s="8">
        <v>895</v>
      </c>
      <c r="J5232" t="s">
        <v>23</v>
      </c>
      <c r="K5232" s="7">
        <v>3726</v>
      </c>
      <c r="L5232" s="9">
        <v>-1</v>
      </c>
      <c r="M5232" t="s">
        <v>3932</v>
      </c>
      <c r="N5232" t="s">
        <v>104</v>
      </c>
      <c r="O5232" s="27" t="str">
        <f>HYPERLINK("https://www.ncbi.nlm.nih.gov/nuccore/NZ_MVFC01000076.1?report=graph&amp;from=3479&amp;to=3483", "TTA_codon")</f>
        <v>TTA_codon</v>
      </c>
    </row>
    <row r="5233" spans="1:15" x14ac:dyDescent="0.15">
      <c r="A5233" t="s">
        <v>21</v>
      </c>
      <c r="B5233" t="s">
        <v>3933</v>
      </c>
    </row>
    <row r="5234" spans="1:15" x14ac:dyDescent="0.15">
      <c r="A5234" t="s">
        <v>21</v>
      </c>
      <c r="B5234">
        <v>1001200</v>
      </c>
      <c r="C5234">
        <v>356893</v>
      </c>
      <c r="F5234" s="7">
        <v>1</v>
      </c>
      <c r="G5234" s="7">
        <v>205</v>
      </c>
      <c r="H5234" s="8">
        <v>163</v>
      </c>
      <c r="J5234" t="s">
        <v>23</v>
      </c>
      <c r="K5234" s="7">
        <v>1851</v>
      </c>
      <c r="L5234" s="9">
        <v>1</v>
      </c>
      <c r="M5234" t="s">
        <v>78</v>
      </c>
      <c r="N5234" t="s">
        <v>79</v>
      </c>
      <c r="O5234" s="27" t="str">
        <f>HYPERLINK("https://www.ncbi.nlm.nih.gov/nuccore/NZ_CP009313.1?report=graph&amp;from=3351079&amp;to=3351083", "TTA_codon")</f>
        <v>TTA_codon</v>
      </c>
    </row>
    <row r="5235" spans="1:15" x14ac:dyDescent="0.15">
      <c r="A5235" t="s">
        <v>21</v>
      </c>
      <c r="B5235">
        <v>1001200</v>
      </c>
      <c r="C5235">
        <v>358141</v>
      </c>
      <c r="F5235" s="7">
        <v>2</v>
      </c>
      <c r="G5235" s="7" t="s">
        <v>3934</v>
      </c>
      <c r="H5235" s="8" t="s">
        <v>3934</v>
      </c>
      <c r="J5235" t="s">
        <v>23</v>
      </c>
      <c r="K5235" s="7">
        <v>1308</v>
      </c>
      <c r="L5235" s="9">
        <v>1</v>
      </c>
      <c r="M5235" t="s">
        <v>3935</v>
      </c>
      <c r="N5235" t="s">
        <v>119</v>
      </c>
      <c r="O5235" s="27" t="str">
        <f>HYPERLINK("https://www.ncbi.nlm.nih.gov/nuccore/NZ_LIPP01000169.1?report=graph&amp;from=6615&amp;to=6664", "TTA_codon")</f>
        <v>TTA_codon</v>
      </c>
    </row>
    <row r="5236" spans="1:15" x14ac:dyDescent="0.15">
      <c r="A5236" t="s">
        <v>21</v>
      </c>
      <c r="B5236" t="s">
        <v>3936</v>
      </c>
    </row>
    <row r="5237" spans="1:15" x14ac:dyDescent="0.15">
      <c r="A5237" t="s">
        <v>21</v>
      </c>
      <c r="B5237">
        <v>1001449</v>
      </c>
      <c r="C5237">
        <v>363639</v>
      </c>
      <c r="F5237" s="7">
        <v>1</v>
      </c>
      <c r="G5237" s="7">
        <v>133</v>
      </c>
      <c r="H5237" s="8">
        <v>133</v>
      </c>
      <c r="J5237" t="s">
        <v>23</v>
      </c>
      <c r="K5237" s="7">
        <v>531</v>
      </c>
      <c r="L5237" s="9">
        <v>1</v>
      </c>
      <c r="M5237" t="s">
        <v>101</v>
      </c>
      <c r="N5237" t="s">
        <v>102</v>
      </c>
      <c r="O5237" s="27" t="str">
        <f>HYPERLINK("https://www.ncbi.nlm.nih.gov/nuccore/NZ_CP019458.1?report=graph&amp;from=5401397&amp;to=5401401", "TTA_codon")</f>
        <v>TTA_codon</v>
      </c>
    </row>
    <row r="5238" spans="1:15" x14ac:dyDescent="0.15">
      <c r="A5238" t="s">
        <v>21</v>
      </c>
      <c r="B5238">
        <v>1001449</v>
      </c>
      <c r="C5238">
        <v>365620</v>
      </c>
      <c r="F5238" s="7">
        <v>1</v>
      </c>
      <c r="G5238" s="7">
        <v>133</v>
      </c>
      <c r="H5238" s="8">
        <v>133</v>
      </c>
      <c r="J5238" t="s">
        <v>23</v>
      </c>
      <c r="K5238" s="7">
        <v>531</v>
      </c>
      <c r="L5238" s="9">
        <v>1</v>
      </c>
      <c r="M5238" t="s">
        <v>213</v>
      </c>
      <c r="N5238" t="s">
        <v>214</v>
      </c>
      <c r="O5238" s="27" t="str">
        <f>HYPERLINK("https://www.ncbi.nlm.nih.gov/nuccore/NZ_FNST01000002.1?report=graph&amp;from=3013355&amp;to=3013359", "TTA_codon")</f>
        <v>TTA_codon</v>
      </c>
    </row>
    <row r="5239" spans="1:15" x14ac:dyDescent="0.15">
      <c r="A5239" t="s">
        <v>21</v>
      </c>
      <c r="B5239" t="s">
        <v>3937</v>
      </c>
    </row>
    <row r="5240" spans="1:15" x14ac:dyDescent="0.15">
      <c r="A5240" t="s">
        <v>21</v>
      </c>
      <c r="B5240">
        <v>1001338</v>
      </c>
      <c r="C5240">
        <v>356507</v>
      </c>
      <c r="F5240" s="7">
        <v>1</v>
      </c>
      <c r="G5240" s="7">
        <v>115</v>
      </c>
      <c r="H5240" s="8">
        <v>112</v>
      </c>
      <c r="J5240" t="s">
        <v>23</v>
      </c>
      <c r="K5240" s="7">
        <v>813</v>
      </c>
      <c r="L5240" s="9">
        <v>-1</v>
      </c>
      <c r="M5240" t="s">
        <v>508</v>
      </c>
      <c r="N5240" t="s">
        <v>509</v>
      </c>
      <c r="O5240" s="27" t="str">
        <f>HYPERLINK("https://www.ncbi.nlm.nih.gov/nuccore/NZ_CP009438.1?report=graph&amp;from=6311476&amp;to=6311480", "TTA_codon")</f>
        <v>TTA_codon</v>
      </c>
    </row>
    <row r="5241" spans="1:15" x14ac:dyDescent="0.15">
      <c r="A5241" t="s">
        <v>21</v>
      </c>
      <c r="B5241">
        <v>1001338</v>
      </c>
      <c r="C5241">
        <v>357700</v>
      </c>
      <c r="F5241" s="7">
        <v>1</v>
      </c>
      <c r="G5241" s="7">
        <v>115</v>
      </c>
      <c r="H5241" s="8">
        <v>115</v>
      </c>
      <c r="J5241" t="s">
        <v>23</v>
      </c>
      <c r="K5241" s="7">
        <v>858</v>
      </c>
      <c r="L5241" s="9">
        <v>-1</v>
      </c>
      <c r="M5241" t="s">
        <v>1923</v>
      </c>
      <c r="N5241" t="s">
        <v>83</v>
      </c>
      <c r="O5241" s="27" t="str">
        <f>HYPERLINK("https://www.ncbi.nlm.nih.gov/nuccore/NZ_DF968239.1?report=graph&amp;from=21540&amp;to=21544", "TTA_codon")</f>
        <v>TTA_codon</v>
      </c>
    </row>
    <row r="5242" spans="1:15" x14ac:dyDescent="0.15">
      <c r="A5242" t="s">
        <v>21</v>
      </c>
      <c r="B5242">
        <v>1001338</v>
      </c>
      <c r="C5242">
        <v>360368</v>
      </c>
      <c r="F5242" s="7">
        <v>1</v>
      </c>
      <c r="G5242" s="7">
        <v>112</v>
      </c>
      <c r="H5242" s="8">
        <v>109</v>
      </c>
      <c r="J5242" t="s">
        <v>23</v>
      </c>
      <c r="K5242" s="7">
        <v>819</v>
      </c>
      <c r="L5242" s="9">
        <v>-1</v>
      </c>
      <c r="M5242" t="s">
        <v>121</v>
      </c>
      <c r="N5242" t="s">
        <v>122</v>
      </c>
      <c r="O5242" s="27" t="str">
        <f>HYPERLINK("https://www.ncbi.nlm.nih.gov/nuccore/NZ_CP016279.1?report=graph&amp;from=8533202&amp;to=8533206", "TTA_codon")</f>
        <v>TTA_codon</v>
      </c>
    </row>
    <row r="5243" spans="1:15" x14ac:dyDescent="0.15">
      <c r="A5243" t="s">
        <v>21</v>
      </c>
      <c r="B5243" t="s">
        <v>3938</v>
      </c>
    </row>
    <row r="5244" spans="1:15" x14ac:dyDescent="0.15">
      <c r="A5244" t="s">
        <v>21</v>
      </c>
      <c r="B5244">
        <v>1001285</v>
      </c>
      <c r="C5244">
        <v>358602</v>
      </c>
      <c r="F5244" s="7">
        <v>1</v>
      </c>
      <c r="G5244" s="7">
        <v>223</v>
      </c>
      <c r="H5244" s="8">
        <v>223</v>
      </c>
      <c r="J5244" t="s">
        <v>23</v>
      </c>
      <c r="K5244" s="7">
        <v>999</v>
      </c>
      <c r="L5244" s="9">
        <v>-1</v>
      </c>
      <c r="M5244" t="s">
        <v>298</v>
      </c>
      <c r="N5244" t="s">
        <v>299</v>
      </c>
      <c r="O5244" s="27" t="str">
        <f>HYPERLINK("https://www.ncbi.nlm.nih.gov/nuccore/NZ_LIQY01000446.1?report=graph&amp;from=1111&amp;to=1115", "TTA_codon")</f>
        <v>TTA_codon</v>
      </c>
    </row>
    <row r="5245" spans="1:15" x14ac:dyDescent="0.15">
      <c r="A5245" t="s">
        <v>21</v>
      </c>
      <c r="B5245">
        <v>1001285</v>
      </c>
      <c r="C5245">
        <v>366082</v>
      </c>
      <c r="F5245" s="7">
        <v>1</v>
      </c>
      <c r="G5245" s="7">
        <v>331</v>
      </c>
      <c r="H5245" s="8">
        <v>331</v>
      </c>
      <c r="J5245" t="s">
        <v>23</v>
      </c>
      <c r="K5245" s="7">
        <v>999</v>
      </c>
      <c r="L5245" s="9">
        <v>-1</v>
      </c>
      <c r="M5245" t="s">
        <v>256</v>
      </c>
      <c r="N5245" t="s">
        <v>257</v>
      </c>
      <c r="O5245" s="27" t="str">
        <f>HYPERLINK("https://www.ncbi.nlm.nih.gov/nuccore/NZ_FOET01000004.1?report=graph&amp;from=345589&amp;to=345593", "TTA_codon")</f>
        <v>TTA_codon</v>
      </c>
    </row>
    <row r="5246" spans="1:15" x14ac:dyDescent="0.15">
      <c r="A5246" t="s">
        <v>21</v>
      </c>
      <c r="B5246" t="s">
        <v>3939</v>
      </c>
    </row>
    <row r="5247" spans="1:15" x14ac:dyDescent="0.15">
      <c r="A5247" t="s">
        <v>21</v>
      </c>
      <c r="B5247">
        <v>1000412</v>
      </c>
      <c r="C5247">
        <v>348546</v>
      </c>
      <c r="F5247" s="7">
        <v>1</v>
      </c>
      <c r="G5247" s="7">
        <v>667</v>
      </c>
      <c r="H5247" s="8">
        <v>613</v>
      </c>
      <c r="J5247" t="s">
        <v>23</v>
      </c>
      <c r="K5247" s="7">
        <v>1356</v>
      </c>
      <c r="L5247" s="9">
        <v>-1</v>
      </c>
      <c r="M5247" t="s">
        <v>61</v>
      </c>
      <c r="N5247" t="s">
        <v>62</v>
      </c>
      <c r="O5247" s="27" t="str">
        <f>HYPERLINK("https://www.ncbi.nlm.nih.gov/nuccore/NZ_DS999641.1?report=graph&amp;from=2726337&amp;to=2726341", "TTA_codon")</f>
        <v>TTA_codon</v>
      </c>
    </row>
    <row r="5248" spans="1:15" x14ac:dyDescent="0.15">
      <c r="A5248" t="s">
        <v>21</v>
      </c>
      <c r="B5248">
        <v>1000412</v>
      </c>
      <c r="C5248">
        <v>359092</v>
      </c>
      <c r="F5248" s="7">
        <v>1</v>
      </c>
      <c r="G5248" s="7">
        <v>649</v>
      </c>
      <c r="H5248" s="8">
        <v>628</v>
      </c>
      <c r="J5248" t="s">
        <v>23</v>
      </c>
      <c r="K5248" s="7">
        <v>1404</v>
      </c>
      <c r="L5248" s="9">
        <v>-1</v>
      </c>
      <c r="M5248" t="s">
        <v>3056</v>
      </c>
      <c r="N5248" t="s">
        <v>451</v>
      </c>
      <c r="O5248" s="27" t="str">
        <f>HYPERLINK("https://www.ncbi.nlm.nih.gov/nuccore/NZ_LIQZ01000146.1?report=graph&amp;from=76070&amp;to=76074", "TTA_codon")</f>
        <v>TTA_codon</v>
      </c>
    </row>
    <row r="5249" spans="1:15" x14ac:dyDescent="0.15">
      <c r="A5249" t="s">
        <v>21</v>
      </c>
      <c r="B5249" t="s">
        <v>3940</v>
      </c>
    </row>
    <row r="5250" spans="1:15" x14ac:dyDescent="0.15">
      <c r="A5250" t="s">
        <v>21</v>
      </c>
      <c r="B5250">
        <v>1001505</v>
      </c>
      <c r="C5250">
        <v>357340</v>
      </c>
      <c r="F5250" s="7">
        <v>1</v>
      </c>
      <c r="G5250" s="7">
        <v>565</v>
      </c>
      <c r="H5250" s="8">
        <v>511</v>
      </c>
      <c r="J5250" t="s">
        <v>23</v>
      </c>
      <c r="K5250" s="7">
        <v>1173</v>
      </c>
      <c r="L5250" s="9">
        <v>1</v>
      </c>
      <c r="M5250" t="s">
        <v>250</v>
      </c>
      <c r="N5250" t="s">
        <v>251</v>
      </c>
      <c r="O5250" s="27" t="str">
        <f>HYPERLINK("https://www.ncbi.nlm.nih.gov/nuccore/NZ_CP009922.2?report=graph&amp;from=3865893&amp;to=3865897", "TTA_codon")</f>
        <v>TTA_codon</v>
      </c>
    </row>
    <row r="5251" spans="1:15" x14ac:dyDescent="0.15">
      <c r="A5251" t="s">
        <v>21</v>
      </c>
      <c r="B5251">
        <v>1001505</v>
      </c>
      <c r="C5251">
        <v>365684</v>
      </c>
      <c r="F5251" s="7">
        <v>1</v>
      </c>
      <c r="G5251" s="7">
        <v>574</v>
      </c>
      <c r="H5251" s="8">
        <v>505</v>
      </c>
      <c r="J5251" t="s">
        <v>23</v>
      </c>
      <c r="K5251" s="7">
        <v>1128</v>
      </c>
      <c r="L5251" s="9">
        <v>1</v>
      </c>
      <c r="M5251" t="s">
        <v>213</v>
      </c>
      <c r="N5251" t="s">
        <v>214</v>
      </c>
      <c r="O5251" s="27" t="str">
        <f>HYPERLINK("https://www.ncbi.nlm.nih.gov/nuccore/NZ_FNST01000002.1?report=graph&amp;from=5578699&amp;to=5578703", "TTA_codon")</f>
        <v>TTA_codon</v>
      </c>
    </row>
    <row r="5252" spans="1:15" x14ac:dyDescent="0.15">
      <c r="A5252" t="s">
        <v>21</v>
      </c>
      <c r="B5252" t="s">
        <v>3941</v>
      </c>
    </row>
    <row r="5253" spans="1:15" x14ac:dyDescent="0.15">
      <c r="A5253" t="s">
        <v>21</v>
      </c>
      <c r="B5253">
        <v>1000394</v>
      </c>
      <c r="C5253">
        <v>348444</v>
      </c>
      <c r="F5253" s="7">
        <v>3</v>
      </c>
      <c r="G5253" s="7" t="s">
        <v>3942</v>
      </c>
      <c r="H5253" s="8" t="s">
        <v>3943</v>
      </c>
      <c r="J5253" t="s">
        <v>23</v>
      </c>
      <c r="K5253" s="7">
        <v>777</v>
      </c>
      <c r="L5253" s="9">
        <v>-1</v>
      </c>
      <c r="M5253" t="s">
        <v>59</v>
      </c>
      <c r="N5253" t="s">
        <v>60</v>
      </c>
      <c r="O5253" s="27" t="str">
        <f>HYPERLINK("https://www.ncbi.nlm.nih.gov/nuccore/NC_016582.1?report=graph&amp;from=4128829&amp;to=4129451", "TTA_codon")</f>
        <v>TTA_codon</v>
      </c>
    </row>
    <row r="5254" spans="1:15" x14ac:dyDescent="0.15">
      <c r="A5254" t="s">
        <v>21</v>
      </c>
      <c r="B5254">
        <v>1000394</v>
      </c>
      <c r="C5254">
        <v>361732</v>
      </c>
      <c r="F5254" s="7">
        <v>1</v>
      </c>
      <c r="G5254" s="7">
        <v>826</v>
      </c>
      <c r="H5254" s="8">
        <v>826</v>
      </c>
      <c r="J5254" t="s">
        <v>23</v>
      </c>
      <c r="K5254" s="7">
        <v>861</v>
      </c>
      <c r="L5254" s="9">
        <v>-1</v>
      </c>
      <c r="M5254" t="s">
        <v>37</v>
      </c>
      <c r="N5254" t="s">
        <v>38</v>
      </c>
      <c r="O5254" s="27" t="str">
        <f>HYPERLINK("https://www.ncbi.nlm.nih.gov/nuccore/NZ_CP011533.1?report=graph&amp;from=7803382&amp;to=7803386", "TTA_codon")</f>
        <v>TTA_codon</v>
      </c>
    </row>
    <row r="5255" spans="1:15" x14ac:dyDescent="0.15">
      <c r="A5255" t="s">
        <v>21</v>
      </c>
      <c r="B5255" t="s">
        <v>3944</v>
      </c>
    </row>
    <row r="5256" spans="1:15" x14ac:dyDescent="0.15">
      <c r="A5256" t="s">
        <v>21</v>
      </c>
      <c r="B5256">
        <v>1001255</v>
      </c>
      <c r="C5256">
        <v>357964</v>
      </c>
      <c r="F5256" s="7">
        <v>1</v>
      </c>
      <c r="G5256" s="7">
        <v>1582</v>
      </c>
      <c r="H5256" s="8">
        <v>1546</v>
      </c>
      <c r="J5256" t="s">
        <v>23</v>
      </c>
      <c r="K5256" s="7">
        <v>2937</v>
      </c>
      <c r="L5256" s="9">
        <v>-1</v>
      </c>
      <c r="M5256" t="s">
        <v>261</v>
      </c>
      <c r="N5256" t="s">
        <v>262</v>
      </c>
      <c r="O5256" s="27" t="str">
        <f>HYPERLINK("https://www.ncbi.nlm.nih.gov/nuccore/NZ_CP011340.1?report=graph&amp;from=2783620&amp;to=2783624", "TTA_codon")</f>
        <v>TTA_codon</v>
      </c>
    </row>
    <row r="5257" spans="1:15" x14ac:dyDescent="0.15">
      <c r="A5257" t="s">
        <v>21</v>
      </c>
      <c r="B5257">
        <v>1001255</v>
      </c>
      <c r="C5257">
        <v>362703</v>
      </c>
      <c r="F5257" s="7">
        <v>1</v>
      </c>
      <c r="G5257" s="7">
        <v>1639</v>
      </c>
      <c r="H5257" s="8">
        <v>1423</v>
      </c>
      <c r="J5257" t="s">
        <v>23</v>
      </c>
      <c r="K5257" s="7">
        <v>2931</v>
      </c>
      <c r="L5257" s="9">
        <v>-1</v>
      </c>
      <c r="M5257" t="s">
        <v>2447</v>
      </c>
      <c r="N5257" t="s">
        <v>985</v>
      </c>
      <c r="O5257" s="27" t="str">
        <f>HYPERLINK("https://www.ncbi.nlm.nih.gov/nuccore/NZ_LJGU01000096.1?report=graph&amp;from=27404&amp;to=27408", "TTA_codon")</f>
        <v>TTA_codon</v>
      </c>
    </row>
    <row r="5258" spans="1:15" x14ac:dyDescent="0.15">
      <c r="A5258" t="s">
        <v>21</v>
      </c>
      <c r="B5258" t="s">
        <v>3945</v>
      </c>
    </row>
    <row r="5259" spans="1:15" x14ac:dyDescent="0.15">
      <c r="A5259" t="s">
        <v>21</v>
      </c>
      <c r="B5259">
        <v>1001452</v>
      </c>
      <c r="C5259">
        <v>360029</v>
      </c>
      <c r="F5259" s="7">
        <v>1</v>
      </c>
      <c r="G5259" s="7">
        <v>505</v>
      </c>
      <c r="H5259" s="8">
        <v>325</v>
      </c>
      <c r="J5259" t="s">
        <v>23</v>
      </c>
      <c r="K5259" s="7">
        <v>846</v>
      </c>
      <c r="L5259" s="9">
        <v>-1</v>
      </c>
      <c r="M5259" t="s">
        <v>617</v>
      </c>
      <c r="N5259" t="s">
        <v>125</v>
      </c>
      <c r="O5259" s="27" t="str">
        <f>HYPERLINK("https://www.ncbi.nlm.nih.gov/nuccore/NZ_KQ948452.1?report=graph&amp;from=153820&amp;to=153824", "TTA_codon")</f>
        <v>TTA_codon</v>
      </c>
    </row>
    <row r="5260" spans="1:15" x14ac:dyDescent="0.15">
      <c r="A5260" t="s">
        <v>21</v>
      </c>
      <c r="B5260">
        <v>1001452</v>
      </c>
      <c r="C5260">
        <v>362422</v>
      </c>
      <c r="F5260" s="7">
        <v>1</v>
      </c>
      <c r="G5260" s="7">
        <v>436</v>
      </c>
      <c r="H5260" s="8">
        <v>436</v>
      </c>
      <c r="J5260" t="s">
        <v>23</v>
      </c>
      <c r="K5260" s="7">
        <v>966</v>
      </c>
      <c r="L5260" s="9">
        <v>-1</v>
      </c>
      <c r="M5260" t="s">
        <v>32</v>
      </c>
      <c r="N5260" t="s">
        <v>33</v>
      </c>
      <c r="O5260" s="27" t="str">
        <f>HYPERLINK("https://www.ncbi.nlm.nih.gov/nuccore/NZ_CP017248.1?report=graph&amp;from=2826937&amp;to=2826941", "TTA_codon")</f>
        <v>TTA_codon</v>
      </c>
    </row>
    <row r="5261" spans="1:15" x14ac:dyDescent="0.15">
      <c r="A5261" t="s">
        <v>21</v>
      </c>
      <c r="B5261">
        <v>1001452</v>
      </c>
      <c r="C5261">
        <v>363662</v>
      </c>
      <c r="F5261" s="7">
        <v>1</v>
      </c>
      <c r="G5261" s="7">
        <v>526</v>
      </c>
      <c r="H5261" s="8">
        <v>337</v>
      </c>
      <c r="J5261" t="s">
        <v>23</v>
      </c>
      <c r="K5261" s="7">
        <v>837</v>
      </c>
      <c r="L5261" s="9">
        <v>-1</v>
      </c>
      <c r="M5261" t="s">
        <v>101</v>
      </c>
      <c r="N5261" t="s">
        <v>102</v>
      </c>
      <c r="O5261" s="27" t="str">
        <f>HYPERLINK("https://www.ncbi.nlm.nih.gov/nuccore/NZ_CP019458.1?report=graph&amp;from=3796328&amp;to=3796332", "TTA_codon")</f>
        <v>TTA_codon</v>
      </c>
    </row>
    <row r="5262" spans="1:15" x14ac:dyDescent="0.15">
      <c r="A5262" t="s">
        <v>21</v>
      </c>
      <c r="B5262" t="s">
        <v>3946</v>
      </c>
    </row>
    <row r="5263" spans="1:15" x14ac:dyDescent="0.15">
      <c r="A5263" t="s">
        <v>21</v>
      </c>
      <c r="B5263">
        <v>1001496</v>
      </c>
      <c r="C5263">
        <v>348822</v>
      </c>
      <c r="F5263" s="7">
        <v>1</v>
      </c>
      <c r="G5263" s="7">
        <v>211</v>
      </c>
      <c r="H5263" s="8">
        <v>208</v>
      </c>
      <c r="J5263" t="s">
        <v>23</v>
      </c>
      <c r="K5263" s="7">
        <v>1287</v>
      </c>
      <c r="L5263" s="9">
        <v>-1</v>
      </c>
      <c r="M5263" t="s">
        <v>211</v>
      </c>
      <c r="N5263" t="s">
        <v>212</v>
      </c>
      <c r="O5263" s="27" t="str">
        <f>HYPERLINK("https://www.ncbi.nlm.nih.gov/nuccore/NZ_GG657754.1?report=graph&amp;from=3557837&amp;to=3557841", "TTA_codon")</f>
        <v>TTA_codon</v>
      </c>
    </row>
    <row r="5264" spans="1:15" x14ac:dyDescent="0.15">
      <c r="A5264" t="s">
        <v>21</v>
      </c>
      <c r="B5264">
        <v>1001496</v>
      </c>
      <c r="C5264">
        <v>365191</v>
      </c>
      <c r="F5264" s="7">
        <v>1</v>
      </c>
      <c r="G5264" s="7">
        <v>349</v>
      </c>
      <c r="H5264" s="8">
        <v>340</v>
      </c>
      <c r="J5264" t="s">
        <v>23</v>
      </c>
      <c r="K5264" s="7">
        <v>1158</v>
      </c>
      <c r="L5264" s="9">
        <v>-1</v>
      </c>
      <c r="M5264" t="s">
        <v>111</v>
      </c>
      <c r="N5264" t="s">
        <v>112</v>
      </c>
      <c r="O5264" s="27" t="str">
        <f>HYPERLINK("https://www.ncbi.nlm.nih.gov/nuccore/NZ_CP021744.1?report=graph&amp;from=5553378&amp;to=5553382", "TTA_codon")</f>
        <v>TTA_codon</v>
      </c>
    </row>
    <row r="5265" spans="1:15" x14ac:dyDescent="0.15">
      <c r="A5265" t="s">
        <v>21</v>
      </c>
      <c r="B5265" t="s">
        <v>3947</v>
      </c>
    </row>
    <row r="5266" spans="1:15" x14ac:dyDescent="0.15">
      <c r="A5266" t="s">
        <v>21</v>
      </c>
      <c r="B5266">
        <v>1001455</v>
      </c>
      <c r="C5266">
        <v>347666</v>
      </c>
      <c r="F5266" s="7">
        <v>1</v>
      </c>
      <c r="G5266" s="7">
        <v>166</v>
      </c>
      <c r="H5266" s="8">
        <v>94</v>
      </c>
      <c r="J5266" t="s">
        <v>23</v>
      </c>
      <c r="K5266" s="7">
        <v>1431</v>
      </c>
      <c r="L5266" s="9">
        <v>1</v>
      </c>
      <c r="M5266" t="s">
        <v>55</v>
      </c>
      <c r="N5266" t="s">
        <v>56</v>
      </c>
      <c r="O5266" s="27" t="str">
        <f>HYPERLINK("https://www.ncbi.nlm.nih.gov/nuccore/NC_010572.1?report=graph&amp;from=7627010&amp;to=7627014", "TTA_codon")</f>
        <v>TTA_codon</v>
      </c>
    </row>
    <row r="5267" spans="1:15" x14ac:dyDescent="0.15">
      <c r="A5267" t="s">
        <v>21</v>
      </c>
      <c r="B5267">
        <v>1001455</v>
      </c>
      <c r="C5267">
        <v>350024</v>
      </c>
      <c r="F5267" s="7">
        <v>1</v>
      </c>
      <c r="G5267" s="7">
        <v>259</v>
      </c>
      <c r="H5267" s="8">
        <v>238</v>
      </c>
      <c r="J5267" t="s">
        <v>23</v>
      </c>
      <c r="K5267" s="7">
        <v>1617</v>
      </c>
      <c r="L5267" s="9">
        <v>1</v>
      </c>
      <c r="M5267" t="s">
        <v>3835</v>
      </c>
      <c r="N5267" t="s">
        <v>249</v>
      </c>
      <c r="O5267" s="27" t="str">
        <f>HYPERLINK("https://www.ncbi.nlm.nih.gov/nuccore/NZ_AHBF01000026.1?report=graph&amp;from=14466&amp;to=14470", "TTA_codon")</f>
        <v>TTA_codon</v>
      </c>
    </row>
    <row r="5268" spans="1:15" x14ac:dyDescent="0.15">
      <c r="A5268" t="s">
        <v>21</v>
      </c>
      <c r="B5268">
        <v>1001455</v>
      </c>
      <c r="C5268">
        <v>352775</v>
      </c>
      <c r="F5268" s="7">
        <v>1</v>
      </c>
      <c r="G5268" s="7">
        <v>196</v>
      </c>
      <c r="H5268" s="8">
        <v>148</v>
      </c>
      <c r="J5268" t="s">
        <v>23</v>
      </c>
      <c r="K5268" s="7">
        <v>1428</v>
      </c>
      <c r="L5268" s="9">
        <v>1</v>
      </c>
      <c r="M5268" t="s">
        <v>472</v>
      </c>
      <c r="N5268" t="s">
        <v>473</v>
      </c>
      <c r="O5268" s="27" t="str">
        <f>HYPERLINK("https://www.ncbi.nlm.nih.gov/nuccore/NZ_ASHX02000001.1?report=graph&amp;from=3814229&amp;to=3814233", "TTA_codon")</f>
        <v>TTA_codon</v>
      </c>
    </row>
    <row r="5269" spans="1:15" x14ac:dyDescent="0.15">
      <c r="A5269" t="s">
        <v>21</v>
      </c>
      <c r="B5269">
        <v>1001455</v>
      </c>
      <c r="C5269">
        <v>353604</v>
      </c>
      <c r="F5269" s="7">
        <v>2</v>
      </c>
      <c r="G5269" s="7" t="s">
        <v>3948</v>
      </c>
      <c r="H5269" s="8" t="s">
        <v>3949</v>
      </c>
      <c r="J5269" t="s">
        <v>23</v>
      </c>
      <c r="K5269" s="7">
        <v>1539</v>
      </c>
      <c r="L5269" s="9">
        <v>1</v>
      </c>
      <c r="M5269" t="s">
        <v>3950</v>
      </c>
      <c r="N5269" t="s">
        <v>140</v>
      </c>
      <c r="O5269" s="27" t="str">
        <f>HYPERLINK("https://www.ncbi.nlm.nih.gov/nuccore/NZ_JNXG01000007.1?report=graph&amp;from=43588&amp;to=43637", "TTA_codon")</f>
        <v>TTA_codon</v>
      </c>
    </row>
    <row r="5270" spans="1:15" x14ac:dyDescent="0.15">
      <c r="A5270" t="s">
        <v>21</v>
      </c>
      <c r="B5270">
        <v>1001455</v>
      </c>
      <c r="C5270">
        <v>354622</v>
      </c>
      <c r="F5270" s="7">
        <v>1</v>
      </c>
      <c r="G5270" s="7">
        <v>262</v>
      </c>
      <c r="H5270" s="8">
        <v>187</v>
      </c>
      <c r="J5270" t="s">
        <v>23</v>
      </c>
      <c r="K5270" s="7">
        <v>1434</v>
      </c>
      <c r="L5270" s="9">
        <v>1</v>
      </c>
      <c r="M5270" t="s">
        <v>2114</v>
      </c>
      <c r="N5270" t="s">
        <v>272</v>
      </c>
      <c r="O5270" s="27" t="str">
        <f>HYPERLINK("https://www.ncbi.nlm.nih.gov/nuccore/NZ_JOEY01000075.1?report=graph&amp;from=20766&amp;to=20770", "TTA_codon")</f>
        <v>TTA_codon</v>
      </c>
    </row>
    <row r="5271" spans="1:15" x14ac:dyDescent="0.15">
      <c r="A5271" t="s">
        <v>21</v>
      </c>
      <c r="B5271">
        <v>1001455</v>
      </c>
      <c r="C5271">
        <v>357161</v>
      </c>
      <c r="F5271" s="7">
        <v>1</v>
      </c>
      <c r="G5271" s="7">
        <v>49</v>
      </c>
      <c r="H5271" s="8">
        <v>40</v>
      </c>
      <c r="J5271" t="s">
        <v>23</v>
      </c>
      <c r="K5271" s="7">
        <v>1476</v>
      </c>
      <c r="L5271" s="9">
        <v>1</v>
      </c>
      <c r="M5271" t="s">
        <v>205</v>
      </c>
      <c r="N5271" t="s">
        <v>206</v>
      </c>
      <c r="O5271" s="27" t="str">
        <f>HYPERLINK("https://www.ncbi.nlm.nih.gov/nuccore/NZ_CP010407.1?report=graph&amp;from=6374484&amp;to=6374488", "TTA_codon")</f>
        <v>TTA_codon</v>
      </c>
    </row>
    <row r="5272" spans="1:15" x14ac:dyDescent="0.15">
      <c r="A5272" t="s">
        <v>21</v>
      </c>
      <c r="B5272">
        <v>1001455</v>
      </c>
      <c r="C5272">
        <v>357437</v>
      </c>
      <c r="F5272" s="7">
        <v>1</v>
      </c>
      <c r="G5272" s="7">
        <v>127</v>
      </c>
      <c r="H5272" s="8">
        <v>76</v>
      </c>
      <c r="J5272" t="s">
        <v>23</v>
      </c>
      <c r="K5272" s="7">
        <v>1461</v>
      </c>
      <c r="L5272" s="9">
        <v>1</v>
      </c>
      <c r="M5272" t="s">
        <v>80</v>
      </c>
      <c r="N5272" t="s">
        <v>81</v>
      </c>
      <c r="O5272" s="27" t="str">
        <f>HYPERLINK("https://www.ncbi.nlm.nih.gov/nuccore/NZ_LN831790.1?report=graph&amp;from=7395665&amp;to=7395669", "TTA_codon")</f>
        <v>TTA_codon</v>
      </c>
    </row>
    <row r="5273" spans="1:15" x14ac:dyDescent="0.15">
      <c r="A5273" t="s">
        <v>21</v>
      </c>
      <c r="B5273">
        <v>1001455</v>
      </c>
      <c r="C5273">
        <v>359105</v>
      </c>
      <c r="F5273" s="7">
        <v>1</v>
      </c>
      <c r="G5273" s="7">
        <v>310</v>
      </c>
      <c r="H5273" s="8">
        <v>238</v>
      </c>
      <c r="J5273" t="s">
        <v>23</v>
      </c>
      <c r="K5273" s="7">
        <v>1575</v>
      </c>
      <c r="L5273" s="9">
        <v>1</v>
      </c>
      <c r="M5273" t="s">
        <v>3951</v>
      </c>
      <c r="N5273" t="s">
        <v>451</v>
      </c>
      <c r="O5273" s="27" t="str">
        <f>HYPERLINK("https://www.ncbi.nlm.nih.gov/nuccore/NZ_LIQZ01000028.1?report=graph&amp;from=13840&amp;to=13844", "TTA_codon")</f>
        <v>TTA_codon</v>
      </c>
    </row>
    <row r="5274" spans="1:15" x14ac:dyDescent="0.15">
      <c r="A5274" t="s">
        <v>21</v>
      </c>
      <c r="B5274">
        <v>1001455</v>
      </c>
      <c r="C5274">
        <v>360963</v>
      </c>
      <c r="F5274" s="7">
        <v>1</v>
      </c>
      <c r="G5274" s="7">
        <v>97</v>
      </c>
      <c r="H5274" s="8">
        <v>43</v>
      </c>
      <c r="J5274" t="s">
        <v>23</v>
      </c>
      <c r="K5274" s="7">
        <v>1533</v>
      </c>
      <c r="L5274" s="9">
        <v>1</v>
      </c>
      <c r="M5274" t="s">
        <v>3952</v>
      </c>
      <c r="N5274" t="s">
        <v>97</v>
      </c>
      <c r="O5274" s="27" t="str">
        <f>HYPERLINK("https://www.ncbi.nlm.nih.gov/nuccore/NZ_LOHS01000084.1?report=graph&amp;from=195836&amp;to=195840", "TTA_codon")</f>
        <v>TTA_codon</v>
      </c>
    </row>
    <row r="5275" spans="1:15" x14ac:dyDescent="0.15">
      <c r="A5275" t="s">
        <v>21</v>
      </c>
      <c r="B5275">
        <v>1001455</v>
      </c>
      <c r="C5275">
        <v>360965</v>
      </c>
      <c r="F5275" s="7">
        <v>1</v>
      </c>
      <c r="G5275" s="7">
        <v>292</v>
      </c>
      <c r="H5275" s="8">
        <v>283</v>
      </c>
      <c r="J5275" t="s">
        <v>23</v>
      </c>
      <c r="K5275" s="7">
        <v>1467</v>
      </c>
      <c r="L5275" s="9">
        <v>1</v>
      </c>
      <c r="M5275" t="s">
        <v>3953</v>
      </c>
      <c r="N5275" t="s">
        <v>97</v>
      </c>
      <c r="O5275" s="27" t="str">
        <f>HYPERLINK("https://www.ncbi.nlm.nih.gov/nuccore/NZ_LOHS01000079.1?report=graph&amp;from=7376&amp;to=7380", "TTA_codon")</f>
        <v>TTA_codon</v>
      </c>
    </row>
    <row r="5276" spans="1:15" x14ac:dyDescent="0.15">
      <c r="A5276" t="s">
        <v>21</v>
      </c>
      <c r="B5276">
        <v>1001455</v>
      </c>
      <c r="C5276">
        <v>361668</v>
      </c>
      <c r="F5276" s="7">
        <v>1</v>
      </c>
      <c r="G5276" s="7">
        <v>196</v>
      </c>
      <c r="H5276" s="8">
        <v>154</v>
      </c>
      <c r="J5276" t="s">
        <v>23</v>
      </c>
      <c r="K5276" s="7">
        <v>1548</v>
      </c>
      <c r="L5276" s="9">
        <v>1</v>
      </c>
      <c r="M5276" t="s">
        <v>37</v>
      </c>
      <c r="N5276" t="s">
        <v>38</v>
      </c>
      <c r="O5276" s="27" t="str">
        <f>HYPERLINK("https://www.ncbi.nlm.nih.gov/nuccore/NZ_CP011533.1?report=graph&amp;from=2301791&amp;to=2301795", "TTA_codon")</f>
        <v>TTA_codon</v>
      </c>
    </row>
    <row r="5277" spans="1:15" x14ac:dyDescent="0.15">
      <c r="A5277" t="s">
        <v>21</v>
      </c>
      <c r="B5277">
        <v>1001455</v>
      </c>
      <c r="C5277">
        <v>363670</v>
      </c>
      <c r="F5277" s="7">
        <v>2</v>
      </c>
      <c r="G5277" s="7" t="s">
        <v>3954</v>
      </c>
      <c r="H5277" s="8" t="s">
        <v>3955</v>
      </c>
      <c r="J5277" t="s">
        <v>23</v>
      </c>
      <c r="K5277" s="7">
        <v>1479</v>
      </c>
      <c r="L5277" s="9">
        <v>1</v>
      </c>
      <c r="M5277" t="s">
        <v>101</v>
      </c>
      <c r="N5277" t="s">
        <v>102</v>
      </c>
      <c r="O5277" s="27" t="str">
        <f>HYPERLINK("https://www.ncbi.nlm.nih.gov/nuccore/NZ_CP019458.1?report=graph&amp;from=9805466&amp;to=9806001", "TTA_codon")</f>
        <v>TTA_codon</v>
      </c>
    </row>
    <row r="5278" spans="1:15" x14ac:dyDescent="0.15">
      <c r="A5278" t="s">
        <v>21</v>
      </c>
      <c r="B5278">
        <v>1001455</v>
      </c>
      <c r="C5278">
        <v>363933</v>
      </c>
      <c r="F5278" s="7">
        <v>1</v>
      </c>
      <c r="G5278" s="7">
        <v>175</v>
      </c>
      <c r="H5278" s="8">
        <v>61</v>
      </c>
      <c r="J5278" t="s">
        <v>23</v>
      </c>
      <c r="K5278" s="7">
        <v>1401</v>
      </c>
      <c r="L5278" s="9">
        <v>1</v>
      </c>
      <c r="M5278" t="s">
        <v>3906</v>
      </c>
      <c r="N5278" t="s">
        <v>104</v>
      </c>
      <c r="O5278" s="27" t="str">
        <f>HYPERLINK("https://www.ncbi.nlm.nih.gov/nuccore/NZ_MVFC01000001.1?report=graph&amp;from=96435&amp;to=96439", "TTA_codon")</f>
        <v>TTA_codon</v>
      </c>
    </row>
    <row r="5279" spans="1:15" x14ac:dyDescent="0.15">
      <c r="A5279" t="s">
        <v>21</v>
      </c>
      <c r="B5279">
        <v>1001455</v>
      </c>
      <c r="C5279">
        <v>364978</v>
      </c>
      <c r="F5279" s="7">
        <v>1</v>
      </c>
      <c r="G5279" s="7">
        <v>79</v>
      </c>
      <c r="H5279" s="8">
        <v>58</v>
      </c>
      <c r="J5279" t="s">
        <v>23</v>
      </c>
      <c r="K5279" s="7">
        <v>1578</v>
      </c>
      <c r="L5279" s="9">
        <v>1</v>
      </c>
      <c r="M5279" t="s">
        <v>111</v>
      </c>
      <c r="N5279" t="s">
        <v>112</v>
      </c>
      <c r="O5279" s="27" t="str">
        <f>HYPERLINK("https://www.ncbi.nlm.nih.gov/nuccore/NZ_CP021744.1?report=graph&amp;from=5380118&amp;to=5380122", "TTA_codon")</f>
        <v>TTA_codon</v>
      </c>
    </row>
    <row r="5280" spans="1:15" x14ac:dyDescent="0.15">
      <c r="A5280" t="s">
        <v>21</v>
      </c>
      <c r="B5280">
        <v>1001455</v>
      </c>
      <c r="C5280">
        <v>365652</v>
      </c>
      <c r="F5280" s="7">
        <v>1</v>
      </c>
      <c r="G5280" s="7">
        <v>307</v>
      </c>
      <c r="H5280" s="8">
        <v>286</v>
      </c>
      <c r="J5280" t="s">
        <v>23</v>
      </c>
      <c r="K5280" s="7">
        <v>1551</v>
      </c>
      <c r="L5280" s="9">
        <v>1</v>
      </c>
      <c r="M5280" t="s">
        <v>213</v>
      </c>
      <c r="N5280" t="s">
        <v>214</v>
      </c>
      <c r="O5280" s="27" t="str">
        <f>HYPERLINK("https://www.ncbi.nlm.nih.gov/nuccore/NZ_FNST01000002.1?report=graph&amp;from=2194951&amp;to=2194955", "TTA_codon")</f>
        <v>TTA_codon</v>
      </c>
    </row>
    <row r="5281" spans="1:15" x14ac:dyDescent="0.15">
      <c r="A5281" t="s">
        <v>21</v>
      </c>
      <c r="B5281">
        <v>1001455</v>
      </c>
      <c r="C5281">
        <v>366616</v>
      </c>
      <c r="F5281" s="7">
        <v>1</v>
      </c>
      <c r="G5281" s="7">
        <v>265</v>
      </c>
      <c r="H5281" s="8">
        <v>187</v>
      </c>
      <c r="J5281" t="s">
        <v>23</v>
      </c>
      <c r="K5281" s="7">
        <v>1452</v>
      </c>
      <c r="L5281" s="9">
        <v>1</v>
      </c>
      <c r="M5281" t="s">
        <v>1215</v>
      </c>
      <c r="N5281" t="s">
        <v>180</v>
      </c>
      <c r="O5281" s="27" t="str">
        <f>HYPERLINK("https://www.ncbi.nlm.nih.gov/nuccore/NZ_FRBI01000014.1?report=graph&amp;from=31235&amp;to=31239", "TTA_codon")</f>
        <v>TTA_codon</v>
      </c>
    </row>
    <row r="5282" spans="1:15" x14ac:dyDescent="0.15">
      <c r="A5282" t="s">
        <v>21</v>
      </c>
      <c r="B5282" t="s">
        <v>3956</v>
      </c>
    </row>
    <row r="5283" spans="1:15" x14ac:dyDescent="0.15">
      <c r="A5283" t="s">
        <v>21</v>
      </c>
      <c r="B5283">
        <v>1001348</v>
      </c>
      <c r="C5283">
        <v>360741</v>
      </c>
      <c r="F5283" s="7">
        <v>1</v>
      </c>
      <c r="G5283" s="7">
        <v>64</v>
      </c>
      <c r="H5283" s="8">
        <v>58</v>
      </c>
      <c r="J5283" t="s">
        <v>23</v>
      </c>
      <c r="K5283" s="7">
        <v>825</v>
      </c>
      <c r="L5283" s="9">
        <v>1</v>
      </c>
      <c r="M5283" t="s">
        <v>1407</v>
      </c>
      <c r="N5283" t="s">
        <v>95</v>
      </c>
      <c r="O5283" s="27" t="str">
        <f>HYPERLINK("https://www.ncbi.nlm.nih.gov/nuccore/NZ_JYIJ01000009.1?report=graph&amp;from=17337&amp;to=17341", "TTA_codon")</f>
        <v>TTA_codon</v>
      </c>
    </row>
    <row r="5284" spans="1:15" x14ac:dyDescent="0.15">
      <c r="A5284" t="s">
        <v>21</v>
      </c>
      <c r="B5284">
        <v>1001348</v>
      </c>
      <c r="C5284">
        <v>360854</v>
      </c>
      <c r="F5284" s="7">
        <v>1</v>
      </c>
      <c r="G5284" s="7">
        <v>64</v>
      </c>
      <c r="H5284" s="8">
        <v>64</v>
      </c>
      <c r="J5284" t="s">
        <v>23</v>
      </c>
      <c r="K5284" s="7">
        <v>831</v>
      </c>
      <c r="L5284" s="9">
        <v>1</v>
      </c>
      <c r="M5284" t="s">
        <v>1579</v>
      </c>
      <c r="N5284" t="s">
        <v>95</v>
      </c>
      <c r="O5284" s="27" t="str">
        <f>HYPERLINK("https://www.ncbi.nlm.nih.gov/nuccore/NZ_JYIJ01000008.1?report=graph&amp;from=32346&amp;to=32350", "TTA_codon")</f>
        <v>TTA_codon</v>
      </c>
    </row>
    <row r="5285" spans="1:15" x14ac:dyDescent="0.15">
      <c r="A5285" t="s">
        <v>21</v>
      </c>
      <c r="B5285" t="s">
        <v>3957</v>
      </c>
    </row>
    <row r="5286" spans="1:15" x14ac:dyDescent="0.15">
      <c r="A5286" t="s">
        <v>21</v>
      </c>
      <c r="B5286">
        <v>1000609</v>
      </c>
      <c r="C5286">
        <v>350305</v>
      </c>
      <c r="F5286" s="7">
        <v>1</v>
      </c>
      <c r="G5286" s="7">
        <v>226</v>
      </c>
      <c r="H5286" s="8">
        <v>217</v>
      </c>
      <c r="J5286" t="s">
        <v>23</v>
      </c>
      <c r="K5286" s="7">
        <v>423</v>
      </c>
      <c r="L5286" s="9">
        <v>-1</v>
      </c>
      <c r="M5286" t="s">
        <v>35</v>
      </c>
      <c r="N5286" t="s">
        <v>36</v>
      </c>
      <c r="O5286" s="27" t="str">
        <f>HYPERLINK("https://www.ncbi.nlm.nih.gov/nuccore/NZ_JH725387.1?report=graph&amp;from=36121&amp;to=36125", "TTA_codon")</f>
        <v>TTA_codon</v>
      </c>
    </row>
    <row r="5287" spans="1:15" x14ac:dyDescent="0.15">
      <c r="A5287" t="s">
        <v>21</v>
      </c>
      <c r="B5287">
        <v>1000609</v>
      </c>
      <c r="C5287">
        <v>353787</v>
      </c>
      <c r="F5287" s="7">
        <v>1</v>
      </c>
      <c r="G5287" s="7">
        <v>226</v>
      </c>
      <c r="H5287" s="8">
        <v>226</v>
      </c>
      <c r="J5287" t="s">
        <v>23</v>
      </c>
      <c r="K5287" s="7">
        <v>438</v>
      </c>
      <c r="L5287" s="9">
        <v>-1</v>
      </c>
      <c r="M5287" t="s">
        <v>538</v>
      </c>
      <c r="N5287" t="s">
        <v>246</v>
      </c>
      <c r="O5287" s="27" t="str">
        <f>HYPERLINK("https://www.ncbi.nlm.nih.gov/nuccore/NZ_JNYR01000003.1?report=graph&amp;from=152159&amp;to=152163", "TTA_codon")</f>
        <v>TTA_codon</v>
      </c>
    </row>
    <row r="5288" spans="1:15" x14ac:dyDescent="0.15">
      <c r="A5288" t="s">
        <v>21</v>
      </c>
      <c r="B5288">
        <v>1000609</v>
      </c>
      <c r="C5288">
        <v>362251</v>
      </c>
      <c r="F5288" s="7">
        <v>1</v>
      </c>
      <c r="G5288" s="7">
        <v>226</v>
      </c>
      <c r="H5288" s="8">
        <v>217</v>
      </c>
      <c r="J5288" t="s">
        <v>23</v>
      </c>
      <c r="K5288" s="7">
        <v>447</v>
      </c>
      <c r="L5288" s="9">
        <v>-1</v>
      </c>
      <c r="M5288" t="s">
        <v>39</v>
      </c>
      <c r="N5288" t="s">
        <v>40</v>
      </c>
      <c r="O5288" s="27" t="str">
        <f>HYPERLINK("https://www.ncbi.nlm.nih.gov/nuccore/NZ_CP017157.1?report=graph&amp;from=4808255&amp;to=4808259", "TTA_codon")</f>
        <v>TTA_codon</v>
      </c>
    </row>
    <row r="5289" spans="1:15" x14ac:dyDescent="0.15">
      <c r="A5289" t="s">
        <v>21</v>
      </c>
      <c r="B5289" t="s">
        <v>3958</v>
      </c>
    </row>
    <row r="5290" spans="1:15" x14ac:dyDescent="0.15">
      <c r="A5290" t="s">
        <v>21</v>
      </c>
      <c r="B5290">
        <v>1000919</v>
      </c>
      <c r="C5290">
        <v>353155</v>
      </c>
      <c r="F5290" s="7">
        <v>1</v>
      </c>
      <c r="G5290" s="7">
        <v>91</v>
      </c>
      <c r="H5290" s="8">
        <v>91</v>
      </c>
      <c r="J5290" t="s">
        <v>23</v>
      </c>
      <c r="K5290" s="7">
        <v>8097</v>
      </c>
      <c r="L5290" s="9">
        <v>-1</v>
      </c>
      <c r="M5290" t="s">
        <v>285</v>
      </c>
      <c r="N5290" t="s">
        <v>169</v>
      </c>
      <c r="O5290" s="27" t="str">
        <f>HYPERLINK("https://www.ncbi.nlm.nih.gov/nuccore/NZ_JNWJ01000002.1?report=graph&amp;from=188672&amp;to=188676", "TTA_codon")</f>
        <v>TTA_codon</v>
      </c>
    </row>
    <row r="5291" spans="1:15" x14ac:dyDescent="0.15">
      <c r="A5291" t="s">
        <v>21</v>
      </c>
      <c r="B5291">
        <v>1000919</v>
      </c>
      <c r="C5291">
        <v>361072</v>
      </c>
      <c r="F5291" s="7">
        <v>1</v>
      </c>
      <c r="G5291" s="7">
        <v>37</v>
      </c>
      <c r="H5291" s="8">
        <v>37</v>
      </c>
      <c r="J5291" t="s">
        <v>23</v>
      </c>
      <c r="K5291" s="7">
        <v>8076</v>
      </c>
      <c r="L5291" s="9">
        <v>-1</v>
      </c>
      <c r="M5291" t="s">
        <v>98</v>
      </c>
      <c r="N5291" t="s">
        <v>99</v>
      </c>
      <c r="O5291" s="27" t="str">
        <f>HYPERLINK("https://www.ncbi.nlm.nih.gov/nuccore/NZ_CP016438.1?report=graph&amp;from=8718983&amp;to=8718987", "TTA_codon")</f>
        <v>TTA_codon</v>
      </c>
    </row>
    <row r="5292" spans="1:15" x14ac:dyDescent="0.15">
      <c r="A5292" t="s">
        <v>21</v>
      </c>
      <c r="B5292" t="s">
        <v>3959</v>
      </c>
    </row>
    <row r="5293" spans="1:15" x14ac:dyDescent="0.15">
      <c r="A5293" t="s">
        <v>21</v>
      </c>
      <c r="B5293">
        <v>1001218</v>
      </c>
      <c r="C5293">
        <v>357218</v>
      </c>
      <c r="F5293" s="7">
        <v>1</v>
      </c>
      <c r="G5293" s="7">
        <v>196</v>
      </c>
      <c r="H5293" s="8">
        <v>196</v>
      </c>
      <c r="J5293" t="s">
        <v>23</v>
      </c>
      <c r="K5293" s="7">
        <v>606</v>
      </c>
      <c r="L5293" s="9">
        <v>1</v>
      </c>
      <c r="M5293" t="s">
        <v>205</v>
      </c>
      <c r="N5293" t="s">
        <v>206</v>
      </c>
      <c r="O5293" s="27" t="str">
        <f>HYPERLINK("https://www.ncbi.nlm.nih.gov/nuccore/NZ_CP010407.1?report=graph&amp;from=6201211&amp;to=6201215", "TTA_codon")</f>
        <v>TTA_codon</v>
      </c>
    </row>
    <row r="5294" spans="1:15" x14ac:dyDescent="0.15">
      <c r="A5294" t="s">
        <v>21</v>
      </c>
      <c r="B5294">
        <v>1001218</v>
      </c>
      <c r="C5294">
        <v>359561</v>
      </c>
      <c r="F5294" s="7">
        <v>1</v>
      </c>
      <c r="G5294" s="7">
        <v>196</v>
      </c>
      <c r="H5294" s="8">
        <v>196</v>
      </c>
      <c r="J5294" t="s">
        <v>23</v>
      </c>
      <c r="K5294" s="7">
        <v>489</v>
      </c>
      <c r="L5294" s="9">
        <v>1</v>
      </c>
      <c r="M5294" t="s">
        <v>151</v>
      </c>
      <c r="N5294" t="s">
        <v>152</v>
      </c>
      <c r="O5294" s="27" t="str">
        <f>HYPERLINK("https://www.ncbi.nlm.nih.gov/nuccore/NZ_CP013129.1?report=graph&amp;from=6489614&amp;to=6489618", "TTA_codon")</f>
        <v>TTA_codon</v>
      </c>
    </row>
    <row r="5295" spans="1:15" x14ac:dyDescent="0.15">
      <c r="A5295" t="s">
        <v>21</v>
      </c>
      <c r="B5295" t="s">
        <v>3960</v>
      </c>
    </row>
    <row r="5296" spans="1:15" x14ac:dyDescent="0.15">
      <c r="A5296" t="s">
        <v>21</v>
      </c>
      <c r="B5296">
        <v>1001438</v>
      </c>
      <c r="C5296">
        <v>354270</v>
      </c>
      <c r="F5296" s="7">
        <v>2</v>
      </c>
      <c r="G5296" s="7" t="s">
        <v>3961</v>
      </c>
      <c r="H5296" s="8" t="s">
        <v>3962</v>
      </c>
      <c r="J5296" t="s">
        <v>23</v>
      </c>
      <c r="K5296" s="7">
        <v>2808</v>
      </c>
      <c r="L5296" s="9">
        <v>1</v>
      </c>
      <c r="M5296" t="s">
        <v>1044</v>
      </c>
      <c r="N5296" t="s">
        <v>142</v>
      </c>
      <c r="O5296" s="27" t="str">
        <f>HYPERLINK("https://www.ncbi.nlm.nih.gov/nuccore/NZ_JOEI01000010.1?report=graph&amp;from=123697&amp;to=124250", "TTA_codon")</f>
        <v>TTA_codon</v>
      </c>
    </row>
    <row r="5297" spans="1:15" x14ac:dyDescent="0.15">
      <c r="A5297" t="s">
        <v>21</v>
      </c>
      <c r="B5297">
        <v>1001438</v>
      </c>
      <c r="C5297">
        <v>363558</v>
      </c>
      <c r="F5297" s="7">
        <v>1</v>
      </c>
      <c r="G5297" s="7">
        <v>1231</v>
      </c>
      <c r="H5297" s="8">
        <v>1177</v>
      </c>
      <c r="J5297" t="s">
        <v>23</v>
      </c>
      <c r="K5297" s="7">
        <v>2904</v>
      </c>
      <c r="L5297" s="9">
        <v>1</v>
      </c>
      <c r="M5297" t="s">
        <v>101</v>
      </c>
      <c r="N5297" t="s">
        <v>102</v>
      </c>
      <c r="O5297" s="27" t="str">
        <f>HYPERLINK("https://www.ncbi.nlm.nih.gov/nuccore/NZ_CP019458.1?report=graph&amp;from=2647163&amp;to=2647167", "TTA_codon")</f>
        <v>TTA_codon</v>
      </c>
    </row>
    <row r="5298" spans="1:15" x14ac:dyDescent="0.15">
      <c r="A5298" t="s">
        <v>21</v>
      </c>
      <c r="B5298" t="s">
        <v>3963</v>
      </c>
    </row>
    <row r="5299" spans="1:15" x14ac:dyDescent="0.15">
      <c r="A5299" t="s">
        <v>21</v>
      </c>
      <c r="B5299">
        <v>1000824</v>
      </c>
      <c r="C5299">
        <v>352298</v>
      </c>
      <c r="F5299" s="7">
        <v>2</v>
      </c>
      <c r="G5299" s="7" t="s">
        <v>3964</v>
      </c>
      <c r="H5299" s="8" t="s">
        <v>3964</v>
      </c>
      <c r="J5299" t="s">
        <v>23</v>
      </c>
      <c r="K5299" s="7">
        <v>1149</v>
      </c>
      <c r="L5299" s="9">
        <v>1</v>
      </c>
      <c r="M5299" t="s">
        <v>570</v>
      </c>
      <c r="N5299" t="s">
        <v>72</v>
      </c>
      <c r="O5299" s="27" t="str">
        <f>HYPERLINK("https://www.ncbi.nlm.nih.gov/nuccore/NZ_KB905814.1?report=graph&amp;from=751117&amp;to=751139", "TTA_codon")</f>
        <v>TTA_codon</v>
      </c>
    </row>
    <row r="5300" spans="1:15" x14ac:dyDescent="0.15">
      <c r="A5300" t="s">
        <v>21</v>
      </c>
      <c r="B5300">
        <v>1000824</v>
      </c>
      <c r="C5300">
        <v>364553</v>
      </c>
      <c r="F5300" s="7">
        <v>1</v>
      </c>
      <c r="G5300" s="7">
        <v>256</v>
      </c>
      <c r="H5300" s="8">
        <v>256</v>
      </c>
      <c r="J5300" t="s">
        <v>23</v>
      </c>
      <c r="K5300" s="7">
        <v>1149</v>
      </c>
      <c r="L5300" s="9">
        <v>1</v>
      </c>
      <c r="M5300" t="s">
        <v>3965</v>
      </c>
      <c r="N5300" t="s">
        <v>108</v>
      </c>
      <c r="O5300" s="27" t="str">
        <f>HYPERLINK("https://www.ncbi.nlm.nih.gov/nuccore/NZ_MUMD01000165.1?report=graph&amp;from=14139&amp;to=14143", "TTA_codon")</f>
        <v>TTA_codon</v>
      </c>
    </row>
    <row r="5301" spans="1:15" x14ac:dyDescent="0.15">
      <c r="A5301" t="s">
        <v>21</v>
      </c>
      <c r="B5301" t="s">
        <v>3966</v>
      </c>
    </row>
    <row r="5302" spans="1:15" x14ac:dyDescent="0.15">
      <c r="A5302" t="s">
        <v>21</v>
      </c>
      <c r="B5302">
        <v>1001091</v>
      </c>
      <c r="C5302">
        <v>355430</v>
      </c>
      <c r="F5302" s="7">
        <v>1</v>
      </c>
      <c r="G5302" s="7">
        <v>1474</v>
      </c>
      <c r="H5302" s="8">
        <v>1462</v>
      </c>
      <c r="J5302" t="s">
        <v>23</v>
      </c>
      <c r="K5302" s="7">
        <v>3738</v>
      </c>
      <c r="L5302" s="9">
        <v>-1</v>
      </c>
      <c r="M5302" t="s">
        <v>3967</v>
      </c>
      <c r="N5302" t="s">
        <v>198</v>
      </c>
      <c r="O5302" s="27" t="str">
        <f>HYPERLINK("https://www.ncbi.nlm.nih.gov/nuccore/NZ_JOFL01000015.1?report=graph&amp;from=17029&amp;to=17033", "TTA_codon")</f>
        <v>TTA_codon</v>
      </c>
    </row>
    <row r="5303" spans="1:15" x14ac:dyDescent="0.15">
      <c r="A5303" t="s">
        <v>21</v>
      </c>
      <c r="B5303">
        <v>1001091</v>
      </c>
      <c r="C5303">
        <v>365043</v>
      </c>
      <c r="F5303" s="7">
        <v>1</v>
      </c>
      <c r="G5303" s="7">
        <v>1474</v>
      </c>
      <c r="H5303" s="8">
        <v>1345</v>
      </c>
      <c r="J5303" t="s">
        <v>23</v>
      </c>
      <c r="K5303" s="7">
        <v>3750</v>
      </c>
      <c r="L5303" s="9">
        <v>-1</v>
      </c>
      <c r="M5303" t="s">
        <v>111</v>
      </c>
      <c r="N5303" t="s">
        <v>112</v>
      </c>
      <c r="O5303" s="27" t="str">
        <f>HYPERLINK("https://www.ncbi.nlm.nih.gov/nuccore/NZ_CP021744.1?report=graph&amp;from=6031537&amp;to=6031541", "TTA_codon")</f>
        <v>TTA_codon</v>
      </c>
    </row>
    <row r="5304" spans="1:15" x14ac:dyDescent="0.15">
      <c r="A5304" t="s">
        <v>21</v>
      </c>
      <c r="B5304" t="s">
        <v>3968</v>
      </c>
    </row>
    <row r="5305" spans="1:15" x14ac:dyDescent="0.15">
      <c r="A5305" t="s">
        <v>21</v>
      </c>
      <c r="B5305">
        <v>1001259</v>
      </c>
      <c r="C5305">
        <v>357997</v>
      </c>
      <c r="F5305" s="7">
        <v>1</v>
      </c>
      <c r="G5305" s="7">
        <v>544</v>
      </c>
      <c r="H5305" s="8">
        <v>535</v>
      </c>
      <c r="J5305" t="s">
        <v>23</v>
      </c>
      <c r="K5305" s="7">
        <v>876</v>
      </c>
      <c r="L5305" s="9">
        <v>-1</v>
      </c>
      <c r="M5305" t="s">
        <v>261</v>
      </c>
      <c r="N5305" t="s">
        <v>262</v>
      </c>
      <c r="O5305" s="27" t="str">
        <f>HYPERLINK("https://www.ncbi.nlm.nih.gov/nuccore/NZ_CP011340.1?report=graph&amp;from=4456747&amp;to=4456751", "TTA_codon")</f>
        <v>TTA_codon</v>
      </c>
    </row>
    <row r="5306" spans="1:15" x14ac:dyDescent="0.15">
      <c r="A5306" t="s">
        <v>21</v>
      </c>
      <c r="B5306">
        <v>1001259</v>
      </c>
      <c r="C5306">
        <v>359140</v>
      </c>
      <c r="F5306" s="7">
        <v>1</v>
      </c>
      <c r="G5306" s="7">
        <v>544</v>
      </c>
      <c r="H5306" s="8">
        <v>544</v>
      </c>
      <c r="J5306" t="s">
        <v>23</v>
      </c>
      <c r="K5306" s="7">
        <v>891</v>
      </c>
      <c r="L5306" s="9">
        <v>-1</v>
      </c>
      <c r="M5306" t="s">
        <v>1078</v>
      </c>
      <c r="N5306" t="s">
        <v>451</v>
      </c>
      <c r="O5306" s="27" t="str">
        <f>HYPERLINK("https://www.ncbi.nlm.nih.gov/nuccore/NZ_LIQZ01000007.1?report=graph&amp;from=2053&amp;to=2057", "TTA_codon")</f>
        <v>TTA_codon</v>
      </c>
    </row>
    <row r="5307" spans="1:15" x14ac:dyDescent="0.15">
      <c r="A5307" t="s">
        <v>21</v>
      </c>
      <c r="B5307" t="s">
        <v>3969</v>
      </c>
    </row>
    <row r="5308" spans="1:15" x14ac:dyDescent="0.15">
      <c r="A5308" t="s">
        <v>21</v>
      </c>
      <c r="B5308">
        <v>1000833</v>
      </c>
      <c r="C5308">
        <v>352398</v>
      </c>
      <c r="F5308" s="7">
        <v>1</v>
      </c>
      <c r="G5308" s="7">
        <v>1570</v>
      </c>
      <c r="H5308" s="8">
        <v>1255</v>
      </c>
      <c r="J5308" t="s">
        <v>23</v>
      </c>
      <c r="K5308" s="7">
        <v>1461</v>
      </c>
      <c r="L5308" s="9">
        <v>1</v>
      </c>
      <c r="M5308" t="s">
        <v>30</v>
      </c>
      <c r="N5308" t="s">
        <v>31</v>
      </c>
      <c r="O5308" s="27" t="str">
        <f>HYPERLINK("https://www.ncbi.nlm.nih.gov/nuccore/NZ_KB913030.1?report=graph&amp;from=3419630&amp;to=3419634", "TTA_codon")</f>
        <v>TTA_codon</v>
      </c>
    </row>
    <row r="5309" spans="1:15" x14ac:dyDescent="0.15">
      <c r="A5309" t="s">
        <v>21</v>
      </c>
      <c r="B5309">
        <v>1000833</v>
      </c>
      <c r="C5309">
        <v>364105</v>
      </c>
      <c r="F5309" s="7">
        <v>1</v>
      </c>
      <c r="G5309" s="7">
        <v>1537</v>
      </c>
      <c r="H5309" s="8">
        <v>1426</v>
      </c>
      <c r="J5309" t="s">
        <v>23</v>
      </c>
      <c r="K5309" s="7">
        <v>1653</v>
      </c>
      <c r="L5309" s="9">
        <v>1</v>
      </c>
      <c r="M5309" t="s">
        <v>254</v>
      </c>
      <c r="N5309" t="s">
        <v>255</v>
      </c>
      <c r="O5309" s="27" t="str">
        <f>HYPERLINK("https://www.ncbi.nlm.nih.gov/nuccore/NZ_CP018047.1?report=graph&amp;from=5982242&amp;to=5982246", "TTA_codon")</f>
        <v>TTA_codon</v>
      </c>
    </row>
    <row r="5310" spans="1:15" x14ac:dyDescent="0.15">
      <c r="A5310" t="s">
        <v>21</v>
      </c>
      <c r="B5310">
        <v>1000833</v>
      </c>
      <c r="C5310">
        <v>364808</v>
      </c>
      <c r="F5310" s="7">
        <v>1</v>
      </c>
      <c r="G5310" s="7">
        <v>1570</v>
      </c>
      <c r="H5310" s="8">
        <v>1234</v>
      </c>
      <c r="J5310" t="s">
        <v>23</v>
      </c>
      <c r="K5310" s="7">
        <v>1440</v>
      </c>
      <c r="L5310" s="9">
        <v>1</v>
      </c>
      <c r="M5310" t="s">
        <v>126</v>
      </c>
      <c r="N5310" t="s">
        <v>127</v>
      </c>
      <c r="O5310" s="27" t="str">
        <f>HYPERLINK("https://www.ncbi.nlm.nih.gov/nuccore/NZ_CP021748.1?report=graph&amp;from=4424390&amp;to=4424394", "TTA_codon")</f>
        <v>TTA_codon</v>
      </c>
    </row>
    <row r="5311" spans="1:15" x14ac:dyDescent="0.15">
      <c r="A5311" t="s">
        <v>21</v>
      </c>
      <c r="B5311" t="s">
        <v>3970</v>
      </c>
    </row>
    <row r="5312" spans="1:15" x14ac:dyDescent="0.15">
      <c r="A5312" t="s">
        <v>21</v>
      </c>
      <c r="B5312">
        <v>1001502</v>
      </c>
      <c r="C5312">
        <v>350503</v>
      </c>
      <c r="F5312" s="7">
        <v>2</v>
      </c>
      <c r="G5312" s="7" t="s">
        <v>3971</v>
      </c>
      <c r="H5312" s="8" t="s">
        <v>3971</v>
      </c>
      <c r="J5312" t="s">
        <v>23</v>
      </c>
      <c r="K5312" s="7">
        <v>1269</v>
      </c>
      <c r="L5312" s="9">
        <v>-1</v>
      </c>
      <c r="M5312" t="s">
        <v>2337</v>
      </c>
      <c r="N5312" t="s">
        <v>134</v>
      </c>
      <c r="O5312" s="27" t="str">
        <f>HYPERLINK("https://www.ncbi.nlm.nih.gov/nuccore/NZ_AJSZ01000445.1?report=graph&amp;from=10159&amp;to=10298", "TTA_codon")</f>
        <v>TTA_codon</v>
      </c>
    </row>
    <row r="5313" spans="1:15" x14ac:dyDescent="0.15">
      <c r="A5313" t="s">
        <v>21</v>
      </c>
      <c r="B5313">
        <v>1001502</v>
      </c>
      <c r="C5313">
        <v>352577</v>
      </c>
      <c r="F5313" s="7">
        <v>1</v>
      </c>
      <c r="G5313" s="7">
        <v>226</v>
      </c>
      <c r="H5313" s="8">
        <v>220</v>
      </c>
      <c r="J5313" t="s">
        <v>23</v>
      </c>
      <c r="K5313" s="7">
        <v>1245</v>
      </c>
      <c r="L5313" s="9">
        <v>-1</v>
      </c>
      <c r="M5313" t="s">
        <v>1643</v>
      </c>
      <c r="N5313" t="s">
        <v>436</v>
      </c>
      <c r="O5313" s="27" t="str">
        <f>HYPERLINK("https://www.ncbi.nlm.nih.gov/nuccore/NZ_AUBE01000002.1?report=graph&amp;from=308338&amp;to=308342", "TTA_codon")</f>
        <v>TTA_codon</v>
      </c>
    </row>
    <row r="5314" spans="1:15" x14ac:dyDescent="0.15">
      <c r="A5314" t="s">
        <v>21</v>
      </c>
      <c r="B5314">
        <v>1001502</v>
      </c>
      <c r="C5314">
        <v>355611</v>
      </c>
      <c r="F5314" s="7">
        <v>1</v>
      </c>
      <c r="G5314" s="7">
        <v>226</v>
      </c>
      <c r="H5314" s="8">
        <v>226</v>
      </c>
      <c r="J5314" t="s">
        <v>23</v>
      </c>
      <c r="K5314" s="7">
        <v>1269</v>
      </c>
      <c r="L5314" s="9">
        <v>-1</v>
      </c>
      <c r="M5314" t="s">
        <v>3972</v>
      </c>
      <c r="N5314" t="s">
        <v>278</v>
      </c>
      <c r="O5314" s="27" t="str">
        <f>HYPERLINK("https://www.ncbi.nlm.nih.gov/nuccore/NZ_JOID01000019.1?report=graph&amp;from=67556&amp;to=67560", "TTA_codon")</f>
        <v>TTA_codon</v>
      </c>
    </row>
    <row r="5315" spans="1:15" x14ac:dyDescent="0.15">
      <c r="A5315" t="s">
        <v>21</v>
      </c>
      <c r="B5315">
        <v>1001502</v>
      </c>
      <c r="C5315">
        <v>363603</v>
      </c>
      <c r="F5315" s="7">
        <v>2</v>
      </c>
      <c r="G5315" s="7" t="s">
        <v>3973</v>
      </c>
      <c r="H5315" s="8" t="s">
        <v>3974</v>
      </c>
      <c r="J5315" t="s">
        <v>23</v>
      </c>
      <c r="K5315" s="7">
        <v>1245</v>
      </c>
      <c r="L5315" s="9">
        <v>-1</v>
      </c>
      <c r="M5315" t="s">
        <v>101</v>
      </c>
      <c r="N5315" t="s">
        <v>102</v>
      </c>
      <c r="O5315" s="27" t="str">
        <f>HYPERLINK("https://www.ncbi.nlm.nih.gov/nuccore/NZ_CP019458.1?report=graph&amp;from=3645935&amp;to=3646584", "TTA_codon")</f>
        <v>TTA_codon</v>
      </c>
    </row>
    <row r="5316" spans="1:15" x14ac:dyDescent="0.15">
      <c r="A5316" t="s">
        <v>21</v>
      </c>
      <c r="B5316">
        <v>1001502</v>
      </c>
      <c r="C5316">
        <v>364673</v>
      </c>
      <c r="F5316" s="7">
        <v>1</v>
      </c>
      <c r="G5316" s="7">
        <v>226</v>
      </c>
      <c r="H5316" s="8">
        <v>190</v>
      </c>
      <c r="J5316" t="s">
        <v>23</v>
      </c>
      <c r="K5316" s="7">
        <v>1212</v>
      </c>
      <c r="L5316" s="9">
        <v>-1</v>
      </c>
      <c r="M5316" t="s">
        <v>3975</v>
      </c>
      <c r="N5316" t="s">
        <v>110</v>
      </c>
      <c r="O5316" s="27" t="str">
        <f>HYPERLINK("https://www.ncbi.nlm.nih.gov/nuccore/NZ_MUME01000039.1?report=graph&amp;from=8045&amp;to=8049", "TTA_codon")</f>
        <v>TTA_codon</v>
      </c>
    </row>
    <row r="5317" spans="1:15" x14ac:dyDescent="0.15">
      <c r="A5317" t="s">
        <v>21</v>
      </c>
      <c r="B5317">
        <v>1001502</v>
      </c>
      <c r="C5317">
        <v>365424</v>
      </c>
      <c r="F5317" s="7">
        <v>1</v>
      </c>
      <c r="G5317" s="7">
        <v>67</v>
      </c>
      <c r="H5317" s="8">
        <v>61</v>
      </c>
      <c r="J5317" t="s">
        <v>23</v>
      </c>
      <c r="K5317" s="7">
        <v>1245</v>
      </c>
      <c r="L5317" s="9">
        <v>-1</v>
      </c>
      <c r="M5317" t="s">
        <v>3976</v>
      </c>
      <c r="N5317" t="s">
        <v>45</v>
      </c>
      <c r="O5317" s="27" t="str">
        <f>HYPERLINK("https://www.ncbi.nlm.nih.gov/nuccore/NZ_FNIE01000008.1?report=graph&amp;from=250591&amp;to=250595", "TTA_codon")</f>
        <v>TTA_codon</v>
      </c>
    </row>
    <row r="5318" spans="1:15" x14ac:dyDescent="0.15">
      <c r="A5318" t="s">
        <v>21</v>
      </c>
      <c r="B5318">
        <v>1001502</v>
      </c>
      <c r="C5318">
        <v>365574</v>
      </c>
      <c r="F5318" s="7">
        <v>3</v>
      </c>
      <c r="G5318" s="7" t="s">
        <v>3977</v>
      </c>
      <c r="H5318" s="8" t="s">
        <v>3978</v>
      </c>
      <c r="J5318" t="s">
        <v>23</v>
      </c>
      <c r="K5318" s="7">
        <v>1245</v>
      </c>
      <c r="L5318" s="9">
        <v>-1</v>
      </c>
      <c r="M5318" t="s">
        <v>213</v>
      </c>
      <c r="N5318" t="s">
        <v>214</v>
      </c>
      <c r="O5318" s="27" t="str">
        <f>HYPERLINK("https://www.ncbi.nlm.nih.gov/nuccore/NZ_FNST01000002.1?report=graph&amp;from=1274632&amp;to=1275377", "TTA_codon")</f>
        <v>TTA_codon</v>
      </c>
    </row>
    <row r="5319" spans="1:15" x14ac:dyDescent="0.15">
      <c r="A5319" t="s">
        <v>21</v>
      </c>
      <c r="B5319" t="s">
        <v>3979</v>
      </c>
    </row>
    <row r="5320" spans="1:15" x14ac:dyDescent="0.15">
      <c r="A5320" t="s">
        <v>21</v>
      </c>
      <c r="B5320">
        <v>1001263</v>
      </c>
      <c r="C5320">
        <v>358103</v>
      </c>
      <c r="F5320" s="7">
        <v>1</v>
      </c>
      <c r="G5320" s="7">
        <v>463</v>
      </c>
      <c r="H5320" s="8">
        <v>451</v>
      </c>
      <c r="J5320" t="s">
        <v>23</v>
      </c>
      <c r="K5320" s="7">
        <v>1917</v>
      </c>
      <c r="L5320" s="9">
        <v>1</v>
      </c>
      <c r="M5320" t="s">
        <v>2670</v>
      </c>
      <c r="N5320" t="s">
        <v>119</v>
      </c>
      <c r="O5320" s="27" t="str">
        <f>HYPERLINK("https://www.ncbi.nlm.nih.gov/nuccore/NZ_LIPP01000312.1?report=graph&amp;from=10349&amp;to=10353", "TTA_codon")</f>
        <v>TTA_codon</v>
      </c>
    </row>
    <row r="5321" spans="1:15" x14ac:dyDescent="0.15">
      <c r="A5321" t="s">
        <v>21</v>
      </c>
      <c r="B5321">
        <v>1001263</v>
      </c>
      <c r="C5321">
        <v>359055</v>
      </c>
      <c r="F5321" s="7">
        <v>2</v>
      </c>
      <c r="G5321" s="7" t="s">
        <v>3980</v>
      </c>
      <c r="H5321" s="8" t="s">
        <v>3981</v>
      </c>
      <c r="J5321" t="s">
        <v>23</v>
      </c>
      <c r="K5321" s="7">
        <v>1914</v>
      </c>
      <c r="L5321" s="9">
        <v>1</v>
      </c>
      <c r="M5321" t="s">
        <v>450</v>
      </c>
      <c r="N5321" t="s">
        <v>451</v>
      </c>
      <c r="O5321" s="27" t="str">
        <f>HYPERLINK("https://www.ncbi.nlm.nih.gov/nuccore/NZ_LIQZ01000115.1?report=graph&amp;from=25534&amp;to=25907", "TTA_codon")</f>
        <v>TTA_codon</v>
      </c>
    </row>
    <row r="5322" spans="1:15" x14ac:dyDescent="0.15">
      <c r="A5322" t="s">
        <v>21</v>
      </c>
      <c r="B5322">
        <v>1001263</v>
      </c>
      <c r="C5322">
        <v>359463</v>
      </c>
      <c r="F5322" s="7">
        <v>1</v>
      </c>
      <c r="G5322" s="7">
        <v>679</v>
      </c>
      <c r="H5322" s="8">
        <v>619</v>
      </c>
      <c r="J5322" t="s">
        <v>23</v>
      </c>
      <c r="K5322" s="7">
        <v>1920</v>
      </c>
      <c r="L5322" s="9">
        <v>1</v>
      </c>
      <c r="M5322" t="s">
        <v>151</v>
      </c>
      <c r="N5322" t="s">
        <v>152</v>
      </c>
      <c r="O5322" s="27" t="str">
        <f>HYPERLINK("https://www.ncbi.nlm.nih.gov/nuccore/NZ_CP013129.1?report=graph&amp;from=2800632&amp;to=2800636", "TTA_codon")</f>
        <v>TTA_codon</v>
      </c>
    </row>
    <row r="5323" spans="1:15" x14ac:dyDescent="0.15">
      <c r="A5323" t="s">
        <v>21</v>
      </c>
      <c r="B5323">
        <v>1001263</v>
      </c>
      <c r="C5323">
        <v>363619</v>
      </c>
      <c r="F5323" s="7">
        <v>2</v>
      </c>
      <c r="G5323" s="7" t="s">
        <v>3982</v>
      </c>
      <c r="H5323" s="8" t="s">
        <v>3983</v>
      </c>
      <c r="J5323" t="s">
        <v>23</v>
      </c>
      <c r="K5323" s="7">
        <v>1806</v>
      </c>
      <c r="L5323" s="9">
        <v>1</v>
      </c>
      <c r="M5323" t="s">
        <v>101</v>
      </c>
      <c r="N5323" t="s">
        <v>102</v>
      </c>
      <c r="O5323" s="27" t="str">
        <f>HYPERLINK("https://www.ncbi.nlm.nih.gov/nuccore/NZ_CP019458.1?report=graph&amp;from=9356689&amp;to=9357182", "TTA_codon")</f>
        <v>TTA_codon</v>
      </c>
    </row>
    <row r="5324" spans="1:15" x14ac:dyDescent="0.15">
      <c r="A5324" t="s">
        <v>21</v>
      </c>
      <c r="B5324">
        <v>1001263</v>
      </c>
      <c r="C5324">
        <v>365592</v>
      </c>
      <c r="F5324" s="7">
        <v>3</v>
      </c>
      <c r="G5324" s="7" t="s">
        <v>3984</v>
      </c>
      <c r="H5324" s="8" t="s">
        <v>3985</v>
      </c>
      <c r="J5324" t="s">
        <v>23</v>
      </c>
      <c r="K5324" s="7">
        <v>1806</v>
      </c>
      <c r="L5324" s="9">
        <v>1</v>
      </c>
      <c r="M5324" t="s">
        <v>213</v>
      </c>
      <c r="N5324" t="s">
        <v>214</v>
      </c>
      <c r="O5324" s="27" t="str">
        <f>HYPERLINK("https://www.ncbi.nlm.nih.gov/nuccore/NZ_FNST01000002.1?report=graph&amp;from=7013628&amp;to=7014850", "TTA_codon")</f>
        <v>TTA_codon</v>
      </c>
    </row>
    <row r="5325" spans="1:15" x14ac:dyDescent="0.15">
      <c r="A5325" t="s">
        <v>21</v>
      </c>
      <c r="B5325">
        <v>1001263</v>
      </c>
      <c r="C5325">
        <v>365937</v>
      </c>
      <c r="F5325" s="7">
        <v>1</v>
      </c>
      <c r="G5325" s="7">
        <v>595</v>
      </c>
      <c r="H5325" s="8">
        <v>559</v>
      </c>
      <c r="J5325" t="s">
        <v>23</v>
      </c>
      <c r="K5325" s="7">
        <v>1887</v>
      </c>
      <c r="L5325" s="9">
        <v>1</v>
      </c>
      <c r="M5325" t="s">
        <v>456</v>
      </c>
      <c r="N5325" t="s">
        <v>115</v>
      </c>
      <c r="O5325" s="27" t="str">
        <f>HYPERLINK("https://www.ncbi.nlm.nih.gov/nuccore/NZ_FODD01000002.1?report=graph&amp;from=125007&amp;to=125011", "TTA_codon")</f>
        <v>TTA_codon</v>
      </c>
    </row>
    <row r="5326" spans="1:15" x14ac:dyDescent="0.15">
      <c r="A5326" t="s">
        <v>21</v>
      </c>
      <c r="B5326" t="s">
        <v>3986</v>
      </c>
    </row>
    <row r="5327" spans="1:15" x14ac:dyDescent="0.15">
      <c r="A5327" t="s">
        <v>21</v>
      </c>
      <c r="B5327">
        <v>1000164</v>
      </c>
      <c r="C5327">
        <v>347230</v>
      </c>
      <c r="F5327" s="7">
        <v>1</v>
      </c>
      <c r="G5327" s="7">
        <v>460</v>
      </c>
      <c r="H5327" s="8">
        <v>388</v>
      </c>
      <c r="J5327" t="s">
        <v>23</v>
      </c>
      <c r="K5327" s="7">
        <v>690</v>
      </c>
      <c r="L5327" s="9">
        <v>-1</v>
      </c>
      <c r="M5327" t="s">
        <v>53</v>
      </c>
      <c r="N5327" t="s">
        <v>54</v>
      </c>
      <c r="O5327" s="27" t="str">
        <f>HYPERLINK("https://www.ncbi.nlm.nih.gov/nuccore/NC_003155.5?report=graph&amp;from=1979185&amp;to=1979189", "TTA_codon")</f>
        <v>TTA_codon</v>
      </c>
    </row>
    <row r="5328" spans="1:15" x14ac:dyDescent="0.15">
      <c r="A5328" t="s">
        <v>21</v>
      </c>
      <c r="B5328">
        <v>1000164</v>
      </c>
      <c r="C5328">
        <v>354274</v>
      </c>
      <c r="F5328" s="7">
        <v>1</v>
      </c>
      <c r="G5328" s="7">
        <v>460</v>
      </c>
      <c r="H5328" s="8">
        <v>457</v>
      </c>
      <c r="J5328" t="s">
        <v>23</v>
      </c>
      <c r="K5328" s="7">
        <v>774</v>
      </c>
      <c r="L5328" s="9">
        <v>-1</v>
      </c>
      <c r="M5328" t="s">
        <v>141</v>
      </c>
      <c r="N5328" t="s">
        <v>142</v>
      </c>
      <c r="O5328" s="27" t="str">
        <f>HYPERLINK("https://www.ncbi.nlm.nih.gov/nuccore/NZ_JOEI01000002.1?report=graph&amp;from=250333&amp;to=250337", "TTA_codon")</f>
        <v>TTA_codon</v>
      </c>
    </row>
    <row r="5329" spans="1:15" x14ac:dyDescent="0.15">
      <c r="A5329" t="s">
        <v>21</v>
      </c>
      <c r="B5329">
        <v>1000164</v>
      </c>
      <c r="C5329">
        <v>359012</v>
      </c>
      <c r="F5329" s="7">
        <v>1</v>
      </c>
      <c r="G5329" s="7">
        <v>460</v>
      </c>
      <c r="H5329" s="8">
        <v>388</v>
      </c>
      <c r="J5329" t="s">
        <v>23</v>
      </c>
      <c r="K5329" s="7">
        <v>687</v>
      </c>
      <c r="L5329" s="9">
        <v>-1</v>
      </c>
      <c r="M5329" t="s">
        <v>3987</v>
      </c>
      <c r="N5329" t="s">
        <v>451</v>
      </c>
      <c r="O5329" s="27" t="str">
        <f>HYPERLINK("https://www.ncbi.nlm.nih.gov/nuccore/NZ_LIQZ01000375.1?report=graph&amp;from=19480&amp;to=19484", "TTA_codon")</f>
        <v>TTA_codon</v>
      </c>
    </row>
    <row r="5330" spans="1:15" x14ac:dyDescent="0.15">
      <c r="A5330" t="s">
        <v>21</v>
      </c>
      <c r="B5330" t="s">
        <v>3988</v>
      </c>
    </row>
    <row r="5331" spans="1:15" x14ac:dyDescent="0.15">
      <c r="A5331" t="s">
        <v>21</v>
      </c>
      <c r="B5331">
        <v>1001368</v>
      </c>
      <c r="C5331">
        <v>361342</v>
      </c>
      <c r="F5331" s="7">
        <v>1</v>
      </c>
      <c r="G5331" s="7">
        <v>274</v>
      </c>
      <c r="H5331" s="8">
        <v>196</v>
      </c>
      <c r="J5331" t="s">
        <v>23</v>
      </c>
      <c r="K5331" s="7">
        <v>393</v>
      </c>
      <c r="L5331" s="9">
        <v>-1</v>
      </c>
      <c r="M5331" t="s">
        <v>286</v>
      </c>
      <c r="N5331" t="s">
        <v>201</v>
      </c>
      <c r="O5331" s="27" t="str">
        <f>HYPERLINK("https://www.ncbi.nlm.nih.gov/nuccore/NZ_CP016560.1?report=graph&amp;from=543383&amp;to=543387", "TTA_codon")</f>
        <v>TTA_codon</v>
      </c>
    </row>
    <row r="5332" spans="1:15" x14ac:dyDescent="0.15">
      <c r="A5332" t="s">
        <v>21</v>
      </c>
      <c r="B5332">
        <v>1001368</v>
      </c>
      <c r="C5332">
        <v>361343</v>
      </c>
      <c r="F5332" s="7">
        <v>1</v>
      </c>
      <c r="G5332" s="7">
        <v>274</v>
      </c>
      <c r="H5332" s="8">
        <v>274</v>
      </c>
      <c r="J5332" t="s">
        <v>23</v>
      </c>
      <c r="K5332" s="7">
        <v>471</v>
      </c>
      <c r="L5332" s="9">
        <v>-1</v>
      </c>
      <c r="M5332" t="s">
        <v>286</v>
      </c>
      <c r="N5332" t="s">
        <v>201</v>
      </c>
      <c r="O5332" s="27" t="str">
        <f>HYPERLINK("https://www.ncbi.nlm.nih.gov/nuccore/NZ_CP016560.1?report=graph&amp;from=540660&amp;to=540664", "TTA_codon")</f>
        <v>TTA_codon</v>
      </c>
    </row>
    <row r="5333" spans="1:15" x14ac:dyDescent="0.15">
      <c r="A5333" t="s">
        <v>195</v>
      </c>
      <c r="B5333" t="s">
        <v>3989</v>
      </c>
    </row>
    <row r="5334" spans="1:15" x14ac:dyDescent="0.15">
      <c r="A5334" t="s">
        <v>195</v>
      </c>
      <c r="B5334">
        <v>1001339</v>
      </c>
      <c r="C5334">
        <v>346116</v>
      </c>
      <c r="F5334" s="7">
        <v>1</v>
      </c>
      <c r="G5334" s="7">
        <v>478</v>
      </c>
      <c r="H5334" s="8">
        <v>328</v>
      </c>
      <c r="J5334" t="s">
        <v>23</v>
      </c>
      <c r="K5334" s="7">
        <v>3045</v>
      </c>
      <c r="L5334" s="9">
        <v>1</v>
      </c>
      <c r="M5334" t="s">
        <v>3990</v>
      </c>
      <c r="N5334" t="s">
        <v>64</v>
      </c>
      <c r="O5334" s="27" t="str">
        <f>HYPERLINK("https://www.ncbi.nlm.nih.gov/nuccore/NZ_AEYX01000018.1?report=graph&amp;from=9197&amp;to=9201", "TTA_codon")</f>
        <v>TTA_codon</v>
      </c>
    </row>
    <row r="5335" spans="1:15" x14ac:dyDescent="0.15">
      <c r="A5335" t="s">
        <v>195</v>
      </c>
      <c r="B5335">
        <v>1001339</v>
      </c>
      <c r="C5335">
        <v>346187</v>
      </c>
      <c r="F5335" s="7">
        <v>2</v>
      </c>
      <c r="G5335" s="7" t="s">
        <v>2898</v>
      </c>
      <c r="H5335" s="8" t="s">
        <v>3991</v>
      </c>
      <c r="J5335" t="s">
        <v>23</v>
      </c>
      <c r="K5335" s="7">
        <v>2928</v>
      </c>
      <c r="L5335" s="9">
        <v>1</v>
      </c>
      <c r="M5335" t="s">
        <v>3992</v>
      </c>
      <c r="N5335" t="s">
        <v>51</v>
      </c>
      <c r="O5335" s="27" t="str">
        <f>HYPERLINK("https://www.ncbi.nlm.nih.gov/nuccore/NZ_AEJB01000141.1?report=graph&amp;from=9231&amp;to=9400", "TTA_codon")</f>
        <v>TTA_codon</v>
      </c>
    </row>
    <row r="5336" spans="1:15" x14ac:dyDescent="0.15">
      <c r="A5336" t="s">
        <v>21</v>
      </c>
      <c r="B5336">
        <v>1001339</v>
      </c>
      <c r="C5336">
        <v>349423</v>
      </c>
      <c r="F5336" s="7">
        <v>1</v>
      </c>
      <c r="G5336" s="7">
        <v>595</v>
      </c>
      <c r="H5336" s="8">
        <v>424</v>
      </c>
      <c r="J5336" t="s">
        <v>23</v>
      </c>
      <c r="K5336" s="7">
        <v>3741</v>
      </c>
      <c r="L5336" s="9">
        <v>1</v>
      </c>
      <c r="M5336" t="s">
        <v>458</v>
      </c>
      <c r="N5336" t="s">
        <v>315</v>
      </c>
      <c r="O5336" s="27" t="str">
        <f>HYPERLINK("https://www.ncbi.nlm.nih.gov/nuccore/NC_003888.3?report=graph&amp;from=4676004&amp;to=4676008", "TTA_codon")</f>
        <v>TTA_codon</v>
      </c>
    </row>
    <row r="5337" spans="1:15" x14ac:dyDescent="0.15">
      <c r="A5337" t="s">
        <v>21</v>
      </c>
      <c r="B5337">
        <v>1001339</v>
      </c>
      <c r="C5337">
        <v>351784</v>
      </c>
      <c r="F5337" s="7">
        <v>1</v>
      </c>
      <c r="G5337" s="7">
        <v>595</v>
      </c>
      <c r="H5337" s="8">
        <v>415</v>
      </c>
      <c r="J5337" t="s">
        <v>23</v>
      </c>
      <c r="K5337" s="7">
        <v>2760</v>
      </c>
      <c r="L5337" s="9">
        <v>1</v>
      </c>
      <c r="M5337" t="s">
        <v>3993</v>
      </c>
      <c r="N5337" t="s">
        <v>68</v>
      </c>
      <c r="O5337" s="27" t="str">
        <f>HYPERLINK("https://www.ncbi.nlm.nih.gov/nuccore/NZ_BARG01000103.1?report=graph&amp;from=11733&amp;to=11737", "TTA_codon")</f>
        <v>TTA_codon</v>
      </c>
    </row>
    <row r="5338" spans="1:15" x14ac:dyDescent="0.15">
      <c r="A5338" t="s">
        <v>21</v>
      </c>
      <c r="B5338">
        <v>1001339</v>
      </c>
      <c r="C5338">
        <v>354321</v>
      </c>
      <c r="F5338" s="7">
        <v>1</v>
      </c>
      <c r="G5338" s="7">
        <v>595</v>
      </c>
      <c r="H5338" s="8">
        <v>421</v>
      </c>
      <c r="J5338" t="s">
        <v>23</v>
      </c>
      <c r="K5338" s="7">
        <v>2754</v>
      </c>
      <c r="L5338" s="9">
        <v>1</v>
      </c>
      <c r="M5338" t="s">
        <v>3994</v>
      </c>
      <c r="N5338" t="s">
        <v>142</v>
      </c>
      <c r="O5338" s="27" t="str">
        <f>HYPERLINK("https://www.ncbi.nlm.nih.gov/nuccore/NZ_JOEI01000026.1?report=graph&amp;from=17829&amp;to=17833", "TTA_codon")</f>
        <v>TTA_codon</v>
      </c>
    </row>
    <row r="5339" spans="1:15" x14ac:dyDescent="0.15">
      <c r="A5339" t="s">
        <v>21</v>
      </c>
      <c r="B5339">
        <v>1001339</v>
      </c>
      <c r="C5339">
        <v>355407</v>
      </c>
      <c r="F5339" s="7">
        <v>1</v>
      </c>
      <c r="G5339" s="7">
        <v>706</v>
      </c>
      <c r="H5339" s="8">
        <v>583</v>
      </c>
      <c r="J5339" t="s">
        <v>23</v>
      </c>
      <c r="K5339" s="7">
        <v>2919</v>
      </c>
      <c r="L5339" s="9">
        <v>1</v>
      </c>
      <c r="M5339" t="s">
        <v>3905</v>
      </c>
      <c r="N5339" t="s">
        <v>198</v>
      </c>
      <c r="O5339" s="27" t="str">
        <f>HYPERLINK("https://www.ncbi.nlm.nih.gov/nuccore/NZ_JOFL01000006.1?report=graph&amp;from=85502&amp;to=85506", "TTA_codon")</f>
        <v>TTA_codon</v>
      </c>
    </row>
    <row r="5340" spans="1:15" x14ac:dyDescent="0.15">
      <c r="A5340" t="s">
        <v>21</v>
      </c>
      <c r="B5340">
        <v>1001339</v>
      </c>
      <c r="C5340">
        <v>355625</v>
      </c>
      <c r="F5340" s="7">
        <v>1</v>
      </c>
      <c r="G5340" s="7">
        <v>595</v>
      </c>
      <c r="H5340" s="8">
        <v>493</v>
      </c>
      <c r="J5340" t="s">
        <v>23</v>
      </c>
      <c r="K5340" s="7">
        <v>2844</v>
      </c>
      <c r="L5340" s="9">
        <v>1</v>
      </c>
      <c r="M5340" t="s">
        <v>1335</v>
      </c>
      <c r="N5340" t="s">
        <v>278</v>
      </c>
      <c r="O5340" s="27" t="str">
        <f>HYPERLINK("https://www.ncbi.nlm.nih.gov/nuccore/NZ_JOID01000002.1?report=graph&amp;from=219286&amp;to=219290", "TTA_codon")</f>
        <v>TTA_codon</v>
      </c>
    </row>
    <row r="5341" spans="1:15" x14ac:dyDescent="0.15">
      <c r="A5341" t="s">
        <v>21</v>
      </c>
      <c r="B5341">
        <v>1001339</v>
      </c>
      <c r="C5341">
        <v>355836</v>
      </c>
      <c r="F5341" s="7">
        <v>1</v>
      </c>
      <c r="G5341" s="7">
        <v>595</v>
      </c>
      <c r="H5341" s="8">
        <v>424</v>
      </c>
      <c r="J5341" t="s">
        <v>23</v>
      </c>
      <c r="K5341" s="7">
        <v>2877</v>
      </c>
      <c r="L5341" s="9">
        <v>1</v>
      </c>
      <c r="M5341" t="s">
        <v>1506</v>
      </c>
      <c r="N5341" t="s">
        <v>75</v>
      </c>
      <c r="O5341" s="27" t="str">
        <f>HYPERLINK("https://www.ncbi.nlm.nih.gov/nuccore/NZ_JOII01000003.1?report=graph&amp;from=190451&amp;to=190455", "TTA_codon")</f>
        <v>TTA_codon</v>
      </c>
    </row>
    <row r="5342" spans="1:15" x14ac:dyDescent="0.15">
      <c r="A5342" t="s">
        <v>21</v>
      </c>
      <c r="B5342">
        <v>1001339</v>
      </c>
      <c r="C5342">
        <v>357074</v>
      </c>
      <c r="F5342" s="7">
        <v>1</v>
      </c>
      <c r="G5342" s="7">
        <v>595</v>
      </c>
      <c r="H5342" s="8">
        <v>427</v>
      </c>
      <c r="J5342" t="s">
        <v>23</v>
      </c>
      <c r="K5342" s="7">
        <v>2868</v>
      </c>
      <c r="L5342" s="9">
        <v>1</v>
      </c>
      <c r="M5342" t="s">
        <v>162</v>
      </c>
      <c r="N5342" t="s">
        <v>163</v>
      </c>
      <c r="O5342" s="27" t="str">
        <f>HYPERLINK("https://www.ncbi.nlm.nih.gov/nuccore/NZ_CP010519.1?report=graph&amp;from=2860608&amp;to=2860612", "TTA_codon")</f>
        <v>TTA_codon</v>
      </c>
    </row>
    <row r="5343" spans="1:15" x14ac:dyDescent="0.15">
      <c r="A5343" t="s">
        <v>21</v>
      </c>
      <c r="B5343">
        <v>1001339</v>
      </c>
      <c r="C5343">
        <v>360381</v>
      </c>
      <c r="F5343" s="7">
        <v>1</v>
      </c>
      <c r="G5343" s="7">
        <v>850</v>
      </c>
      <c r="H5343" s="8">
        <v>685</v>
      </c>
      <c r="J5343" t="s">
        <v>23</v>
      </c>
      <c r="K5343" s="7">
        <v>2832</v>
      </c>
      <c r="L5343" s="9">
        <v>1</v>
      </c>
      <c r="M5343" t="s">
        <v>121</v>
      </c>
      <c r="N5343" t="s">
        <v>122</v>
      </c>
      <c r="O5343" s="27" t="str">
        <f>HYPERLINK("https://www.ncbi.nlm.nih.gov/nuccore/NZ_CP016279.1?report=graph&amp;from=1776884&amp;to=1776888", "TTA_codon")</f>
        <v>TTA_codon</v>
      </c>
    </row>
    <row r="5344" spans="1:15" x14ac:dyDescent="0.15">
      <c r="A5344" t="s">
        <v>21</v>
      </c>
      <c r="B5344">
        <v>1001339</v>
      </c>
      <c r="C5344">
        <v>364591</v>
      </c>
      <c r="F5344" s="7">
        <v>1</v>
      </c>
      <c r="G5344" s="7">
        <v>595</v>
      </c>
      <c r="H5344" s="8">
        <v>424</v>
      </c>
      <c r="J5344" t="s">
        <v>23</v>
      </c>
      <c r="K5344" s="7">
        <v>3123</v>
      </c>
      <c r="L5344" s="9">
        <v>1</v>
      </c>
      <c r="M5344" t="s">
        <v>3995</v>
      </c>
      <c r="N5344" t="s">
        <v>108</v>
      </c>
      <c r="O5344" s="27" t="str">
        <f>HYPERLINK("https://www.ncbi.nlm.nih.gov/nuccore/NZ_MUMD01000034.1?report=graph&amp;from=2327&amp;to=2331", "TTA_codon")</f>
        <v>TTA_codon</v>
      </c>
    </row>
    <row r="5345" spans="1:15" x14ac:dyDescent="0.15">
      <c r="A5345" t="s">
        <v>21</v>
      </c>
      <c r="B5345">
        <v>1001339</v>
      </c>
      <c r="C5345">
        <v>365589</v>
      </c>
      <c r="F5345" s="7">
        <v>2</v>
      </c>
      <c r="G5345" s="7" t="s">
        <v>3996</v>
      </c>
      <c r="H5345" s="8" t="s">
        <v>3997</v>
      </c>
      <c r="J5345" t="s">
        <v>23</v>
      </c>
      <c r="K5345" s="7">
        <v>2886</v>
      </c>
      <c r="L5345" s="9">
        <v>1</v>
      </c>
      <c r="M5345" t="s">
        <v>213</v>
      </c>
      <c r="N5345" t="s">
        <v>214</v>
      </c>
      <c r="O5345" s="27" t="str">
        <f>HYPERLINK("https://www.ncbi.nlm.nih.gov/nuccore/NZ_FNST01000002.1?report=graph&amp;from=7547584&amp;to=7548212", "TTA_codon")</f>
        <v>TTA_codon</v>
      </c>
    </row>
    <row r="5346" spans="1:15" x14ac:dyDescent="0.15">
      <c r="A5346" t="s">
        <v>21</v>
      </c>
      <c r="B5346" t="s">
        <v>3998</v>
      </c>
    </row>
    <row r="5347" spans="1:15" x14ac:dyDescent="0.15">
      <c r="A5347" t="s">
        <v>21</v>
      </c>
      <c r="B5347">
        <v>1000405</v>
      </c>
      <c r="C5347">
        <v>348514</v>
      </c>
      <c r="F5347" s="7">
        <v>1</v>
      </c>
      <c r="G5347" s="7">
        <v>43</v>
      </c>
      <c r="H5347" s="8">
        <v>43</v>
      </c>
      <c r="J5347" t="s">
        <v>23</v>
      </c>
      <c r="K5347" s="7">
        <v>771</v>
      </c>
      <c r="L5347" s="9">
        <v>-1</v>
      </c>
      <c r="M5347" t="s">
        <v>61</v>
      </c>
      <c r="N5347" t="s">
        <v>62</v>
      </c>
      <c r="O5347" s="27" t="str">
        <f>HYPERLINK("https://www.ncbi.nlm.nih.gov/nuccore/NZ_DS999641.1?report=graph&amp;from=74796&amp;to=74800", "TTA_codon")</f>
        <v>TTA_codon</v>
      </c>
    </row>
    <row r="5348" spans="1:15" x14ac:dyDescent="0.15">
      <c r="A5348" t="s">
        <v>21</v>
      </c>
      <c r="B5348">
        <v>1000405</v>
      </c>
      <c r="C5348">
        <v>361929</v>
      </c>
      <c r="F5348" s="7">
        <v>1</v>
      </c>
      <c r="G5348" s="7">
        <v>142</v>
      </c>
      <c r="H5348" s="8">
        <v>142</v>
      </c>
      <c r="J5348" t="s">
        <v>23</v>
      </c>
      <c r="K5348" s="7">
        <v>774</v>
      </c>
      <c r="L5348" s="9">
        <v>-1</v>
      </c>
      <c r="M5348" t="s">
        <v>3999</v>
      </c>
      <c r="N5348" t="s">
        <v>187</v>
      </c>
      <c r="O5348" s="27" t="str">
        <f>HYPERLINK("https://www.ncbi.nlm.nih.gov/nuccore/NZ_MAXF01000096.1?report=graph&amp;from=58572&amp;to=58576", "TTA_codon")</f>
        <v>TTA_codon</v>
      </c>
    </row>
    <row r="5349" spans="1:15" x14ac:dyDescent="0.15">
      <c r="A5349" t="s">
        <v>21</v>
      </c>
      <c r="B5349" t="s">
        <v>4000</v>
      </c>
    </row>
    <row r="5350" spans="1:15" x14ac:dyDescent="0.15">
      <c r="A5350" t="s">
        <v>21</v>
      </c>
      <c r="B5350">
        <v>1001131</v>
      </c>
      <c r="C5350">
        <v>355963</v>
      </c>
      <c r="F5350" s="7">
        <v>1</v>
      </c>
      <c r="G5350" s="7">
        <v>40</v>
      </c>
      <c r="H5350" s="8">
        <v>40</v>
      </c>
      <c r="J5350" t="s">
        <v>23</v>
      </c>
      <c r="K5350" s="7">
        <v>789</v>
      </c>
      <c r="L5350" s="9">
        <v>-1</v>
      </c>
      <c r="M5350" t="s">
        <v>4001</v>
      </c>
      <c r="N5350" t="s">
        <v>384</v>
      </c>
      <c r="O5350" s="27" t="str">
        <f>HYPERLINK("https://www.ncbi.nlm.nih.gov/nuccore/NZ_JOAK01000034.1?report=graph&amp;from=54070&amp;to=54074", "TTA_codon")</f>
        <v>TTA_codon</v>
      </c>
    </row>
    <row r="5351" spans="1:15" x14ac:dyDescent="0.15">
      <c r="A5351" t="s">
        <v>21</v>
      </c>
      <c r="B5351">
        <v>1001131</v>
      </c>
      <c r="C5351">
        <v>361001</v>
      </c>
      <c r="F5351" s="7">
        <v>1</v>
      </c>
      <c r="G5351" s="7">
        <v>37</v>
      </c>
      <c r="H5351" s="8">
        <v>37</v>
      </c>
      <c r="J5351" t="s">
        <v>23</v>
      </c>
      <c r="K5351" s="7">
        <v>795</v>
      </c>
      <c r="L5351" s="9">
        <v>-1</v>
      </c>
      <c r="M5351" t="s">
        <v>968</v>
      </c>
      <c r="N5351" t="s">
        <v>97</v>
      </c>
      <c r="O5351" s="27" t="str">
        <f>HYPERLINK("https://www.ncbi.nlm.nih.gov/nuccore/NZ_LOHS01000031.1?report=graph&amp;from=23246&amp;to=23250", "TTA_codon")</f>
        <v>TTA_codon</v>
      </c>
    </row>
    <row r="5352" spans="1:15" x14ac:dyDescent="0.15">
      <c r="A5352" t="s">
        <v>21</v>
      </c>
      <c r="B5352">
        <v>1001131</v>
      </c>
      <c r="C5352">
        <v>364399</v>
      </c>
      <c r="F5352" s="7">
        <v>1</v>
      </c>
      <c r="G5352" s="7">
        <v>40</v>
      </c>
      <c r="H5352" s="8">
        <v>40</v>
      </c>
      <c r="J5352" t="s">
        <v>23</v>
      </c>
      <c r="K5352" s="7">
        <v>786</v>
      </c>
      <c r="L5352" s="9">
        <v>-1</v>
      </c>
      <c r="M5352" t="s">
        <v>105</v>
      </c>
      <c r="N5352" t="s">
        <v>106</v>
      </c>
      <c r="O5352" s="27" t="str">
        <f>HYPERLINK("https://www.ncbi.nlm.nih.gov/nuccore/NZ_CP020042.1?report=graph&amp;from=1794256&amp;to=1794260", "TTA_codon")</f>
        <v>TTA_codon</v>
      </c>
    </row>
    <row r="5353" spans="1:15" x14ac:dyDescent="0.15">
      <c r="A5353" t="s">
        <v>21</v>
      </c>
      <c r="B5353" t="s">
        <v>4002</v>
      </c>
    </row>
    <row r="5354" spans="1:15" x14ac:dyDescent="0.15">
      <c r="A5354" t="s">
        <v>21</v>
      </c>
      <c r="B5354">
        <v>1001179</v>
      </c>
      <c r="C5354">
        <v>356596</v>
      </c>
      <c r="F5354" s="7">
        <v>1</v>
      </c>
      <c r="G5354" s="7">
        <v>172</v>
      </c>
      <c r="H5354" s="8">
        <v>169</v>
      </c>
      <c r="J5354" t="s">
        <v>23</v>
      </c>
      <c r="K5354" s="7">
        <v>954</v>
      </c>
      <c r="L5354" s="9">
        <v>-1</v>
      </c>
      <c r="M5354" t="s">
        <v>508</v>
      </c>
      <c r="N5354" t="s">
        <v>509</v>
      </c>
      <c r="O5354" s="27" t="str">
        <f>HYPERLINK("https://www.ncbi.nlm.nih.gov/nuccore/NZ_CP009438.1?report=graph&amp;from=697111&amp;to=697115", "TTA_codon")</f>
        <v>TTA_codon</v>
      </c>
    </row>
    <row r="5355" spans="1:15" x14ac:dyDescent="0.15">
      <c r="A5355" t="s">
        <v>21</v>
      </c>
      <c r="B5355">
        <v>1001179</v>
      </c>
      <c r="C5355">
        <v>361221</v>
      </c>
      <c r="F5355" s="7">
        <v>1</v>
      </c>
      <c r="G5355" s="7">
        <v>172</v>
      </c>
      <c r="H5355" s="8">
        <v>169</v>
      </c>
      <c r="J5355" t="s">
        <v>23</v>
      </c>
      <c r="K5355" s="7">
        <v>969</v>
      </c>
      <c r="L5355" s="9">
        <v>-1</v>
      </c>
      <c r="M5355" t="s">
        <v>98</v>
      </c>
      <c r="N5355" t="s">
        <v>99</v>
      </c>
      <c r="O5355" s="27" t="str">
        <f>HYPERLINK("https://www.ncbi.nlm.nih.gov/nuccore/NZ_CP016438.1?report=graph&amp;from=1317350&amp;to=1317354", "TTA_codon")</f>
        <v>TTA_codon</v>
      </c>
    </row>
    <row r="5356" spans="1:15" x14ac:dyDescent="0.15">
      <c r="A5356" t="s">
        <v>21</v>
      </c>
      <c r="B5356">
        <v>1001179</v>
      </c>
      <c r="C5356">
        <v>364905</v>
      </c>
      <c r="F5356" s="7">
        <v>1</v>
      </c>
      <c r="G5356" s="7">
        <v>172</v>
      </c>
      <c r="H5356" s="8">
        <v>172</v>
      </c>
      <c r="J5356" t="s">
        <v>23</v>
      </c>
      <c r="K5356" s="7">
        <v>1005</v>
      </c>
      <c r="L5356" s="9">
        <v>-1</v>
      </c>
      <c r="M5356" t="s">
        <v>126</v>
      </c>
      <c r="N5356" t="s">
        <v>127</v>
      </c>
      <c r="O5356" s="27" t="str">
        <f>HYPERLINK("https://www.ncbi.nlm.nih.gov/nuccore/NZ_CP021748.1?report=graph&amp;from=1396269&amp;to=1396273", "TTA_codon")</f>
        <v>TTA_codon</v>
      </c>
    </row>
    <row r="5357" spans="1:15" x14ac:dyDescent="0.15">
      <c r="A5357" t="s">
        <v>21</v>
      </c>
      <c r="B5357" t="s">
        <v>4003</v>
      </c>
    </row>
    <row r="5358" spans="1:15" x14ac:dyDescent="0.15">
      <c r="A5358" t="s">
        <v>21</v>
      </c>
      <c r="B5358">
        <v>1001186</v>
      </c>
      <c r="C5358">
        <v>356658</v>
      </c>
      <c r="F5358" s="7">
        <v>2</v>
      </c>
      <c r="G5358" s="7" t="s">
        <v>4004</v>
      </c>
      <c r="H5358" s="8" t="s">
        <v>4005</v>
      </c>
      <c r="J5358" t="s">
        <v>23</v>
      </c>
      <c r="K5358" s="7">
        <v>1926</v>
      </c>
      <c r="L5358" s="9">
        <v>1</v>
      </c>
      <c r="M5358" t="s">
        <v>147</v>
      </c>
      <c r="N5358" t="s">
        <v>148</v>
      </c>
      <c r="O5358" s="27" t="str">
        <f>HYPERLINK("https://www.ncbi.nlm.nih.gov/nuccore/NZ_CP021080.1?report=graph&amp;from=5616910&amp;to=5617301", "TTA_codon")</f>
        <v>TTA_codon</v>
      </c>
    </row>
    <row r="5359" spans="1:15" x14ac:dyDescent="0.15">
      <c r="A5359" t="s">
        <v>21</v>
      </c>
      <c r="B5359">
        <v>1001186</v>
      </c>
      <c r="C5359">
        <v>360393</v>
      </c>
      <c r="F5359" s="7">
        <v>1</v>
      </c>
      <c r="G5359" s="7">
        <v>1258</v>
      </c>
      <c r="H5359" s="8">
        <v>1258</v>
      </c>
      <c r="J5359" t="s">
        <v>23</v>
      </c>
      <c r="K5359" s="7">
        <v>1977</v>
      </c>
      <c r="L5359" s="9">
        <v>1</v>
      </c>
      <c r="M5359" t="s">
        <v>121</v>
      </c>
      <c r="N5359" t="s">
        <v>122</v>
      </c>
      <c r="O5359" s="27" t="str">
        <f>HYPERLINK("https://www.ncbi.nlm.nih.gov/nuccore/NZ_CP016279.1?report=graph&amp;from=2383573&amp;to=2383577", "TTA_codon")</f>
        <v>TTA_codon</v>
      </c>
    </row>
    <row r="5360" spans="1:15" x14ac:dyDescent="0.15">
      <c r="A5360" t="s">
        <v>195</v>
      </c>
      <c r="B5360" t="s">
        <v>4006</v>
      </c>
    </row>
    <row r="5361" spans="1:15" x14ac:dyDescent="0.15">
      <c r="A5361" t="s">
        <v>195</v>
      </c>
      <c r="B5361">
        <v>1000110</v>
      </c>
      <c r="C5361">
        <v>346730</v>
      </c>
      <c r="F5361" s="7">
        <v>1</v>
      </c>
      <c r="G5361" s="7">
        <v>37</v>
      </c>
      <c r="H5361" s="8">
        <v>37</v>
      </c>
      <c r="J5361" t="s">
        <v>23</v>
      </c>
      <c r="K5361" s="7">
        <v>1236</v>
      </c>
      <c r="L5361" s="9">
        <v>1</v>
      </c>
      <c r="M5361" t="s">
        <v>151</v>
      </c>
      <c r="N5361" t="s">
        <v>152</v>
      </c>
      <c r="O5361" s="27" t="str">
        <f>HYPERLINK("https://www.ncbi.nlm.nih.gov/nuccore/NZ_CP013129.1?report=graph&amp;from=8845235&amp;to=8845239", "TTA_codon")</f>
        <v>TTA_codon</v>
      </c>
    </row>
    <row r="5362" spans="1:15" x14ac:dyDescent="0.15">
      <c r="A5362" t="s">
        <v>21</v>
      </c>
      <c r="B5362">
        <v>1000110</v>
      </c>
      <c r="C5362">
        <v>357153</v>
      </c>
      <c r="F5362" s="7">
        <v>1</v>
      </c>
      <c r="G5362" s="7">
        <v>37</v>
      </c>
      <c r="H5362" s="8">
        <v>37</v>
      </c>
      <c r="J5362" t="s">
        <v>23</v>
      </c>
      <c r="K5362" s="7">
        <v>1236</v>
      </c>
      <c r="L5362" s="9">
        <v>1</v>
      </c>
      <c r="M5362" t="s">
        <v>205</v>
      </c>
      <c r="N5362" t="s">
        <v>206</v>
      </c>
      <c r="O5362" s="27" t="str">
        <f>HYPERLINK("https://www.ncbi.nlm.nih.gov/nuccore/NZ_CP010407.1?report=graph&amp;from=640042&amp;to=640046", "TTA_codon")</f>
        <v>TTA_codon</v>
      </c>
    </row>
    <row r="5363" spans="1:15" x14ac:dyDescent="0.15">
      <c r="A5363" t="s">
        <v>21</v>
      </c>
      <c r="B5363" t="s">
        <v>4007</v>
      </c>
    </row>
    <row r="5364" spans="1:15" x14ac:dyDescent="0.15">
      <c r="A5364" t="s">
        <v>21</v>
      </c>
      <c r="B5364">
        <v>1000000</v>
      </c>
      <c r="C5364">
        <v>308770</v>
      </c>
      <c r="F5364" s="7">
        <v>1</v>
      </c>
      <c r="G5364" s="7">
        <v>145</v>
      </c>
      <c r="H5364" s="8">
        <v>145</v>
      </c>
      <c r="J5364" t="s">
        <v>23</v>
      </c>
      <c r="K5364" s="7">
        <v>762</v>
      </c>
      <c r="L5364" s="9">
        <v>1</v>
      </c>
      <c r="M5364" t="s">
        <v>53</v>
      </c>
      <c r="N5364" t="s">
        <v>54</v>
      </c>
      <c r="O5364" s="27" t="str">
        <f>HYPERLINK("https://www.ncbi.nlm.nih.gov/nuccore/NC_003155.5?report=graph&amp;from=821531&amp;to=821535", "TTA_codon")</f>
        <v>TTA_codon</v>
      </c>
    </row>
    <row r="5365" spans="1:15" x14ac:dyDescent="0.15">
      <c r="A5365" t="s">
        <v>21</v>
      </c>
      <c r="B5365">
        <v>1000000</v>
      </c>
      <c r="C5365">
        <v>331538</v>
      </c>
      <c r="F5365" s="7">
        <v>2</v>
      </c>
      <c r="G5365" s="7" t="s">
        <v>4008</v>
      </c>
      <c r="H5365" s="8" t="s">
        <v>4008</v>
      </c>
      <c r="J5365" t="s">
        <v>23</v>
      </c>
      <c r="K5365" s="7">
        <v>756</v>
      </c>
      <c r="L5365" s="9">
        <v>1</v>
      </c>
      <c r="M5365" t="s">
        <v>1014</v>
      </c>
      <c r="N5365" t="s">
        <v>125</v>
      </c>
      <c r="O5365" s="27" t="str">
        <f>HYPERLINK("https://www.ncbi.nlm.nih.gov/nuccore/NZ_KQ948484.1?report=graph&amp;from=39001&amp;to=39452", "TTA_codon")</f>
        <v>TTA_codon</v>
      </c>
    </row>
    <row r="5366" spans="1:15" x14ac:dyDescent="0.15">
      <c r="A5366" t="s">
        <v>21</v>
      </c>
      <c r="B5366" t="s">
        <v>4009</v>
      </c>
    </row>
    <row r="5367" spans="1:15" x14ac:dyDescent="0.15">
      <c r="A5367" t="s">
        <v>21</v>
      </c>
      <c r="B5367">
        <v>1000932</v>
      </c>
      <c r="C5367">
        <v>348136</v>
      </c>
      <c r="F5367" s="7">
        <v>1</v>
      </c>
      <c r="G5367" s="7">
        <v>106</v>
      </c>
      <c r="H5367" s="8">
        <v>70</v>
      </c>
      <c r="J5367" t="s">
        <v>23</v>
      </c>
      <c r="K5367" s="7">
        <v>2214</v>
      </c>
      <c r="L5367" s="9">
        <v>1</v>
      </c>
      <c r="M5367" t="s">
        <v>59</v>
      </c>
      <c r="N5367" t="s">
        <v>60</v>
      </c>
      <c r="O5367" s="27" t="str">
        <f>HYPERLINK("https://www.ncbi.nlm.nih.gov/nuccore/NC_016582.1?report=graph&amp;from=8428641&amp;to=8428645", "TTA_codon")</f>
        <v>TTA_codon</v>
      </c>
    </row>
    <row r="5368" spans="1:15" x14ac:dyDescent="0.15">
      <c r="A5368" t="s">
        <v>21</v>
      </c>
      <c r="B5368">
        <v>1000932</v>
      </c>
      <c r="C5368">
        <v>349618</v>
      </c>
      <c r="F5368" s="7">
        <v>1</v>
      </c>
      <c r="G5368" s="7">
        <v>130</v>
      </c>
      <c r="H5368" s="8">
        <v>130</v>
      </c>
      <c r="J5368" t="s">
        <v>23</v>
      </c>
      <c r="K5368" s="7">
        <v>2391</v>
      </c>
      <c r="L5368" s="9">
        <v>1</v>
      </c>
      <c r="M5368" t="s">
        <v>4010</v>
      </c>
      <c r="N5368" t="s">
        <v>335</v>
      </c>
      <c r="O5368" s="27" t="str">
        <f>HYPERLINK("https://www.ncbi.nlm.nih.gov/nuccore/NZ_AGBF01000131.1?report=graph&amp;from=6019&amp;to=6023", "TTA_codon")</f>
        <v>TTA_codon</v>
      </c>
    </row>
    <row r="5369" spans="1:15" x14ac:dyDescent="0.15">
      <c r="A5369" t="s">
        <v>21</v>
      </c>
      <c r="B5369">
        <v>1000932</v>
      </c>
      <c r="C5369">
        <v>353274</v>
      </c>
      <c r="F5369" s="7">
        <v>1</v>
      </c>
      <c r="G5369" s="7">
        <v>229</v>
      </c>
      <c r="H5369" s="8">
        <v>190</v>
      </c>
      <c r="J5369" t="s">
        <v>23</v>
      </c>
      <c r="K5369" s="7">
        <v>2190</v>
      </c>
      <c r="L5369" s="9">
        <v>1</v>
      </c>
      <c r="M5369" t="s">
        <v>449</v>
      </c>
      <c r="N5369" t="s">
        <v>169</v>
      </c>
      <c r="O5369" s="27" t="str">
        <f>HYPERLINK("https://www.ncbi.nlm.nih.gov/nuccore/NZ_JNWJ01000022.1?report=graph&amp;from=7053&amp;to=7057", "TTA_codon")</f>
        <v>TTA_codon</v>
      </c>
    </row>
    <row r="5370" spans="1:15" x14ac:dyDescent="0.15">
      <c r="A5370" t="s">
        <v>21</v>
      </c>
      <c r="B5370">
        <v>1000932</v>
      </c>
      <c r="C5370">
        <v>357733</v>
      </c>
      <c r="F5370" s="7">
        <v>1</v>
      </c>
      <c r="G5370" s="7">
        <v>157</v>
      </c>
      <c r="H5370" s="8">
        <v>67</v>
      </c>
      <c r="J5370" t="s">
        <v>23</v>
      </c>
      <c r="K5370" s="7">
        <v>2136</v>
      </c>
      <c r="L5370" s="9">
        <v>1</v>
      </c>
      <c r="M5370" t="s">
        <v>4011</v>
      </c>
      <c r="N5370" t="s">
        <v>83</v>
      </c>
      <c r="O5370" s="27" t="str">
        <f>HYPERLINK("https://www.ncbi.nlm.nih.gov/nuccore/NZ_DF968236.1?report=graph&amp;from=36886&amp;to=36890", "TTA_codon")</f>
        <v>TTA_codon</v>
      </c>
    </row>
    <row r="5371" spans="1:15" x14ac:dyDescent="0.15">
      <c r="A5371" t="s">
        <v>21</v>
      </c>
      <c r="B5371" t="s">
        <v>4012</v>
      </c>
    </row>
    <row r="5372" spans="1:15" x14ac:dyDescent="0.15">
      <c r="A5372" t="s">
        <v>21</v>
      </c>
      <c r="B5372">
        <v>1000321</v>
      </c>
      <c r="C5372">
        <v>348025</v>
      </c>
      <c r="F5372" s="7">
        <v>1</v>
      </c>
      <c r="G5372" s="7">
        <v>103</v>
      </c>
      <c r="H5372" s="8">
        <v>97</v>
      </c>
      <c r="J5372" t="s">
        <v>23</v>
      </c>
      <c r="K5372" s="7">
        <v>1098</v>
      </c>
      <c r="L5372" s="9">
        <v>1</v>
      </c>
      <c r="M5372" t="s">
        <v>59</v>
      </c>
      <c r="N5372" t="s">
        <v>60</v>
      </c>
      <c r="O5372" s="27" t="str">
        <f>HYPERLINK("https://www.ncbi.nlm.nih.gov/nuccore/NC_016582.1?report=graph&amp;from=7103100&amp;to=7103104", "TTA_codon")</f>
        <v>TTA_codon</v>
      </c>
    </row>
    <row r="5373" spans="1:15" x14ac:dyDescent="0.15">
      <c r="A5373" t="s">
        <v>21</v>
      </c>
      <c r="B5373">
        <v>1000321</v>
      </c>
      <c r="C5373">
        <v>358559</v>
      </c>
      <c r="F5373" s="7">
        <v>1</v>
      </c>
      <c r="G5373" s="7">
        <v>229</v>
      </c>
      <c r="H5373" s="8">
        <v>229</v>
      </c>
      <c r="J5373" t="s">
        <v>23</v>
      </c>
      <c r="K5373" s="7">
        <v>1227</v>
      </c>
      <c r="L5373" s="9">
        <v>1</v>
      </c>
      <c r="M5373" t="s">
        <v>4013</v>
      </c>
      <c r="N5373" t="s">
        <v>299</v>
      </c>
      <c r="O5373" s="27" t="str">
        <f>HYPERLINK("https://www.ncbi.nlm.nih.gov/nuccore/NZ_LIQY01000722.1?report=graph&amp;from=542&amp;to=546", "TTA_codon")</f>
        <v>TTA_codon</v>
      </c>
    </row>
    <row r="5374" spans="1:15" x14ac:dyDescent="0.15">
      <c r="A5374" t="s">
        <v>21</v>
      </c>
      <c r="B5374" t="s">
        <v>4014</v>
      </c>
    </row>
    <row r="5375" spans="1:15" x14ac:dyDescent="0.15">
      <c r="A5375" t="s">
        <v>21</v>
      </c>
      <c r="B5375">
        <v>1000728</v>
      </c>
      <c r="C5375">
        <v>351196</v>
      </c>
      <c r="F5375" s="7">
        <v>1</v>
      </c>
      <c r="G5375" s="7">
        <v>52</v>
      </c>
      <c r="H5375" s="8">
        <v>52</v>
      </c>
      <c r="J5375" t="s">
        <v>23</v>
      </c>
      <c r="K5375" s="7">
        <v>1557</v>
      </c>
      <c r="L5375" s="9">
        <v>-1</v>
      </c>
      <c r="M5375" t="s">
        <v>65</v>
      </c>
      <c r="N5375" t="s">
        <v>66</v>
      </c>
      <c r="O5375" s="27" t="str">
        <f>HYPERLINK("https://www.ncbi.nlm.nih.gov/nuccore/NC_020504.1?report=graph&amp;from=4811596&amp;to=4811600", "TTA_codon")</f>
        <v>TTA_codon</v>
      </c>
    </row>
    <row r="5376" spans="1:15" x14ac:dyDescent="0.15">
      <c r="A5376" t="s">
        <v>21</v>
      </c>
      <c r="B5376">
        <v>1000728</v>
      </c>
      <c r="C5376">
        <v>366261</v>
      </c>
      <c r="F5376" s="7">
        <v>1</v>
      </c>
      <c r="G5376" s="7">
        <v>85</v>
      </c>
      <c r="H5376" s="8">
        <v>79</v>
      </c>
      <c r="J5376" t="s">
        <v>23</v>
      </c>
      <c r="K5376" s="7">
        <v>1788</v>
      </c>
      <c r="L5376" s="9">
        <v>-1</v>
      </c>
      <c r="M5376" t="s">
        <v>4015</v>
      </c>
      <c r="N5376" t="s">
        <v>47</v>
      </c>
      <c r="O5376" s="27" t="str">
        <f>HYPERLINK("https://www.ncbi.nlm.nih.gov/nuccore/NZ_FOLM01000001.1?report=graph&amp;from=344079&amp;to=344083", "TTA_codon")</f>
        <v>TTA_codon</v>
      </c>
    </row>
    <row r="5377" spans="1:15" x14ac:dyDescent="0.15">
      <c r="A5377" t="s">
        <v>21</v>
      </c>
      <c r="B5377" t="s">
        <v>4016</v>
      </c>
    </row>
    <row r="5378" spans="1:15" x14ac:dyDescent="0.15">
      <c r="A5378" t="s">
        <v>21</v>
      </c>
      <c r="B5378">
        <v>1001547</v>
      </c>
      <c r="C5378">
        <v>366960</v>
      </c>
      <c r="F5378" s="7">
        <v>1</v>
      </c>
      <c r="G5378" s="7">
        <v>91</v>
      </c>
      <c r="H5378" s="8">
        <v>91</v>
      </c>
      <c r="J5378" t="s">
        <v>23</v>
      </c>
      <c r="K5378" s="7">
        <v>234</v>
      </c>
      <c r="L5378" s="9">
        <v>1</v>
      </c>
      <c r="M5378" t="s">
        <v>220</v>
      </c>
      <c r="N5378" t="s">
        <v>221</v>
      </c>
      <c r="O5378" s="27" t="str">
        <f>HYPERLINK("https://www.ncbi.nlm.nih.gov/nuccore/MH576964.1?report=graph&amp;from=65564&amp;to=65568", "TTA_codon")</f>
        <v>TTA_codon</v>
      </c>
    </row>
    <row r="5379" spans="1:15" x14ac:dyDescent="0.15">
      <c r="A5379" t="s">
        <v>21</v>
      </c>
      <c r="B5379">
        <v>1001547</v>
      </c>
      <c r="C5379">
        <v>367076</v>
      </c>
      <c r="F5379" s="7">
        <v>1</v>
      </c>
      <c r="G5379" s="7">
        <v>91</v>
      </c>
      <c r="H5379" s="8">
        <v>91</v>
      </c>
      <c r="J5379" t="s">
        <v>23</v>
      </c>
      <c r="K5379" s="7">
        <v>234</v>
      </c>
      <c r="L5379" s="9">
        <v>1</v>
      </c>
      <c r="M5379" t="s">
        <v>228</v>
      </c>
      <c r="N5379" t="s">
        <v>229</v>
      </c>
      <c r="O5379" s="27" t="str">
        <f>HYPERLINK("https://www.ncbi.nlm.nih.gov/nuccore/MN428060.1?report=graph&amp;from=65289&amp;to=65293", "TTA_codon")</f>
        <v>TTA_codon</v>
      </c>
    </row>
    <row r="5380" spans="1:15" x14ac:dyDescent="0.15">
      <c r="A5380" t="s">
        <v>21</v>
      </c>
      <c r="B5380">
        <v>1001547</v>
      </c>
      <c r="C5380">
        <v>367203</v>
      </c>
      <c r="F5380" s="7">
        <v>1</v>
      </c>
      <c r="G5380" s="7">
        <v>91</v>
      </c>
      <c r="H5380" s="8">
        <v>91</v>
      </c>
      <c r="J5380" t="s">
        <v>23</v>
      </c>
      <c r="K5380" s="7">
        <v>234</v>
      </c>
      <c r="L5380" s="9">
        <v>1</v>
      </c>
      <c r="M5380" t="s">
        <v>236</v>
      </c>
      <c r="N5380" t="s">
        <v>237</v>
      </c>
      <c r="O5380" s="27" t="str">
        <f>HYPERLINK("https://www.ncbi.nlm.nih.gov/nuccore/MW291014.1?report=graph&amp;from=65196&amp;to=65200", "TTA_codon")</f>
        <v>TTA_codon</v>
      </c>
    </row>
    <row r="5381" spans="1:15" x14ac:dyDescent="0.15">
      <c r="A5381" t="s">
        <v>21</v>
      </c>
      <c r="B5381">
        <v>1001547</v>
      </c>
      <c r="C5381">
        <v>367241</v>
      </c>
      <c r="F5381" s="7">
        <v>1</v>
      </c>
      <c r="G5381" s="7">
        <v>91</v>
      </c>
      <c r="H5381" s="8">
        <v>91</v>
      </c>
      <c r="J5381" t="s">
        <v>23</v>
      </c>
      <c r="K5381" s="7">
        <v>234</v>
      </c>
      <c r="L5381" s="9">
        <v>1</v>
      </c>
      <c r="M5381" t="s">
        <v>238</v>
      </c>
      <c r="N5381" t="s">
        <v>239</v>
      </c>
      <c r="O5381" s="27" t="str">
        <f>HYPERLINK("https://www.ncbi.nlm.nih.gov/nuccore/MW507134.1?report=graph&amp;from=65562&amp;to=65566", "TTA_codon")</f>
        <v>TTA_codon</v>
      </c>
    </row>
    <row r="5382" spans="1:15" x14ac:dyDescent="0.15">
      <c r="A5382" t="s">
        <v>21</v>
      </c>
      <c r="B5382">
        <v>1001547</v>
      </c>
      <c r="C5382">
        <v>367360</v>
      </c>
      <c r="F5382" s="7">
        <v>1</v>
      </c>
      <c r="G5382" s="7">
        <v>91</v>
      </c>
      <c r="H5382" s="8">
        <v>91</v>
      </c>
      <c r="J5382" t="s">
        <v>23</v>
      </c>
      <c r="K5382" s="7">
        <v>234</v>
      </c>
      <c r="L5382" s="9">
        <v>1</v>
      </c>
      <c r="M5382" t="s">
        <v>240</v>
      </c>
      <c r="N5382" t="s">
        <v>241</v>
      </c>
      <c r="O5382" s="27" t="str">
        <f>HYPERLINK("https://www.ncbi.nlm.nih.gov/nuccore/NC_048724.1?report=graph&amp;from=65694&amp;to=65698", "TTA_codon")</f>
        <v>TTA_codon</v>
      </c>
    </row>
    <row r="5383" spans="1:15" x14ac:dyDescent="0.15">
      <c r="A5383" t="s">
        <v>21</v>
      </c>
      <c r="B5383" t="s">
        <v>4017</v>
      </c>
    </row>
    <row r="5384" spans="1:15" x14ac:dyDescent="0.15">
      <c r="A5384" t="s">
        <v>21</v>
      </c>
      <c r="B5384">
        <v>1001113</v>
      </c>
      <c r="C5384">
        <v>355703</v>
      </c>
      <c r="F5384" s="7">
        <v>1</v>
      </c>
      <c r="G5384" s="7">
        <v>805</v>
      </c>
      <c r="H5384" s="8">
        <v>805</v>
      </c>
      <c r="J5384" t="s">
        <v>23</v>
      </c>
      <c r="K5384" s="7">
        <v>969</v>
      </c>
      <c r="L5384" s="9">
        <v>1</v>
      </c>
      <c r="M5384" t="s">
        <v>4018</v>
      </c>
      <c r="N5384" t="s">
        <v>278</v>
      </c>
      <c r="O5384" s="27" t="str">
        <f>HYPERLINK("https://www.ncbi.nlm.nih.gov/nuccore/NZ_JOID01000044.1?report=graph&amp;from=20385&amp;to=20389", "TTA_codon")</f>
        <v>TTA_codon</v>
      </c>
    </row>
    <row r="5385" spans="1:15" x14ac:dyDescent="0.15">
      <c r="A5385" t="s">
        <v>21</v>
      </c>
      <c r="B5385">
        <v>1001113</v>
      </c>
      <c r="C5385">
        <v>362047</v>
      </c>
      <c r="F5385" s="7">
        <v>1</v>
      </c>
      <c r="G5385" s="7">
        <v>670</v>
      </c>
      <c r="H5385" s="8">
        <v>643</v>
      </c>
      <c r="J5385" t="s">
        <v>23</v>
      </c>
      <c r="K5385" s="7">
        <v>948</v>
      </c>
      <c r="L5385" s="9">
        <v>1</v>
      </c>
      <c r="M5385" t="s">
        <v>4019</v>
      </c>
      <c r="N5385" t="s">
        <v>187</v>
      </c>
      <c r="O5385" s="27" t="str">
        <f>HYPERLINK("https://www.ncbi.nlm.nih.gov/nuccore/NZ_MAXF01000153.1?report=graph&amp;from=34016&amp;to=34020", "TTA_codon")</f>
        <v>TTA_codon</v>
      </c>
    </row>
    <row r="5386" spans="1:15" x14ac:dyDescent="0.15">
      <c r="A5386" t="s">
        <v>21</v>
      </c>
      <c r="B5386" t="s">
        <v>4020</v>
      </c>
    </row>
    <row r="5387" spans="1:15" x14ac:dyDescent="0.15">
      <c r="A5387" t="s">
        <v>21</v>
      </c>
      <c r="B5387">
        <v>1000207</v>
      </c>
      <c r="C5387">
        <v>347375</v>
      </c>
      <c r="F5387" s="7">
        <v>1</v>
      </c>
      <c r="G5387" s="7">
        <v>961</v>
      </c>
      <c r="H5387" s="8">
        <v>961</v>
      </c>
      <c r="J5387" t="s">
        <v>23</v>
      </c>
      <c r="K5387" s="7">
        <v>1959</v>
      </c>
      <c r="L5387" s="9">
        <v>1</v>
      </c>
      <c r="M5387" t="s">
        <v>217</v>
      </c>
      <c r="N5387" t="s">
        <v>218</v>
      </c>
      <c r="O5387" s="27" t="str">
        <f>HYPERLINK("https://www.ncbi.nlm.nih.gov/nuccore/NC_021985.1?report=graph&amp;from=1369761&amp;to=1369765", "TTA_codon")</f>
        <v>TTA_codon</v>
      </c>
    </row>
    <row r="5388" spans="1:15" x14ac:dyDescent="0.15">
      <c r="A5388" t="s">
        <v>21</v>
      </c>
      <c r="B5388">
        <v>1000207</v>
      </c>
      <c r="C5388">
        <v>360420</v>
      </c>
      <c r="F5388" s="7">
        <v>1</v>
      </c>
      <c r="G5388" s="7">
        <v>925</v>
      </c>
      <c r="H5388" s="8">
        <v>925</v>
      </c>
      <c r="J5388" t="s">
        <v>23</v>
      </c>
      <c r="K5388" s="7">
        <v>1959</v>
      </c>
      <c r="L5388" s="9">
        <v>1</v>
      </c>
      <c r="M5388" t="s">
        <v>121</v>
      </c>
      <c r="N5388" t="s">
        <v>122</v>
      </c>
      <c r="O5388" s="27" t="str">
        <f>HYPERLINK("https://www.ncbi.nlm.nih.gov/nuccore/NZ_CP016279.1?report=graph&amp;from=7024578&amp;to=7024582", "TTA_codon")</f>
        <v>TTA_codon</v>
      </c>
    </row>
    <row r="5389" spans="1:15" x14ac:dyDescent="0.15">
      <c r="A5389" t="s">
        <v>21</v>
      </c>
      <c r="B5389" t="s">
        <v>4021</v>
      </c>
    </row>
    <row r="5390" spans="1:15" x14ac:dyDescent="0.15">
      <c r="A5390" t="s">
        <v>21</v>
      </c>
      <c r="B5390">
        <v>1001422</v>
      </c>
      <c r="C5390">
        <v>362557</v>
      </c>
      <c r="F5390" s="7">
        <v>2</v>
      </c>
      <c r="G5390" s="7" t="s">
        <v>4022</v>
      </c>
      <c r="H5390" s="8" t="s">
        <v>4022</v>
      </c>
      <c r="J5390" t="s">
        <v>23</v>
      </c>
      <c r="K5390" s="7">
        <v>360</v>
      </c>
      <c r="L5390" s="9">
        <v>1</v>
      </c>
      <c r="M5390" t="s">
        <v>32</v>
      </c>
      <c r="N5390" t="s">
        <v>33</v>
      </c>
      <c r="O5390" s="27" t="str">
        <f>HYPERLINK("https://www.ncbi.nlm.nih.gov/nuccore/NZ_CP017248.1?report=graph&amp;from=1965303&amp;to=1965475", "TTA_codon")</f>
        <v>TTA_codon</v>
      </c>
    </row>
    <row r="5391" spans="1:15" x14ac:dyDescent="0.15">
      <c r="A5391" t="s">
        <v>21</v>
      </c>
      <c r="B5391">
        <v>1001422</v>
      </c>
      <c r="C5391">
        <v>362559</v>
      </c>
      <c r="F5391" s="7">
        <v>1</v>
      </c>
      <c r="G5391" s="7">
        <v>181</v>
      </c>
      <c r="H5391" s="8">
        <v>181</v>
      </c>
      <c r="J5391" t="s">
        <v>23</v>
      </c>
      <c r="K5391" s="7">
        <v>360</v>
      </c>
      <c r="L5391" s="9">
        <v>1</v>
      </c>
      <c r="M5391" t="s">
        <v>32</v>
      </c>
      <c r="N5391" t="s">
        <v>33</v>
      </c>
      <c r="O5391" s="27" t="str">
        <f>HYPERLINK("https://www.ncbi.nlm.nih.gov/nuccore/NZ_CP017248.1?report=graph&amp;from=1957649&amp;to=1957653", "TTA_codon")</f>
        <v>TTA_codon</v>
      </c>
    </row>
    <row r="5392" spans="1:15" x14ac:dyDescent="0.15">
      <c r="A5392" t="s">
        <v>21</v>
      </c>
      <c r="B5392" t="s">
        <v>4023</v>
      </c>
    </row>
    <row r="5393" spans="1:15" x14ac:dyDescent="0.15">
      <c r="A5393" t="s">
        <v>21</v>
      </c>
      <c r="B5393">
        <v>1001303</v>
      </c>
      <c r="C5393">
        <v>359158</v>
      </c>
      <c r="F5393" s="7">
        <v>1</v>
      </c>
      <c r="G5393" s="7">
        <v>73</v>
      </c>
      <c r="H5393" s="8">
        <v>64</v>
      </c>
      <c r="J5393" t="s">
        <v>23</v>
      </c>
      <c r="K5393" s="7">
        <v>849</v>
      </c>
      <c r="L5393" s="9">
        <v>-1</v>
      </c>
      <c r="M5393" t="s">
        <v>4024</v>
      </c>
      <c r="N5393" t="s">
        <v>451</v>
      </c>
      <c r="O5393" s="27" t="str">
        <f>HYPERLINK("https://www.ncbi.nlm.nih.gov/nuccore/NZ_LIQZ01000339.1?report=graph&amp;from=16885&amp;to=16889", "TTA_codon")</f>
        <v>TTA_codon</v>
      </c>
    </row>
    <row r="5394" spans="1:15" x14ac:dyDescent="0.15">
      <c r="A5394" t="s">
        <v>21</v>
      </c>
      <c r="B5394">
        <v>1001303</v>
      </c>
      <c r="C5394">
        <v>365366</v>
      </c>
      <c r="F5394" s="7">
        <v>1</v>
      </c>
      <c r="G5394" s="7">
        <v>181</v>
      </c>
      <c r="H5394" s="8">
        <v>175</v>
      </c>
      <c r="J5394" t="s">
        <v>23</v>
      </c>
      <c r="K5394" s="7">
        <v>849</v>
      </c>
      <c r="L5394" s="9">
        <v>-1</v>
      </c>
      <c r="M5394" t="s">
        <v>3682</v>
      </c>
      <c r="N5394" t="s">
        <v>129</v>
      </c>
      <c r="O5394" s="27" t="str">
        <f>HYPERLINK("https://www.ncbi.nlm.nih.gov/nuccore/NZ_FNHI01000018.1?report=graph&amp;from=19176&amp;to=19180", "TTA_codon")</f>
        <v>TTA_codon</v>
      </c>
    </row>
    <row r="5395" spans="1:15" x14ac:dyDescent="0.15">
      <c r="A5395" t="s">
        <v>21</v>
      </c>
      <c r="B5395" t="s">
        <v>4025</v>
      </c>
    </row>
    <row r="5396" spans="1:15" x14ac:dyDescent="0.15">
      <c r="A5396" t="s">
        <v>21</v>
      </c>
      <c r="B5396">
        <v>1000834</v>
      </c>
      <c r="C5396">
        <v>352405</v>
      </c>
      <c r="F5396" s="7">
        <v>1</v>
      </c>
      <c r="G5396" s="7">
        <v>223</v>
      </c>
      <c r="H5396" s="8">
        <v>223</v>
      </c>
      <c r="J5396" t="s">
        <v>23</v>
      </c>
      <c r="K5396" s="7">
        <v>357</v>
      </c>
      <c r="L5396" s="9">
        <v>1</v>
      </c>
      <c r="M5396" t="s">
        <v>30</v>
      </c>
      <c r="N5396" t="s">
        <v>31</v>
      </c>
      <c r="O5396" s="27" t="str">
        <f>HYPERLINK("https://www.ncbi.nlm.nih.gov/nuccore/NZ_KB913030.1?report=graph&amp;from=6370855&amp;to=6370859", "TTA_codon")</f>
        <v>TTA_codon</v>
      </c>
    </row>
    <row r="5397" spans="1:15" x14ac:dyDescent="0.15">
      <c r="A5397" t="s">
        <v>21</v>
      </c>
      <c r="B5397">
        <v>1000834</v>
      </c>
      <c r="C5397">
        <v>357131</v>
      </c>
      <c r="F5397" s="7">
        <v>1</v>
      </c>
      <c r="G5397" s="7">
        <v>223</v>
      </c>
      <c r="H5397" s="8">
        <v>223</v>
      </c>
      <c r="J5397" t="s">
        <v>23</v>
      </c>
      <c r="K5397" s="7">
        <v>357</v>
      </c>
      <c r="L5397" s="9">
        <v>1</v>
      </c>
      <c r="M5397" t="s">
        <v>205</v>
      </c>
      <c r="N5397" t="s">
        <v>206</v>
      </c>
      <c r="O5397" s="27" t="str">
        <f>HYPERLINK("https://www.ncbi.nlm.nih.gov/nuccore/NZ_CP010407.1?report=graph&amp;from=7051138&amp;to=7051142", "TTA_codon")</f>
        <v>TTA_codon</v>
      </c>
    </row>
    <row r="5398" spans="1:15" x14ac:dyDescent="0.15">
      <c r="A5398" t="s">
        <v>21</v>
      </c>
      <c r="B5398">
        <v>1000834</v>
      </c>
      <c r="C5398">
        <v>359445</v>
      </c>
      <c r="F5398" s="7">
        <v>1</v>
      </c>
      <c r="G5398" s="7">
        <v>223</v>
      </c>
      <c r="H5398" s="8">
        <v>223</v>
      </c>
      <c r="J5398" t="s">
        <v>23</v>
      </c>
      <c r="K5398" s="7">
        <v>357</v>
      </c>
      <c r="L5398" s="9">
        <v>1</v>
      </c>
      <c r="M5398" t="s">
        <v>151</v>
      </c>
      <c r="N5398" t="s">
        <v>152</v>
      </c>
      <c r="O5398" s="27" t="str">
        <f>HYPERLINK("https://www.ncbi.nlm.nih.gov/nuccore/NZ_CP013129.1?report=graph&amp;from=7269492&amp;to=7269496", "TTA_codon")</f>
        <v>TTA_codon</v>
      </c>
    </row>
    <row r="5399" spans="1:15" x14ac:dyDescent="0.15">
      <c r="A5399" t="s">
        <v>21</v>
      </c>
      <c r="B5399" t="s">
        <v>4026</v>
      </c>
    </row>
    <row r="5400" spans="1:15" x14ac:dyDescent="0.15">
      <c r="A5400" t="s">
        <v>21</v>
      </c>
      <c r="B5400">
        <v>1000915</v>
      </c>
      <c r="C5400">
        <v>353141</v>
      </c>
      <c r="F5400" s="7">
        <v>1</v>
      </c>
      <c r="G5400" s="7">
        <v>43</v>
      </c>
      <c r="H5400" s="8">
        <v>43</v>
      </c>
      <c r="J5400" t="s">
        <v>23</v>
      </c>
      <c r="K5400" s="7">
        <v>489</v>
      </c>
      <c r="L5400" s="9">
        <v>1</v>
      </c>
      <c r="M5400" t="s">
        <v>940</v>
      </c>
      <c r="N5400" t="s">
        <v>306</v>
      </c>
      <c r="O5400" s="27" t="str">
        <f>HYPERLINK("https://www.ncbi.nlm.nih.gov/nuccore/NZ_KL571081.1?report=graph&amp;from=24883&amp;to=24887", "TTA_codon")</f>
        <v>TTA_codon</v>
      </c>
    </row>
    <row r="5401" spans="1:15" x14ac:dyDescent="0.15">
      <c r="A5401" t="s">
        <v>21</v>
      </c>
      <c r="B5401">
        <v>1000915</v>
      </c>
      <c r="C5401">
        <v>353957</v>
      </c>
      <c r="F5401" s="7">
        <v>1</v>
      </c>
      <c r="G5401" s="7">
        <v>37</v>
      </c>
      <c r="H5401" s="8">
        <v>34</v>
      </c>
      <c r="J5401" t="s">
        <v>23</v>
      </c>
      <c r="K5401" s="7">
        <v>486</v>
      </c>
      <c r="L5401" s="9">
        <v>1</v>
      </c>
      <c r="M5401" t="s">
        <v>245</v>
      </c>
      <c r="N5401" t="s">
        <v>246</v>
      </c>
      <c r="O5401" s="27" t="str">
        <f>HYPERLINK("https://www.ncbi.nlm.nih.gov/nuccore/NZ_JNYR01000010.1?report=graph&amp;from=227595&amp;to=227599", "TTA_codon")</f>
        <v>TTA_codon</v>
      </c>
    </row>
    <row r="5402" spans="1:15" x14ac:dyDescent="0.15">
      <c r="A5402" t="s">
        <v>21</v>
      </c>
      <c r="B5402" t="s">
        <v>4027</v>
      </c>
    </row>
    <row r="5403" spans="1:15" x14ac:dyDescent="0.15">
      <c r="A5403" t="s">
        <v>21</v>
      </c>
      <c r="B5403">
        <v>1001388</v>
      </c>
      <c r="C5403">
        <v>361727</v>
      </c>
      <c r="F5403" s="7">
        <v>1</v>
      </c>
      <c r="G5403" s="7">
        <v>1036</v>
      </c>
      <c r="H5403" s="8">
        <v>1036</v>
      </c>
      <c r="J5403" t="s">
        <v>23</v>
      </c>
      <c r="K5403" s="7">
        <v>1107</v>
      </c>
      <c r="L5403" s="9">
        <v>1</v>
      </c>
      <c r="M5403" t="s">
        <v>37</v>
      </c>
      <c r="N5403" t="s">
        <v>38</v>
      </c>
      <c r="O5403" s="27" t="str">
        <f>HYPERLINK("https://www.ncbi.nlm.nih.gov/nuccore/NZ_CP011533.1?report=graph&amp;from=9562531&amp;to=9562535", "TTA_codon")</f>
        <v>TTA_codon</v>
      </c>
    </row>
    <row r="5404" spans="1:15" x14ac:dyDescent="0.15">
      <c r="A5404" t="s">
        <v>21</v>
      </c>
      <c r="B5404">
        <v>1001388</v>
      </c>
      <c r="C5404">
        <v>361737</v>
      </c>
      <c r="F5404" s="7">
        <v>1</v>
      </c>
      <c r="G5404" s="7">
        <v>1036</v>
      </c>
      <c r="H5404" s="8">
        <v>1036</v>
      </c>
      <c r="J5404" t="s">
        <v>23</v>
      </c>
      <c r="K5404" s="7">
        <v>1107</v>
      </c>
      <c r="L5404" s="9">
        <v>1</v>
      </c>
      <c r="M5404" t="s">
        <v>37</v>
      </c>
      <c r="N5404" t="s">
        <v>38</v>
      </c>
      <c r="O5404" s="27" t="str">
        <f>HYPERLINK("https://www.ncbi.nlm.nih.gov/nuccore/NZ_CP011533.1?report=graph&amp;from=9513777&amp;to=9513781", "TTA_codon")</f>
        <v>TTA_codon</v>
      </c>
    </row>
    <row r="5405" spans="1:15" x14ac:dyDescent="0.15">
      <c r="A5405" t="s">
        <v>21</v>
      </c>
      <c r="B5405" t="s">
        <v>4028</v>
      </c>
    </row>
    <row r="5406" spans="1:15" x14ac:dyDescent="0.15">
      <c r="A5406" t="s">
        <v>21</v>
      </c>
      <c r="B5406">
        <v>1001138</v>
      </c>
      <c r="C5406">
        <v>348815</v>
      </c>
      <c r="F5406" s="7">
        <v>1</v>
      </c>
      <c r="G5406" s="7">
        <v>685</v>
      </c>
      <c r="H5406" s="8">
        <v>682</v>
      </c>
      <c r="J5406" t="s">
        <v>23</v>
      </c>
      <c r="K5406" s="7">
        <v>1182</v>
      </c>
      <c r="L5406" s="9">
        <v>-1</v>
      </c>
      <c r="M5406" t="s">
        <v>211</v>
      </c>
      <c r="N5406" t="s">
        <v>212</v>
      </c>
      <c r="O5406" s="27" t="str">
        <f>HYPERLINK("https://www.ncbi.nlm.nih.gov/nuccore/NZ_GG657754.1?report=graph&amp;from=7427527&amp;to=7427531", "TTA_codon")</f>
        <v>TTA_codon</v>
      </c>
    </row>
    <row r="5407" spans="1:15" x14ac:dyDescent="0.15">
      <c r="A5407" t="s">
        <v>21</v>
      </c>
      <c r="B5407">
        <v>1001138</v>
      </c>
      <c r="C5407">
        <v>356033</v>
      </c>
      <c r="F5407" s="7">
        <v>2</v>
      </c>
      <c r="G5407" s="7" t="s">
        <v>4029</v>
      </c>
      <c r="H5407" s="8" t="s">
        <v>4030</v>
      </c>
      <c r="J5407" t="s">
        <v>23</v>
      </c>
      <c r="K5407" s="7">
        <v>1167</v>
      </c>
      <c r="L5407" s="9">
        <v>-1</v>
      </c>
      <c r="M5407" t="s">
        <v>4031</v>
      </c>
      <c r="N5407" t="s">
        <v>146</v>
      </c>
      <c r="O5407" s="27" t="str">
        <f>HYPERLINK("https://www.ncbi.nlm.nih.gov/nuccore/NZ_JOFH01000080.1?report=graph&amp;from=3650&amp;to=3663", "TTA_codon")</f>
        <v>TTA_codon</v>
      </c>
    </row>
    <row r="5408" spans="1:15" x14ac:dyDescent="0.15">
      <c r="A5408" t="s">
        <v>21</v>
      </c>
      <c r="B5408">
        <v>1001138</v>
      </c>
      <c r="C5408">
        <v>356663</v>
      </c>
      <c r="F5408" s="7">
        <v>1</v>
      </c>
      <c r="G5408" s="7">
        <v>748</v>
      </c>
      <c r="H5408" s="8">
        <v>730</v>
      </c>
      <c r="J5408" t="s">
        <v>23</v>
      </c>
      <c r="K5408" s="7">
        <v>1170</v>
      </c>
      <c r="L5408" s="9">
        <v>-1</v>
      </c>
      <c r="M5408" t="s">
        <v>147</v>
      </c>
      <c r="N5408" t="s">
        <v>148</v>
      </c>
      <c r="O5408" s="27" t="str">
        <f>HYPERLINK("https://www.ncbi.nlm.nih.gov/nuccore/NZ_CP021080.1?report=graph&amp;from=170284&amp;to=170288", "TTA_codon")</f>
        <v>TTA_codon</v>
      </c>
    </row>
    <row r="5409" spans="1:15" x14ac:dyDescent="0.15">
      <c r="A5409" t="s">
        <v>21</v>
      </c>
      <c r="B5409" t="s">
        <v>4032</v>
      </c>
    </row>
    <row r="5410" spans="1:15" x14ac:dyDescent="0.15">
      <c r="A5410" t="s">
        <v>21</v>
      </c>
      <c r="B5410">
        <v>1001167</v>
      </c>
      <c r="C5410">
        <v>356411</v>
      </c>
      <c r="F5410" s="7">
        <v>1</v>
      </c>
      <c r="G5410" s="7">
        <v>583</v>
      </c>
      <c r="H5410" s="8">
        <v>559</v>
      </c>
      <c r="J5410" t="s">
        <v>23</v>
      </c>
      <c r="K5410" s="7">
        <v>1086</v>
      </c>
      <c r="L5410" s="9">
        <v>1</v>
      </c>
      <c r="M5410" t="s">
        <v>370</v>
      </c>
      <c r="N5410" t="s">
        <v>354</v>
      </c>
      <c r="O5410" s="27" t="str">
        <f>HYPERLINK("https://www.ncbi.nlm.nih.gov/nuccore/NZ_KN050729.1?report=graph&amp;from=12730&amp;to=12734", "TTA_codon")</f>
        <v>TTA_codon</v>
      </c>
    </row>
    <row r="5411" spans="1:15" x14ac:dyDescent="0.15">
      <c r="A5411" t="s">
        <v>21</v>
      </c>
      <c r="B5411">
        <v>1001167</v>
      </c>
      <c r="C5411">
        <v>358013</v>
      </c>
      <c r="F5411" s="7">
        <v>1</v>
      </c>
      <c r="G5411" s="7">
        <v>583</v>
      </c>
      <c r="H5411" s="8">
        <v>559</v>
      </c>
      <c r="J5411" t="s">
        <v>23</v>
      </c>
      <c r="K5411" s="7">
        <v>1071</v>
      </c>
      <c r="L5411" s="9">
        <v>1</v>
      </c>
      <c r="M5411" t="s">
        <v>261</v>
      </c>
      <c r="N5411" t="s">
        <v>262</v>
      </c>
      <c r="O5411" s="27" t="str">
        <f>HYPERLINK("https://www.ncbi.nlm.nih.gov/nuccore/NZ_CP011340.1?report=graph&amp;from=6679059&amp;to=6679063", "TTA_codon")</f>
        <v>TTA_codon</v>
      </c>
    </row>
    <row r="5412" spans="1:15" x14ac:dyDescent="0.15">
      <c r="A5412" t="s">
        <v>21</v>
      </c>
      <c r="B5412">
        <v>1001167</v>
      </c>
      <c r="C5412">
        <v>364270</v>
      </c>
      <c r="F5412" s="7">
        <v>1</v>
      </c>
      <c r="G5412" s="7">
        <v>583</v>
      </c>
      <c r="H5412" s="8">
        <v>577</v>
      </c>
      <c r="J5412" t="s">
        <v>23</v>
      </c>
      <c r="K5412" s="7">
        <v>1092</v>
      </c>
      <c r="L5412" s="9">
        <v>1</v>
      </c>
      <c r="M5412" t="s">
        <v>254</v>
      </c>
      <c r="N5412" t="s">
        <v>255</v>
      </c>
      <c r="O5412" s="27" t="str">
        <f>HYPERLINK("https://www.ncbi.nlm.nih.gov/nuccore/NZ_CP018047.1?report=graph&amp;from=6446849&amp;to=6446853", "TTA_codon")</f>
        <v>TTA_codon</v>
      </c>
    </row>
    <row r="5413" spans="1:15" x14ac:dyDescent="0.15">
      <c r="A5413" t="s">
        <v>21</v>
      </c>
      <c r="B5413" t="s">
        <v>4033</v>
      </c>
    </row>
    <row r="5414" spans="1:15" x14ac:dyDescent="0.15">
      <c r="A5414" t="s">
        <v>21</v>
      </c>
      <c r="B5414">
        <v>1000670</v>
      </c>
      <c r="C5414">
        <v>350741</v>
      </c>
      <c r="F5414" s="7">
        <v>1</v>
      </c>
      <c r="G5414" s="7">
        <v>349</v>
      </c>
      <c r="H5414" s="8">
        <v>298</v>
      </c>
      <c r="J5414" t="s">
        <v>23</v>
      </c>
      <c r="K5414" s="7">
        <v>1041</v>
      </c>
      <c r="L5414" s="9">
        <v>1</v>
      </c>
      <c r="M5414" t="s">
        <v>2644</v>
      </c>
      <c r="N5414" t="s">
        <v>51</v>
      </c>
      <c r="O5414" s="27" t="str">
        <f>HYPERLINK("https://www.ncbi.nlm.nih.gov/nuccore/NZ_AEJB01000529.1?report=graph&amp;from=6881&amp;to=6885", "TTA_codon")</f>
        <v>TTA_codon</v>
      </c>
    </row>
    <row r="5415" spans="1:15" x14ac:dyDescent="0.15">
      <c r="A5415" t="s">
        <v>21</v>
      </c>
      <c r="B5415">
        <v>1000670</v>
      </c>
      <c r="C5415">
        <v>360365</v>
      </c>
      <c r="F5415" s="7">
        <v>1</v>
      </c>
      <c r="G5415" s="7">
        <v>130</v>
      </c>
      <c r="H5415" s="8">
        <v>76</v>
      </c>
      <c r="J5415" t="s">
        <v>23</v>
      </c>
      <c r="K5415" s="7">
        <v>1038</v>
      </c>
      <c r="L5415" s="9">
        <v>1</v>
      </c>
      <c r="M5415" t="s">
        <v>121</v>
      </c>
      <c r="N5415" t="s">
        <v>122</v>
      </c>
      <c r="O5415" s="27" t="str">
        <f>HYPERLINK("https://www.ncbi.nlm.nih.gov/nuccore/NZ_CP016279.1?report=graph&amp;from=6685693&amp;to=6685697", "TTA_codon")</f>
        <v>TTA_codon</v>
      </c>
    </row>
    <row r="5416" spans="1:15" x14ac:dyDescent="0.15">
      <c r="A5416" t="s">
        <v>21</v>
      </c>
      <c r="B5416">
        <v>1000670</v>
      </c>
      <c r="C5416">
        <v>361579</v>
      </c>
      <c r="F5416" s="7">
        <v>1</v>
      </c>
      <c r="G5416" s="7">
        <v>274</v>
      </c>
      <c r="H5416" s="8">
        <v>244</v>
      </c>
      <c r="J5416" t="s">
        <v>23</v>
      </c>
      <c r="K5416" s="7">
        <v>1074</v>
      </c>
      <c r="L5416" s="9">
        <v>1</v>
      </c>
      <c r="M5416" t="s">
        <v>37</v>
      </c>
      <c r="N5416" t="s">
        <v>38</v>
      </c>
      <c r="O5416" s="27" t="str">
        <f>HYPERLINK("https://www.ncbi.nlm.nih.gov/nuccore/NZ_CP011533.1?report=graph&amp;from=1615284&amp;to=1615288", "TTA_codon")</f>
        <v>TTA_codon</v>
      </c>
    </row>
    <row r="5417" spans="1:15" x14ac:dyDescent="0.15">
      <c r="A5417" t="s">
        <v>21</v>
      </c>
      <c r="B5417">
        <v>1000670</v>
      </c>
      <c r="C5417">
        <v>365572</v>
      </c>
      <c r="F5417" s="7">
        <v>1</v>
      </c>
      <c r="G5417" s="7">
        <v>130</v>
      </c>
      <c r="H5417" s="8">
        <v>130</v>
      </c>
      <c r="J5417" t="s">
        <v>23</v>
      </c>
      <c r="K5417" s="7">
        <v>1083</v>
      </c>
      <c r="L5417" s="9">
        <v>1</v>
      </c>
      <c r="M5417" t="s">
        <v>213</v>
      </c>
      <c r="N5417" t="s">
        <v>214</v>
      </c>
      <c r="O5417" s="27" t="str">
        <f>HYPERLINK("https://www.ncbi.nlm.nih.gov/nuccore/NZ_FNST01000002.1?report=graph&amp;from=8476608&amp;to=8476612", "TTA_codon")</f>
        <v>TTA_codon</v>
      </c>
    </row>
    <row r="5418" spans="1:15" x14ac:dyDescent="0.15">
      <c r="A5418" t="s">
        <v>21</v>
      </c>
      <c r="B5418" t="s">
        <v>4034</v>
      </c>
    </row>
    <row r="5419" spans="1:15" x14ac:dyDescent="0.15">
      <c r="A5419" t="s">
        <v>21</v>
      </c>
      <c r="B5419">
        <v>1000296</v>
      </c>
      <c r="C5419">
        <v>347889</v>
      </c>
      <c r="F5419" s="7">
        <v>1</v>
      </c>
      <c r="G5419" s="7">
        <v>61</v>
      </c>
      <c r="H5419" s="8">
        <v>61</v>
      </c>
      <c r="J5419" t="s">
        <v>23</v>
      </c>
      <c r="K5419" s="7">
        <v>1257</v>
      </c>
      <c r="L5419" s="9">
        <v>1</v>
      </c>
      <c r="M5419" t="s">
        <v>57</v>
      </c>
      <c r="N5419" t="s">
        <v>58</v>
      </c>
      <c r="O5419" s="27" t="str">
        <f>HYPERLINK("https://www.ncbi.nlm.nih.gov/nuccore/NC_013929.1?report=graph&amp;from=409963&amp;to=409967", "TTA_codon")</f>
        <v>TTA_codon</v>
      </c>
    </row>
    <row r="5420" spans="1:15" x14ac:dyDescent="0.15">
      <c r="A5420" t="s">
        <v>21</v>
      </c>
      <c r="B5420">
        <v>1000296</v>
      </c>
      <c r="C5420">
        <v>358905</v>
      </c>
      <c r="F5420" s="7">
        <v>1</v>
      </c>
      <c r="G5420" s="7">
        <v>61</v>
      </c>
      <c r="H5420" s="8">
        <v>61</v>
      </c>
      <c r="J5420" t="s">
        <v>23</v>
      </c>
      <c r="K5420" s="7">
        <v>1257</v>
      </c>
      <c r="L5420" s="9">
        <v>1</v>
      </c>
      <c r="M5420" t="s">
        <v>2571</v>
      </c>
      <c r="N5420" t="s">
        <v>87</v>
      </c>
      <c r="O5420" s="27" t="str">
        <f>HYPERLINK("https://www.ncbi.nlm.nih.gov/nuccore/NZ_LIQS01000200.1?report=graph&amp;from=35402&amp;to=35406", "TTA_codon")</f>
        <v>TTA_codon</v>
      </c>
    </row>
    <row r="5421" spans="1:15" x14ac:dyDescent="0.15">
      <c r="A5421" t="s">
        <v>21</v>
      </c>
      <c r="B5421">
        <v>1000296</v>
      </c>
      <c r="C5421">
        <v>359133</v>
      </c>
      <c r="F5421" s="7">
        <v>2</v>
      </c>
      <c r="G5421" s="7" t="s">
        <v>4035</v>
      </c>
      <c r="H5421" s="8" t="s">
        <v>4035</v>
      </c>
      <c r="J5421" t="s">
        <v>23</v>
      </c>
      <c r="K5421" s="7">
        <v>1257</v>
      </c>
      <c r="L5421" s="9">
        <v>1</v>
      </c>
      <c r="M5421" t="s">
        <v>3463</v>
      </c>
      <c r="N5421" t="s">
        <v>451</v>
      </c>
      <c r="O5421" s="27" t="str">
        <f>HYPERLINK("https://www.ncbi.nlm.nih.gov/nuccore/NZ_LIQZ01000536.1?report=graph&amp;from=4168&amp;to=4562", "TTA_codon")</f>
        <v>TTA_codon</v>
      </c>
    </row>
    <row r="5422" spans="1:15" x14ac:dyDescent="0.15">
      <c r="A5422" t="s">
        <v>21</v>
      </c>
      <c r="B5422">
        <v>1000296</v>
      </c>
      <c r="C5422">
        <v>359966</v>
      </c>
      <c r="F5422" s="7">
        <v>2</v>
      </c>
      <c r="G5422" s="7" t="s">
        <v>4036</v>
      </c>
      <c r="H5422" s="8" t="s">
        <v>4037</v>
      </c>
      <c r="J5422" t="s">
        <v>23</v>
      </c>
      <c r="K5422" s="7">
        <v>1263</v>
      </c>
      <c r="L5422" s="9">
        <v>1</v>
      </c>
      <c r="M5422" t="s">
        <v>1665</v>
      </c>
      <c r="N5422" t="s">
        <v>91</v>
      </c>
      <c r="O5422" s="27" t="str">
        <f>HYPERLINK("https://www.ncbi.nlm.nih.gov/nuccore/NZ_KQ948304.1?report=graph&amp;from=556456&amp;to=556796", "TTA_codon")</f>
        <v>TTA_codon</v>
      </c>
    </row>
    <row r="5423" spans="1:15" x14ac:dyDescent="0.15">
      <c r="A5423" t="s">
        <v>21</v>
      </c>
      <c r="B5423" t="s">
        <v>4038</v>
      </c>
    </row>
    <row r="5424" spans="1:15" x14ac:dyDescent="0.15">
      <c r="A5424" t="s">
        <v>21</v>
      </c>
      <c r="B5424">
        <v>1000216</v>
      </c>
      <c r="C5424">
        <v>347419</v>
      </c>
      <c r="F5424" s="7">
        <v>1</v>
      </c>
      <c r="G5424" s="7">
        <v>448</v>
      </c>
      <c r="H5424" s="8">
        <v>379</v>
      </c>
      <c r="J5424" t="s">
        <v>23</v>
      </c>
      <c r="K5424" s="7">
        <v>402</v>
      </c>
      <c r="L5424" s="9">
        <v>1</v>
      </c>
      <c r="M5424" t="s">
        <v>217</v>
      </c>
      <c r="N5424" t="s">
        <v>218</v>
      </c>
      <c r="O5424" s="27" t="str">
        <f>HYPERLINK("https://www.ncbi.nlm.nih.gov/nuccore/NC_021985.1?report=graph&amp;from=6402361&amp;to=6402365", "TTA_codon")</f>
        <v>TTA_codon</v>
      </c>
    </row>
    <row r="5425" spans="1:15" x14ac:dyDescent="0.15">
      <c r="A5425" t="s">
        <v>21</v>
      </c>
      <c r="B5425">
        <v>1000216</v>
      </c>
      <c r="C5425">
        <v>354956</v>
      </c>
      <c r="F5425" s="7">
        <v>1</v>
      </c>
      <c r="G5425" s="7">
        <v>448</v>
      </c>
      <c r="H5425" s="8">
        <v>379</v>
      </c>
      <c r="J5425" t="s">
        <v>23</v>
      </c>
      <c r="K5425" s="7">
        <v>417</v>
      </c>
      <c r="L5425" s="9">
        <v>1</v>
      </c>
      <c r="M5425" t="s">
        <v>1033</v>
      </c>
      <c r="N5425" t="s">
        <v>25</v>
      </c>
      <c r="O5425" s="27" t="str">
        <f>HYPERLINK("https://www.ncbi.nlm.nih.gov/nuccore/NZ_JOFU01000010.1?report=graph&amp;from=134805&amp;to=134809", "TTA_codon")</f>
        <v>TTA_codon</v>
      </c>
    </row>
    <row r="5426" spans="1:15" x14ac:dyDescent="0.15">
      <c r="A5426" t="s">
        <v>21</v>
      </c>
      <c r="B5426">
        <v>1000216</v>
      </c>
      <c r="C5426">
        <v>360588</v>
      </c>
      <c r="F5426" s="7">
        <v>1</v>
      </c>
      <c r="G5426" s="7">
        <v>448</v>
      </c>
      <c r="H5426" s="8">
        <v>448</v>
      </c>
      <c r="J5426" t="s">
        <v>23</v>
      </c>
      <c r="K5426" s="7">
        <v>471</v>
      </c>
      <c r="L5426" s="9">
        <v>1</v>
      </c>
      <c r="M5426" t="s">
        <v>121</v>
      </c>
      <c r="N5426" t="s">
        <v>122</v>
      </c>
      <c r="O5426" s="27" t="str">
        <f>HYPERLINK("https://www.ncbi.nlm.nih.gov/nuccore/NZ_CP016279.1?report=graph&amp;from=2616587&amp;to=2616591", "TTA_codon")</f>
        <v>TTA_codon</v>
      </c>
    </row>
    <row r="5427" spans="1:15" x14ac:dyDescent="0.15">
      <c r="A5427" t="s">
        <v>21</v>
      </c>
      <c r="B5427" t="s">
        <v>4039</v>
      </c>
    </row>
    <row r="5428" spans="1:15" x14ac:dyDescent="0.15">
      <c r="A5428" t="s">
        <v>21</v>
      </c>
      <c r="B5428">
        <v>1000712</v>
      </c>
      <c r="C5428">
        <v>351073</v>
      </c>
      <c r="F5428" s="7">
        <v>1</v>
      </c>
      <c r="G5428" s="7">
        <v>220</v>
      </c>
      <c r="H5428" s="8">
        <v>196</v>
      </c>
      <c r="J5428" t="s">
        <v>23</v>
      </c>
      <c r="K5428" s="7">
        <v>1641</v>
      </c>
      <c r="L5428" s="9">
        <v>1</v>
      </c>
      <c r="M5428" t="s">
        <v>4040</v>
      </c>
      <c r="N5428" t="s">
        <v>136</v>
      </c>
      <c r="O5428" s="27" t="str">
        <f>HYPERLINK("https://www.ncbi.nlm.nih.gov/nuccore/NZ_AORZ01000070.1?report=graph&amp;from=28736&amp;to=28740", "TTA_codon")</f>
        <v>TTA_codon</v>
      </c>
    </row>
    <row r="5429" spans="1:15" x14ac:dyDescent="0.15">
      <c r="A5429" t="s">
        <v>21</v>
      </c>
      <c r="B5429">
        <v>1000712</v>
      </c>
      <c r="C5429">
        <v>351945</v>
      </c>
      <c r="F5429" s="7">
        <v>1</v>
      </c>
      <c r="G5429" s="7">
        <v>220</v>
      </c>
      <c r="H5429" s="8">
        <v>199</v>
      </c>
      <c r="J5429" t="s">
        <v>23</v>
      </c>
      <c r="K5429" s="7">
        <v>1596</v>
      </c>
      <c r="L5429" s="9">
        <v>1</v>
      </c>
      <c r="M5429" t="s">
        <v>4041</v>
      </c>
      <c r="N5429" t="s">
        <v>68</v>
      </c>
      <c r="O5429" s="27" t="str">
        <f>HYPERLINK("https://www.ncbi.nlm.nih.gov/nuccore/NZ_BARG01000109.1?report=graph&amp;from=27720&amp;to=27724", "TTA_codon")</f>
        <v>TTA_codon</v>
      </c>
    </row>
    <row r="5430" spans="1:15" x14ac:dyDescent="0.15">
      <c r="A5430" t="s">
        <v>21</v>
      </c>
      <c r="B5430">
        <v>1000712</v>
      </c>
      <c r="C5430">
        <v>357588</v>
      </c>
      <c r="F5430" s="7">
        <v>1</v>
      </c>
      <c r="G5430" s="7">
        <v>220</v>
      </c>
      <c r="H5430" s="8">
        <v>184</v>
      </c>
      <c r="J5430" t="s">
        <v>23</v>
      </c>
      <c r="K5430" s="7">
        <v>1641</v>
      </c>
      <c r="L5430" s="9">
        <v>1</v>
      </c>
      <c r="M5430" t="s">
        <v>814</v>
      </c>
      <c r="N5430" t="s">
        <v>378</v>
      </c>
      <c r="O5430" s="27" t="str">
        <f>HYPERLINK("https://www.ncbi.nlm.nih.gov/nuccore/NZ_LFXA01000002.1?report=graph&amp;from=949304&amp;to=949308", "TTA_codon")</f>
        <v>TTA_codon</v>
      </c>
    </row>
    <row r="5431" spans="1:15" x14ac:dyDescent="0.15">
      <c r="A5431" t="s">
        <v>21</v>
      </c>
      <c r="B5431">
        <v>1000712</v>
      </c>
      <c r="C5431">
        <v>365784</v>
      </c>
      <c r="F5431" s="7">
        <v>1</v>
      </c>
      <c r="G5431" s="7">
        <v>271</v>
      </c>
      <c r="H5431" s="8">
        <v>220</v>
      </c>
      <c r="J5431" t="s">
        <v>23</v>
      </c>
      <c r="K5431" s="7">
        <v>1605</v>
      </c>
      <c r="L5431" s="9">
        <v>1</v>
      </c>
      <c r="M5431" t="s">
        <v>213</v>
      </c>
      <c r="N5431" t="s">
        <v>214</v>
      </c>
      <c r="O5431" s="27" t="str">
        <f>HYPERLINK("https://www.ncbi.nlm.nih.gov/nuccore/NZ_FNST01000002.1?report=graph&amp;from=9832337&amp;to=9832341", "TTA_codon")</f>
        <v>TTA_codon</v>
      </c>
    </row>
    <row r="5432" spans="1:15" x14ac:dyDescent="0.15">
      <c r="A5432" t="s">
        <v>21</v>
      </c>
      <c r="B5432">
        <v>1000712</v>
      </c>
      <c r="C5432">
        <v>366856</v>
      </c>
      <c r="F5432" s="7">
        <v>1</v>
      </c>
      <c r="G5432" s="7">
        <v>220</v>
      </c>
      <c r="H5432" s="8">
        <v>175</v>
      </c>
      <c r="J5432" t="s">
        <v>23</v>
      </c>
      <c r="K5432" s="7">
        <v>1605</v>
      </c>
      <c r="L5432" s="9">
        <v>1</v>
      </c>
      <c r="M5432" t="s">
        <v>4042</v>
      </c>
      <c r="N5432" t="s">
        <v>209</v>
      </c>
      <c r="O5432" s="27" t="str">
        <f>HYPERLINK("https://www.ncbi.nlm.nih.gov/nuccore/NZ_FZOF01000001.1?report=graph&amp;from=493868&amp;to=493872", "TTA_codon")</f>
        <v>TTA_codon</v>
      </c>
    </row>
    <row r="5433" spans="1:15" x14ac:dyDescent="0.15">
      <c r="A5433" t="s">
        <v>21</v>
      </c>
      <c r="B5433" t="s">
        <v>4043</v>
      </c>
    </row>
    <row r="5434" spans="1:15" x14ac:dyDescent="0.15">
      <c r="A5434" t="s">
        <v>21</v>
      </c>
      <c r="B5434">
        <v>1001537</v>
      </c>
      <c r="C5434">
        <v>366903</v>
      </c>
      <c r="F5434" s="7">
        <v>1</v>
      </c>
      <c r="G5434" s="7">
        <v>229</v>
      </c>
      <c r="H5434" s="8">
        <v>211</v>
      </c>
      <c r="J5434" t="s">
        <v>23</v>
      </c>
      <c r="K5434" s="7">
        <v>498</v>
      </c>
      <c r="L5434" s="9">
        <v>1</v>
      </c>
      <c r="M5434" t="s">
        <v>4044</v>
      </c>
      <c r="N5434" t="s">
        <v>4045</v>
      </c>
      <c r="O5434" s="27" t="str">
        <f>HYPERLINK("https://www.ncbi.nlm.nih.gov/nuccore/KY676784.1?report=graph&amp;from=21879&amp;to=21883", "TTA_codon")</f>
        <v>TTA_codon</v>
      </c>
    </row>
    <row r="5435" spans="1:15" x14ac:dyDescent="0.15">
      <c r="A5435" t="s">
        <v>21</v>
      </c>
      <c r="B5435">
        <v>1001537</v>
      </c>
      <c r="C5435">
        <v>367247</v>
      </c>
      <c r="F5435" s="7">
        <v>1</v>
      </c>
      <c r="G5435" s="7">
        <v>229</v>
      </c>
      <c r="H5435" s="8">
        <v>217</v>
      </c>
      <c r="J5435" t="s">
        <v>23</v>
      </c>
      <c r="K5435" s="7">
        <v>483</v>
      </c>
      <c r="L5435" s="9">
        <v>1</v>
      </c>
      <c r="M5435" t="s">
        <v>4046</v>
      </c>
      <c r="N5435" t="s">
        <v>4047</v>
      </c>
      <c r="O5435" s="27" t="str">
        <f>HYPERLINK("https://www.ncbi.nlm.nih.gov/nuccore/NC_018848.1?report=graph&amp;from=20025&amp;to=20029", "TTA_codon")</f>
        <v>TTA_codon</v>
      </c>
    </row>
    <row r="5436" spans="1:15" x14ac:dyDescent="0.15">
      <c r="A5436" t="s">
        <v>21</v>
      </c>
      <c r="B5436">
        <v>1001537</v>
      </c>
      <c r="C5436">
        <v>367287</v>
      </c>
      <c r="F5436" s="7">
        <v>1</v>
      </c>
      <c r="G5436" s="7">
        <v>229</v>
      </c>
      <c r="H5436" s="8">
        <v>205</v>
      </c>
      <c r="J5436" t="s">
        <v>23</v>
      </c>
      <c r="K5436" s="7">
        <v>471</v>
      </c>
      <c r="L5436" s="9">
        <v>1</v>
      </c>
      <c r="M5436" t="s">
        <v>4048</v>
      </c>
      <c r="N5436" t="s">
        <v>4049</v>
      </c>
      <c r="O5436" s="27" t="str">
        <f>HYPERLINK("https://www.ncbi.nlm.nih.gov/nuccore/NC_047795.1?report=graph&amp;from=22508&amp;to=22512", "TTA_codon")</f>
        <v>TTA_codon</v>
      </c>
    </row>
    <row r="5437" spans="1:15" x14ac:dyDescent="0.15">
      <c r="A5437" t="s">
        <v>21</v>
      </c>
      <c r="B5437" t="s">
        <v>4050</v>
      </c>
    </row>
    <row r="5438" spans="1:15" x14ac:dyDescent="0.15">
      <c r="A5438" t="s">
        <v>21</v>
      </c>
      <c r="B5438">
        <v>1001129</v>
      </c>
      <c r="C5438">
        <v>355944</v>
      </c>
      <c r="F5438" s="7">
        <v>1</v>
      </c>
      <c r="G5438" s="7">
        <v>118</v>
      </c>
      <c r="H5438" s="8">
        <v>109</v>
      </c>
      <c r="J5438" t="s">
        <v>23</v>
      </c>
      <c r="K5438" s="7">
        <v>966</v>
      </c>
      <c r="L5438" s="9">
        <v>-1</v>
      </c>
      <c r="M5438" t="s">
        <v>4051</v>
      </c>
      <c r="N5438" t="s">
        <v>384</v>
      </c>
      <c r="O5438" s="27" t="str">
        <f>HYPERLINK("https://www.ncbi.nlm.nih.gov/nuccore/NZ_JOAK01000009.1?report=graph&amp;from=116500&amp;to=116504", "TTA_codon")</f>
        <v>TTA_codon</v>
      </c>
    </row>
    <row r="5439" spans="1:15" x14ac:dyDescent="0.15">
      <c r="A5439" t="s">
        <v>21</v>
      </c>
      <c r="B5439">
        <v>1001129</v>
      </c>
      <c r="C5439">
        <v>357200</v>
      </c>
      <c r="F5439" s="7">
        <v>1</v>
      </c>
      <c r="G5439" s="7">
        <v>85</v>
      </c>
      <c r="H5439" s="8">
        <v>76</v>
      </c>
      <c r="J5439" t="s">
        <v>23</v>
      </c>
      <c r="K5439" s="7">
        <v>960</v>
      </c>
      <c r="L5439" s="9">
        <v>-1</v>
      </c>
      <c r="M5439" t="s">
        <v>205</v>
      </c>
      <c r="N5439" t="s">
        <v>206</v>
      </c>
      <c r="O5439" s="27" t="str">
        <f>HYPERLINK("https://www.ncbi.nlm.nih.gov/nuccore/NZ_CP010407.1?report=graph&amp;from=922592&amp;to=922596", "TTA_codon")</f>
        <v>TTA_codon</v>
      </c>
    </row>
    <row r="5440" spans="1:15" x14ac:dyDescent="0.15">
      <c r="A5440" t="s">
        <v>21</v>
      </c>
      <c r="B5440">
        <v>1001129</v>
      </c>
      <c r="C5440">
        <v>366710</v>
      </c>
      <c r="F5440" s="7">
        <v>1</v>
      </c>
      <c r="G5440" s="7">
        <v>148</v>
      </c>
      <c r="H5440" s="8">
        <v>148</v>
      </c>
      <c r="J5440" t="s">
        <v>23</v>
      </c>
      <c r="K5440" s="7">
        <v>1014</v>
      </c>
      <c r="L5440" s="9">
        <v>-1</v>
      </c>
      <c r="M5440" t="s">
        <v>1007</v>
      </c>
      <c r="N5440" t="s">
        <v>180</v>
      </c>
      <c r="O5440" s="27" t="str">
        <f>HYPERLINK("https://www.ncbi.nlm.nih.gov/nuccore/NZ_FRBI01000003.1?report=graph&amp;from=24316&amp;to=24320", "TTA_codon")</f>
        <v>TTA_codon</v>
      </c>
    </row>
    <row r="5441" spans="1:15" x14ac:dyDescent="0.15">
      <c r="A5441" t="s">
        <v>21</v>
      </c>
      <c r="B5441" t="s">
        <v>4052</v>
      </c>
    </row>
    <row r="5442" spans="1:15" x14ac:dyDescent="0.15">
      <c r="A5442" t="s">
        <v>21</v>
      </c>
      <c r="B5442">
        <v>1000826</v>
      </c>
      <c r="C5442">
        <v>352320</v>
      </c>
      <c r="F5442" s="7">
        <v>1</v>
      </c>
      <c r="G5442" s="7">
        <v>121</v>
      </c>
      <c r="H5442" s="8">
        <v>121</v>
      </c>
      <c r="J5442" t="s">
        <v>23</v>
      </c>
      <c r="K5442" s="7">
        <v>1056</v>
      </c>
      <c r="L5442" s="9">
        <v>1</v>
      </c>
      <c r="M5442" t="s">
        <v>570</v>
      </c>
      <c r="N5442" t="s">
        <v>72</v>
      </c>
      <c r="O5442" s="27" t="str">
        <f>HYPERLINK("https://www.ncbi.nlm.nih.gov/nuccore/NZ_KB905814.1?report=graph&amp;from=528163&amp;to=528167", "TTA_codon")</f>
        <v>TTA_codon</v>
      </c>
    </row>
    <row r="5443" spans="1:15" x14ac:dyDescent="0.15">
      <c r="A5443" t="s">
        <v>21</v>
      </c>
      <c r="B5443">
        <v>1000826</v>
      </c>
      <c r="C5443">
        <v>361595</v>
      </c>
      <c r="F5443" s="7">
        <v>1</v>
      </c>
      <c r="G5443" s="7">
        <v>121</v>
      </c>
      <c r="H5443" s="8">
        <v>88</v>
      </c>
      <c r="J5443" t="s">
        <v>23</v>
      </c>
      <c r="K5443" s="7">
        <v>1017</v>
      </c>
      <c r="L5443" s="9">
        <v>1</v>
      </c>
      <c r="M5443" t="s">
        <v>37</v>
      </c>
      <c r="N5443" t="s">
        <v>38</v>
      </c>
      <c r="O5443" s="27" t="str">
        <f>HYPERLINK("https://www.ncbi.nlm.nih.gov/nuccore/NZ_CP011533.1?report=graph&amp;from=969131&amp;to=969135", "TTA_codon")</f>
        <v>TTA_codon</v>
      </c>
    </row>
    <row r="5444" spans="1:15" x14ac:dyDescent="0.15">
      <c r="A5444" t="s">
        <v>21</v>
      </c>
      <c r="B5444" t="s">
        <v>4053</v>
      </c>
    </row>
    <row r="5445" spans="1:15" x14ac:dyDescent="0.15">
      <c r="A5445" t="s">
        <v>21</v>
      </c>
      <c r="B5445">
        <v>1001021</v>
      </c>
      <c r="C5445">
        <v>354463</v>
      </c>
      <c r="F5445" s="7">
        <v>1</v>
      </c>
      <c r="G5445" s="7">
        <v>715</v>
      </c>
      <c r="H5445" s="8">
        <v>715</v>
      </c>
      <c r="J5445" t="s">
        <v>23</v>
      </c>
      <c r="K5445" s="7">
        <v>756</v>
      </c>
      <c r="L5445" s="9">
        <v>1</v>
      </c>
      <c r="M5445" t="s">
        <v>489</v>
      </c>
      <c r="N5445" t="s">
        <v>142</v>
      </c>
      <c r="O5445" s="27" t="str">
        <f>HYPERLINK("https://www.ncbi.nlm.nih.gov/nuccore/NZ_JOEI01000003.1?report=graph&amp;from=5629&amp;to=5633", "TTA_codon")</f>
        <v>TTA_codon</v>
      </c>
    </row>
    <row r="5446" spans="1:15" x14ac:dyDescent="0.15">
      <c r="A5446" t="s">
        <v>21</v>
      </c>
      <c r="B5446">
        <v>1001021</v>
      </c>
      <c r="C5446">
        <v>355175</v>
      </c>
      <c r="F5446" s="7">
        <v>1</v>
      </c>
      <c r="G5446" s="7">
        <v>715</v>
      </c>
      <c r="H5446" s="8">
        <v>682</v>
      </c>
      <c r="J5446" t="s">
        <v>23</v>
      </c>
      <c r="K5446" s="7">
        <v>723</v>
      </c>
      <c r="L5446" s="9">
        <v>1</v>
      </c>
      <c r="M5446" t="s">
        <v>1082</v>
      </c>
      <c r="N5446" t="s">
        <v>433</v>
      </c>
      <c r="O5446" s="27" t="str">
        <f>HYPERLINK("https://www.ncbi.nlm.nih.gov/nuccore/NZ_JOBF01000004.1?report=graph&amp;from=71497&amp;to=71501", "TTA_codon")</f>
        <v>TTA_codon</v>
      </c>
    </row>
    <row r="5447" spans="1:15" x14ac:dyDescent="0.15">
      <c r="A5447" t="s">
        <v>21</v>
      </c>
      <c r="B5447" t="s">
        <v>4054</v>
      </c>
    </row>
    <row r="5448" spans="1:15" x14ac:dyDescent="0.15">
      <c r="A5448" t="s">
        <v>21</v>
      </c>
      <c r="B5448">
        <v>1001123</v>
      </c>
      <c r="C5448">
        <v>355815</v>
      </c>
      <c r="F5448" s="7">
        <v>1</v>
      </c>
      <c r="G5448" s="7">
        <v>58</v>
      </c>
      <c r="H5448" s="8">
        <v>58</v>
      </c>
      <c r="J5448" t="s">
        <v>23</v>
      </c>
      <c r="K5448" s="7">
        <v>780</v>
      </c>
      <c r="L5448" s="9">
        <v>1</v>
      </c>
      <c r="M5448" t="s">
        <v>3369</v>
      </c>
      <c r="N5448" t="s">
        <v>75</v>
      </c>
      <c r="O5448" s="27" t="str">
        <f>HYPERLINK("https://www.ncbi.nlm.nih.gov/nuccore/NZ_JOII01000001.1?report=graph&amp;from=223866&amp;to=223870", "TTA_codon")</f>
        <v>TTA_codon</v>
      </c>
    </row>
    <row r="5449" spans="1:15" x14ac:dyDescent="0.15">
      <c r="A5449" t="s">
        <v>21</v>
      </c>
      <c r="B5449">
        <v>1001123</v>
      </c>
      <c r="C5449">
        <v>365692</v>
      </c>
      <c r="F5449" s="7">
        <v>1</v>
      </c>
      <c r="G5449" s="7">
        <v>112</v>
      </c>
      <c r="H5449" s="8">
        <v>109</v>
      </c>
      <c r="J5449" t="s">
        <v>23</v>
      </c>
      <c r="K5449" s="7">
        <v>765</v>
      </c>
      <c r="L5449" s="9">
        <v>1</v>
      </c>
      <c r="M5449" t="s">
        <v>213</v>
      </c>
      <c r="N5449" t="s">
        <v>214</v>
      </c>
      <c r="O5449" s="27" t="str">
        <f>HYPERLINK("https://www.ncbi.nlm.nih.gov/nuccore/NZ_FNST01000002.1?report=graph&amp;from=4185886&amp;to=4185890", "TTA_codon")</f>
        <v>TTA_codon</v>
      </c>
    </row>
    <row r="5450" spans="1:15" x14ac:dyDescent="0.15">
      <c r="A5450" t="s">
        <v>21</v>
      </c>
      <c r="B5450">
        <v>1001123</v>
      </c>
      <c r="C5450">
        <v>366625</v>
      </c>
      <c r="F5450" s="7">
        <v>1</v>
      </c>
      <c r="G5450" s="7">
        <v>91</v>
      </c>
      <c r="H5450" s="8">
        <v>76</v>
      </c>
      <c r="J5450" t="s">
        <v>23</v>
      </c>
      <c r="K5450" s="7">
        <v>747</v>
      </c>
      <c r="L5450" s="9">
        <v>1</v>
      </c>
      <c r="M5450" t="s">
        <v>4055</v>
      </c>
      <c r="N5450" t="s">
        <v>180</v>
      </c>
      <c r="O5450" s="27" t="str">
        <f>HYPERLINK("https://www.ncbi.nlm.nih.gov/nuccore/NZ_FRBI01000042.1?report=graph&amp;from=21945&amp;to=21949", "TTA_codon")</f>
        <v>TTA_codon</v>
      </c>
    </row>
    <row r="5451" spans="1:15" x14ac:dyDescent="0.15">
      <c r="A5451" t="s">
        <v>21</v>
      </c>
      <c r="B5451" t="s">
        <v>4056</v>
      </c>
    </row>
    <row r="5452" spans="1:15" x14ac:dyDescent="0.15">
      <c r="A5452" t="s">
        <v>21</v>
      </c>
      <c r="B5452">
        <v>1000745</v>
      </c>
      <c r="C5452">
        <v>351368</v>
      </c>
      <c r="F5452" s="7">
        <v>1</v>
      </c>
      <c r="G5452" s="7">
        <v>424</v>
      </c>
      <c r="H5452" s="8">
        <v>340</v>
      </c>
      <c r="J5452" t="s">
        <v>23</v>
      </c>
      <c r="K5452" s="7">
        <v>5400</v>
      </c>
      <c r="L5452" s="9">
        <v>1</v>
      </c>
      <c r="M5452" t="s">
        <v>65</v>
      </c>
      <c r="N5452" t="s">
        <v>66</v>
      </c>
      <c r="O5452" s="27" t="str">
        <f>HYPERLINK("https://www.ncbi.nlm.nih.gov/nuccore/NC_020504.1?report=graph&amp;from=7685571&amp;to=7685575", "TTA_codon")</f>
        <v>TTA_codon</v>
      </c>
    </row>
    <row r="5453" spans="1:15" x14ac:dyDescent="0.15">
      <c r="A5453" t="s">
        <v>21</v>
      </c>
      <c r="B5453">
        <v>1000745</v>
      </c>
      <c r="C5453">
        <v>354187</v>
      </c>
      <c r="F5453" s="7">
        <v>2</v>
      </c>
      <c r="G5453" s="7" t="s">
        <v>4057</v>
      </c>
      <c r="H5453" s="8" t="s">
        <v>4058</v>
      </c>
      <c r="J5453" t="s">
        <v>23</v>
      </c>
      <c r="K5453" s="7">
        <v>5220</v>
      </c>
      <c r="L5453" s="9">
        <v>1</v>
      </c>
      <c r="M5453" t="s">
        <v>4059</v>
      </c>
      <c r="N5453" t="s">
        <v>361</v>
      </c>
      <c r="O5453" s="27" t="str">
        <f>HYPERLINK("https://www.ncbi.nlm.nih.gov/nuccore/NZ_JODY01000025.1?report=graph&amp;from=40428&amp;to=40630", "TTA_codon")</f>
        <v>TTA_codon</v>
      </c>
    </row>
    <row r="5454" spans="1:15" x14ac:dyDescent="0.15">
      <c r="A5454" t="s">
        <v>21</v>
      </c>
      <c r="B5454">
        <v>1000745</v>
      </c>
      <c r="C5454">
        <v>359694</v>
      </c>
      <c r="F5454" s="7">
        <v>1</v>
      </c>
      <c r="G5454" s="7">
        <v>292</v>
      </c>
      <c r="H5454" s="8">
        <v>211</v>
      </c>
      <c r="J5454" t="s">
        <v>23</v>
      </c>
      <c r="K5454" s="7">
        <v>1080</v>
      </c>
      <c r="L5454" s="9">
        <v>1</v>
      </c>
      <c r="M5454" t="s">
        <v>1625</v>
      </c>
      <c r="N5454" t="s">
        <v>651</v>
      </c>
      <c r="O5454" s="27" t="str">
        <f>HYPERLINK("https://www.ncbi.nlm.nih.gov/nuccore/NZ_LN929763.1?report=graph&amp;from=149267&amp;to=149271", "TTA_codon")</f>
        <v>TTA_codon</v>
      </c>
    </row>
    <row r="5455" spans="1:15" x14ac:dyDescent="0.15">
      <c r="A5455" t="s">
        <v>21</v>
      </c>
      <c r="B5455">
        <v>1000745</v>
      </c>
      <c r="C5455">
        <v>362477</v>
      </c>
      <c r="F5455" s="7">
        <v>2</v>
      </c>
      <c r="G5455" s="7" t="s">
        <v>4060</v>
      </c>
      <c r="H5455" s="8" t="s">
        <v>4061</v>
      </c>
      <c r="J5455" t="s">
        <v>23</v>
      </c>
      <c r="K5455" s="7">
        <v>4353</v>
      </c>
      <c r="L5455" s="9">
        <v>1</v>
      </c>
      <c r="M5455" t="s">
        <v>32</v>
      </c>
      <c r="N5455" t="s">
        <v>33</v>
      </c>
      <c r="O5455" s="27" t="str">
        <f>HYPERLINK("https://www.ncbi.nlm.nih.gov/nuccore/NZ_CP017248.1?report=graph&amp;from=143727&amp;to=146182", "TTA_codon")</f>
        <v>TTA_codon</v>
      </c>
    </row>
    <row r="5456" spans="1:15" x14ac:dyDescent="0.15">
      <c r="A5456" t="s">
        <v>21</v>
      </c>
      <c r="B5456" t="s">
        <v>4062</v>
      </c>
    </row>
    <row r="5457" spans="1:15" x14ac:dyDescent="0.15">
      <c r="A5457" t="s">
        <v>21</v>
      </c>
      <c r="B5457">
        <v>1000980</v>
      </c>
      <c r="C5457">
        <v>353853</v>
      </c>
      <c r="F5457" s="7">
        <v>1</v>
      </c>
      <c r="G5457" s="7">
        <v>130</v>
      </c>
      <c r="H5457" s="8">
        <v>130</v>
      </c>
      <c r="J5457" t="s">
        <v>23</v>
      </c>
      <c r="K5457" s="7">
        <v>3117</v>
      </c>
      <c r="L5457" s="9">
        <v>1</v>
      </c>
      <c r="M5457" t="s">
        <v>1641</v>
      </c>
      <c r="N5457" t="s">
        <v>246</v>
      </c>
      <c r="O5457" s="27" t="str">
        <f>HYPERLINK("https://www.ncbi.nlm.nih.gov/nuccore/NZ_JNYR01000038.1?report=graph&amp;from=56412&amp;to=56416", "TTA_codon")</f>
        <v>TTA_codon</v>
      </c>
    </row>
    <row r="5458" spans="1:15" x14ac:dyDescent="0.15">
      <c r="A5458" t="s">
        <v>21</v>
      </c>
      <c r="B5458">
        <v>1000980</v>
      </c>
      <c r="C5458">
        <v>366305</v>
      </c>
      <c r="F5458" s="7">
        <v>1</v>
      </c>
      <c r="G5458" s="7">
        <v>58</v>
      </c>
      <c r="H5458" s="8">
        <v>58</v>
      </c>
      <c r="J5458" t="s">
        <v>23</v>
      </c>
      <c r="K5458" s="7">
        <v>3135</v>
      </c>
      <c r="L5458" s="9">
        <v>1</v>
      </c>
      <c r="M5458" t="s">
        <v>46</v>
      </c>
      <c r="N5458" t="s">
        <v>47</v>
      </c>
      <c r="O5458" s="27" t="str">
        <f>HYPERLINK("https://www.ncbi.nlm.nih.gov/nuccore/NZ_FOLM01000015.1?report=graph&amp;from=44675&amp;to=44679", "TTA_codon")</f>
        <v>TTA_codon</v>
      </c>
    </row>
    <row r="5459" spans="1:15" x14ac:dyDescent="0.15">
      <c r="A5459" t="s">
        <v>195</v>
      </c>
      <c r="B5459" t="s">
        <v>4063</v>
      </c>
    </row>
    <row r="5460" spans="1:15" x14ac:dyDescent="0.15">
      <c r="A5460" t="s">
        <v>195</v>
      </c>
      <c r="B5460">
        <v>1001070</v>
      </c>
      <c r="C5460">
        <v>347048</v>
      </c>
      <c r="F5460" s="7">
        <v>1</v>
      </c>
      <c r="G5460" s="7">
        <v>151</v>
      </c>
      <c r="H5460" s="8">
        <v>64</v>
      </c>
      <c r="J5460" t="s">
        <v>23</v>
      </c>
      <c r="K5460" s="7">
        <v>786</v>
      </c>
      <c r="L5460" s="9">
        <v>1</v>
      </c>
      <c r="M5460" t="s">
        <v>126</v>
      </c>
      <c r="N5460" t="s">
        <v>127</v>
      </c>
      <c r="O5460" s="27" t="str">
        <f>HYPERLINK("https://www.ncbi.nlm.nih.gov/nuccore/NZ_CP021748.1?report=graph&amp;from=5794306&amp;to=5794310", "TTA_codon")</f>
        <v>TTA_codon</v>
      </c>
    </row>
    <row r="5461" spans="1:15" x14ac:dyDescent="0.15">
      <c r="A5461" t="s">
        <v>21</v>
      </c>
      <c r="B5461">
        <v>1001070</v>
      </c>
      <c r="C5461">
        <v>355190</v>
      </c>
      <c r="F5461" s="7">
        <v>1</v>
      </c>
      <c r="G5461" s="7">
        <v>193</v>
      </c>
      <c r="H5461" s="8">
        <v>106</v>
      </c>
      <c r="J5461" t="s">
        <v>23</v>
      </c>
      <c r="K5461" s="7">
        <v>825</v>
      </c>
      <c r="L5461" s="9">
        <v>1</v>
      </c>
      <c r="M5461" t="s">
        <v>633</v>
      </c>
      <c r="N5461" t="s">
        <v>433</v>
      </c>
      <c r="O5461" s="27" t="str">
        <f>HYPERLINK("https://www.ncbi.nlm.nih.gov/nuccore/NZ_JOBF01000028.1?report=graph&amp;from=35540&amp;to=35544", "TTA_codon")</f>
        <v>TTA_codon</v>
      </c>
    </row>
    <row r="5462" spans="1:15" x14ac:dyDescent="0.15">
      <c r="A5462" t="s">
        <v>21</v>
      </c>
      <c r="B5462">
        <v>1001070</v>
      </c>
      <c r="C5462">
        <v>359947</v>
      </c>
      <c r="F5462" s="7">
        <v>1</v>
      </c>
      <c r="G5462" s="7">
        <v>151</v>
      </c>
      <c r="H5462" s="8">
        <v>151</v>
      </c>
      <c r="J5462" t="s">
        <v>23</v>
      </c>
      <c r="K5462" s="7">
        <v>903</v>
      </c>
      <c r="L5462" s="9">
        <v>1</v>
      </c>
      <c r="M5462" t="s">
        <v>2366</v>
      </c>
      <c r="N5462" t="s">
        <v>91</v>
      </c>
      <c r="O5462" s="27" t="str">
        <f>HYPERLINK("https://www.ncbi.nlm.nih.gov/nuccore/NZ_KQ948313.1?report=graph&amp;from=286045&amp;to=286049", "TTA_codon")</f>
        <v>TTA_codon</v>
      </c>
    </row>
    <row r="5463" spans="1:15" x14ac:dyDescent="0.15">
      <c r="A5463" t="s">
        <v>21</v>
      </c>
      <c r="B5463">
        <v>1001070</v>
      </c>
      <c r="C5463">
        <v>361242</v>
      </c>
      <c r="F5463" s="7">
        <v>1</v>
      </c>
      <c r="G5463" s="7">
        <v>151</v>
      </c>
      <c r="H5463" s="8">
        <v>64</v>
      </c>
      <c r="J5463" t="s">
        <v>23</v>
      </c>
      <c r="K5463" s="7">
        <v>765</v>
      </c>
      <c r="L5463" s="9">
        <v>1</v>
      </c>
      <c r="M5463" t="s">
        <v>98</v>
      </c>
      <c r="N5463" t="s">
        <v>99</v>
      </c>
      <c r="O5463" s="27" t="str">
        <f>HYPERLINK("https://www.ncbi.nlm.nih.gov/nuccore/NZ_CP016438.1?report=graph&amp;from=7932490&amp;to=7932494", "TTA_codon")</f>
        <v>TTA_codon</v>
      </c>
    </row>
    <row r="5464" spans="1:15" x14ac:dyDescent="0.15">
      <c r="A5464" t="s">
        <v>21</v>
      </c>
      <c r="B5464">
        <v>1001070</v>
      </c>
      <c r="C5464">
        <v>365984</v>
      </c>
      <c r="F5464" s="7">
        <v>1</v>
      </c>
      <c r="G5464" s="7">
        <v>322</v>
      </c>
      <c r="H5464" s="8">
        <v>235</v>
      </c>
      <c r="J5464" t="s">
        <v>23</v>
      </c>
      <c r="K5464" s="7">
        <v>894</v>
      </c>
      <c r="L5464" s="9">
        <v>1</v>
      </c>
      <c r="M5464" t="s">
        <v>2049</v>
      </c>
      <c r="N5464" t="s">
        <v>115</v>
      </c>
      <c r="O5464" s="27" t="str">
        <f>HYPERLINK("https://www.ncbi.nlm.nih.gov/nuccore/NZ_FODD01000022.1?report=graph&amp;from=116884&amp;to=116888", "TTA_codon")</f>
        <v>TTA_codon</v>
      </c>
    </row>
    <row r="5465" spans="1:15" x14ac:dyDescent="0.15">
      <c r="A5465" t="s">
        <v>21</v>
      </c>
      <c r="B5465" t="s">
        <v>4064</v>
      </c>
    </row>
    <row r="5466" spans="1:15" x14ac:dyDescent="0.15">
      <c r="A5466" t="s">
        <v>21</v>
      </c>
      <c r="B5466">
        <v>1000582</v>
      </c>
      <c r="C5466">
        <v>350126</v>
      </c>
      <c r="F5466" s="7">
        <v>1</v>
      </c>
      <c r="G5466" s="7">
        <v>133</v>
      </c>
      <c r="H5466" s="8">
        <v>133</v>
      </c>
      <c r="J5466" t="s">
        <v>23</v>
      </c>
      <c r="K5466" s="7">
        <v>285</v>
      </c>
      <c r="L5466" s="9">
        <v>-1</v>
      </c>
      <c r="M5466" t="s">
        <v>3866</v>
      </c>
      <c r="N5466" t="s">
        <v>249</v>
      </c>
      <c r="O5466" s="27" t="str">
        <f>HYPERLINK("https://www.ncbi.nlm.nih.gov/nuccore/NZ_AHBF01000042.1?report=graph&amp;from=108037&amp;to=108041", "TTA_codon")</f>
        <v>TTA_codon</v>
      </c>
    </row>
    <row r="5467" spans="1:15" x14ac:dyDescent="0.15">
      <c r="A5467" t="s">
        <v>21</v>
      </c>
      <c r="B5467">
        <v>1000582</v>
      </c>
      <c r="C5467">
        <v>350952</v>
      </c>
      <c r="F5467" s="7">
        <v>1</v>
      </c>
      <c r="G5467" s="7">
        <v>133</v>
      </c>
      <c r="H5467" s="8">
        <v>133</v>
      </c>
      <c r="J5467" t="s">
        <v>23</v>
      </c>
      <c r="K5467" s="7">
        <v>285</v>
      </c>
      <c r="L5467" s="9">
        <v>-1</v>
      </c>
      <c r="M5467" t="s">
        <v>352</v>
      </c>
      <c r="N5467" t="s">
        <v>51</v>
      </c>
      <c r="O5467" s="27" t="str">
        <f>HYPERLINK("https://www.ncbi.nlm.nih.gov/nuccore/NZ_AEJB01000361.1?report=graph&amp;from=88276&amp;to=88280", "TTA_codon")</f>
        <v>TTA_codon</v>
      </c>
    </row>
    <row r="5468" spans="1:15" x14ac:dyDescent="0.15">
      <c r="A5468" t="s">
        <v>195</v>
      </c>
      <c r="B5468" t="s">
        <v>4065</v>
      </c>
    </row>
    <row r="5469" spans="1:15" x14ac:dyDescent="0.15">
      <c r="A5469" t="s">
        <v>195</v>
      </c>
      <c r="B5469">
        <v>1001508</v>
      </c>
      <c r="C5469">
        <v>346076</v>
      </c>
      <c r="F5469" s="7">
        <v>1</v>
      </c>
      <c r="G5469" s="7">
        <v>583</v>
      </c>
      <c r="H5469" s="8">
        <v>556</v>
      </c>
      <c r="J5469" t="s">
        <v>23</v>
      </c>
      <c r="K5469" s="7">
        <v>828</v>
      </c>
      <c r="L5469" s="9">
        <v>1</v>
      </c>
      <c r="M5469" t="s">
        <v>59</v>
      </c>
      <c r="N5469" t="s">
        <v>60</v>
      </c>
      <c r="O5469" s="27" t="str">
        <f>HYPERLINK("https://www.ncbi.nlm.nih.gov/nuccore/NC_016582.1?report=graph&amp;from=6523146&amp;to=6523150", "TTA_codon")</f>
        <v>TTA_codon</v>
      </c>
    </row>
    <row r="5470" spans="1:15" x14ac:dyDescent="0.15">
      <c r="A5470" t="s">
        <v>195</v>
      </c>
      <c r="B5470">
        <v>1001508</v>
      </c>
      <c r="C5470">
        <v>347130</v>
      </c>
      <c r="F5470" s="7">
        <v>3</v>
      </c>
      <c r="G5470" s="7" t="s">
        <v>4066</v>
      </c>
      <c r="H5470" s="8" t="s">
        <v>4067</v>
      </c>
      <c r="J5470" t="s">
        <v>23</v>
      </c>
      <c r="K5470" s="7">
        <v>900</v>
      </c>
      <c r="L5470" s="9">
        <v>1</v>
      </c>
      <c r="M5470" t="s">
        <v>213</v>
      </c>
      <c r="N5470" t="s">
        <v>214</v>
      </c>
      <c r="O5470" s="27" t="str">
        <f>HYPERLINK("https://www.ncbi.nlm.nih.gov/nuccore/NZ_FNST01000002.1?report=graph&amp;from=2347072&amp;to=2347535", "TTA_codon")</f>
        <v>TTA_codon</v>
      </c>
    </row>
    <row r="5471" spans="1:15" x14ac:dyDescent="0.15">
      <c r="A5471" t="s">
        <v>21</v>
      </c>
      <c r="B5471">
        <v>1001508</v>
      </c>
      <c r="C5471">
        <v>347339</v>
      </c>
      <c r="F5471" s="7">
        <v>1</v>
      </c>
      <c r="G5471" s="7">
        <v>79</v>
      </c>
      <c r="H5471" s="8">
        <v>61</v>
      </c>
      <c r="J5471" t="s">
        <v>23</v>
      </c>
      <c r="K5471" s="7">
        <v>825</v>
      </c>
      <c r="L5471" s="9">
        <v>1</v>
      </c>
      <c r="M5471" t="s">
        <v>217</v>
      </c>
      <c r="N5471" t="s">
        <v>218</v>
      </c>
      <c r="O5471" s="27" t="str">
        <f>HYPERLINK("https://www.ncbi.nlm.nih.gov/nuccore/NC_021985.1?report=graph&amp;from=4035984&amp;to=4035988", "TTA_codon")</f>
        <v>TTA_codon</v>
      </c>
    </row>
    <row r="5472" spans="1:15" x14ac:dyDescent="0.15">
      <c r="A5472" t="s">
        <v>21</v>
      </c>
      <c r="B5472">
        <v>1001508</v>
      </c>
      <c r="C5472">
        <v>349583</v>
      </c>
      <c r="F5472" s="7">
        <v>1</v>
      </c>
      <c r="G5472" s="7">
        <v>532</v>
      </c>
      <c r="H5472" s="8">
        <v>493</v>
      </c>
      <c r="J5472" t="s">
        <v>23</v>
      </c>
      <c r="K5472" s="7">
        <v>819</v>
      </c>
      <c r="L5472" s="9">
        <v>1</v>
      </c>
      <c r="M5472" t="s">
        <v>4068</v>
      </c>
      <c r="N5472" t="s">
        <v>335</v>
      </c>
      <c r="O5472" s="27" t="str">
        <f>HYPERLINK("https://www.ncbi.nlm.nih.gov/nuccore/NZ_AGBF01000164.1?report=graph&amp;from=15373&amp;to=15377", "TTA_codon")</f>
        <v>TTA_codon</v>
      </c>
    </row>
    <row r="5473" spans="1:15" x14ac:dyDescent="0.15">
      <c r="A5473" t="s">
        <v>21</v>
      </c>
      <c r="B5473">
        <v>1001508</v>
      </c>
      <c r="C5473">
        <v>349926</v>
      </c>
      <c r="F5473" s="7">
        <v>1</v>
      </c>
      <c r="G5473" s="7">
        <v>532</v>
      </c>
      <c r="H5473" s="8">
        <v>505</v>
      </c>
      <c r="J5473" t="s">
        <v>23</v>
      </c>
      <c r="K5473" s="7">
        <v>816</v>
      </c>
      <c r="L5473" s="9">
        <v>1</v>
      </c>
      <c r="M5473" t="s">
        <v>1491</v>
      </c>
      <c r="N5473" t="s">
        <v>249</v>
      </c>
      <c r="O5473" s="27" t="str">
        <f>HYPERLINK("https://www.ncbi.nlm.nih.gov/nuccore/NZ_AHBF01000017.1?report=graph&amp;from=192299&amp;to=192303", "TTA_codon")</f>
        <v>TTA_codon</v>
      </c>
    </row>
    <row r="5474" spans="1:15" x14ac:dyDescent="0.15">
      <c r="A5474" t="s">
        <v>21</v>
      </c>
      <c r="B5474">
        <v>1001508</v>
      </c>
      <c r="C5474">
        <v>350237</v>
      </c>
      <c r="F5474" s="7">
        <v>1</v>
      </c>
      <c r="G5474" s="7">
        <v>532</v>
      </c>
      <c r="H5474" s="8">
        <v>502</v>
      </c>
      <c r="J5474" t="s">
        <v>23</v>
      </c>
      <c r="K5474" s="7">
        <v>825</v>
      </c>
      <c r="L5474" s="9">
        <v>1</v>
      </c>
      <c r="M5474" t="s">
        <v>35</v>
      </c>
      <c r="N5474" t="s">
        <v>36</v>
      </c>
      <c r="O5474" s="27" t="str">
        <f>HYPERLINK("https://www.ncbi.nlm.nih.gov/nuccore/NZ_JH725387.1?report=graph&amp;from=2520198&amp;to=2520202", "TTA_codon")</f>
        <v>TTA_codon</v>
      </c>
    </row>
    <row r="5475" spans="1:15" x14ac:dyDescent="0.15">
      <c r="A5475" t="s">
        <v>21</v>
      </c>
      <c r="B5475">
        <v>1001508</v>
      </c>
      <c r="C5475">
        <v>350722</v>
      </c>
      <c r="F5475" s="7">
        <v>1</v>
      </c>
      <c r="G5475" s="7">
        <v>106</v>
      </c>
      <c r="H5475" s="8">
        <v>79</v>
      </c>
      <c r="J5475" t="s">
        <v>23</v>
      </c>
      <c r="K5475" s="7">
        <v>822</v>
      </c>
      <c r="L5475" s="9">
        <v>1</v>
      </c>
      <c r="M5475" t="s">
        <v>4069</v>
      </c>
      <c r="N5475" t="s">
        <v>51</v>
      </c>
      <c r="O5475" s="27" t="str">
        <f>HYPERLINK("https://www.ncbi.nlm.nih.gov/nuccore/NZ_AEJB01000030.1?report=graph&amp;from=14233&amp;to=14237", "TTA_codon")</f>
        <v>TTA_codon</v>
      </c>
    </row>
    <row r="5476" spans="1:15" x14ac:dyDescent="0.15">
      <c r="A5476" t="s">
        <v>21</v>
      </c>
      <c r="B5476">
        <v>1001508</v>
      </c>
      <c r="C5476">
        <v>352391</v>
      </c>
      <c r="F5476" s="7">
        <v>1</v>
      </c>
      <c r="G5476" s="7">
        <v>223</v>
      </c>
      <c r="H5476" s="8">
        <v>190</v>
      </c>
      <c r="J5476" t="s">
        <v>23</v>
      </c>
      <c r="K5476" s="7">
        <v>819</v>
      </c>
      <c r="L5476" s="9">
        <v>1</v>
      </c>
      <c r="M5476" t="s">
        <v>30</v>
      </c>
      <c r="N5476" t="s">
        <v>31</v>
      </c>
      <c r="O5476" s="27" t="str">
        <f>HYPERLINK("https://www.ncbi.nlm.nih.gov/nuccore/NZ_KB913030.1?report=graph&amp;from=2140743&amp;to=2140747", "TTA_codon")</f>
        <v>TTA_codon</v>
      </c>
    </row>
    <row r="5477" spans="1:15" x14ac:dyDescent="0.15">
      <c r="A5477" t="s">
        <v>21</v>
      </c>
      <c r="B5477">
        <v>1001508</v>
      </c>
      <c r="C5477">
        <v>353985</v>
      </c>
      <c r="F5477" s="7">
        <v>1</v>
      </c>
      <c r="G5477" s="7">
        <v>448</v>
      </c>
      <c r="H5477" s="8">
        <v>418</v>
      </c>
      <c r="J5477" t="s">
        <v>23</v>
      </c>
      <c r="K5477" s="7">
        <v>819</v>
      </c>
      <c r="L5477" s="9">
        <v>1</v>
      </c>
      <c r="M5477" t="s">
        <v>1393</v>
      </c>
      <c r="N5477" t="s">
        <v>270</v>
      </c>
      <c r="O5477" s="27" t="str">
        <f>HYPERLINK("https://www.ncbi.nlm.nih.gov/nuccore/NZ_JOBH01000005.1?report=graph&amp;from=259875&amp;to=259879", "TTA_codon")</f>
        <v>TTA_codon</v>
      </c>
    </row>
    <row r="5478" spans="1:15" x14ac:dyDescent="0.15">
      <c r="A5478" t="s">
        <v>21</v>
      </c>
      <c r="B5478">
        <v>1001508</v>
      </c>
      <c r="C5478">
        <v>358057</v>
      </c>
      <c r="F5478" s="7">
        <v>1</v>
      </c>
      <c r="G5478" s="7">
        <v>373</v>
      </c>
      <c r="H5478" s="8">
        <v>310</v>
      </c>
      <c r="J5478" t="s">
        <v>23</v>
      </c>
      <c r="K5478" s="7">
        <v>900</v>
      </c>
      <c r="L5478" s="9">
        <v>1</v>
      </c>
      <c r="M5478" t="s">
        <v>4070</v>
      </c>
      <c r="N5478" t="s">
        <v>119</v>
      </c>
      <c r="O5478" s="27" t="str">
        <f>HYPERLINK("https://www.ncbi.nlm.nih.gov/nuccore/NZ_LIPP01000276.1?report=graph&amp;from=18190&amp;to=18194", "TTA_codon")</f>
        <v>TTA_codon</v>
      </c>
    </row>
    <row r="5479" spans="1:15" x14ac:dyDescent="0.15">
      <c r="A5479" t="s">
        <v>21</v>
      </c>
      <c r="B5479">
        <v>1001508</v>
      </c>
      <c r="C5479">
        <v>359023</v>
      </c>
      <c r="F5479" s="7">
        <v>1</v>
      </c>
      <c r="G5479" s="7">
        <v>106</v>
      </c>
      <c r="H5479" s="8">
        <v>76</v>
      </c>
      <c r="J5479" t="s">
        <v>23</v>
      </c>
      <c r="K5479" s="7">
        <v>819</v>
      </c>
      <c r="L5479" s="9">
        <v>1</v>
      </c>
      <c r="M5479" t="s">
        <v>4071</v>
      </c>
      <c r="N5479" t="s">
        <v>451</v>
      </c>
      <c r="O5479" s="27" t="str">
        <f>HYPERLINK("https://www.ncbi.nlm.nih.gov/nuccore/NZ_LIQZ01000122.1?report=graph&amp;from=11370&amp;to=11374", "TTA_codon")</f>
        <v>TTA_codon</v>
      </c>
    </row>
    <row r="5480" spans="1:15" x14ac:dyDescent="0.15">
      <c r="A5480" t="s">
        <v>21</v>
      </c>
      <c r="B5480">
        <v>1001508</v>
      </c>
      <c r="C5480">
        <v>360348</v>
      </c>
      <c r="F5480" s="7">
        <v>1</v>
      </c>
      <c r="G5480" s="7">
        <v>373</v>
      </c>
      <c r="H5480" s="8">
        <v>343</v>
      </c>
      <c r="J5480" t="s">
        <v>23</v>
      </c>
      <c r="K5480" s="7">
        <v>825</v>
      </c>
      <c r="L5480" s="9">
        <v>1</v>
      </c>
      <c r="M5480" t="s">
        <v>121</v>
      </c>
      <c r="N5480" t="s">
        <v>122</v>
      </c>
      <c r="O5480" s="27" t="str">
        <f>HYPERLINK("https://www.ncbi.nlm.nih.gov/nuccore/NZ_CP016279.1?report=graph&amp;from=10286966&amp;to=10286970", "TTA_codon")</f>
        <v>TTA_codon</v>
      </c>
    </row>
    <row r="5481" spans="1:15" x14ac:dyDescent="0.15">
      <c r="A5481" t="s">
        <v>21</v>
      </c>
      <c r="B5481">
        <v>1001508</v>
      </c>
      <c r="C5481">
        <v>361538</v>
      </c>
      <c r="F5481" s="7">
        <v>1</v>
      </c>
      <c r="G5481" s="7">
        <v>121</v>
      </c>
      <c r="H5481" s="8">
        <v>73</v>
      </c>
      <c r="J5481" t="s">
        <v>23</v>
      </c>
      <c r="K5481" s="7">
        <v>810</v>
      </c>
      <c r="L5481" s="9">
        <v>1</v>
      </c>
      <c r="M5481" t="s">
        <v>37</v>
      </c>
      <c r="N5481" t="s">
        <v>38</v>
      </c>
      <c r="O5481" s="27" t="str">
        <f>HYPERLINK("https://www.ncbi.nlm.nih.gov/nuccore/NZ_CP011533.1?report=graph&amp;from=4319820&amp;to=4319824", "TTA_codon")</f>
        <v>TTA_codon</v>
      </c>
    </row>
    <row r="5482" spans="1:15" x14ac:dyDescent="0.15">
      <c r="A5482" t="s">
        <v>21</v>
      </c>
      <c r="B5482">
        <v>1001508</v>
      </c>
      <c r="C5482">
        <v>362409</v>
      </c>
      <c r="F5482" s="7">
        <v>1</v>
      </c>
      <c r="G5482" s="7">
        <v>238</v>
      </c>
      <c r="H5482" s="8">
        <v>217</v>
      </c>
      <c r="J5482" t="s">
        <v>23</v>
      </c>
      <c r="K5482" s="7">
        <v>816</v>
      </c>
      <c r="L5482" s="9">
        <v>1</v>
      </c>
      <c r="M5482" t="s">
        <v>32</v>
      </c>
      <c r="N5482" t="s">
        <v>33</v>
      </c>
      <c r="O5482" s="27" t="str">
        <f>HYPERLINK("https://www.ncbi.nlm.nih.gov/nuccore/NZ_CP017248.1?report=graph&amp;from=6845980&amp;to=6845984", "TTA_codon")</f>
        <v>TTA_codon</v>
      </c>
    </row>
    <row r="5483" spans="1:15" x14ac:dyDescent="0.15">
      <c r="A5483" t="s">
        <v>21</v>
      </c>
      <c r="B5483">
        <v>1001508</v>
      </c>
      <c r="C5483">
        <v>364806</v>
      </c>
      <c r="F5483" s="7">
        <v>1</v>
      </c>
      <c r="G5483" s="7">
        <v>223</v>
      </c>
      <c r="H5483" s="8">
        <v>199</v>
      </c>
      <c r="J5483" t="s">
        <v>23</v>
      </c>
      <c r="K5483" s="7">
        <v>828</v>
      </c>
      <c r="L5483" s="9">
        <v>1</v>
      </c>
      <c r="M5483" t="s">
        <v>126</v>
      </c>
      <c r="N5483" t="s">
        <v>127</v>
      </c>
      <c r="O5483" s="27" t="str">
        <f>HYPERLINK("https://www.ncbi.nlm.nih.gov/nuccore/NZ_CP021748.1?report=graph&amp;from=3035484&amp;to=3035488", "TTA_codon")</f>
        <v>TTA_codon</v>
      </c>
    </row>
    <row r="5484" spans="1:15" x14ac:dyDescent="0.15">
      <c r="A5484" t="s">
        <v>21</v>
      </c>
      <c r="B5484">
        <v>1001508</v>
      </c>
      <c r="C5484">
        <v>364807</v>
      </c>
      <c r="F5484" s="7">
        <v>1</v>
      </c>
      <c r="G5484" s="7">
        <v>223</v>
      </c>
      <c r="H5484" s="8">
        <v>190</v>
      </c>
      <c r="J5484" t="s">
        <v>23</v>
      </c>
      <c r="K5484" s="7">
        <v>813</v>
      </c>
      <c r="L5484" s="9">
        <v>1</v>
      </c>
      <c r="M5484" t="s">
        <v>126</v>
      </c>
      <c r="N5484" t="s">
        <v>127</v>
      </c>
      <c r="O5484" s="27" t="str">
        <f>HYPERLINK("https://www.ncbi.nlm.nih.gov/nuccore/NZ_CP021748.1?report=graph&amp;from=5238350&amp;to=5238354", "TTA_codon")</f>
        <v>TTA_codon</v>
      </c>
    </row>
    <row r="5485" spans="1:15" x14ac:dyDescent="0.15">
      <c r="A5485" t="s">
        <v>21</v>
      </c>
      <c r="B5485">
        <v>1001508</v>
      </c>
      <c r="C5485">
        <v>365416</v>
      </c>
      <c r="F5485" s="7">
        <v>1</v>
      </c>
      <c r="G5485" s="7">
        <v>250</v>
      </c>
      <c r="H5485" s="8">
        <v>196</v>
      </c>
      <c r="J5485" t="s">
        <v>23</v>
      </c>
      <c r="K5485" s="7">
        <v>900</v>
      </c>
      <c r="L5485" s="9">
        <v>1</v>
      </c>
      <c r="M5485" t="s">
        <v>4072</v>
      </c>
      <c r="N5485" t="s">
        <v>45</v>
      </c>
      <c r="O5485" s="27" t="str">
        <f>HYPERLINK("https://www.ncbi.nlm.nih.gov/nuccore/NZ_FNIE01000014.1?report=graph&amp;from=238607&amp;to=238611", "TTA_codon")</f>
        <v>TTA_codon</v>
      </c>
    </row>
    <row r="5486" spans="1:15" x14ac:dyDescent="0.15">
      <c r="A5486" t="s">
        <v>21</v>
      </c>
      <c r="B5486">
        <v>1001508</v>
      </c>
      <c r="C5486">
        <v>365418</v>
      </c>
      <c r="F5486" s="7">
        <v>1</v>
      </c>
      <c r="G5486" s="7">
        <v>532</v>
      </c>
      <c r="H5486" s="8">
        <v>499</v>
      </c>
      <c r="J5486" t="s">
        <v>23</v>
      </c>
      <c r="K5486" s="7">
        <v>819</v>
      </c>
      <c r="L5486" s="9">
        <v>1</v>
      </c>
      <c r="M5486" t="s">
        <v>44</v>
      </c>
      <c r="N5486" t="s">
        <v>45</v>
      </c>
      <c r="O5486" s="27" t="str">
        <f>HYPERLINK("https://www.ncbi.nlm.nih.gov/nuccore/NZ_FNIE01000002.1?report=graph&amp;from=306289&amp;to=306293", "TTA_codon")</f>
        <v>TTA_codon</v>
      </c>
    </row>
    <row r="5487" spans="1:15" x14ac:dyDescent="0.15">
      <c r="A5487" t="s">
        <v>21</v>
      </c>
      <c r="B5487">
        <v>1001508</v>
      </c>
      <c r="C5487">
        <v>365905</v>
      </c>
      <c r="F5487" s="7">
        <v>2</v>
      </c>
      <c r="G5487" s="7" t="s">
        <v>4073</v>
      </c>
      <c r="H5487" s="8" t="s">
        <v>4074</v>
      </c>
      <c r="J5487" t="s">
        <v>23</v>
      </c>
      <c r="K5487" s="7">
        <v>816</v>
      </c>
      <c r="L5487" s="9">
        <v>1</v>
      </c>
      <c r="M5487" t="s">
        <v>4075</v>
      </c>
      <c r="N5487" t="s">
        <v>115</v>
      </c>
      <c r="O5487" s="27" t="str">
        <f>HYPERLINK("https://www.ncbi.nlm.nih.gov/nuccore/NZ_FODD01000032.1?report=graph&amp;from=5493&amp;to=5728", "TTA_codon")</f>
        <v>TTA_codon</v>
      </c>
    </row>
    <row r="5488" spans="1:15" x14ac:dyDescent="0.15">
      <c r="A5488" t="s">
        <v>21</v>
      </c>
      <c r="B5488">
        <v>1001508</v>
      </c>
      <c r="C5488">
        <v>366354</v>
      </c>
      <c r="F5488" s="7">
        <v>1</v>
      </c>
      <c r="G5488" s="7">
        <v>373</v>
      </c>
      <c r="H5488" s="8">
        <v>349</v>
      </c>
      <c r="J5488" t="s">
        <v>23</v>
      </c>
      <c r="K5488" s="7">
        <v>810</v>
      </c>
      <c r="L5488" s="9">
        <v>1</v>
      </c>
      <c r="M5488" t="s">
        <v>4076</v>
      </c>
      <c r="N5488" t="s">
        <v>375</v>
      </c>
      <c r="O5488" s="27" t="str">
        <f>HYPERLINK("https://www.ncbi.nlm.nih.gov/nuccore/NZ_FONG01000016.1?report=graph&amp;from=95094&amp;to=95098", "TTA_codon")</f>
        <v>TTA_codon</v>
      </c>
    </row>
    <row r="5489" spans="1:15" x14ac:dyDescent="0.15">
      <c r="A5489" t="s">
        <v>21</v>
      </c>
      <c r="B5489" t="s">
        <v>4077</v>
      </c>
    </row>
    <row r="5490" spans="1:15" x14ac:dyDescent="0.15">
      <c r="A5490" t="s">
        <v>21</v>
      </c>
      <c r="B5490">
        <v>1001361</v>
      </c>
      <c r="C5490">
        <v>347385</v>
      </c>
      <c r="F5490" s="7">
        <v>3</v>
      </c>
      <c r="G5490" s="7" t="s">
        <v>4078</v>
      </c>
      <c r="H5490" s="8" t="s">
        <v>4079</v>
      </c>
      <c r="J5490" t="s">
        <v>23</v>
      </c>
      <c r="K5490" s="7">
        <v>2403</v>
      </c>
      <c r="L5490" s="9">
        <v>1</v>
      </c>
      <c r="M5490" t="s">
        <v>217</v>
      </c>
      <c r="N5490" t="s">
        <v>218</v>
      </c>
      <c r="O5490" s="27" t="str">
        <f>HYPERLINK("https://www.ncbi.nlm.nih.gov/nuccore/NC_021985.1?report=graph&amp;from=6086396&amp;to=6087756", "TTA_codon")</f>
        <v>TTA_codon</v>
      </c>
    </row>
    <row r="5491" spans="1:15" x14ac:dyDescent="0.15">
      <c r="A5491" t="s">
        <v>21</v>
      </c>
      <c r="B5491">
        <v>1001361</v>
      </c>
      <c r="C5491">
        <v>351217</v>
      </c>
      <c r="F5491" s="7">
        <v>2</v>
      </c>
      <c r="G5491" s="7" t="s">
        <v>4080</v>
      </c>
      <c r="H5491" s="8" t="s">
        <v>4081</v>
      </c>
      <c r="J5491" t="s">
        <v>23</v>
      </c>
      <c r="K5491" s="7">
        <v>2508</v>
      </c>
      <c r="L5491" s="9">
        <v>1</v>
      </c>
      <c r="M5491" t="s">
        <v>65</v>
      </c>
      <c r="N5491" t="s">
        <v>66</v>
      </c>
      <c r="O5491" s="27" t="str">
        <f>HYPERLINK("https://www.ncbi.nlm.nih.gov/nuccore/NC_020504.1?report=graph&amp;from=1148618&amp;to=1148649", "TTA_codon")</f>
        <v>TTA_codon</v>
      </c>
    </row>
    <row r="5492" spans="1:15" x14ac:dyDescent="0.15">
      <c r="A5492" t="s">
        <v>21</v>
      </c>
      <c r="B5492">
        <v>1001361</v>
      </c>
      <c r="C5492">
        <v>351776</v>
      </c>
      <c r="F5492" s="7">
        <v>1</v>
      </c>
      <c r="G5492" s="7">
        <v>2143</v>
      </c>
      <c r="H5492" s="8">
        <v>1810</v>
      </c>
      <c r="J5492" t="s">
        <v>23</v>
      </c>
      <c r="K5492" s="7">
        <v>2709</v>
      </c>
      <c r="L5492" s="9">
        <v>1</v>
      </c>
      <c r="M5492" t="s">
        <v>4082</v>
      </c>
      <c r="N5492" t="s">
        <v>68</v>
      </c>
      <c r="O5492" s="27" t="str">
        <f>HYPERLINK("https://www.ncbi.nlm.nih.gov/nuccore/NZ_BARG01000013.1?report=graph&amp;from=100428&amp;to=100432", "TTA_codon")</f>
        <v>TTA_codon</v>
      </c>
    </row>
    <row r="5493" spans="1:15" x14ac:dyDescent="0.15">
      <c r="A5493" t="s">
        <v>21</v>
      </c>
      <c r="B5493">
        <v>1001361</v>
      </c>
      <c r="C5493">
        <v>358420</v>
      </c>
      <c r="F5493" s="7">
        <v>1</v>
      </c>
      <c r="G5493" s="7">
        <v>901</v>
      </c>
      <c r="H5493" s="8">
        <v>172</v>
      </c>
      <c r="J5493" t="s">
        <v>23</v>
      </c>
      <c r="K5493" s="7">
        <v>2237</v>
      </c>
      <c r="L5493" s="9">
        <v>1</v>
      </c>
      <c r="M5493" t="s">
        <v>4083</v>
      </c>
      <c r="N5493" t="s">
        <v>85</v>
      </c>
      <c r="O5493" s="27" t="str">
        <f>HYPERLINK("https://www.ncbi.nlm.nih.gov/nuccore/NZ_LIQX01000272.1?report=graph&amp;from=8622&amp;to=8626", "TTA_codon")</f>
        <v>TTA_codon</v>
      </c>
    </row>
    <row r="5494" spans="1:15" x14ac:dyDescent="0.15">
      <c r="A5494" t="s">
        <v>21</v>
      </c>
      <c r="B5494">
        <v>1001361</v>
      </c>
      <c r="C5494">
        <v>358700</v>
      </c>
      <c r="F5494" s="7">
        <v>1</v>
      </c>
      <c r="G5494" s="7">
        <v>670</v>
      </c>
      <c r="H5494" s="8">
        <v>211</v>
      </c>
      <c r="J5494" t="s">
        <v>23</v>
      </c>
      <c r="K5494" s="7">
        <v>2682</v>
      </c>
      <c r="L5494" s="9">
        <v>1</v>
      </c>
      <c r="M5494" t="s">
        <v>4084</v>
      </c>
      <c r="N5494" t="s">
        <v>757</v>
      </c>
      <c r="O5494" s="27" t="str">
        <f>HYPERLINK("https://www.ncbi.nlm.nih.gov/nuccore/NZ_LIQR01000196.1?report=graph&amp;from=18701&amp;to=18705", "TTA_codon")</f>
        <v>TTA_codon</v>
      </c>
    </row>
    <row r="5495" spans="1:15" x14ac:dyDescent="0.15">
      <c r="A5495" t="s">
        <v>21</v>
      </c>
      <c r="B5495">
        <v>1001361</v>
      </c>
      <c r="C5495">
        <v>361187</v>
      </c>
      <c r="F5495" s="7">
        <v>1</v>
      </c>
      <c r="G5495" s="7">
        <v>2320</v>
      </c>
      <c r="H5495" s="8">
        <v>1426</v>
      </c>
      <c r="J5495" t="s">
        <v>23</v>
      </c>
      <c r="K5495" s="7">
        <v>2052</v>
      </c>
      <c r="L5495" s="9">
        <v>1</v>
      </c>
      <c r="M5495" t="s">
        <v>98</v>
      </c>
      <c r="N5495" t="s">
        <v>99</v>
      </c>
      <c r="O5495" s="27" t="str">
        <f>HYPERLINK("https://www.ncbi.nlm.nih.gov/nuccore/NZ_CP016438.1?report=graph&amp;from=5532464&amp;to=5532468", "TTA_codon")</f>
        <v>TTA_codon</v>
      </c>
    </row>
    <row r="5496" spans="1:15" x14ac:dyDescent="0.15">
      <c r="A5496" t="s">
        <v>21</v>
      </c>
      <c r="B5496">
        <v>1001361</v>
      </c>
      <c r="C5496">
        <v>366202</v>
      </c>
      <c r="F5496" s="7">
        <v>1</v>
      </c>
      <c r="G5496" s="7">
        <v>832</v>
      </c>
      <c r="H5496" s="8">
        <v>181</v>
      </c>
      <c r="J5496" t="s">
        <v>23</v>
      </c>
      <c r="K5496" s="7">
        <v>2400</v>
      </c>
      <c r="L5496" s="9">
        <v>1</v>
      </c>
      <c r="M5496" t="s">
        <v>1696</v>
      </c>
      <c r="N5496" t="s">
        <v>178</v>
      </c>
      <c r="O5496" s="27" t="str">
        <f>HYPERLINK("https://www.ncbi.nlm.nih.gov/nuccore/NZ_FOGO01000003.1?report=graph&amp;from=63657&amp;to=63661", "TTA_codon")</f>
        <v>TTA_codon</v>
      </c>
    </row>
    <row r="5497" spans="1:15" x14ac:dyDescent="0.15">
      <c r="A5497" t="s">
        <v>21</v>
      </c>
      <c r="B5497" t="s">
        <v>4085</v>
      </c>
    </row>
    <row r="5498" spans="1:15" x14ac:dyDescent="0.15">
      <c r="A5498" t="s">
        <v>21</v>
      </c>
      <c r="B5498">
        <v>1000208</v>
      </c>
      <c r="C5498">
        <v>347379</v>
      </c>
      <c r="F5498" s="7">
        <v>1</v>
      </c>
      <c r="G5498" s="7">
        <v>1045</v>
      </c>
      <c r="H5498" s="8">
        <v>1000</v>
      </c>
      <c r="J5498" t="s">
        <v>23</v>
      </c>
      <c r="K5498" s="7">
        <v>1854</v>
      </c>
      <c r="L5498" s="9">
        <v>1</v>
      </c>
      <c r="M5498" t="s">
        <v>217</v>
      </c>
      <c r="N5498" t="s">
        <v>218</v>
      </c>
      <c r="O5498" s="27" t="str">
        <f>HYPERLINK("https://www.ncbi.nlm.nih.gov/nuccore/NC_021985.1?report=graph&amp;from=1775029&amp;to=1775033", "TTA_codon")</f>
        <v>TTA_codon</v>
      </c>
    </row>
    <row r="5499" spans="1:15" x14ac:dyDescent="0.15">
      <c r="A5499" t="s">
        <v>21</v>
      </c>
      <c r="B5499">
        <v>1000208</v>
      </c>
      <c r="C5499">
        <v>349624</v>
      </c>
      <c r="F5499" s="7">
        <v>1</v>
      </c>
      <c r="G5499" s="7">
        <v>1045</v>
      </c>
      <c r="H5499" s="8">
        <v>997</v>
      </c>
      <c r="J5499" t="s">
        <v>23</v>
      </c>
      <c r="K5499" s="7">
        <v>1851</v>
      </c>
      <c r="L5499" s="9">
        <v>1</v>
      </c>
      <c r="M5499" t="s">
        <v>4086</v>
      </c>
      <c r="N5499" t="s">
        <v>335</v>
      </c>
      <c r="O5499" s="27" t="str">
        <f>HYPERLINK("https://www.ncbi.nlm.nih.gov/nuccore/NZ_AGBF01000005.1?report=graph&amp;from=25913&amp;to=25917", "TTA_codon")</f>
        <v>TTA_codon</v>
      </c>
    </row>
    <row r="5500" spans="1:15" x14ac:dyDescent="0.15">
      <c r="A5500" t="s">
        <v>21</v>
      </c>
      <c r="B5500">
        <v>1000208</v>
      </c>
      <c r="C5500">
        <v>356212</v>
      </c>
      <c r="F5500" s="7">
        <v>1</v>
      </c>
      <c r="G5500" s="7">
        <v>1045</v>
      </c>
      <c r="H5500" s="8">
        <v>991</v>
      </c>
      <c r="J5500" t="s">
        <v>23</v>
      </c>
      <c r="K5500" s="7">
        <v>1845</v>
      </c>
      <c r="L5500" s="9">
        <v>1</v>
      </c>
      <c r="M5500" t="s">
        <v>4087</v>
      </c>
      <c r="N5500" t="s">
        <v>77</v>
      </c>
      <c r="O5500" s="27" t="str">
        <f>HYPERLINK("https://www.ncbi.nlm.nih.gov/nuccore/NZ_JNXD01000014.1?report=graph&amp;from=72270&amp;to=72274", "TTA_codon")</f>
        <v>TTA_codon</v>
      </c>
    </row>
    <row r="5501" spans="1:15" x14ac:dyDescent="0.15">
      <c r="A5501" t="s">
        <v>21</v>
      </c>
      <c r="B5501">
        <v>1000208</v>
      </c>
      <c r="C5501">
        <v>356879</v>
      </c>
      <c r="F5501" s="7">
        <v>1</v>
      </c>
      <c r="G5501" s="7">
        <v>1174</v>
      </c>
      <c r="H5501" s="8">
        <v>1105</v>
      </c>
      <c r="J5501" t="s">
        <v>23</v>
      </c>
      <c r="K5501" s="7">
        <v>1842</v>
      </c>
      <c r="L5501" s="9">
        <v>1</v>
      </c>
      <c r="M5501" t="s">
        <v>78</v>
      </c>
      <c r="N5501" t="s">
        <v>79</v>
      </c>
      <c r="O5501" s="27" t="str">
        <f>HYPERLINK("https://www.ncbi.nlm.nih.gov/nuccore/NZ_CP009313.1?report=graph&amp;from=1431656&amp;to=1431660", "TTA_codon")</f>
        <v>TTA_codon</v>
      </c>
    </row>
    <row r="5502" spans="1:15" x14ac:dyDescent="0.15">
      <c r="A5502" t="s">
        <v>21</v>
      </c>
      <c r="B5502">
        <v>1000208</v>
      </c>
      <c r="C5502">
        <v>359860</v>
      </c>
      <c r="F5502" s="7">
        <v>1</v>
      </c>
      <c r="G5502" s="7">
        <v>1045</v>
      </c>
      <c r="H5502" s="8">
        <v>994</v>
      </c>
      <c r="J5502" t="s">
        <v>23</v>
      </c>
      <c r="K5502" s="7">
        <v>1848</v>
      </c>
      <c r="L5502" s="9">
        <v>1</v>
      </c>
      <c r="M5502" t="s">
        <v>120</v>
      </c>
      <c r="N5502" t="s">
        <v>91</v>
      </c>
      <c r="O5502" s="27" t="str">
        <f>HYPERLINK("https://www.ncbi.nlm.nih.gov/nuccore/NZ_KQ948310.1?report=graph&amp;from=59537&amp;to=59541", "TTA_codon")</f>
        <v>TTA_codon</v>
      </c>
    </row>
    <row r="5503" spans="1:15" x14ac:dyDescent="0.15">
      <c r="A5503" t="s">
        <v>21</v>
      </c>
      <c r="B5503">
        <v>1000208</v>
      </c>
      <c r="C5503">
        <v>360107</v>
      </c>
      <c r="F5503" s="7">
        <v>1</v>
      </c>
      <c r="G5503" s="7">
        <v>1141</v>
      </c>
      <c r="H5503" s="8">
        <v>895</v>
      </c>
      <c r="J5503" t="s">
        <v>23</v>
      </c>
      <c r="K5503" s="7">
        <v>1659</v>
      </c>
      <c r="L5503" s="9">
        <v>1</v>
      </c>
      <c r="M5503" t="s">
        <v>124</v>
      </c>
      <c r="N5503" t="s">
        <v>125</v>
      </c>
      <c r="O5503" s="27" t="str">
        <f>HYPERLINK("https://www.ncbi.nlm.nih.gov/nuccore/NZ_KQ948455.1?report=graph&amp;from=25212&amp;to=25216", "TTA_codon")</f>
        <v>TTA_codon</v>
      </c>
    </row>
    <row r="5504" spans="1:15" x14ac:dyDescent="0.15">
      <c r="A5504" t="s">
        <v>21</v>
      </c>
      <c r="B5504">
        <v>1000208</v>
      </c>
      <c r="C5504">
        <v>360941</v>
      </c>
      <c r="F5504" s="7">
        <v>1</v>
      </c>
      <c r="G5504" s="7">
        <v>1252</v>
      </c>
      <c r="H5504" s="8">
        <v>1225</v>
      </c>
      <c r="J5504" t="s">
        <v>23</v>
      </c>
      <c r="K5504" s="7">
        <v>1884</v>
      </c>
      <c r="L5504" s="9">
        <v>1</v>
      </c>
      <c r="M5504" t="s">
        <v>4088</v>
      </c>
      <c r="N5504" t="s">
        <v>97</v>
      </c>
      <c r="O5504" s="27" t="str">
        <f>HYPERLINK("https://www.ncbi.nlm.nih.gov/nuccore/NZ_LOHS01000119.1?report=graph&amp;from=61973&amp;to=61977", "TTA_codon")</f>
        <v>TTA_codon</v>
      </c>
    </row>
    <row r="5505" spans="1:15" x14ac:dyDescent="0.15">
      <c r="A5505" t="s">
        <v>21</v>
      </c>
      <c r="B5505">
        <v>1000208</v>
      </c>
      <c r="C5505">
        <v>365238</v>
      </c>
      <c r="F5505" s="7">
        <v>1</v>
      </c>
      <c r="G5505" s="7">
        <v>1048</v>
      </c>
      <c r="H5505" s="8">
        <v>1012</v>
      </c>
      <c r="J5505" t="s">
        <v>23</v>
      </c>
      <c r="K5505" s="7">
        <v>1863</v>
      </c>
      <c r="L5505" s="9">
        <v>1</v>
      </c>
      <c r="M5505" t="s">
        <v>4089</v>
      </c>
      <c r="N5505" t="s">
        <v>347</v>
      </c>
      <c r="O5505" s="27" t="str">
        <f>HYPERLINK("https://www.ncbi.nlm.nih.gov/nuccore/NZ_FNFF01000003.1?report=graph&amp;from=73693&amp;to=73697", "TTA_codon")</f>
        <v>TTA_codon</v>
      </c>
    </row>
    <row r="5506" spans="1:15" x14ac:dyDescent="0.15">
      <c r="A5506" t="s">
        <v>21</v>
      </c>
      <c r="B5506" t="s">
        <v>4090</v>
      </c>
    </row>
    <row r="5507" spans="1:15" x14ac:dyDescent="0.15">
      <c r="A5507" t="s">
        <v>21</v>
      </c>
      <c r="B5507">
        <v>1001128</v>
      </c>
      <c r="C5507">
        <v>349853</v>
      </c>
      <c r="F5507" s="7">
        <v>1</v>
      </c>
      <c r="G5507" s="7">
        <v>409</v>
      </c>
      <c r="H5507" s="8">
        <v>364</v>
      </c>
      <c r="J5507" t="s">
        <v>23</v>
      </c>
      <c r="K5507" s="7">
        <v>1200</v>
      </c>
      <c r="L5507" s="9">
        <v>-1</v>
      </c>
      <c r="M5507" t="s">
        <v>265</v>
      </c>
      <c r="N5507" t="s">
        <v>266</v>
      </c>
      <c r="O5507" s="27" t="str">
        <f>HYPERLINK("https://www.ncbi.nlm.nih.gov/nuccore/NC_017586.1?report=graph&amp;from=1684442&amp;to=1684446", "TTA_codon")</f>
        <v>TTA_codon</v>
      </c>
    </row>
    <row r="5508" spans="1:15" x14ac:dyDescent="0.15">
      <c r="A5508" t="s">
        <v>21</v>
      </c>
      <c r="B5508">
        <v>1001128</v>
      </c>
      <c r="C5508">
        <v>355928</v>
      </c>
      <c r="F5508" s="7">
        <v>1</v>
      </c>
      <c r="G5508" s="7">
        <v>409</v>
      </c>
      <c r="H5508" s="8">
        <v>292</v>
      </c>
      <c r="J5508" t="s">
        <v>23</v>
      </c>
      <c r="K5508" s="7">
        <v>1146</v>
      </c>
      <c r="L5508" s="9">
        <v>-1</v>
      </c>
      <c r="M5508" t="s">
        <v>3440</v>
      </c>
      <c r="N5508" t="s">
        <v>384</v>
      </c>
      <c r="O5508" s="27" t="str">
        <f>HYPERLINK("https://www.ncbi.nlm.nih.gov/nuccore/NZ_JOAK01000014.1?report=graph&amp;from=79031&amp;to=79035", "TTA_codon")</f>
        <v>TTA_codon</v>
      </c>
    </row>
    <row r="5509" spans="1:15" x14ac:dyDescent="0.15">
      <c r="A5509" t="s">
        <v>21</v>
      </c>
      <c r="B5509">
        <v>1001128</v>
      </c>
      <c r="C5509">
        <v>358906</v>
      </c>
      <c r="F5509" s="7">
        <v>1</v>
      </c>
      <c r="G5509" s="7">
        <v>274</v>
      </c>
      <c r="H5509" s="8">
        <v>253</v>
      </c>
      <c r="J5509" t="s">
        <v>23</v>
      </c>
      <c r="K5509" s="7">
        <v>1152</v>
      </c>
      <c r="L5509" s="9">
        <v>-1</v>
      </c>
      <c r="M5509" t="s">
        <v>4091</v>
      </c>
      <c r="N5509" t="s">
        <v>87</v>
      </c>
      <c r="O5509" s="27" t="str">
        <f>HYPERLINK("https://www.ncbi.nlm.nih.gov/nuccore/NZ_LIQS01000009.1?report=graph&amp;from=24925&amp;to=24929", "TTA_codon")</f>
        <v>TTA_codon</v>
      </c>
    </row>
    <row r="5510" spans="1:15" x14ac:dyDescent="0.15">
      <c r="A5510" t="s">
        <v>21</v>
      </c>
      <c r="B5510" t="s">
        <v>4092</v>
      </c>
    </row>
    <row r="5511" spans="1:15" x14ac:dyDescent="0.15">
      <c r="A5511" t="s">
        <v>21</v>
      </c>
      <c r="B5511">
        <v>1000858</v>
      </c>
      <c r="C5511">
        <v>352561</v>
      </c>
      <c r="F5511" s="7">
        <v>1</v>
      </c>
      <c r="G5511" s="7">
        <v>235</v>
      </c>
      <c r="H5511" s="8">
        <v>118</v>
      </c>
      <c r="J5511" t="s">
        <v>23</v>
      </c>
      <c r="K5511" s="7">
        <v>1779</v>
      </c>
      <c r="L5511" s="9">
        <v>-1</v>
      </c>
      <c r="M5511" t="s">
        <v>1160</v>
      </c>
      <c r="N5511" t="s">
        <v>436</v>
      </c>
      <c r="O5511" s="27" t="str">
        <f>HYPERLINK("https://www.ncbi.nlm.nih.gov/nuccore/NZ_AUBE01000005.1?report=graph&amp;from=359706&amp;to=359710", "TTA_codon")</f>
        <v>TTA_codon</v>
      </c>
    </row>
    <row r="5512" spans="1:15" x14ac:dyDescent="0.15">
      <c r="A5512" t="s">
        <v>21</v>
      </c>
      <c r="B5512">
        <v>1000858</v>
      </c>
      <c r="C5512">
        <v>355054</v>
      </c>
      <c r="F5512" s="7">
        <v>1</v>
      </c>
      <c r="G5512" s="7">
        <v>355</v>
      </c>
      <c r="H5512" s="8">
        <v>274</v>
      </c>
      <c r="J5512" t="s">
        <v>23</v>
      </c>
      <c r="K5512" s="7">
        <v>1836</v>
      </c>
      <c r="L5512" s="9">
        <v>-1</v>
      </c>
      <c r="M5512" t="s">
        <v>2654</v>
      </c>
      <c r="N5512" t="s">
        <v>433</v>
      </c>
      <c r="O5512" s="27" t="str">
        <f>HYPERLINK("https://www.ncbi.nlm.nih.gov/nuccore/NZ_JOBF01000001.1?report=graph&amp;from=497207&amp;to=497211", "TTA_codon")</f>
        <v>TTA_codon</v>
      </c>
    </row>
    <row r="5513" spans="1:15" x14ac:dyDescent="0.15">
      <c r="A5513" t="s">
        <v>21</v>
      </c>
      <c r="B5513">
        <v>1000858</v>
      </c>
      <c r="C5513">
        <v>360027</v>
      </c>
      <c r="F5513" s="7">
        <v>2</v>
      </c>
      <c r="G5513" s="7" t="s">
        <v>4093</v>
      </c>
      <c r="H5513" s="8" t="s">
        <v>4094</v>
      </c>
      <c r="J5513" t="s">
        <v>23</v>
      </c>
      <c r="K5513" s="7">
        <v>1977</v>
      </c>
      <c r="L5513" s="9">
        <v>-1</v>
      </c>
      <c r="M5513" t="s">
        <v>4095</v>
      </c>
      <c r="N5513" t="s">
        <v>125</v>
      </c>
      <c r="O5513" s="27" t="str">
        <f>HYPERLINK("https://www.ncbi.nlm.nih.gov/nuccore/NZ_KQ948485.1?report=graph&amp;from=13991&amp;to=14727", "TTA_codon")</f>
        <v>TTA_codon</v>
      </c>
    </row>
    <row r="5514" spans="1:15" x14ac:dyDescent="0.15">
      <c r="A5514" t="s">
        <v>21</v>
      </c>
      <c r="B5514">
        <v>1000858</v>
      </c>
      <c r="C5514">
        <v>363245</v>
      </c>
      <c r="F5514" s="7">
        <v>1</v>
      </c>
      <c r="G5514" s="7">
        <v>340</v>
      </c>
      <c r="H5514" s="8">
        <v>340</v>
      </c>
      <c r="J5514" t="s">
        <v>23</v>
      </c>
      <c r="K5514" s="7">
        <v>1977</v>
      </c>
      <c r="L5514" s="9">
        <v>-1</v>
      </c>
      <c r="M5514" t="s">
        <v>4096</v>
      </c>
      <c r="N5514" t="s">
        <v>28</v>
      </c>
      <c r="O5514" s="27" t="str">
        <f>HYPERLINK("https://www.ncbi.nlm.nih.gov/nuccore/NZ_JUJA01000102.1?report=graph&amp;from=3773&amp;to=3777", "TTA_codon")</f>
        <v>TTA_codon</v>
      </c>
    </row>
    <row r="5515" spans="1:15" x14ac:dyDescent="0.15">
      <c r="A5515" t="s">
        <v>21</v>
      </c>
      <c r="B5515" t="s">
        <v>4097</v>
      </c>
    </row>
    <row r="5516" spans="1:15" x14ac:dyDescent="0.15">
      <c r="A5516" t="s">
        <v>21</v>
      </c>
      <c r="B5516">
        <v>1000917</v>
      </c>
      <c r="C5516">
        <v>353146</v>
      </c>
      <c r="F5516" s="7">
        <v>1</v>
      </c>
      <c r="G5516" s="7">
        <v>466</v>
      </c>
      <c r="H5516" s="8">
        <v>433</v>
      </c>
      <c r="J5516" t="s">
        <v>23</v>
      </c>
      <c r="K5516" s="7">
        <v>3135</v>
      </c>
      <c r="L5516" s="9">
        <v>1</v>
      </c>
      <c r="M5516" t="s">
        <v>3496</v>
      </c>
      <c r="N5516" t="s">
        <v>169</v>
      </c>
      <c r="O5516" s="27" t="str">
        <f>HYPERLINK("https://www.ncbi.nlm.nih.gov/nuccore/NZ_JNWJ01000110.1?report=graph&amp;from=16690&amp;to=16694", "TTA_codon")</f>
        <v>TTA_codon</v>
      </c>
    </row>
    <row r="5517" spans="1:15" x14ac:dyDescent="0.15">
      <c r="A5517" t="s">
        <v>21</v>
      </c>
      <c r="B5517">
        <v>1000917</v>
      </c>
      <c r="C5517">
        <v>359000</v>
      </c>
      <c r="F5517" s="7">
        <v>1</v>
      </c>
      <c r="G5517" s="7">
        <v>562</v>
      </c>
      <c r="H5517" s="8">
        <v>547</v>
      </c>
      <c r="J5517" t="s">
        <v>23</v>
      </c>
      <c r="K5517" s="7">
        <v>3189</v>
      </c>
      <c r="L5517" s="9">
        <v>1</v>
      </c>
      <c r="M5517" t="s">
        <v>4098</v>
      </c>
      <c r="N5517" t="s">
        <v>451</v>
      </c>
      <c r="O5517" s="27" t="str">
        <f>HYPERLINK("https://www.ncbi.nlm.nih.gov/nuccore/NZ_LIQZ01000153.1?report=graph&amp;from=26021&amp;to=26025", "TTA_codon")</f>
        <v>TTA_codon</v>
      </c>
    </row>
    <row r="5518" spans="1:15" x14ac:dyDescent="0.15">
      <c r="A5518" t="s">
        <v>21</v>
      </c>
      <c r="B5518" t="s">
        <v>4099</v>
      </c>
    </row>
    <row r="5519" spans="1:15" x14ac:dyDescent="0.15">
      <c r="A5519" t="s">
        <v>21</v>
      </c>
      <c r="B5519">
        <v>1001296</v>
      </c>
      <c r="C5519">
        <v>351266</v>
      </c>
      <c r="F5519" s="7">
        <v>2</v>
      </c>
      <c r="G5519" s="7" t="s">
        <v>4100</v>
      </c>
      <c r="H5519" s="8" t="s">
        <v>4101</v>
      </c>
      <c r="J5519" t="s">
        <v>23</v>
      </c>
      <c r="K5519" s="7">
        <v>1020</v>
      </c>
      <c r="L5519" s="9">
        <v>1</v>
      </c>
      <c r="M5519" t="s">
        <v>65</v>
      </c>
      <c r="N5519" t="s">
        <v>66</v>
      </c>
      <c r="O5519" s="27" t="str">
        <f>HYPERLINK("https://www.ncbi.nlm.nih.gov/nuccore/NC_020504.1?report=graph&amp;from=7834997&amp;to=7835457", "TTA_codon")</f>
        <v>TTA_codon</v>
      </c>
    </row>
    <row r="5520" spans="1:15" x14ac:dyDescent="0.15">
      <c r="A5520" t="s">
        <v>21</v>
      </c>
      <c r="B5520">
        <v>1001296</v>
      </c>
      <c r="C5520">
        <v>351837</v>
      </c>
      <c r="F5520" s="7">
        <v>1</v>
      </c>
      <c r="G5520" s="7">
        <v>1033</v>
      </c>
      <c r="H5520" s="8">
        <v>967</v>
      </c>
      <c r="J5520" t="s">
        <v>23</v>
      </c>
      <c r="K5520" s="7">
        <v>1101</v>
      </c>
      <c r="L5520" s="9">
        <v>1</v>
      </c>
      <c r="M5520" t="s">
        <v>841</v>
      </c>
      <c r="N5520" t="s">
        <v>68</v>
      </c>
      <c r="O5520" s="27" t="str">
        <f>HYPERLINK("https://www.ncbi.nlm.nih.gov/nuccore/NZ_BARG01000010.1?report=graph&amp;from=7041&amp;to=7045", "TTA_codon")</f>
        <v>TTA_codon</v>
      </c>
    </row>
    <row r="5521" spans="1:15" x14ac:dyDescent="0.15">
      <c r="A5521" t="s">
        <v>21</v>
      </c>
      <c r="B5521">
        <v>1001296</v>
      </c>
      <c r="C5521">
        <v>354609</v>
      </c>
      <c r="F5521" s="7">
        <v>3</v>
      </c>
      <c r="G5521" s="7" t="s">
        <v>4102</v>
      </c>
      <c r="H5521" s="8" t="s">
        <v>4103</v>
      </c>
      <c r="J5521" t="s">
        <v>23</v>
      </c>
      <c r="K5521" s="7">
        <v>1146</v>
      </c>
      <c r="L5521" s="9">
        <v>1</v>
      </c>
      <c r="M5521" t="s">
        <v>679</v>
      </c>
      <c r="N5521" t="s">
        <v>272</v>
      </c>
      <c r="O5521" s="27" t="str">
        <f>HYPERLINK("https://www.ncbi.nlm.nih.gov/nuccore/NZ_JOEY01000024.1?report=graph&amp;from=108916&amp;to=109835", "TTA_codon")</f>
        <v>TTA_codon</v>
      </c>
    </row>
    <row r="5522" spans="1:15" x14ac:dyDescent="0.15">
      <c r="A5522" t="s">
        <v>21</v>
      </c>
      <c r="B5522">
        <v>1001296</v>
      </c>
      <c r="C5522">
        <v>358851</v>
      </c>
      <c r="F5522" s="7">
        <v>1</v>
      </c>
      <c r="G5522" s="7">
        <v>1075</v>
      </c>
      <c r="H5522" s="8">
        <v>913</v>
      </c>
      <c r="J5522" t="s">
        <v>23</v>
      </c>
      <c r="K5522" s="7">
        <v>996</v>
      </c>
      <c r="L5522" s="9">
        <v>1</v>
      </c>
      <c r="M5522" t="s">
        <v>3289</v>
      </c>
      <c r="N5522" t="s">
        <v>87</v>
      </c>
      <c r="O5522" s="27" t="str">
        <f>HYPERLINK("https://www.ncbi.nlm.nih.gov/nuccore/NZ_LIQS01000206.1?report=graph&amp;from=6836&amp;to=6840", "TTA_codon")</f>
        <v>TTA_codon</v>
      </c>
    </row>
    <row r="5523" spans="1:15" x14ac:dyDescent="0.15">
      <c r="A5523" t="s">
        <v>21</v>
      </c>
      <c r="B5523" t="s">
        <v>4104</v>
      </c>
    </row>
    <row r="5524" spans="1:15" x14ac:dyDescent="0.15">
      <c r="A5524" t="s">
        <v>21</v>
      </c>
      <c r="B5524">
        <v>1001102</v>
      </c>
      <c r="C5524">
        <v>355606</v>
      </c>
      <c r="F5524" s="7">
        <v>1</v>
      </c>
      <c r="G5524" s="7">
        <v>127</v>
      </c>
      <c r="H5524" s="8">
        <v>127</v>
      </c>
      <c r="J5524" t="s">
        <v>23</v>
      </c>
      <c r="K5524" s="7">
        <v>1410</v>
      </c>
      <c r="L5524" s="9">
        <v>1</v>
      </c>
      <c r="M5524" t="s">
        <v>1232</v>
      </c>
      <c r="N5524" t="s">
        <v>278</v>
      </c>
      <c r="O5524" s="27" t="str">
        <f>HYPERLINK("https://www.ncbi.nlm.nih.gov/nuccore/NZ_JOID01000004.1?report=graph&amp;from=137614&amp;to=137618", "TTA_codon")</f>
        <v>TTA_codon</v>
      </c>
    </row>
    <row r="5525" spans="1:15" x14ac:dyDescent="0.15">
      <c r="A5525" t="s">
        <v>21</v>
      </c>
      <c r="B5525">
        <v>1001102</v>
      </c>
      <c r="C5525">
        <v>364664</v>
      </c>
      <c r="F5525" s="7">
        <v>1</v>
      </c>
      <c r="G5525" s="7">
        <v>127</v>
      </c>
      <c r="H5525" s="8">
        <v>124</v>
      </c>
      <c r="J5525" t="s">
        <v>23</v>
      </c>
      <c r="K5525" s="7">
        <v>1413</v>
      </c>
      <c r="L5525" s="9">
        <v>1</v>
      </c>
      <c r="M5525" t="s">
        <v>522</v>
      </c>
      <c r="N5525" t="s">
        <v>110</v>
      </c>
      <c r="O5525" s="27" t="str">
        <f>HYPERLINK("https://www.ncbi.nlm.nih.gov/nuccore/NZ_MUME01000020.1?report=graph&amp;from=40872&amp;to=40876", "TTA_codon")</f>
        <v>TTA_codon</v>
      </c>
    </row>
    <row r="5526" spans="1:15" x14ac:dyDescent="0.15">
      <c r="A5526" t="s">
        <v>21</v>
      </c>
      <c r="B5526">
        <v>1001102</v>
      </c>
      <c r="C5526">
        <v>366070</v>
      </c>
      <c r="F5526" s="7">
        <v>1</v>
      </c>
      <c r="G5526" s="7">
        <v>127</v>
      </c>
      <c r="H5526" s="8">
        <v>124</v>
      </c>
      <c r="J5526" t="s">
        <v>23</v>
      </c>
      <c r="K5526" s="7">
        <v>1410</v>
      </c>
      <c r="L5526" s="9">
        <v>1</v>
      </c>
      <c r="M5526" t="s">
        <v>1953</v>
      </c>
      <c r="N5526" t="s">
        <v>257</v>
      </c>
      <c r="O5526" s="27" t="str">
        <f>HYPERLINK("https://www.ncbi.nlm.nih.gov/nuccore/NZ_FOET01000016.1?report=graph&amp;from=117666&amp;to=117670", "TTA_codon")</f>
        <v>TTA_codon</v>
      </c>
    </row>
    <row r="5527" spans="1:15" x14ac:dyDescent="0.15">
      <c r="A5527" t="s">
        <v>21</v>
      </c>
      <c r="B5527" t="s">
        <v>4105</v>
      </c>
    </row>
    <row r="5528" spans="1:15" x14ac:dyDescent="0.15">
      <c r="A5528" t="s">
        <v>21</v>
      </c>
      <c r="B5528">
        <v>1000843</v>
      </c>
      <c r="C5528">
        <v>352442</v>
      </c>
      <c r="F5528" s="7">
        <v>1</v>
      </c>
      <c r="G5528" s="7">
        <v>661</v>
      </c>
      <c r="H5528" s="8">
        <v>646</v>
      </c>
      <c r="J5528" t="s">
        <v>23</v>
      </c>
      <c r="K5528" s="7">
        <v>1395</v>
      </c>
      <c r="L5528" s="9">
        <v>-1</v>
      </c>
      <c r="M5528" t="s">
        <v>30</v>
      </c>
      <c r="N5528" t="s">
        <v>31</v>
      </c>
      <c r="O5528" s="27" t="str">
        <f>HYPERLINK("https://www.ncbi.nlm.nih.gov/nuccore/NZ_KB913030.1?report=graph&amp;from=4025272&amp;to=4025276", "TTA_codon")</f>
        <v>TTA_codon</v>
      </c>
    </row>
    <row r="5529" spans="1:15" x14ac:dyDescent="0.15">
      <c r="A5529" t="s">
        <v>21</v>
      </c>
      <c r="B5529">
        <v>1000843</v>
      </c>
      <c r="C5529">
        <v>355428</v>
      </c>
      <c r="F5529" s="7">
        <v>2</v>
      </c>
      <c r="G5529" s="7" t="s">
        <v>4106</v>
      </c>
      <c r="H5529" s="8" t="s">
        <v>4106</v>
      </c>
      <c r="J5529" t="s">
        <v>23</v>
      </c>
      <c r="K5529" s="7">
        <v>1272</v>
      </c>
      <c r="L5529" s="9">
        <v>-1</v>
      </c>
      <c r="M5529" t="s">
        <v>1979</v>
      </c>
      <c r="N5529" t="s">
        <v>198</v>
      </c>
      <c r="O5529" s="27" t="str">
        <f>HYPERLINK("https://www.ncbi.nlm.nih.gov/nuccore/NZ_JOFL01000022.1?report=graph&amp;from=2694&amp;to=3361", "TTA_codon")</f>
        <v>TTA_codon</v>
      </c>
    </row>
    <row r="5530" spans="1:15" x14ac:dyDescent="0.15">
      <c r="A5530" t="s">
        <v>21</v>
      </c>
      <c r="B5530" t="s">
        <v>4107</v>
      </c>
    </row>
    <row r="5531" spans="1:15" x14ac:dyDescent="0.15">
      <c r="A5531" t="s">
        <v>21</v>
      </c>
      <c r="B5531">
        <v>1001551</v>
      </c>
      <c r="C5531">
        <v>366978</v>
      </c>
      <c r="F5531" s="7">
        <v>1</v>
      </c>
      <c r="G5531" s="7">
        <v>634</v>
      </c>
      <c r="H5531" s="8">
        <v>634</v>
      </c>
      <c r="J5531" t="s">
        <v>23</v>
      </c>
      <c r="K5531" s="7">
        <v>1062</v>
      </c>
      <c r="L5531" s="9">
        <v>1</v>
      </c>
      <c r="M5531" t="s">
        <v>222</v>
      </c>
      <c r="N5531" t="s">
        <v>223</v>
      </c>
      <c r="O5531" s="27" t="str">
        <f>HYPERLINK("https://www.ncbi.nlm.nih.gov/nuccore/MK359332.1?report=graph&amp;from=56967&amp;to=56971", "TTA_codon")</f>
        <v>TTA_codon</v>
      </c>
    </row>
    <row r="5532" spans="1:15" x14ac:dyDescent="0.15">
      <c r="A5532" t="s">
        <v>21</v>
      </c>
      <c r="B5532">
        <v>1001551</v>
      </c>
      <c r="C5532">
        <v>366995</v>
      </c>
      <c r="F5532" s="7">
        <v>1</v>
      </c>
      <c r="G5532" s="7">
        <v>634</v>
      </c>
      <c r="H5532" s="8">
        <v>634</v>
      </c>
      <c r="J5532" t="s">
        <v>23</v>
      </c>
      <c r="K5532" s="7">
        <v>1062</v>
      </c>
      <c r="L5532" s="9">
        <v>1</v>
      </c>
      <c r="M5532" t="s">
        <v>224</v>
      </c>
      <c r="N5532" t="s">
        <v>225</v>
      </c>
      <c r="O5532" s="27" t="str">
        <f>HYPERLINK("https://www.ncbi.nlm.nih.gov/nuccore/MK359351.1?report=graph&amp;from=56853&amp;to=56857", "TTA_codon")</f>
        <v>TTA_codon</v>
      </c>
    </row>
    <row r="5533" spans="1:15" x14ac:dyDescent="0.15">
      <c r="A5533" t="s">
        <v>21</v>
      </c>
      <c r="B5533">
        <v>1001551</v>
      </c>
      <c r="C5533">
        <v>367375</v>
      </c>
      <c r="F5533" s="7">
        <v>1</v>
      </c>
      <c r="G5533" s="7">
        <v>634</v>
      </c>
      <c r="H5533" s="8">
        <v>634</v>
      </c>
      <c r="J5533" t="s">
        <v>23</v>
      </c>
      <c r="K5533" s="7">
        <v>1062</v>
      </c>
      <c r="L5533" s="9">
        <v>1</v>
      </c>
      <c r="M5533" t="s">
        <v>242</v>
      </c>
      <c r="N5533" t="s">
        <v>243</v>
      </c>
      <c r="O5533" s="27" t="str">
        <f>HYPERLINK("https://www.ncbi.nlm.nih.gov/nuccore/NC_048730.1?report=graph&amp;from=56944&amp;to=56948", "TTA_codon")</f>
        <v>TTA_codon</v>
      </c>
    </row>
    <row r="5534" spans="1:15" x14ac:dyDescent="0.15">
      <c r="A5534" t="s">
        <v>21</v>
      </c>
      <c r="B5534" t="s">
        <v>4108</v>
      </c>
    </row>
    <row r="5535" spans="1:15" x14ac:dyDescent="0.15">
      <c r="A5535" t="s">
        <v>21</v>
      </c>
      <c r="B5535">
        <v>1000558</v>
      </c>
      <c r="C5535">
        <v>349880</v>
      </c>
      <c r="F5535" s="7">
        <v>1</v>
      </c>
      <c r="G5535" s="7">
        <v>994</v>
      </c>
      <c r="H5535" s="8">
        <v>976</v>
      </c>
      <c r="J5535" t="s">
        <v>23</v>
      </c>
      <c r="K5535" s="7">
        <v>1827</v>
      </c>
      <c r="L5535" s="9">
        <v>-1</v>
      </c>
      <c r="M5535" t="s">
        <v>420</v>
      </c>
      <c r="N5535" t="s">
        <v>266</v>
      </c>
      <c r="O5535" s="27" t="str">
        <f>HYPERLINK("https://www.ncbi.nlm.nih.gov/nuccore/NC_017585.1?report=graph&amp;from=855020&amp;to=855024", "TTA_codon")</f>
        <v>TTA_codon</v>
      </c>
    </row>
    <row r="5536" spans="1:15" x14ac:dyDescent="0.15">
      <c r="A5536" t="s">
        <v>21</v>
      </c>
      <c r="B5536">
        <v>1000558</v>
      </c>
      <c r="C5536">
        <v>363299</v>
      </c>
      <c r="F5536" s="7">
        <v>1</v>
      </c>
      <c r="G5536" s="7">
        <v>895</v>
      </c>
      <c r="H5536" s="8">
        <v>838</v>
      </c>
      <c r="J5536" t="s">
        <v>23</v>
      </c>
      <c r="K5536" s="7">
        <v>1881</v>
      </c>
      <c r="L5536" s="9">
        <v>-1</v>
      </c>
      <c r="M5536" t="s">
        <v>4096</v>
      </c>
      <c r="N5536" t="s">
        <v>28</v>
      </c>
      <c r="O5536" s="27" t="str">
        <f>HYPERLINK("https://www.ncbi.nlm.nih.gov/nuccore/NZ_JUJA01000102.1?report=graph&amp;from=22613&amp;to=22617", "TTA_codon")</f>
        <v>TTA_codon</v>
      </c>
    </row>
    <row r="5537" spans="1:15" x14ac:dyDescent="0.15">
      <c r="A5537" t="s">
        <v>21</v>
      </c>
      <c r="B5537" t="s">
        <v>4109</v>
      </c>
    </row>
    <row r="5538" spans="1:15" x14ac:dyDescent="0.15">
      <c r="A5538" t="s">
        <v>21</v>
      </c>
      <c r="B5538">
        <v>1000621</v>
      </c>
      <c r="C5538">
        <v>350375</v>
      </c>
      <c r="F5538" s="7">
        <v>2</v>
      </c>
      <c r="G5538" s="7" t="s">
        <v>4110</v>
      </c>
      <c r="H5538" s="8" t="s">
        <v>4110</v>
      </c>
      <c r="J5538" t="s">
        <v>23</v>
      </c>
      <c r="K5538" s="7">
        <v>1278</v>
      </c>
      <c r="L5538" s="9">
        <v>1</v>
      </c>
      <c r="M5538" t="s">
        <v>35</v>
      </c>
      <c r="N5538" t="s">
        <v>36</v>
      </c>
      <c r="O5538" s="27" t="str">
        <f>HYPERLINK("https://www.ncbi.nlm.nih.gov/nuccore/NZ_JH725387.1?report=graph&amp;from=232176&amp;to=232243", "TTA_codon")</f>
        <v>TTA_codon</v>
      </c>
    </row>
    <row r="5539" spans="1:15" x14ac:dyDescent="0.15">
      <c r="A5539" t="s">
        <v>21</v>
      </c>
      <c r="B5539">
        <v>1000621</v>
      </c>
      <c r="C5539">
        <v>362507</v>
      </c>
      <c r="F5539" s="7">
        <v>1</v>
      </c>
      <c r="G5539" s="7">
        <v>85</v>
      </c>
      <c r="H5539" s="8">
        <v>85</v>
      </c>
      <c r="J5539" t="s">
        <v>23</v>
      </c>
      <c r="K5539" s="7">
        <v>1287</v>
      </c>
      <c r="L5539" s="9">
        <v>1</v>
      </c>
      <c r="M5539" t="s">
        <v>32</v>
      </c>
      <c r="N5539" t="s">
        <v>33</v>
      </c>
      <c r="O5539" s="27" t="str">
        <f>HYPERLINK("https://www.ncbi.nlm.nih.gov/nuccore/NZ_CP017248.1?report=graph&amp;from=6739599&amp;to=6739603", "TTA_codon")</f>
        <v>TTA_codon</v>
      </c>
    </row>
    <row r="5540" spans="1:15" x14ac:dyDescent="0.15">
      <c r="A5540" t="s">
        <v>195</v>
      </c>
      <c r="B5540" t="s">
        <v>4111</v>
      </c>
    </row>
    <row r="5541" spans="1:15" x14ac:dyDescent="0.15">
      <c r="A5541" t="s">
        <v>195</v>
      </c>
      <c r="B5541">
        <v>1000035</v>
      </c>
      <c r="C5541">
        <v>346168</v>
      </c>
      <c r="F5541" s="7">
        <v>1</v>
      </c>
      <c r="G5541" s="7">
        <v>544</v>
      </c>
      <c r="H5541" s="8">
        <v>541</v>
      </c>
      <c r="J5541" t="s">
        <v>23</v>
      </c>
      <c r="K5541" s="7">
        <v>8850</v>
      </c>
      <c r="L5541" s="9">
        <v>-1</v>
      </c>
      <c r="M5541" t="s">
        <v>4112</v>
      </c>
      <c r="N5541" t="s">
        <v>134</v>
      </c>
      <c r="O5541" s="27" t="str">
        <f>HYPERLINK("https://www.ncbi.nlm.nih.gov/nuccore/NZ_AJSZ01000121.1?report=graph&amp;from=8954&amp;to=8958", "TTA_codon")</f>
        <v>TTA_codon</v>
      </c>
    </row>
    <row r="5542" spans="1:15" x14ac:dyDescent="0.15">
      <c r="A5542" t="s">
        <v>21</v>
      </c>
      <c r="B5542">
        <v>1000035</v>
      </c>
      <c r="C5542">
        <v>363129</v>
      </c>
      <c r="F5542" s="7">
        <v>1</v>
      </c>
      <c r="G5542" s="7">
        <v>544</v>
      </c>
      <c r="H5542" s="8">
        <v>319</v>
      </c>
      <c r="J5542" t="s">
        <v>23</v>
      </c>
      <c r="K5542" s="7">
        <v>8664</v>
      </c>
      <c r="L5542" s="9">
        <v>-1</v>
      </c>
      <c r="M5542" t="s">
        <v>635</v>
      </c>
      <c r="N5542" t="s">
        <v>401</v>
      </c>
      <c r="O5542" s="27" t="str">
        <f>HYPERLINK("https://www.ncbi.nlm.nih.gov/nuccore/NZ_LFBV01000002.1?report=graph&amp;from=680334&amp;to=680338", "TTA_codon")</f>
        <v>TTA_codon</v>
      </c>
    </row>
    <row r="5543" spans="1:15" x14ac:dyDescent="0.15">
      <c r="A5543" t="s">
        <v>21</v>
      </c>
      <c r="B5543">
        <v>1000035</v>
      </c>
      <c r="C5543">
        <v>366610</v>
      </c>
      <c r="F5543" s="7">
        <v>1</v>
      </c>
      <c r="G5543" s="7">
        <v>688</v>
      </c>
      <c r="H5543" s="8">
        <v>454</v>
      </c>
      <c r="J5543" t="s">
        <v>23</v>
      </c>
      <c r="K5543" s="7">
        <v>8643</v>
      </c>
      <c r="L5543" s="9">
        <v>-1</v>
      </c>
      <c r="M5543" t="s">
        <v>4113</v>
      </c>
      <c r="N5543" t="s">
        <v>180</v>
      </c>
      <c r="O5543" s="27" t="str">
        <f>HYPERLINK("https://www.ncbi.nlm.nih.gov/nuccore/NZ_FRBI01000049.1?report=graph&amp;from=15764&amp;to=15768", "TTA_codon")</f>
        <v>TTA_codon</v>
      </c>
    </row>
    <row r="5544" spans="1:15" x14ac:dyDescent="0.15">
      <c r="A5544" t="s">
        <v>21</v>
      </c>
      <c r="B5544" t="s">
        <v>4114</v>
      </c>
    </row>
    <row r="5545" spans="1:15" x14ac:dyDescent="0.15">
      <c r="A5545" t="s">
        <v>21</v>
      </c>
      <c r="B5545">
        <v>1001476</v>
      </c>
      <c r="C5545">
        <v>347842</v>
      </c>
      <c r="F5545" s="7">
        <v>1</v>
      </c>
      <c r="G5545" s="7">
        <v>1222</v>
      </c>
      <c r="H5545" s="8">
        <v>1150</v>
      </c>
      <c r="J5545" t="s">
        <v>23</v>
      </c>
      <c r="K5545" s="7">
        <v>1851</v>
      </c>
      <c r="L5545" s="9">
        <v>-1</v>
      </c>
      <c r="M5545" t="s">
        <v>57</v>
      </c>
      <c r="N5545" t="s">
        <v>58</v>
      </c>
      <c r="O5545" s="27" t="str">
        <f>HYPERLINK("https://www.ncbi.nlm.nih.gov/nuccore/NC_013929.1?report=graph&amp;from=9072820&amp;to=9072824", "TTA_codon")</f>
        <v>TTA_codon</v>
      </c>
    </row>
    <row r="5546" spans="1:15" x14ac:dyDescent="0.15">
      <c r="A5546" t="s">
        <v>21</v>
      </c>
      <c r="B5546">
        <v>1001476</v>
      </c>
      <c r="C5546">
        <v>351569</v>
      </c>
      <c r="F5546" s="7">
        <v>1</v>
      </c>
      <c r="G5546" s="7">
        <v>811</v>
      </c>
      <c r="H5546" s="8">
        <v>706</v>
      </c>
      <c r="J5546" t="s">
        <v>23</v>
      </c>
      <c r="K5546" s="7">
        <v>2577</v>
      </c>
      <c r="L5546" s="9">
        <v>-1</v>
      </c>
      <c r="M5546" t="s">
        <v>4115</v>
      </c>
      <c r="N5546" t="s">
        <v>138</v>
      </c>
      <c r="O5546" s="27" t="str">
        <f>HYPERLINK("https://www.ncbi.nlm.nih.gov/nuccore/NZ_KB889677.1?report=graph&amp;from=109953&amp;to=109957", "TTA_codon")</f>
        <v>TTA_codon</v>
      </c>
    </row>
    <row r="5547" spans="1:15" x14ac:dyDescent="0.15">
      <c r="A5547" t="s">
        <v>21</v>
      </c>
      <c r="B5547">
        <v>1001476</v>
      </c>
      <c r="C5547">
        <v>351849</v>
      </c>
      <c r="F5547" s="7">
        <v>1</v>
      </c>
      <c r="G5547" s="7">
        <v>1105</v>
      </c>
      <c r="H5547" s="8">
        <v>964</v>
      </c>
      <c r="J5547" t="s">
        <v>23</v>
      </c>
      <c r="K5547" s="7">
        <v>1737</v>
      </c>
      <c r="L5547" s="9">
        <v>-1</v>
      </c>
      <c r="M5547" t="s">
        <v>1282</v>
      </c>
      <c r="N5547" t="s">
        <v>68</v>
      </c>
      <c r="O5547" s="27" t="str">
        <f>HYPERLINK("https://www.ncbi.nlm.nih.gov/nuccore/NZ_BARG01000033.1?report=graph&amp;from=291960&amp;to=291964", "TTA_codon")</f>
        <v>TTA_codon</v>
      </c>
    </row>
    <row r="5548" spans="1:15" x14ac:dyDescent="0.15">
      <c r="A5548" t="s">
        <v>21</v>
      </c>
      <c r="B5548">
        <v>1001476</v>
      </c>
      <c r="C5548">
        <v>354559</v>
      </c>
      <c r="F5548" s="7">
        <v>1</v>
      </c>
      <c r="G5548" s="7">
        <v>832</v>
      </c>
      <c r="H5548" s="8">
        <v>718</v>
      </c>
      <c r="J5548" t="s">
        <v>23</v>
      </c>
      <c r="K5548" s="7">
        <v>2163</v>
      </c>
      <c r="L5548" s="9">
        <v>-1</v>
      </c>
      <c r="M5548" t="s">
        <v>1744</v>
      </c>
      <c r="N5548" t="s">
        <v>272</v>
      </c>
      <c r="O5548" s="27" t="str">
        <f>HYPERLINK("https://www.ncbi.nlm.nih.gov/nuccore/NZ_JOEY01000014.1?report=graph&amp;from=125065&amp;to=125069", "TTA_codon")</f>
        <v>TTA_codon</v>
      </c>
    </row>
    <row r="5549" spans="1:15" x14ac:dyDescent="0.15">
      <c r="A5549" t="s">
        <v>21</v>
      </c>
      <c r="B5549">
        <v>1001476</v>
      </c>
      <c r="C5549">
        <v>357752</v>
      </c>
      <c r="F5549" s="7">
        <v>1</v>
      </c>
      <c r="G5549" s="7">
        <v>1138</v>
      </c>
      <c r="H5549" s="8">
        <v>1015</v>
      </c>
      <c r="J5549" t="s">
        <v>23</v>
      </c>
      <c r="K5549" s="7">
        <v>1752</v>
      </c>
      <c r="L5549" s="9">
        <v>-1</v>
      </c>
      <c r="M5549" t="s">
        <v>2661</v>
      </c>
      <c r="N5549" t="s">
        <v>83</v>
      </c>
      <c r="O5549" s="27" t="str">
        <f>HYPERLINK("https://www.ncbi.nlm.nih.gov/nuccore/NZ_DF968533.1?report=graph&amp;from=424461&amp;to=424465", "TTA_codon")</f>
        <v>TTA_codon</v>
      </c>
    </row>
    <row r="5550" spans="1:15" x14ac:dyDescent="0.15">
      <c r="A5550" t="s">
        <v>21</v>
      </c>
      <c r="B5550">
        <v>1001476</v>
      </c>
      <c r="C5550">
        <v>358416</v>
      </c>
      <c r="F5550" s="7">
        <v>1</v>
      </c>
      <c r="G5550" s="7">
        <v>1264</v>
      </c>
      <c r="H5550" s="8">
        <v>1153</v>
      </c>
      <c r="J5550" t="s">
        <v>23</v>
      </c>
      <c r="K5550" s="7">
        <v>1830</v>
      </c>
      <c r="L5550" s="9">
        <v>-1</v>
      </c>
      <c r="M5550" t="s">
        <v>4116</v>
      </c>
      <c r="N5550" t="s">
        <v>85</v>
      </c>
      <c r="O5550" s="27" t="str">
        <f>HYPERLINK("https://www.ncbi.nlm.nih.gov/nuccore/NZ_LIQX01000028.1?report=graph&amp;from=20453&amp;to=20457", "TTA_codon")</f>
        <v>TTA_codon</v>
      </c>
    </row>
    <row r="5551" spans="1:15" x14ac:dyDescent="0.15">
      <c r="A5551" t="s">
        <v>21</v>
      </c>
      <c r="B5551">
        <v>1001476</v>
      </c>
      <c r="C5551">
        <v>359103</v>
      </c>
      <c r="F5551" s="7">
        <v>1</v>
      </c>
      <c r="G5551" s="7">
        <v>883</v>
      </c>
      <c r="H5551" s="8">
        <v>856</v>
      </c>
      <c r="J5551" t="s">
        <v>23</v>
      </c>
      <c r="K5551" s="7">
        <v>1992</v>
      </c>
      <c r="L5551" s="9">
        <v>-1</v>
      </c>
      <c r="M5551" t="s">
        <v>3629</v>
      </c>
      <c r="N5551" t="s">
        <v>451</v>
      </c>
      <c r="O5551" s="27" t="str">
        <f>HYPERLINK("https://www.ncbi.nlm.nih.gov/nuccore/NZ_LIQZ01000067.1?report=graph&amp;from=125098&amp;to=125102", "TTA_codon")</f>
        <v>TTA_codon</v>
      </c>
    </row>
    <row r="5552" spans="1:15" x14ac:dyDescent="0.15">
      <c r="A5552" t="s">
        <v>21</v>
      </c>
      <c r="B5552">
        <v>1001476</v>
      </c>
      <c r="C5552">
        <v>360124</v>
      </c>
      <c r="F5552" s="7">
        <v>1</v>
      </c>
      <c r="G5552" s="7">
        <v>883</v>
      </c>
      <c r="H5552" s="8">
        <v>802</v>
      </c>
      <c r="J5552" t="s">
        <v>23</v>
      </c>
      <c r="K5552" s="7">
        <v>1932</v>
      </c>
      <c r="L5552" s="9">
        <v>-1</v>
      </c>
      <c r="M5552" t="s">
        <v>4117</v>
      </c>
      <c r="N5552" t="s">
        <v>125</v>
      </c>
      <c r="O5552" s="27" t="str">
        <f>HYPERLINK("https://www.ncbi.nlm.nih.gov/nuccore/NZ_KQ948467.1?report=graph&amp;from=71734&amp;to=71738", "TTA_codon")</f>
        <v>TTA_codon</v>
      </c>
    </row>
    <row r="5553" spans="1:15" x14ac:dyDescent="0.15">
      <c r="A5553" t="s">
        <v>21</v>
      </c>
      <c r="B5553">
        <v>1001476</v>
      </c>
      <c r="C5553">
        <v>364098</v>
      </c>
      <c r="F5553" s="7">
        <v>1</v>
      </c>
      <c r="G5553" s="7">
        <v>892</v>
      </c>
      <c r="H5553" s="8">
        <v>754</v>
      </c>
      <c r="J5553" t="s">
        <v>23</v>
      </c>
      <c r="K5553" s="7">
        <v>1818</v>
      </c>
      <c r="L5553" s="9">
        <v>-1</v>
      </c>
      <c r="M5553" t="s">
        <v>254</v>
      </c>
      <c r="N5553" t="s">
        <v>255</v>
      </c>
      <c r="O5553" s="27" t="str">
        <f>HYPERLINK("https://www.ncbi.nlm.nih.gov/nuccore/NZ_CP018047.1?report=graph&amp;from=7584580&amp;to=7584584", "TTA_codon")</f>
        <v>TTA_codon</v>
      </c>
    </row>
    <row r="5554" spans="1:15" x14ac:dyDescent="0.15">
      <c r="A5554" t="s">
        <v>21</v>
      </c>
      <c r="B5554">
        <v>1001476</v>
      </c>
      <c r="C5554">
        <v>365241</v>
      </c>
      <c r="F5554" s="7">
        <v>1</v>
      </c>
      <c r="G5554" s="7">
        <v>832</v>
      </c>
      <c r="H5554" s="8">
        <v>721</v>
      </c>
      <c r="J5554" t="s">
        <v>23</v>
      </c>
      <c r="K5554" s="7">
        <v>2277</v>
      </c>
      <c r="L5554" s="9">
        <v>-1</v>
      </c>
      <c r="M5554" t="s">
        <v>1288</v>
      </c>
      <c r="N5554" t="s">
        <v>347</v>
      </c>
      <c r="O5554" s="27" t="str">
        <f>HYPERLINK("https://www.ncbi.nlm.nih.gov/nuccore/NZ_FNFF01000009.1?report=graph&amp;from=292465&amp;to=292469", "TTA_codon")</f>
        <v>TTA_codon</v>
      </c>
    </row>
    <row r="5555" spans="1:15" x14ac:dyDescent="0.15">
      <c r="A5555" t="s">
        <v>21</v>
      </c>
      <c r="B5555" t="s">
        <v>4118</v>
      </c>
    </row>
    <row r="5556" spans="1:15" x14ac:dyDescent="0.15">
      <c r="A5556" t="s">
        <v>21</v>
      </c>
      <c r="B5556">
        <v>1001399</v>
      </c>
      <c r="C5556">
        <v>361997</v>
      </c>
      <c r="F5556" s="7">
        <v>1</v>
      </c>
      <c r="G5556" s="7">
        <v>190</v>
      </c>
      <c r="H5556" s="8">
        <v>190</v>
      </c>
      <c r="J5556" t="s">
        <v>23</v>
      </c>
      <c r="K5556" s="7">
        <v>1005</v>
      </c>
      <c r="L5556" s="9">
        <v>-1</v>
      </c>
      <c r="M5556" t="s">
        <v>4119</v>
      </c>
      <c r="N5556" t="s">
        <v>187</v>
      </c>
      <c r="O5556" s="27" t="str">
        <f>HYPERLINK("https://www.ncbi.nlm.nih.gov/nuccore/NZ_MAXF01000032.1?report=graph&amp;from=42454&amp;to=42458", "TTA_codon")</f>
        <v>TTA_codon</v>
      </c>
    </row>
    <row r="5557" spans="1:15" x14ac:dyDescent="0.15">
      <c r="A5557" t="s">
        <v>21</v>
      </c>
      <c r="B5557">
        <v>1001399</v>
      </c>
      <c r="C5557">
        <v>362708</v>
      </c>
      <c r="F5557" s="7">
        <v>1</v>
      </c>
      <c r="G5557" s="7">
        <v>139</v>
      </c>
      <c r="H5557" s="8">
        <v>139</v>
      </c>
      <c r="J5557" t="s">
        <v>23</v>
      </c>
      <c r="K5557" s="7">
        <v>981</v>
      </c>
      <c r="L5557" s="9">
        <v>-1</v>
      </c>
      <c r="M5557" t="s">
        <v>4120</v>
      </c>
      <c r="N5557" t="s">
        <v>985</v>
      </c>
      <c r="O5557" s="27" t="str">
        <f>HYPERLINK("https://www.ncbi.nlm.nih.gov/nuccore/NZ_LJGU01000152.1?report=graph&amp;from=7710&amp;to=7714", "TTA_codon")</f>
        <v>TTA_codon</v>
      </c>
    </row>
    <row r="5558" spans="1:15" x14ac:dyDescent="0.15">
      <c r="A5558" t="s">
        <v>21</v>
      </c>
      <c r="B5558" t="s">
        <v>4121</v>
      </c>
    </row>
    <row r="5559" spans="1:15" x14ac:dyDescent="0.15">
      <c r="A5559" t="s">
        <v>21</v>
      </c>
      <c r="B5559">
        <v>1000890</v>
      </c>
      <c r="C5559">
        <v>352852</v>
      </c>
      <c r="F5559" s="7">
        <v>2</v>
      </c>
      <c r="G5559" s="7" t="s">
        <v>4122</v>
      </c>
      <c r="H5559" s="8" t="s">
        <v>4122</v>
      </c>
      <c r="J5559" t="s">
        <v>23</v>
      </c>
      <c r="K5559" s="7">
        <v>681</v>
      </c>
      <c r="L5559" s="9">
        <v>1</v>
      </c>
      <c r="M5559" t="s">
        <v>4123</v>
      </c>
      <c r="N5559" t="s">
        <v>306</v>
      </c>
      <c r="O5559" s="27" t="str">
        <f>HYPERLINK("https://www.ncbi.nlm.nih.gov/nuccore/NZ_KL571093.1?report=graph&amp;from=36372&amp;to=36853", "TTA_codon")</f>
        <v>TTA_codon</v>
      </c>
    </row>
    <row r="5560" spans="1:15" x14ac:dyDescent="0.15">
      <c r="A5560" t="s">
        <v>21</v>
      </c>
      <c r="B5560">
        <v>1000890</v>
      </c>
      <c r="C5560">
        <v>353700</v>
      </c>
      <c r="F5560" s="7">
        <v>1</v>
      </c>
      <c r="G5560" s="7">
        <v>199</v>
      </c>
      <c r="H5560" s="8">
        <v>199</v>
      </c>
      <c r="J5560" t="s">
        <v>23</v>
      </c>
      <c r="K5560" s="7">
        <v>681</v>
      </c>
      <c r="L5560" s="9">
        <v>1</v>
      </c>
      <c r="M5560" t="s">
        <v>1533</v>
      </c>
      <c r="N5560" t="s">
        <v>246</v>
      </c>
      <c r="O5560" s="27" t="str">
        <f>HYPERLINK("https://www.ncbi.nlm.nih.gov/nuccore/NZ_JNYR01000001.1?report=graph&amp;from=511700&amp;to=511704", "TTA_codon")</f>
        <v>TTA_codon</v>
      </c>
    </row>
    <row r="5561" spans="1:15" x14ac:dyDescent="0.15">
      <c r="A5561" t="s">
        <v>21</v>
      </c>
      <c r="B5561" t="s">
        <v>4124</v>
      </c>
    </row>
    <row r="5562" spans="1:15" x14ac:dyDescent="0.15">
      <c r="A5562" t="s">
        <v>21</v>
      </c>
      <c r="B5562">
        <v>1000267</v>
      </c>
      <c r="C5562">
        <v>347758</v>
      </c>
      <c r="F5562" s="7">
        <v>1</v>
      </c>
      <c r="G5562" s="7">
        <v>85</v>
      </c>
      <c r="H5562" s="8">
        <v>85</v>
      </c>
      <c r="J5562" t="s">
        <v>23</v>
      </c>
      <c r="K5562" s="7">
        <v>3783</v>
      </c>
      <c r="L5562" s="9">
        <v>1</v>
      </c>
      <c r="M5562" t="s">
        <v>57</v>
      </c>
      <c r="N5562" t="s">
        <v>58</v>
      </c>
      <c r="O5562" s="27" t="str">
        <f>HYPERLINK("https://www.ncbi.nlm.nih.gov/nuccore/NC_013929.1?report=graph&amp;from=2388827&amp;to=2388831", "TTA_codon")</f>
        <v>TTA_codon</v>
      </c>
    </row>
    <row r="5563" spans="1:15" x14ac:dyDescent="0.15">
      <c r="A5563" t="s">
        <v>21</v>
      </c>
      <c r="B5563">
        <v>1000267</v>
      </c>
      <c r="C5563">
        <v>358345</v>
      </c>
      <c r="F5563" s="7">
        <v>1</v>
      </c>
      <c r="G5563" s="7">
        <v>85</v>
      </c>
      <c r="H5563" s="8">
        <v>85</v>
      </c>
      <c r="J5563" t="s">
        <v>23</v>
      </c>
      <c r="K5563" s="7">
        <v>3783</v>
      </c>
      <c r="L5563" s="9">
        <v>1</v>
      </c>
      <c r="M5563" t="s">
        <v>4125</v>
      </c>
      <c r="N5563" t="s">
        <v>85</v>
      </c>
      <c r="O5563" s="27" t="str">
        <f>HYPERLINK("https://www.ncbi.nlm.nih.gov/nuccore/NZ_LIQX01000224.1?report=graph&amp;from=20284&amp;to=20288", "TTA_codon")</f>
        <v>TTA_codon</v>
      </c>
    </row>
    <row r="5564" spans="1:15" x14ac:dyDescent="0.15">
      <c r="A5564" t="s">
        <v>21</v>
      </c>
      <c r="B5564" t="s">
        <v>4126</v>
      </c>
    </row>
    <row r="5565" spans="1:15" x14ac:dyDescent="0.15">
      <c r="A5565" t="s">
        <v>21</v>
      </c>
      <c r="B5565">
        <v>1000608</v>
      </c>
      <c r="C5565">
        <v>350300</v>
      </c>
      <c r="F5565" s="7">
        <v>1</v>
      </c>
      <c r="G5565" s="7">
        <v>130</v>
      </c>
      <c r="H5565" s="8">
        <v>130</v>
      </c>
      <c r="J5565" t="s">
        <v>23</v>
      </c>
      <c r="K5565" s="7">
        <v>1005</v>
      </c>
      <c r="L5565" s="9">
        <v>1</v>
      </c>
      <c r="M5565" t="s">
        <v>35</v>
      </c>
      <c r="N5565" t="s">
        <v>36</v>
      </c>
      <c r="O5565" s="27" t="str">
        <f>HYPERLINK("https://www.ncbi.nlm.nih.gov/nuccore/NZ_JH725387.1?report=graph&amp;from=1142682&amp;to=1142686", "TTA_codon")</f>
        <v>TTA_codon</v>
      </c>
    </row>
    <row r="5566" spans="1:15" x14ac:dyDescent="0.15">
      <c r="A5566" t="s">
        <v>21</v>
      </c>
      <c r="B5566">
        <v>1000608</v>
      </c>
      <c r="C5566">
        <v>356687</v>
      </c>
      <c r="F5566" s="7">
        <v>1</v>
      </c>
      <c r="G5566" s="7">
        <v>130</v>
      </c>
      <c r="H5566" s="8">
        <v>130</v>
      </c>
      <c r="J5566" t="s">
        <v>23</v>
      </c>
      <c r="K5566" s="7">
        <v>1005</v>
      </c>
      <c r="L5566" s="9">
        <v>1</v>
      </c>
      <c r="M5566" t="s">
        <v>147</v>
      </c>
      <c r="N5566" t="s">
        <v>148</v>
      </c>
      <c r="O5566" s="27" t="str">
        <f>HYPERLINK("https://www.ncbi.nlm.nih.gov/nuccore/NZ_CP021080.1?report=graph&amp;from=1547&amp;to=1551", "TTA_codon")</f>
        <v>TTA_codon</v>
      </c>
    </row>
    <row r="5567" spans="1:15" x14ac:dyDescent="0.15">
      <c r="A5567" t="s">
        <v>21</v>
      </c>
      <c r="B5567">
        <v>1000608</v>
      </c>
      <c r="C5567">
        <v>362491</v>
      </c>
      <c r="F5567" s="7">
        <v>2</v>
      </c>
      <c r="G5567" s="7" t="s">
        <v>4127</v>
      </c>
      <c r="H5567" s="8" t="s">
        <v>4127</v>
      </c>
      <c r="J5567" t="s">
        <v>23</v>
      </c>
      <c r="K5567" s="7">
        <v>1005</v>
      </c>
      <c r="L5567" s="9">
        <v>1</v>
      </c>
      <c r="M5567" t="s">
        <v>32</v>
      </c>
      <c r="N5567" t="s">
        <v>33</v>
      </c>
      <c r="O5567" s="27" t="str">
        <f>HYPERLINK("https://www.ncbi.nlm.nih.gov/nuccore/NZ_CP017248.1?report=graph&amp;from=362634&amp;to=362764", "TTA_codon")</f>
        <v>TTA_codon</v>
      </c>
    </row>
    <row r="5568" spans="1:15" x14ac:dyDescent="0.15">
      <c r="A5568" t="s">
        <v>21</v>
      </c>
      <c r="B5568" t="s">
        <v>4128</v>
      </c>
    </row>
    <row r="5569" spans="1:15" x14ac:dyDescent="0.15">
      <c r="A5569" t="s">
        <v>21</v>
      </c>
      <c r="B5569">
        <v>1001520</v>
      </c>
      <c r="C5569">
        <v>366055</v>
      </c>
      <c r="F5569" s="7">
        <v>2</v>
      </c>
      <c r="G5569" s="7" t="s">
        <v>4129</v>
      </c>
      <c r="H5569" s="8" t="s">
        <v>4130</v>
      </c>
      <c r="J5569" t="s">
        <v>23</v>
      </c>
      <c r="K5569" s="7">
        <v>1485</v>
      </c>
      <c r="L5569" s="9">
        <v>-1</v>
      </c>
      <c r="M5569" t="s">
        <v>714</v>
      </c>
      <c r="N5569" t="s">
        <v>115</v>
      </c>
      <c r="O5569" s="27" t="str">
        <f>HYPERLINK("https://www.ncbi.nlm.nih.gov/nuccore/NZ_FODD01000057.1?report=graph&amp;from=9121&amp;to=9701", "TTA_codon")</f>
        <v>TTA_codon</v>
      </c>
    </row>
    <row r="5570" spans="1:15" x14ac:dyDescent="0.15">
      <c r="A5570" t="s">
        <v>21</v>
      </c>
      <c r="B5570">
        <v>1001520</v>
      </c>
      <c r="C5570">
        <v>366506</v>
      </c>
      <c r="F5570" s="7">
        <v>1</v>
      </c>
      <c r="G5570" s="7">
        <v>736</v>
      </c>
      <c r="H5570" s="8">
        <v>736</v>
      </c>
      <c r="J5570" t="s">
        <v>23</v>
      </c>
      <c r="K5570" s="7">
        <v>1734</v>
      </c>
      <c r="L5570" s="9">
        <v>-1</v>
      </c>
      <c r="M5570" t="s">
        <v>4131</v>
      </c>
      <c r="N5570" t="s">
        <v>375</v>
      </c>
      <c r="O5570" s="27" t="str">
        <f>HYPERLINK("https://www.ncbi.nlm.nih.gov/nuccore/NZ_FONG01000027.1?report=graph&amp;from=63415&amp;to=63419", "TTA_codon")</f>
        <v>TTA_codon</v>
      </c>
    </row>
    <row r="5571" spans="1:15" x14ac:dyDescent="0.15">
      <c r="A5571" t="s">
        <v>21</v>
      </c>
      <c r="B5571" t="s">
        <v>4132</v>
      </c>
    </row>
    <row r="5572" spans="1:15" x14ac:dyDescent="0.15">
      <c r="A5572" t="s">
        <v>21</v>
      </c>
      <c r="B5572">
        <v>1000872</v>
      </c>
      <c r="C5572">
        <v>352639</v>
      </c>
      <c r="F5572" s="7">
        <v>1</v>
      </c>
      <c r="G5572" s="7">
        <v>133</v>
      </c>
      <c r="H5572" s="8">
        <v>133</v>
      </c>
      <c r="J5572" t="s">
        <v>23</v>
      </c>
      <c r="K5572" s="7">
        <v>513</v>
      </c>
      <c r="L5572" s="9">
        <v>1</v>
      </c>
      <c r="M5572" t="s">
        <v>1643</v>
      </c>
      <c r="N5572" t="s">
        <v>436</v>
      </c>
      <c r="O5572" s="27" t="str">
        <f>HYPERLINK("https://www.ncbi.nlm.nih.gov/nuccore/NZ_AUBE01000002.1?report=graph&amp;from=320358&amp;to=320362", "TTA_codon")</f>
        <v>TTA_codon</v>
      </c>
    </row>
    <row r="5573" spans="1:15" x14ac:dyDescent="0.15">
      <c r="A5573" t="s">
        <v>21</v>
      </c>
      <c r="B5573">
        <v>1000872</v>
      </c>
      <c r="C5573">
        <v>354390</v>
      </c>
      <c r="F5573" s="7">
        <v>1</v>
      </c>
      <c r="G5573" s="7">
        <v>133</v>
      </c>
      <c r="H5573" s="8">
        <v>130</v>
      </c>
      <c r="J5573" t="s">
        <v>23</v>
      </c>
      <c r="K5573" s="7">
        <v>513</v>
      </c>
      <c r="L5573" s="9">
        <v>1</v>
      </c>
      <c r="M5573" t="s">
        <v>1587</v>
      </c>
      <c r="N5573" t="s">
        <v>142</v>
      </c>
      <c r="O5573" s="27" t="str">
        <f>HYPERLINK("https://www.ncbi.nlm.nih.gov/nuccore/NZ_JOEI01000013.1?report=graph&amp;from=16388&amp;to=16392", "TTA_codon")</f>
        <v>TTA_codon</v>
      </c>
    </row>
    <row r="5574" spans="1:15" x14ac:dyDescent="0.15">
      <c r="A5574" t="s">
        <v>21</v>
      </c>
      <c r="B5574">
        <v>1000872</v>
      </c>
      <c r="C5574">
        <v>357477</v>
      </c>
      <c r="F5574" s="7">
        <v>1</v>
      </c>
      <c r="G5574" s="7">
        <v>133</v>
      </c>
      <c r="H5574" s="8">
        <v>130</v>
      </c>
      <c r="J5574" t="s">
        <v>23</v>
      </c>
      <c r="K5574" s="7">
        <v>513</v>
      </c>
      <c r="L5574" s="9">
        <v>1</v>
      </c>
      <c r="M5574" t="s">
        <v>1098</v>
      </c>
      <c r="N5574" t="s">
        <v>81</v>
      </c>
      <c r="O5574" s="27" t="str">
        <f>HYPERLINK("https://www.ncbi.nlm.nih.gov/nuccore/NZ_LN831789.1?report=graph&amp;from=43290&amp;to=43294", "TTA_codon")</f>
        <v>TTA_codon</v>
      </c>
    </row>
    <row r="5575" spans="1:15" x14ac:dyDescent="0.15">
      <c r="A5575" t="s">
        <v>21</v>
      </c>
      <c r="B5575" t="s">
        <v>4133</v>
      </c>
    </row>
    <row r="5576" spans="1:15" x14ac:dyDescent="0.15">
      <c r="A5576" t="s">
        <v>21</v>
      </c>
      <c r="B5576">
        <v>1001210</v>
      </c>
      <c r="C5576">
        <v>357043</v>
      </c>
      <c r="F5576" s="7">
        <v>1</v>
      </c>
      <c r="G5576" s="7">
        <v>169</v>
      </c>
      <c r="H5576" s="8">
        <v>169</v>
      </c>
      <c r="J5576" t="s">
        <v>23</v>
      </c>
      <c r="K5576" s="7">
        <v>402</v>
      </c>
      <c r="L5576" s="9">
        <v>1</v>
      </c>
      <c r="M5576" t="s">
        <v>162</v>
      </c>
      <c r="N5576" t="s">
        <v>163</v>
      </c>
      <c r="O5576" s="27" t="str">
        <f>HYPERLINK("https://www.ncbi.nlm.nih.gov/nuccore/NZ_CP010519.1?report=graph&amp;from=4534634&amp;to=4534638", "TTA_codon")</f>
        <v>TTA_codon</v>
      </c>
    </row>
    <row r="5577" spans="1:15" x14ac:dyDescent="0.15">
      <c r="A5577" t="s">
        <v>21</v>
      </c>
      <c r="B5577">
        <v>1001210</v>
      </c>
      <c r="C5577">
        <v>363260</v>
      </c>
      <c r="F5577" s="7">
        <v>1</v>
      </c>
      <c r="G5577" s="7">
        <v>169</v>
      </c>
      <c r="H5577" s="8">
        <v>169</v>
      </c>
      <c r="J5577" t="s">
        <v>23</v>
      </c>
      <c r="K5577" s="7">
        <v>408</v>
      </c>
      <c r="L5577" s="9">
        <v>1</v>
      </c>
      <c r="M5577" t="s">
        <v>4134</v>
      </c>
      <c r="N5577" t="s">
        <v>28</v>
      </c>
      <c r="O5577" s="27" t="str">
        <f>HYPERLINK("https://www.ncbi.nlm.nih.gov/nuccore/NZ_JUJA01000136.1?report=graph&amp;from=3251&amp;to=3255", "TTA_codon")</f>
        <v>TTA_codon</v>
      </c>
    </row>
    <row r="5578" spans="1:15" x14ac:dyDescent="0.15">
      <c r="A5578" t="s">
        <v>21</v>
      </c>
      <c r="B5578" t="s">
        <v>4135</v>
      </c>
    </row>
    <row r="5579" spans="1:15" x14ac:dyDescent="0.15">
      <c r="A5579" t="s">
        <v>21</v>
      </c>
      <c r="B5579">
        <v>1000910</v>
      </c>
      <c r="C5579">
        <v>350328</v>
      </c>
      <c r="F5579" s="7">
        <v>1</v>
      </c>
      <c r="G5579" s="7">
        <v>43</v>
      </c>
      <c r="H5579" s="8">
        <v>40</v>
      </c>
      <c r="J5579" t="s">
        <v>23</v>
      </c>
      <c r="K5579" s="7">
        <v>4296</v>
      </c>
      <c r="L5579" s="9">
        <v>1</v>
      </c>
      <c r="M5579" t="s">
        <v>770</v>
      </c>
      <c r="N5579" t="s">
        <v>36</v>
      </c>
      <c r="O5579" s="27" t="str">
        <f>HYPERLINK("https://www.ncbi.nlm.nih.gov/nuccore/NZ_JH725391.1?report=graph&amp;from=11998&amp;to=12002", "TTA_codon")</f>
        <v>TTA_codon</v>
      </c>
    </row>
    <row r="5580" spans="1:15" x14ac:dyDescent="0.15">
      <c r="A5580" t="s">
        <v>21</v>
      </c>
      <c r="B5580">
        <v>1000910</v>
      </c>
      <c r="C5580">
        <v>353102</v>
      </c>
      <c r="F5580" s="7">
        <v>1</v>
      </c>
      <c r="G5580" s="7">
        <v>40</v>
      </c>
      <c r="H5580" s="8">
        <v>40</v>
      </c>
      <c r="J5580" t="s">
        <v>23</v>
      </c>
      <c r="K5580" s="7">
        <v>3612</v>
      </c>
      <c r="L5580" s="9">
        <v>1</v>
      </c>
      <c r="M5580" t="s">
        <v>4136</v>
      </c>
      <c r="N5580" t="s">
        <v>306</v>
      </c>
      <c r="O5580" s="27" t="str">
        <f>HYPERLINK("https://www.ncbi.nlm.nih.gov/nuccore/NZ_JNYL01000289.1?report=graph&amp;from=341&amp;to=345", "TTA_codon")</f>
        <v>TTA_codon</v>
      </c>
    </row>
    <row r="5581" spans="1:15" x14ac:dyDescent="0.15">
      <c r="A5581" t="s">
        <v>21</v>
      </c>
      <c r="B5581" t="s">
        <v>4137</v>
      </c>
    </row>
    <row r="5582" spans="1:15" x14ac:dyDescent="0.15">
      <c r="A5582" t="s">
        <v>21</v>
      </c>
      <c r="B5582">
        <v>1000648</v>
      </c>
      <c r="C5582">
        <v>350532</v>
      </c>
      <c r="F5582" s="7">
        <v>2</v>
      </c>
      <c r="G5582" s="7" t="s">
        <v>4138</v>
      </c>
      <c r="H5582" s="8" t="s">
        <v>4138</v>
      </c>
      <c r="J5582" t="s">
        <v>23</v>
      </c>
      <c r="K5582" s="7">
        <v>1437</v>
      </c>
      <c r="L5582" s="9">
        <v>1</v>
      </c>
      <c r="M5582" t="s">
        <v>4139</v>
      </c>
      <c r="N5582" t="s">
        <v>134</v>
      </c>
      <c r="O5582" s="27" t="str">
        <f>HYPERLINK("https://www.ncbi.nlm.nih.gov/nuccore/NZ_AJSZ01000559.1?report=graph&amp;from=2551&amp;to=3089", "TTA_codon")</f>
        <v>TTA_codon</v>
      </c>
    </row>
    <row r="5583" spans="1:15" x14ac:dyDescent="0.15">
      <c r="A5583" t="s">
        <v>21</v>
      </c>
      <c r="B5583">
        <v>1000648</v>
      </c>
      <c r="C5583">
        <v>363120</v>
      </c>
      <c r="F5583" s="7">
        <v>1</v>
      </c>
      <c r="G5583" s="7">
        <v>133</v>
      </c>
      <c r="H5583" s="8">
        <v>133</v>
      </c>
      <c r="J5583" t="s">
        <v>23</v>
      </c>
      <c r="K5583" s="7">
        <v>1470</v>
      </c>
      <c r="L5583" s="9">
        <v>1</v>
      </c>
      <c r="M5583" t="s">
        <v>989</v>
      </c>
      <c r="N5583" t="s">
        <v>401</v>
      </c>
      <c r="O5583" s="27" t="str">
        <f>HYPERLINK("https://www.ncbi.nlm.nih.gov/nuccore/NZ_LFBV01000003.1?report=graph&amp;from=575169&amp;to=575173", "TTA_codon")</f>
        <v>TTA_codon</v>
      </c>
    </row>
    <row r="5584" spans="1:15" x14ac:dyDescent="0.15">
      <c r="A5584" t="s">
        <v>21</v>
      </c>
      <c r="B5584" t="s">
        <v>4140</v>
      </c>
    </row>
    <row r="5585" spans="1:15" x14ac:dyDescent="0.15">
      <c r="A5585" t="s">
        <v>21</v>
      </c>
      <c r="B5585">
        <v>1000622</v>
      </c>
      <c r="C5585">
        <v>350392</v>
      </c>
      <c r="F5585" s="7">
        <v>1</v>
      </c>
      <c r="G5585" s="7">
        <v>445</v>
      </c>
      <c r="H5585" s="8">
        <v>421</v>
      </c>
      <c r="J5585" t="s">
        <v>23</v>
      </c>
      <c r="K5585" s="7">
        <v>774</v>
      </c>
      <c r="L5585" s="9">
        <v>-1</v>
      </c>
      <c r="M5585" t="s">
        <v>35</v>
      </c>
      <c r="N5585" t="s">
        <v>36</v>
      </c>
      <c r="O5585" s="27" t="str">
        <f>HYPERLINK("https://www.ncbi.nlm.nih.gov/nuccore/NZ_JH725387.1?report=graph&amp;from=5315874&amp;to=5315878", "TTA_codon")</f>
        <v>TTA_codon</v>
      </c>
    </row>
    <row r="5586" spans="1:15" x14ac:dyDescent="0.15">
      <c r="A5586" t="s">
        <v>21</v>
      </c>
      <c r="B5586">
        <v>1000622</v>
      </c>
      <c r="C5586">
        <v>353118</v>
      </c>
      <c r="F5586" s="7">
        <v>1</v>
      </c>
      <c r="G5586" s="7">
        <v>241</v>
      </c>
      <c r="H5586" s="8">
        <v>211</v>
      </c>
      <c r="J5586" t="s">
        <v>23</v>
      </c>
      <c r="K5586" s="7">
        <v>759</v>
      </c>
      <c r="L5586" s="9">
        <v>-1</v>
      </c>
      <c r="M5586" t="s">
        <v>2502</v>
      </c>
      <c r="N5586" t="s">
        <v>306</v>
      </c>
      <c r="O5586" s="27" t="str">
        <f>HYPERLINK("https://www.ncbi.nlm.nih.gov/nuccore/NZ_KL571079.1?report=graph&amp;from=108033&amp;to=108037", "TTA_codon")</f>
        <v>TTA_codon</v>
      </c>
    </row>
    <row r="5587" spans="1:15" x14ac:dyDescent="0.15">
      <c r="A5587" t="s">
        <v>21</v>
      </c>
      <c r="B5587">
        <v>1000622</v>
      </c>
      <c r="C5587">
        <v>355481</v>
      </c>
      <c r="F5587" s="7">
        <v>1</v>
      </c>
      <c r="G5587" s="7">
        <v>307</v>
      </c>
      <c r="H5587" s="8">
        <v>268</v>
      </c>
      <c r="J5587" t="s">
        <v>23</v>
      </c>
      <c r="K5587" s="7">
        <v>759</v>
      </c>
      <c r="L5587" s="9">
        <v>-1</v>
      </c>
      <c r="M5587" t="s">
        <v>4141</v>
      </c>
      <c r="N5587" t="s">
        <v>198</v>
      </c>
      <c r="O5587" s="27" t="str">
        <f>HYPERLINK("https://www.ncbi.nlm.nih.gov/nuccore/NZ_JOFL01000010.1?report=graph&amp;from=5566&amp;to=5570", "TTA_codon")</f>
        <v>TTA_codon</v>
      </c>
    </row>
    <row r="5588" spans="1:15" x14ac:dyDescent="0.15">
      <c r="A5588" t="s">
        <v>21</v>
      </c>
      <c r="B5588">
        <v>1000622</v>
      </c>
      <c r="C5588">
        <v>359982</v>
      </c>
      <c r="F5588" s="7">
        <v>1</v>
      </c>
      <c r="G5588" s="7">
        <v>244</v>
      </c>
      <c r="H5588" s="8">
        <v>208</v>
      </c>
      <c r="J5588" t="s">
        <v>23</v>
      </c>
      <c r="K5588" s="7">
        <v>741</v>
      </c>
      <c r="L5588" s="9">
        <v>-1</v>
      </c>
      <c r="M5588" t="s">
        <v>616</v>
      </c>
      <c r="N5588" t="s">
        <v>91</v>
      </c>
      <c r="O5588" s="27" t="str">
        <f>HYPERLINK("https://www.ncbi.nlm.nih.gov/nuccore/NZ_KQ948305.1?report=graph&amp;from=424150&amp;to=424154", "TTA_codon")</f>
        <v>TTA_codon</v>
      </c>
    </row>
    <row r="5589" spans="1:15" x14ac:dyDescent="0.15">
      <c r="A5589" t="s">
        <v>21</v>
      </c>
      <c r="B5589">
        <v>1000622</v>
      </c>
      <c r="C5589">
        <v>360243</v>
      </c>
      <c r="F5589" s="7">
        <v>1</v>
      </c>
      <c r="G5589" s="7">
        <v>160</v>
      </c>
      <c r="H5589" s="8">
        <v>130</v>
      </c>
      <c r="J5589" t="s">
        <v>23</v>
      </c>
      <c r="K5589" s="7">
        <v>762</v>
      </c>
      <c r="L5589" s="9">
        <v>-1</v>
      </c>
      <c r="M5589" t="s">
        <v>617</v>
      </c>
      <c r="N5589" t="s">
        <v>125</v>
      </c>
      <c r="O5589" s="27" t="str">
        <f>HYPERLINK("https://www.ncbi.nlm.nih.gov/nuccore/NZ_KQ948452.1?report=graph&amp;from=520591&amp;to=520595", "TTA_codon")</f>
        <v>TTA_codon</v>
      </c>
    </row>
    <row r="5590" spans="1:15" x14ac:dyDescent="0.15">
      <c r="A5590" t="s">
        <v>21</v>
      </c>
      <c r="B5590">
        <v>1000622</v>
      </c>
      <c r="C5590">
        <v>361758</v>
      </c>
      <c r="F5590" s="7">
        <v>1</v>
      </c>
      <c r="G5590" s="7">
        <v>445</v>
      </c>
      <c r="H5590" s="8">
        <v>421</v>
      </c>
      <c r="J5590" t="s">
        <v>23</v>
      </c>
      <c r="K5590" s="7">
        <v>774</v>
      </c>
      <c r="L5590" s="9">
        <v>-1</v>
      </c>
      <c r="M5590" t="s">
        <v>37</v>
      </c>
      <c r="N5590" t="s">
        <v>38</v>
      </c>
      <c r="O5590" s="27" t="str">
        <f>HYPERLINK("https://www.ncbi.nlm.nih.gov/nuccore/NZ_CP011533.1?report=graph&amp;from=6861790&amp;to=6861794", "TTA_codon")</f>
        <v>TTA_codon</v>
      </c>
    </row>
    <row r="5591" spans="1:15" x14ac:dyDescent="0.15">
      <c r="A5591" t="s">
        <v>21</v>
      </c>
      <c r="B5591">
        <v>1000622</v>
      </c>
      <c r="C5591">
        <v>362362</v>
      </c>
      <c r="F5591" s="7">
        <v>1</v>
      </c>
      <c r="G5591" s="7">
        <v>445</v>
      </c>
      <c r="H5591" s="8">
        <v>424</v>
      </c>
      <c r="J5591" t="s">
        <v>23</v>
      </c>
      <c r="K5591" s="7">
        <v>777</v>
      </c>
      <c r="L5591" s="9">
        <v>-1</v>
      </c>
      <c r="M5591" t="s">
        <v>39</v>
      </c>
      <c r="N5591" t="s">
        <v>40</v>
      </c>
      <c r="O5591" s="27" t="str">
        <f>HYPERLINK("https://www.ncbi.nlm.nih.gov/nuccore/NZ_CP017157.1?report=graph&amp;from=2158195&amp;to=2158199", "TTA_codon")</f>
        <v>TTA_codon</v>
      </c>
    </row>
    <row r="5592" spans="1:15" x14ac:dyDescent="0.15">
      <c r="A5592" t="s">
        <v>21</v>
      </c>
      <c r="B5592">
        <v>1000622</v>
      </c>
      <c r="C5592">
        <v>363993</v>
      </c>
      <c r="F5592" s="7">
        <v>1</v>
      </c>
      <c r="G5592" s="7">
        <v>46</v>
      </c>
      <c r="H5592" s="8">
        <v>37</v>
      </c>
      <c r="J5592" t="s">
        <v>23</v>
      </c>
      <c r="K5592" s="7">
        <v>762</v>
      </c>
      <c r="L5592" s="9">
        <v>-1</v>
      </c>
      <c r="M5592" t="s">
        <v>4142</v>
      </c>
      <c r="N5592" t="s">
        <v>104</v>
      </c>
      <c r="O5592" s="27" t="str">
        <f>HYPERLINK("https://www.ncbi.nlm.nih.gov/nuccore/NZ_MVFC01000026.1?report=graph&amp;from=10800&amp;to=10804", "TTA_codon")</f>
        <v>TTA_codon</v>
      </c>
    </row>
    <row r="5593" spans="1:15" x14ac:dyDescent="0.15">
      <c r="A5593" t="s">
        <v>21</v>
      </c>
      <c r="B5593">
        <v>1000622</v>
      </c>
      <c r="C5593">
        <v>365184</v>
      </c>
      <c r="F5593" s="7">
        <v>2</v>
      </c>
      <c r="G5593" s="7" t="s">
        <v>4143</v>
      </c>
      <c r="H5593" s="8" t="s">
        <v>4144</v>
      </c>
      <c r="J5593" t="s">
        <v>23</v>
      </c>
      <c r="K5593" s="7">
        <v>753</v>
      </c>
      <c r="L5593" s="9">
        <v>-1</v>
      </c>
      <c r="M5593" t="s">
        <v>111</v>
      </c>
      <c r="N5593" t="s">
        <v>112</v>
      </c>
      <c r="O5593" s="27" t="str">
        <f>HYPERLINK("https://www.ncbi.nlm.nih.gov/nuccore/NZ_CP021744.1?report=graph&amp;from=5755378&amp;to=5755442", "TTA_codon")</f>
        <v>TTA_codon</v>
      </c>
    </row>
    <row r="5594" spans="1:15" x14ac:dyDescent="0.15">
      <c r="A5594" t="s">
        <v>21</v>
      </c>
      <c r="B5594" t="s">
        <v>4145</v>
      </c>
    </row>
    <row r="5595" spans="1:15" x14ac:dyDescent="0.15">
      <c r="A5595" t="s">
        <v>21</v>
      </c>
      <c r="B5595">
        <v>1001374</v>
      </c>
      <c r="C5595">
        <v>361560</v>
      </c>
      <c r="F5595" s="7">
        <v>1</v>
      </c>
      <c r="G5595" s="7">
        <v>1231</v>
      </c>
      <c r="H5595" s="8">
        <v>1231</v>
      </c>
      <c r="J5595" t="s">
        <v>23</v>
      </c>
      <c r="K5595" s="7">
        <v>1722</v>
      </c>
      <c r="L5595" s="9">
        <v>-1</v>
      </c>
      <c r="M5595" t="s">
        <v>37</v>
      </c>
      <c r="N5595" t="s">
        <v>38</v>
      </c>
      <c r="O5595" s="27" t="str">
        <f>HYPERLINK("https://www.ncbi.nlm.nih.gov/nuccore/NZ_CP011533.1?report=graph&amp;from=1286707&amp;to=1286711", "TTA_codon")</f>
        <v>TTA_codon</v>
      </c>
    </row>
    <row r="5596" spans="1:15" x14ac:dyDescent="0.15">
      <c r="A5596" t="s">
        <v>21</v>
      </c>
      <c r="B5596">
        <v>1001374</v>
      </c>
      <c r="C5596">
        <v>364289</v>
      </c>
      <c r="F5596" s="7">
        <v>1</v>
      </c>
      <c r="G5596" s="7">
        <v>1231</v>
      </c>
      <c r="H5596" s="8">
        <v>118</v>
      </c>
      <c r="J5596" t="s">
        <v>23</v>
      </c>
      <c r="K5596" s="7">
        <v>570</v>
      </c>
      <c r="L5596" s="9">
        <v>-1</v>
      </c>
      <c r="M5596" t="s">
        <v>105</v>
      </c>
      <c r="N5596" t="s">
        <v>106</v>
      </c>
      <c r="O5596" s="27" t="str">
        <f>HYPERLINK("https://www.ncbi.nlm.nih.gov/nuccore/NZ_CP020042.1?report=graph&amp;from=70869&amp;to=70873", "TTA_codon")</f>
        <v>TTA_codon</v>
      </c>
    </row>
    <row r="5597" spans="1:15" x14ac:dyDescent="0.15">
      <c r="A5597" t="s">
        <v>21</v>
      </c>
      <c r="B5597" t="s">
        <v>4146</v>
      </c>
    </row>
    <row r="5598" spans="1:15" x14ac:dyDescent="0.15">
      <c r="A5598" t="s">
        <v>21</v>
      </c>
      <c r="B5598">
        <v>1000961</v>
      </c>
      <c r="C5598">
        <v>353601</v>
      </c>
      <c r="F5598" s="7">
        <v>1</v>
      </c>
      <c r="G5598" s="7">
        <v>64</v>
      </c>
      <c r="H5598" s="8">
        <v>64</v>
      </c>
      <c r="J5598" t="s">
        <v>23</v>
      </c>
      <c r="K5598" s="7">
        <v>1512</v>
      </c>
      <c r="L5598" s="9">
        <v>-1</v>
      </c>
      <c r="M5598" t="s">
        <v>3742</v>
      </c>
      <c r="N5598" t="s">
        <v>140</v>
      </c>
      <c r="O5598" s="27" t="str">
        <f>HYPERLINK("https://www.ncbi.nlm.nih.gov/nuccore/NZ_JNXG01000004.1?report=graph&amp;from=81001&amp;to=81005", "TTA_codon")</f>
        <v>TTA_codon</v>
      </c>
    </row>
    <row r="5599" spans="1:15" x14ac:dyDescent="0.15">
      <c r="A5599" t="s">
        <v>21</v>
      </c>
      <c r="B5599">
        <v>1000961</v>
      </c>
      <c r="C5599">
        <v>354312</v>
      </c>
      <c r="F5599" s="7">
        <v>1</v>
      </c>
      <c r="G5599" s="7">
        <v>64</v>
      </c>
      <c r="H5599" s="8">
        <v>64</v>
      </c>
      <c r="J5599" t="s">
        <v>23</v>
      </c>
      <c r="K5599" s="7">
        <v>1122</v>
      </c>
      <c r="L5599" s="9">
        <v>-1</v>
      </c>
      <c r="M5599" t="s">
        <v>141</v>
      </c>
      <c r="N5599" t="s">
        <v>142</v>
      </c>
      <c r="O5599" s="27" t="str">
        <f>HYPERLINK("https://www.ncbi.nlm.nih.gov/nuccore/NZ_JOEI01000002.1?report=graph&amp;from=141415&amp;to=141419", "TTA_codon")</f>
        <v>TTA_codon</v>
      </c>
    </row>
    <row r="5600" spans="1:15" x14ac:dyDescent="0.15">
      <c r="A5600" t="s">
        <v>21</v>
      </c>
      <c r="B5600">
        <v>1000961</v>
      </c>
      <c r="C5600">
        <v>364444</v>
      </c>
      <c r="F5600" s="7">
        <v>1</v>
      </c>
      <c r="G5600" s="7">
        <v>64</v>
      </c>
      <c r="H5600" s="8">
        <v>61</v>
      </c>
      <c r="J5600" t="s">
        <v>23</v>
      </c>
      <c r="K5600" s="7">
        <v>1170</v>
      </c>
      <c r="L5600" s="9">
        <v>-1</v>
      </c>
      <c r="M5600" t="s">
        <v>4147</v>
      </c>
      <c r="N5600" t="s">
        <v>326</v>
      </c>
      <c r="O5600" s="27" t="str">
        <f>HYPERLINK("https://www.ncbi.nlm.nih.gov/nuccore/NZ_MUBL01000247.1?report=graph&amp;from=33120&amp;to=33124", "TTA_codon")</f>
        <v>TTA_codon</v>
      </c>
    </row>
    <row r="5601" spans="1:15" x14ac:dyDescent="0.15">
      <c r="A5601" t="s">
        <v>21</v>
      </c>
      <c r="B5601" t="s">
        <v>4148</v>
      </c>
    </row>
    <row r="5602" spans="1:15" x14ac:dyDescent="0.15">
      <c r="A5602" t="s">
        <v>21</v>
      </c>
      <c r="B5602">
        <v>1001516</v>
      </c>
      <c r="C5602">
        <v>366409</v>
      </c>
      <c r="F5602" s="7">
        <v>1</v>
      </c>
      <c r="G5602" s="7">
        <v>49</v>
      </c>
      <c r="H5602" s="8">
        <v>43</v>
      </c>
      <c r="J5602" t="s">
        <v>23</v>
      </c>
      <c r="K5602" s="7">
        <v>1098</v>
      </c>
      <c r="L5602" s="9">
        <v>-1</v>
      </c>
      <c r="M5602" t="s">
        <v>4149</v>
      </c>
      <c r="N5602" t="s">
        <v>375</v>
      </c>
      <c r="O5602" s="27" t="str">
        <f>HYPERLINK("https://www.ncbi.nlm.nih.gov/nuccore/NZ_FONG01000005.1?report=graph&amp;from=276975&amp;to=276979", "TTA_codon")</f>
        <v>TTA_codon</v>
      </c>
    </row>
    <row r="5603" spans="1:15" x14ac:dyDescent="0.15">
      <c r="A5603" t="s">
        <v>21</v>
      </c>
      <c r="B5603">
        <v>1001516</v>
      </c>
      <c r="C5603">
        <v>366564</v>
      </c>
      <c r="F5603" s="7">
        <v>1</v>
      </c>
      <c r="G5603" s="7">
        <v>49</v>
      </c>
      <c r="H5603" s="8">
        <v>49</v>
      </c>
      <c r="J5603" t="s">
        <v>23</v>
      </c>
      <c r="K5603" s="7">
        <v>1152</v>
      </c>
      <c r="L5603" s="9">
        <v>-1</v>
      </c>
      <c r="M5603" t="s">
        <v>2436</v>
      </c>
      <c r="N5603" t="s">
        <v>180</v>
      </c>
      <c r="O5603" s="27" t="str">
        <f>HYPERLINK("https://www.ncbi.nlm.nih.gov/nuccore/NZ_FRBI01000001.1?report=graph&amp;from=206089&amp;to=206093", "TTA_codon")</f>
        <v>TTA_codon</v>
      </c>
    </row>
    <row r="5604" spans="1:15" x14ac:dyDescent="0.15">
      <c r="A5604" t="s">
        <v>195</v>
      </c>
      <c r="B5604" t="s">
        <v>4150</v>
      </c>
    </row>
    <row r="5605" spans="1:15" x14ac:dyDescent="0.15">
      <c r="A5605" t="s">
        <v>195</v>
      </c>
      <c r="B5605">
        <v>1000008</v>
      </c>
      <c r="C5605">
        <v>346001</v>
      </c>
      <c r="F5605" s="7">
        <v>1</v>
      </c>
      <c r="G5605" s="7">
        <v>475</v>
      </c>
      <c r="H5605" s="8">
        <v>454</v>
      </c>
      <c r="J5605" t="s">
        <v>23</v>
      </c>
      <c r="K5605" s="7">
        <v>615</v>
      </c>
      <c r="L5605" s="9">
        <v>-1</v>
      </c>
      <c r="M5605" t="s">
        <v>53</v>
      </c>
      <c r="N5605" t="s">
        <v>54</v>
      </c>
      <c r="O5605" s="27" t="str">
        <f>HYPERLINK("https://www.ncbi.nlm.nih.gov/nuccore/NC_003155.5?report=graph&amp;from=893519&amp;to=893523", "TTA_codon")</f>
        <v>TTA_codon</v>
      </c>
    </row>
    <row r="5606" spans="1:15" x14ac:dyDescent="0.15">
      <c r="A5606" t="s">
        <v>195</v>
      </c>
      <c r="B5606">
        <v>1000008</v>
      </c>
      <c r="C5606">
        <v>346018</v>
      </c>
      <c r="F5606" s="7">
        <v>1</v>
      </c>
      <c r="G5606" s="7">
        <v>475</v>
      </c>
      <c r="H5606" s="8">
        <v>454</v>
      </c>
      <c r="J5606" t="s">
        <v>23</v>
      </c>
      <c r="K5606" s="7">
        <v>615</v>
      </c>
      <c r="L5606" s="9">
        <v>-1</v>
      </c>
      <c r="M5606" t="s">
        <v>53</v>
      </c>
      <c r="N5606" t="s">
        <v>54</v>
      </c>
      <c r="O5606" s="27" t="str">
        <f>HYPERLINK("https://www.ncbi.nlm.nih.gov/nuccore/NC_003155.5?report=graph&amp;from=9020027&amp;to=9020031", "TTA_codon")</f>
        <v>TTA_codon</v>
      </c>
    </row>
    <row r="5607" spans="1:15" x14ac:dyDescent="0.15">
      <c r="A5607" t="s">
        <v>195</v>
      </c>
      <c r="B5607">
        <v>1000008</v>
      </c>
      <c r="C5607">
        <v>346194</v>
      </c>
      <c r="F5607" s="7">
        <v>1</v>
      </c>
      <c r="G5607" s="7">
        <v>475</v>
      </c>
      <c r="H5607" s="8">
        <v>454</v>
      </c>
      <c r="J5607" t="s">
        <v>23</v>
      </c>
      <c r="K5607" s="7">
        <v>615</v>
      </c>
      <c r="L5607" s="9">
        <v>-1</v>
      </c>
      <c r="M5607" t="s">
        <v>352</v>
      </c>
      <c r="N5607" t="s">
        <v>51</v>
      </c>
      <c r="O5607" s="27" t="str">
        <f>HYPERLINK("https://www.ncbi.nlm.nih.gov/nuccore/NZ_AEJB01000361.1?report=graph&amp;from=469502&amp;to=469506", "TTA_codon")</f>
        <v>TTA_codon</v>
      </c>
    </row>
    <row r="5608" spans="1:15" x14ac:dyDescent="0.15">
      <c r="A5608" t="s">
        <v>195</v>
      </c>
      <c r="B5608">
        <v>1000008</v>
      </c>
      <c r="C5608">
        <v>346336</v>
      </c>
      <c r="F5608" s="7">
        <v>1</v>
      </c>
      <c r="G5608" s="7">
        <v>409</v>
      </c>
      <c r="H5608" s="8">
        <v>391</v>
      </c>
      <c r="J5608" t="s">
        <v>23</v>
      </c>
      <c r="K5608" s="7">
        <v>624</v>
      </c>
      <c r="L5608" s="9">
        <v>-1</v>
      </c>
      <c r="M5608" t="s">
        <v>4151</v>
      </c>
      <c r="N5608" t="s">
        <v>169</v>
      </c>
      <c r="O5608" s="27" t="str">
        <f>HYPERLINK("https://www.ncbi.nlm.nih.gov/nuccore/NZ_JNWJ01000073.1?report=graph&amp;from=3380&amp;to=3384", "TTA_codon")</f>
        <v>TTA_codon</v>
      </c>
    </row>
    <row r="5609" spans="1:15" x14ac:dyDescent="0.15">
      <c r="A5609" t="s">
        <v>21</v>
      </c>
      <c r="B5609">
        <v>1000008</v>
      </c>
      <c r="C5609">
        <v>353978</v>
      </c>
      <c r="F5609" s="7">
        <v>1</v>
      </c>
      <c r="G5609" s="7">
        <v>424</v>
      </c>
      <c r="H5609" s="8">
        <v>376</v>
      </c>
      <c r="J5609" t="s">
        <v>23</v>
      </c>
      <c r="K5609" s="7">
        <v>543</v>
      </c>
      <c r="L5609" s="9">
        <v>-1</v>
      </c>
      <c r="M5609" t="s">
        <v>269</v>
      </c>
      <c r="N5609" t="s">
        <v>270</v>
      </c>
      <c r="O5609" s="27" t="str">
        <f>HYPERLINK("https://www.ncbi.nlm.nih.gov/nuccore/NZ_JOBH01000002.1?report=graph&amp;from=246870&amp;to=246874", "TTA_codon")</f>
        <v>TTA_codon</v>
      </c>
    </row>
    <row r="5610" spans="1:15" x14ac:dyDescent="0.15">
      <c r="A5610" t="s">
        <v>21</v>
      </c>
      <c r="B5610">
        <v>1000008</v>
      </c>
      <c r="C5610">
        <v>358777</v>
      </c>
      <c r="F5610" s="7">
        <v>1</v>
      </c>
      <c r="G5610" s="7">
        <v>409</v>
      </c>
      <c r="H5610" s="8">
        <v>232</v>
      </c>
      <c r="J5610" t="s">
        <v>23</v>
      </c>
      <c r="K5610" s="7">
        <v>429</v>
      </c>
      <c r="L5610" s="9">
        <v>-1</v>
      </c>
      <c r="M5610" t="s">
        <v>4152</v>
      </c>
      <c r="N5610" t="s">
        <v>87</v>
      </c>
      <c r="O5610" s="27" t="str">
        <f>HYPERLINK("https://www.ncbi.nlm.nih.gov/nuccore/NZ_LIQS01000035.1?report=graph&amp;from=15617&amp;to=15621", "TTA_codon")</f>
        <v>TTA_codon</v>
      </c>
    </row>
    <row r="5611" spans="1:15" x14ac:dyDescent="0.15">
      <c r="A5611" t="s">
        <v>21</v>
      </c>
      <c r="B5611">
        <v>1000008</v>
      </c>
      <c r="C5611">
        <v>360019</v>
      </c>
      <c r="F5611" s="7">
        <v>1</v>
      </c>
      <c r="G5611" s="7">
        <v>403</v>
      </c>
      <c r="H5611" s="8">
        <v>400</v>
      </c>
      <c r="J5611" t="s">
        <v>23</v>
      </c>
      <c r="K5611" s="7">
        <v>603</v>
      </c>
      <c r="L5611" s="9">
        <v>-1</v>
      </c>
      <c r="M5611" t="s">
        <v>4153</v>
      </c>
      <c r="N5611" t="s">
        <v>125</v>
      </c>
      <c r="O5611" s="27" t="str">
        <f>HYPERLINK("https://www.ncbi.nlm.nih.gov/nuccore/NZ_KQ948492.1?report=graph&amp;from=1060&amp;to=1064", "TTA_codon")</f>
        <v>TTA_codon</v>
      </c>
    </row>
    <row r="5612" spans="1:15" x14ac:dyDescent="0.15">
      <c r="A5612" t="s">
        <v>21</v>
      </c>
      <c r="B5612" t="s">
        <v>4154</v>
      </c>
    </row>
    <row r="5613" spans="1:15" x14ac:dyDescent="0.15">
      <c r="A5613" t="s">
        <v>21</v>
      </c>
      <c r="B5613">
        <v>1001376</v>
      </c>
      <c r="C5613">
        <v>361621</v>
      </c>
      <c r="F5613" s="7">
        <v>2</v>
      </c>
      <c r="G5613" s="7" t="s">
        <v>4155</v>
      </c>
      <c r="H5613" s="8" t="s">
        <v>4155</v>
      </c>
      <c r="J5613" t="s">
        <v>23</v>
      </c>
      <c r="K5613" s="7">
        <v>732</v>
      </c>
      <c r="L5613" s="9">
        <v>-1</v>
      </c>
      <c r="M5613" t="s">
        <v>37</v>
      </c>
      <c r="N5613" t="s">
        <v>38</v>
      </c>
      <c r="O5613" s="27" t="str">
        <f>HYPERLINK("https://www.ncbi.nlm.nih.gov/nuccore/NZ_CP011533.1?report=graph&amp;from=332389&amp;to=332795", "TTA_codon")</f>
        <v>TTA_codon</v>
      </c>
    </row>
    <row r="5614" spans="1:15" x14ac:dyDescent="0.15">
      <c r="A5614" t="s">
        <v>21</v>
      </c>
      <c r="B5614">
        <v>1001376</v>
      </c>
      <c r="C5614">
        <v>361622</v>
      </c>
      <c r="F5614" s="7">
        <v>1</v>
      </c>
      <c r="G5614" s="7">
        <v>55</v>
      </c>
      <c r="H5614" s="8">
        <v>55</v>
      </c>
      <c r="J5614" t="s">
        <v>23</v>
      </c>
      <c r="K5614" s="7">
        <v>732</v>
      </c>
      <c r="L5614" s="9">
        <v>-1</v>
      </c>
      <c r="M5614" t="s">
        <v>37</v>
      </c>
      <c r="N5614" t="s">
        <v>38</v>
      </c>
      <c r="O5614" s="27" t="str">
        <f>HYPERLINK("https://www.ncbi.nlm.nih.gov/nuccore/NZ_CP011533.1?report=graph&amp;from=9524754&amp;to=9524758", "TTA_codon")</f>
        <v>TTA_codon</v>
      </c>
    </row>
    <row r="5615" spans="1:15" x14ac:dyDescent="0.15">
      <c r="A5615" t="s">
        <v>21</v>
      </c>
      <c r="B5615" t="s">
        <v>4156</v>
      </c>
    </row>
    <row r="5616" spans="1:15" x14ac:dyDescent="0.15">
      <c r="A5616" t="s">
        <v>21</v>
      </c>
      <c r="B5616">
        <v>1000895</v>
      </c>
      <c r="C5616">
        <v>352890</v>
      </c>
      <c r="F5616" s="7">
        <v>1</v>
      </c>
      <c r="G5616" s="7">
        <v>265</v>
      </c>
      <c r="H5616" s="8">
        <v>241</v>
      </c>
      <c r="J5616" t="s">
        <v>23</v>
      </c>
      <c r="K5616" s="7">
        <v>1947</v>
      </c>
      <c r="L5616" s="9">
        <v>1</v>
      </c>
      <c r="M5616" t="s">
        <v>2542</v>
      </c>
      <c r="N5616" t="s">
        <v>306</v>
      </c>
      <c r="O5616" s="27" t="str">
        <f>HYPERLINK("https://www.ncbi.nlm.nih.gov/nuccore/NZ_KL571085.1?report=graph&amp;from=31952&amp;to=31956", "TTA_codon")</f>
        <v>TTA_codon</v>
      </c>
    </row>
    <row r="5617" spans="1:15" x14ac:dyDescent="0.15">
      <c r="A5617" t="s">
        <v>21</v>
      </c>
      <c r="B5617">
        <v>1000895</v>
      </c>
      <c r="C5617">
        <v>354011</v>
      </c>
      <c r="F5617" s="7">
        <v>2</v>
      </c>
      <c r="G5617" s="7" t="s">
        <v>4157</v>
      </c>
      <c r="H5617" s="8" t="s">
        <v>4158</v>
      </c>
      <c r="J5617" t="s">
        <v>23</v>
      </c>
      <c r="K5617" s="7">
        <v>1890</v>
      </c>
      <c r="L5617" s="9">
        <v>1</v>
      </c>
      <c r="M5617" t="s">
        <v>1031</v>
      </c>
      <c r="N5617" t="s">
        <v>270</v>
      </c>
      <c r="O5617" s="27" t="str">
        <f>HYPERLINK("https://www.ncbi.nlm.nih.gov/nuccore/NZ_JOBH01000001.1?report=graph&amp;from=591668&amp;to=591837", "TTA_codon")</f>
        <v>TTA_codon</v>
      </c>
    </row>
    <row r="5618" spans="1:15" x14ac:dyDescent="0.15">
      <c r="A5618" t="s">
        <v>21</v>
      </c>
      <c r="B5618">
        <v>1000895</v>
      </c>
      <c r="C5618">
        <v>365599</v>
      </c>
      <c r="F5618" s="7">
        <v>1</v>
      </c>
      <c r="G5618" s="7">
        <v>412</v>
      </c>
      <c r="H5618" s="8">
        <v>409</v>
      </c>
      <c r="J5618" t="s">
        <v>23</v>
      </c>
      <c r="K5618" s="7">
        <v>1824</v>
      </c>
      <c r="L5618" s="9">
        <v>1</v>
      </c>
      <c r="M5618" t="s">
        <v>213</v>
      </c>
      <c r="N5618" t="s">
        <v>214</v>
      </c>
      <c r="O5618" s="27" t="str">
        <f>HYPERLINK("https://www.ncbi.nlm.nih.gov/nuccore/NZ_FNST01000002.1?report=graph&amp;from=2215103&amp;to=2215107", "TTA_codon")</f>
        <v>TTA_codon</v>
      </c>
    </row>
    <row r="5619" spans="1:15" x14ac:dyDescent="0.15">
      <c r="A5619" t="s">
        <v>21</v>
      </c>
      <c r="B5619" t="s">
        <v>4159</v>
      </c>
    </row>
    <row r="5620" spans="1:15" x14ac:dyDescent="0.15">
      <c r="A5620" t="s">
        <v>21</v>
      </c>
      <c r="B5620">
        <v>1001228</v>
      </c>
      <c r="C5620">
        <v>357323</v>
      </c>
      <c r="F5620" s="7">
        <v>1</v>
      </c>
      <c r="G5620" s="7">
        <v>154</v>
      </c>
      <c r="H5620" s="8">
        <v>154</v>
      </c>
      <c r="J5620" t="s">
        <v>23</v>
      </c>
      <c r="K5620" s="7">
        <v>678</v>
      </c>
      <c r="L5620" s="9">
        <v>-1</v>
      </c>
      <c r="M5620" t="s">
        <v>250</v>
      </c>
      <c r="N5620" t="s">
        <v>251</v>
      </c>
      <c r="O5620" s="27" t="str">
        <f>HYPERLINK("https://www.ncbi.nlm.nih.gov/nuccore/NZ_CP009922.2?report=graph&amp;from=3339876&amp;to=3339880", "TTA_codon")</f>
        <v>TTA_codon</v>
      </c>
    </row>
    <row r="5621" spans="1:15" x14ac:dyDescent="0.15">
      <c r="A5621" t="s">
        <v>21</v>
      </c>
      <c r="B5621">
        <v>1001228</v>
      </c>
      <c r="C5621">
        <v>359687</v>
      </c>
      <c r="F5621" s="7">
        <v>1</v>
      </c>
      <c r="G5621" s="7">
        <v>154</v>
      </c>
      <c r="H5621" s="8">
        <v>154</v>
      </c>
      <c r="J5621" t="s">
        <v>23</v>
      </c>
      <c r="K5621" s="7">
        <v>678</v>
      </c>
      <c r="L5621" s="9">
        <v>-1</v>
      </c>
      <c r="M5621" t="s">
        <v>4160</v>
      </c>
      <c r="N5621" t="s">
        <v>651</v>
      </c>
      <c r="O5621" s="27" t="str">
        <f>HYPERLINK("https://www.ncbi.nlm.nih.gov/nuccore/NZ_LN929756.1?report=graph&amp;from=57094&amp;to=57098", "TTA_codon")</f>
        <v>TTA_codon</v>
      </c>
    </row>
    <row r="5622" spans="1:15" x14ac:dyDescent="0.15">
      <c r="A5622" t="s">
        <v>21</v>
      </c>
      <c r="B5622" t="s">
        <v>4161</v>
      </c>
    </row>
    <row r="5623" spans="1:15" x14ac:dyDescent="0.15">
      <c r="A5623" t="s">
        <v>21</v>
      </c>
      <c r="B5623">
        <v>1000755</v>
      </c>
      <c r="C5623">
        <v>351502</v>
      </c>
      <c r="F5623" s="7">
        <v>1</v>
      </c>
      <c r="G5623" s="7">
        <v>748</v>
      </c>
      <c r="H5623" s="8">
        <v>700</v>
      </c>
      <c r="J5623" t="s">
        <v>23</v>
      </c>
      <c r="K5623" s="7">
        <v>990</v>
      </c>
      <c r="L5623" s="9">
        <v>-1</v>
      </c>
      <c r="M5623" t="s">
        <v>4162</v>
      </c>
      <c r="N5623" t="s">
        <v>138</v>
      </c>
      <c r="O5623" s="27" t="str">
        <f>HYPERLINK("https://www.ncbi.nlm.nih.gov/nuccore/NZ_KB889719.1?report=graph&amp;from=11048&amp;to=11052", "TTA_codon")</f>
        <v>TTA_codon</v>
      </c>
    </row>
    <row r="5624" spans="1:15" x14ac:dyDescent="0.15">
      <c r="A5624" t="s">
        <v>21</v>
      </c>
      <c r="B5624">
        <v>1000755</v>
      </c>
      <c r="C5624">
        <v>359807</v>
      </c>
      <c r="F5624" s="7">
        <v>1</v>
      </c>
      <c r="G5624" s="7">
        <v>748</v>
      </c>
      <c r="H5624" s="8">
        <v>736</v>
      </c>
      <c r="J5624" t="s">
        <v>23</v>
      </c>
      <c r="K5624" s="7">
        <v>1029</v>
      </c>
      <c r="L5624" s="9">
        <v>-1</v>
      </c>
      <c r="M5624" t="s">
        <v>2427</v>
      </c>
      <c r="N5624" t="s">
        <v>91</v>
      </c>
      <c r="O5624" s="27" t="str">
        <f>HYPERLINK("https://www.ncbi.nlm.nih.gov/nuccore/NZ_KQ948319.1?report=graph&amp;from=130296&amp;to=130300", "TTA_codon")</f>
        <v>TTA_codon</v>
      </c>
    </row>
    <row r="5625" spans="1:15" x14ac:dyDescent="0.15">
      <c r="A5625" t="s">
        <v>195</v>
      </c>
      <c r="B5625" t="s">
        <v>4163</v>
      </c>
    </row>
    <row r="5626" spans="1:15" x14ac:dyDescent="0.15">
      <c r="A5626" t="s">
        <v>195</v>
      </c>
      <c r="B5626">
        <v>1000034</v>
      </c>
      <c r="C5626">
        <v>346167</v>
      </c>
      <c r="F5626" s="7">
        <v>1</v>
      </c>
      <c r="G5626" s="7">
        <v>334</v>
      </c>
      <c r="H5626" s="8">
        <v>319</v>
      </c>
      <c r="J5626" t="s">
        <v>23</v>
      </c>
      <c r="K5626" s="7">
        <v>2601</v>
      </c>
      <c r="L5626" s="9">
        <v>-1</v>
      </c>
      <c r="M5626" t="s">
        <v>4164</v>
      </c>
      <c r="N5626" t="s">
        <v>134</v>
      </c>
      <c r="O5626" s="27" t="str">
        <f>HYPERLINK("https://www.ncbi.nlm.nih.gov/nuccore/NZ_AJSZ01000031.1?report=graph&amp;from=3054&amp;to=3058", "TTA_codon")</f>
        <v>TTA_codon</v>
      </c>
    </row>
    <row r="5627" spans="1:15" x14ac:dyDescent="0.15">
      <c r="A5627" t="s">
        <v>21</v>
      </c>
      <c r="B5627">
        <v>1000034</v>
      </c>
      <c r="C5627">
        <v>347244</v>
      </c>
      <c r="F5627" s="7">
        <v>1</v>
      </c>
      <c r="G5627" s="7">
        <v>334</v>
      </c>
      <c r="H5627" s="8">
        <v>334</v>
      </c>
      <c r="J5627" t="s">
        <v>23</v>
      </c>
      <c r="K5627" s="7">
        <v>2634</v>
      </c>
      <c r="L5627" s="9">
        <v>-1</v>
      </c>
      <c r="M5627" t="s">
        <v>53</v>
      </c>
      <c r="N5627" t="s">
        <v>54</v>
      </c>
      <c r="O5627" s="27" t="str">
        <f>HYPERLINK("https://www.ncbi.nlm.nih.gov/nuccore/NC_003155.5?report=graph&amp;from=8943572&amp;to=8943576", "TTA_codon")</f>
        <v>TTA_codon</v>
      </c>
    </row>
    <row r="5628" spans="1:15" x14ac:dyDescent="0.15">
      <c r="A5628" t="s">
        <v>21</v>
      </c>
      <c r="B5628" t="s">
        <v>4165</v>
      </c>
    </row>
    <row r="5629" spans="1:15" x14ac:dyDescent="0.15">
      <c r="A5629" t="s">
        <v>21</v>
      </c>
      <c r="B5629">
        <v>1001201</v>
      </c>
      <c r="C5629">
        <v>356943</v>
      </c>
      <c r="F5629" s="7">
        <v>1</v>
      </c>
      <c r="G5629" s="7">
        <v>169</v>
      </c>
      <c r="H5629" s="8">
        <v>124</v>
      </c>
      <c r="J5629" t="s">
        <v>23</v>
      </c>
      <c r="K5629" s="7">
        <v>669</v>
      </c>
      <c r="L5629" s="9">
        <v>1</v>
      </c>
      <c r="M5629" t="s">
        <v>78</v>
      </c>
      <c r="N5629" t="s">
        <v>79</v>
      </c>
      <c r="O5629" s="27" t="str">
        <f>HYPERLINK("https://www.ncbi.nlm.nih.gov/nuccore/NZ_CP009313.1?report=graph&amp;from=3595823&amp;to=3595827", "TTA_codon")</f>
        <v>TTA_codon</v>
      </c>
    </row>
    <row r="5630" spans="1:15" x14ac:dyDescent="0.15">
      <c r="A5630" t="s">
        <v>21</v>
      </c>
      <c r="B5630">
        <v>1001201</v>
      </c>
      <c r="C5630">
        <v>360613</v>
      </c>
      <c r="F5630" s="7">
        <v>1</v>
      </c>
      <c r="G5630" s="7">
        <v>169</v>
      </c>
      <c r="H5630" s="8">
        <v>124</v>
      </c>
      <c r="J5630" t="s">
        <v>23</v>
      </c>
      <c r="K5630" s="7">
        <v>672</v>
      </c>
      <c r="L5630" s="9">
        <v>1</v>
      </c>
      <c r="M5630" t="s">
        <v>121</v>
      </c>
      <c r="N5630" t="s">
        <v>122</v>
      </c>
      <c r="O5630" s="27" t="str">
        <f>HYPERLINK("https://www.ncbi.nlm.nih.gov/nuccore/NZ_CP016279.1?report=graph&amp;from=5436335&amp;to=5436339", "TTA_codon")</f>
        <v>TTA_codon</v>
      </c>
    </row>
    <row r="5631" spans="1:15" x14ac:dyDescent="0.15">
      <c r="A5631" t="s">
        <v>21</v>
      </c>
      <c r="B5631">
        <v>1001201</v>
      </c>
      <c r="C5631">
        <v>364408</v>
      </c>
      <c r="F5631" s="7">
        <v>1</v>
      </c>
      <c r="G5631" s="7">
        <v>169</v>
      </c>
      <c r="H5631" s="8">
        <v>169</v>
      </c>
      <c r="J5631" t="s">
        <v>23</v>
      </c>
      <c r="K5631" s="7">
        <v>708</v>
      </c>
      <c r="L5631" s="9">
        <v>1</v>
      </c>
      <c r="M5631" t="s">
        <v>105</v>
      </c>
      <c r="N5631" t="s">
        <v>106</v>
      </c>
      <c r="O5631" s="27" t="str">
        <f>HYPERLINK("https://www.ncbi.nlm.nih.gov/nuccore/NZ_CP020042.1?report=graph&amp;from=136472&amp;to=136476", "TTA_codon")</f>
        <v>TTA_codon</v>
      </c>
    </row>
    <row r="5632" spans="1:15" x14ac:dyDescent="0.15">
      <c r="A5632" t="s">
        <v>21</v>
      </c>
      <c r="B5632" t="s">
        <v>4166</v>
      </c>
    </row>
    <row r="5633" spans="1:15" x14ac:dyDescent="0.15">
      <c r="A5633" t="s">
        <v>21</v>
      </c>
      <c r="B5633">
        <v>1000482</v>
      </c>
      <c r="C5633">
        <v>349199</v>
      </c>
      <c r="F5633" s="7">
        <v>1</v>
      </c>
      <c r="G5633" s="7">
        <v>235</v>
      </c>
      <c r="H5633" s="8">
        <v>154</v>
      </c>
      <c r="J5633" t="s">
        <v>23</v>
      </c>
      <c r="K5633" s="7">
        <v>531</v>
      </c>
      <c r="L5633" s="9">
        <v>-1</v>
      </c>
      <c r="M5633" t="s">
        <v>211</v>
      </c>
      <c r="N5633" t="s">
        <v>212</v>
      </c>
      <c r="O5633" s="27" t="str">
        <f>HYPERLINK("https://www.ncbi.nlm.nih.gov/nuccore/NZ_GG657754.1?report=graph&amp;from=10742462&amp;to=10742466", "TTA_codon")</f>
        <v>TTA_codon</v>
      </c>
    </row>
    <row r="5634" spans="1:15" x14ac:dyDescent="0.15">
      <c r="A5634" t="s">
        <v>21</v>
      </c>
      <c r="B5634">
        <v>1000482</v>
      </c>
      <c r="C5634">
        <v>357319</v>
      </c>
      <c r="F5634" s="7">
        <v>2</v>
      </c>
      <c r="G5634" s="7" t="s">
        <v>4167</v>
      </c>
      <c r="H5634" s="8" t="s">
        <v>4168</v>
      </c>
      <c r="J5634" t="s">
        <v>23</v>
      </c>
      <c r="K5634" s="7">
        <v>597</v>
      </c>
      <c r="L5634" s="9">
        <v>-1</v>
      </c>
      <c r="M5634" t="s">
        <v>250</v>
      </c>
      <c r="N5634" t="s">
        <v>251</v>
      </c>
      <c r="O5634" s="27" t="str">
        <f>HYPERLINK("https://www.ncbi.nlm.nih.gov/nuccore/NZ_CP009922.2?report=graph&amp;from=215000&amp;to=215070", "TTA_codon")</f>
        <v>TTA_codon</v>
      </c>
    </row>
    <row r="5635" spans="1:15" x14ac:dyDescent="0.15">
      <c r="A5635" t="s">
        <v>195</v>
      </c>
      <c r="B5635" t="s">
        <v>4169</v>
      </c>
    </row>
    <row r="5636" spans="1:15" x14ac:dyDescent="0.15">
      <c r="A5636" t="s">
        <v>195</v>
      </c>
      <c r="B5636">
        <v>1000359</v>
      </c>
      <c r="C5636">
        <v>346287</v>
      </c>
      <c r="F5636" s="7">
        <v>1</v>
      </c>
      <c r="G5636" s="7">
        <v>541</v>
      </c>
      <c r="H5636" s="8">
        <v>361</v>
      </c>
      <c r="J5636" t="s">
        <v>23</v>
      </c>
      <c r="K5636" s="7">
        <v>1176</v>
      </c>
      <c r="L5636" s="9">
        <v>-1</v>
      </c>
      <c r="M5636" t="s">
        <v>1593</v>
      </c>
      <c r="N5636" t="s">
        <v>436</v>
      </c>
      <c r="O5636" s="27" t="str">
        <f>HYPERLINK("https://www.ncbi.nlm.nih.gov/nuccore/NZ_AUBE01000012.1?report=graph&amp;from=76666&amp;to=76670", "TTA_codon")</f>
        <v>TTA_codon</v>
      </c>
    </row>
    <row r="5637" spans="1:15" x14ac:dyDescent="0.15">
      <c r="A5637" t="s">
        <v>195</v>
      </c>
      <c r="B5637">
        <v>1000359</v>
      </c>
      <c r="C5637">
        <v>346975</v>
      </c>
      <c r="F5637" s="7">
        <v>1</v>
      </c>
      <c r="G5637" s="7">
        <v>205</v>
      </c>
      <c r="H5637" s="8">
        <v>100</v>
      </c>
      <c r="J5637" t="s">
        <v>23</v>
      </c>
      <c r="K5637" s="7">
        <v>1176</v>
      </c>
      <c r="L5637" s="9">
        <v>-1</v>
      </c>
      <c r="M5637" t="s">
        <v>101</v>
      </c>
      <c r="N5637" t="s">
        <v>102</v>
      </c>
      <c r="O5637" s="27" t="str">
        <f>HYPERLINK("https://www.ncbi.nlm.nih.gov/nuccore/NZ_CP019458.1?report=graph&amp;from=1256238&amp;to=1256242", "TTA_codon")</f>
        <v>TTA_codon</v>
      </c>
    </row>
    <row r="5638" spans="1:15" x14ac:dyDescent="0.15">
      <c r="A5638" t="s">
        <v>21</v>
      </c>
      <c r="B5638">
        <v>1000359</v>
      </c>
      <c r="C5638">
        <v>347245</v>
      </c>
      <c r="F5638" s="7">
        <v>1</v>
      </c>
      <c r="G5638" s="7">
        <v>553</v>
      </c>
      <c r="H5638" s="8">
        <v>370</v>
      </c>
      <c r="J5638" t="s">
        <v>23</v>
      </c>
      <c r="K5638" s="7">
        <v>1179</v>
      </c>
      <c r="L5638" s="9">
        <v>-1</v>
      </c>
      <c r="M5638" t="s">
        <v>53</v>
      </c>
      <c r="N5638" t="s">
        <v>54</v>
      </c>
      <c r="O5638" s="27" t="str">
        <f>HYPERLINK("https://www.ncbi.nlm.nih.gov/nuccore/NC_003155.5?report=graph&amp;from=8561232&amp;to=8561236", "TTA_codon")</f>
        <v>TTA_codon</v>
      </c>
    </row>
    <row r="5639" spans="1:15" x14ac:dyDescent="0.15">
      <c r="A5639" t="s">
        <v>21</v>
      </c>
      <c r="B5639">
        <v>1000359</v>
      </c>
      <c r="C5639">
        <v>347328</v>
      </c>
      <c r="F5639" s="7">
        <v>1</v>
      </c>
      <c r="G5639" s="7">
        <v>178</v>
      </c>
      <c r="H5639" s="8">
        <v>40</v>
      </c>
      <c r="J5639" t="s">
        <v>23</v>
      </c>
      <c r="K5639" s="7">
        <v>1185</v>
      </c>
      <c r="L5639" s="9">
        <v>-1</v>
      </c>
      <c r="M5639" t="s">
        <v>53</v>
      </c>
      <c r="N5639" t="s">
        <v>54</v>
      </c>
      <c r="O5639" s="27" t="str">
        <f>HYPERLINK("https://www.ncbi.nlm.nih.gov/nuccore/NC_003155.5?report=graph&amp;from=2902773&amp;to=2902777", "TTA_codon")</f>
        <v>TTA_codon</v>
      </c>
    </row>
    <row r="5640" spans="1:15" x14ac:dyDescent="0.15">
      <c r="A5640" t="s">
        <v>21</v>
      </c>
      <c r="B5640">
        <v>1000359</v>
      </c>
      <c r="C5640">
        <v>347644</v>
      </c>
      <c r="F5640" s="7">
        <v>1</v>
      </c>
      <c r="G5640" s="7">
        <v>1018</v>
      </c>
      <c r="H5640" s="8">
        <v>676</v>
      </c>
      <c r="J5640" t="s">
        <v>23</v>
      </c>
      <c r="K5640" s="7">
        <v>1161</v>
      </c>
      <c r="L5640" s="9">
        <v>-1</v>
      </c>
      <c r="M5640" t="s">
        <v>55</v>
      </c>
      <c r="N5640" t="s">
        <v>56</v>
      </c>
      <c r="O5640" s="27" t="str">
        <f>HYPERLINK("https://www.ncbi.nlm.nih.gov/nuccore/NC_010572.1?report=graph&amp;from=1503740&amp;to=1503744", "TTA_codon")</f>
        <v>TTA_codon</v>
      </c>
    </row>
    <row r="5641" spans="1:15" x14ac:dyDescent="0.15">
      <c r="A5641" t="s">
        <v>21</v>
      </c>
      <c r="B5641">
        <v>1000359</v>
      </c>
      <c r="C5641">
        <v>348193</v>
      </c>
      <c r="F5641" s="7">
        <v>1</v>
      </c>
      <c r="G5641" s="7">
        <v>673</v>
      </c>
      <c r="H5641" s="8">
        <v>433</v>
      </c>
      <c r="J5641" t="s">
        <v>23</v>
      </c>
      <c r="K5641" s="7">
        <v>1182</v>
      </c>
      <c r="L5641" s="9">
        <v>-1</v>
      </c>
      <c r="M5641" t="s">
        <v>59</v>
      </c>
      <c r="N5641" t="s">
        <v>60</v>
      </c>
      <c r="O5641" s="27" t="str">
        <f>HYPERLINK("https://www.ncbi.nlm.nih.gov/nuccore/NC_016582.1?report=graph&amp;from=274243&amp;to=274247", "TTA_codon")</f>
        <v>TTA_codon</v>
      </c>
    </row>
    <row r="5642" spans="1:15" x14ac:dyDescent="0.15">
      <c r="A5642" t="s">
        <v>21</v>
      </c>
      <c r="B5642">
        <v>1000359</v>
      </c>
      <c r="C5642">
        <v>348532</v>
      </c>
      <c r="F5642" s="7">
        <v>1</v>
      </c>
      <c r="G5642" s="7">
        <v>178</v>
      </c>
      <c r="H5642" s="8">
        <v>67</v>
      </c>
      <c r="J5642" t="s">
        <v>23</v>
      </c>
      <c r="K5642" s="7">
        <v>1218</v>
      </c>
      <c r="L5642" s="9">
        <v>-1</v>
      </c>
      <c r="M5642" t="s">
        <v>61</v>
      </c>
      <c r="N5642" t="s">
        <v>62</v>
      </c>
      <c r="O5642" s="27" t="str">
        <f>HYPERLINK("https://www.ncbi.nlm.nih.gov/nuccore/NZ_DS999641.1?report=graph&amp;from=7977472&amp;to=7977476", "TTA_codon")</f>
        <v>TTA_codon</v>
      </c>
    </row>
    <row r="5643" spans="1:15" x14ac:dyDescent="0.15">
      <c r="A5643" t="s">
        <v>21</v>
      </c>
      <c r="B5643">
        <v>1000359</v>
      </c>
      <c r="C5643">
        <v>348550</v>
      </c>
      <c r="F5643" s="7">
        <v>1</v>
      </c>
      <c r="G5643" s="7">
        <v>553</v>
      </c>
      <c r="H5643" s="8">
        <v>382</v>
      </c>
      <c r="J5643" t="s">
        <v>23</v>
      </c>
      <c r="K5643" s="7">
        <v>1218</v>
      </c>
      <c r="L5643" s="9">
        <v>-1</v>
      </c>
      <c r="M5643" t="s">
        <v>1036</v>
      </c>
      <c r="N5643" t="s">
        <v>62</v>
      </c>
      <c r="O5643" s="27" t="str">
        <f>HYPERLINK("https://www.ncbi.nlm.nih.gov/nuccore/NZ_DS999642.1?report=graph&amp;from=223326&amp;to=223330", "TTA_codon")</f>
        <v>TTA_codon</v>
      </c>
    </row>
    <row r="5644" spans="1:15" x14ac:dyDescent="0.15">
      <c r="A5644" t="s">
        <v>21</v>
      </c>
      <c r="B5644">
        <v>1000359</v>
      </c>
      <c r="C5644">
        <v>348833</v>
      </c>
      <c r="F5644" s="7">
        <v>1</v>
      </c>
      <c r="G5644" s="7">
        <v>640</v>
      </c>
      <c r="H5644" s="8">
        <v>472</v>
      </c>
      <c r="J5644" t="s">
        <v>23</v>
      </c>
      <c r="K5644" s="7">
        <v>1245</v>
      </c>
      <c r="L5644" s="9">
        <v>-1</v>
      </c>
      <c r="M5644" t="s">
        <v>211</v>
      </c>
      <c r="N5644" t="s">
        <v>212</v>
      </c>
      <c r="O5644" s="27" t="str">
        <f>HYPERLINK("https://www.ncbi.nlm.nih.gov/nuccore/NZ_GG657754.1?report=graph&amp;from=2520788&amp;to=2520792", "TTA_codon")</f>
        <v>TTA_codon</v>
      </c>
    </row>
    <row r="5645" spans="1:15" x14ac:dyDescent="0.15">
      <c r="A5645" t="s">
        <v>21</v>
      </c>
      <c r="B5645">
        <v>1000359</v>
      </c>
      <c r="C5645">
        <v>348911</v>
      </c>
      <c r="F5645" s="7">
        <v>1</v>
      </c>
      <c r="G5645" s="7">
        <v>436</v>
      </c>
      <c r="H5645" s="8">
        <v>268</v>
      </c>
      <c r="J5645" t="s">
        <v>23</v>
      </c>
      <c r="K5645" s="7">
        <v>1212</v>
      </c>
      <c r="L5645" s="9">
        <v>-1</v>
      </c>
      <c r="M5645" t="s">
        <v>211</v>
      </c>
      <c r="N5645" t="s">
        <v>212</v>
      </c>
      <c r="O5645" s="27" t="str">
        <f>HYPERLINK("https://www.ncbi.nlm.nih.gov/nuccore/NZ_GG657754.1?report=graph&amp;from=4466736&amp;to=4466740", "TTA_codon")</f>
        <v>TTA_codon</v>
      </c>
    </row>
    <row r="5646" spans="1:15" x14ac:dyDescent="0.15">
      <c r="A5646" t="s">
        <v>21</v>
      </c>
      <c r="B5646">
        <v>1000359</v>
      </c>
      <c r="C5646">
        <v>348912</v>
      </c>
      <c r="F5646" s="7">
        <v>1</v>
      </c>
      <c r="G5646" s="7">
        <v>178</v>
      </c>
      <c r="H5646" s="8">
        <v>106</v>
      </c>
      <c r="J5646" t="s">
        <v>23</v>
      </c>
      <c r="K5646" s="7">
        <v>1248</v>
      </c>
      <c r="L5646" s="9">
        <v>-1</v>
      </c>
      <c r="M5646" t="s">
        <v>211</v>
      </c>
      <c r="N5646" t="s">
        <v>212</v>
      </c>
      <c r="O5646" s="27" t="str">
        <f>HYPERLINK("https://www.ncbi.nlm.nih.gov/nuccore/NZ_GG657754.1?report=graph&amp;from=7206018&amp;to=7206022", "TTA_codon")</f>
        <v>TTA_codon</v>
      </c>
    </row>
    <row r="5647" spans="1:15" x14ac:dyDescent="0.15">
      <c r="A5647" t="s">
        <v>21</v>
      </c>
      <c r="B5647">
        <v>1000359</v>
      </c>
      <c r="C5647">
        <v>350038</v>
      </c>
      <c r="F5647" s="7">
        <v>1</v>
      </c>
      <c r="G5647" s="7">
        <v>178</v>
      </c>
      <c r="H5647" s="8">
        <v>67</v>
      </c>
      <c r="J5647" t="s">
        <v>23</v>
      </c>
      <c r="K5647" s="7">
        <v>1200</v>
      </c>
      <c r="L5647" s="9">
        <v>-1</v>
      </c>
      <c r="M5647" t="s">
        <v>1309</v>
      </c>
      <c r="N5647" t="s">
        <v>249</v>
      </c>
      <c r="O5647" s="27" t="str">
        <f>HYPERLINK("https://www.ncbi.nlm.nih.gov/nuccore/NZ_AHBF01000079.1?report=graph&amp;from=58540&amp;to=58544", "TTA_codon")</f>
        <v>TTA_codon</v>
      </c>
    </row>
    <row r="5648" spans="1:15" x14ac:dyDescent="0.15">
      <c r="A5648" t="s">
        <v>21</v>
      </c>
      <c r="B5648">
        <v>1000359</v>
      </c>
      <c r="C5648">
        <v>350250</v>
      </c>
      <c r="F5648" s="7">
        <v>1</v>
      </c>
      <c r="G5648" s="7">
        <v>541</v>
      </c>
      <c r="H5648" s="8">
        <v>355</v>
      </c>
      <c r="J5648" t="s">
        <v>23</v>
      </c>
      <c r="K5648" s="7">
        <v>1176</v>
      </c>
      <c r="L5648" s="9">
        <v>-1</v>
      </c>
      <c r="M5648" t="s">
        <v>1457</v>
      </c>
      <c r="N5648" t="s">
        <v>36</v>
      </c>
      <c r="O5648" s="27" t="str">
        <f>HYPERLINK("https://www.ncbi.nlm.nih.gov/nuccore/NZ_JH725388.1?report=graph&amp;from=180440&amp;to=180444", "TTA_codon")</f>
        <v>TTA_codon</v>
      </c>
    </row>
    <row r="5649" spans="1:15" x14ac:dyDescent="0.15">
      <c r="A5649" t="s">
        <v>21</v>
      </c>
      <c r="B5649">
        <v>1000359</v>
      </c>
      <c r="C5649">
        <v>350316</v>
      </c>
      <c r="F5649" s="7">
        <v>1</v>
      </c>
      <c r="G5649" s="7">
        <v>553</v>
      </c>
      <c r="H5649" s="8">
        <v>382</v>
      </c>
      <c r="J5649" t="s">
        <v>23</v>
      </c>
      <c r="K5649" s="7">
        <v>1221</v>
      </c>
      <c r="L5649" s="9">
        <v>-1</v>
      </c>
      <c r="M5649" t="s">
        <v>35</v>
      </c>
      <c r="N5649" t="s">
        <v>36</v>
      </c>
      <c r="O5649" s="27" t="str">
        <f>HYPERLINK("https://www.ncbi.nlm.nih.gov/nuccore/NZ_JH725387.1?report=graph&amp;from=4728303&amp;to=4728307", "TTA_codon")</f>
        <v>TTA_codon</v>
      </c>
    </row>
    <row r="5650" spans="1:15" x14ac:dyDescent="0.15">
      <c r="A5650" t="s">
        <v>21</v>
      </c>
      <c r="B5650">
        <v>1000359</v>
      </c>
      <c r="C5650">
        <v>350555</v>
      </c>
      <c r="F5650" s="7">
        <v>1</v>
      </c>
      <c r="G5650" s="7">
        <v>178</v>
      </c>
      <c r="H5650" s="8">
        <v>73</v>
      </c>
      <c r="J5650" t="s">
        <v>23</v>
      </c>
      <c r="K5650" s="7">
        <v>1245</v>
      </c>
      <c r="L5650" s="9">
        <v>-1</v>
      </c>
      <c r="M5650" t="s">
        <v>4170</v>
      </c>
      <c r="N5650" t="s">
        <v>134</v>
      </c>
      <c r="O5650" s="27" t="str">
        <f>HYPERLINK("https://www.ncbi.nlm.nih.gov/nuccore/NZ_AJSZ01000012.1?report=graph&amp;from=1258&amp;to=1262", "TTA_codon")</f>
        <v>TTA_codon</v>
      </c>
    </row>
    <row r="5651" spans="1:15" x14ac:dyDescent="0.15">
      <c r="A5651" t="s">
        <v>21</v>
      </c>
      <c r="B5651">
        <v>1000359</v>
      </c>
      <c r="C5651">
        <v>351018</v>
      </c>
      <c r="F5651" s="7">
        <v>1</v>
      </c>
      <c r="G5651" s="7">
        <v>811</v>
      </c>
      <c r="H5651" s="8">
        <v>616</v>
      </c>
      <c r="J5651" t="s">
        <v>23</v>
      </c>
      <c r="K5651" s="7">
        <v>1227</v>
      </c>
      <c r="L5651" s="9">
        <v>-1</v>
      </c>
      <c r="M5651" t="s">
        <v>4171</v>
      </c>
      <c r="N5651" t="s">
        <v>136</v>
      </c>
      <c r="O5651" s="27" t="str">
        <f>HYPERLINK("https://www.ncbi.nlm.nih.gov/nuccore/NZ_AORZ01000067.1?report=graph&amp;from=4232&amp;to=4236", "TTA_codon")</f>
        <v>TTA_codon</v>
      </c>
    </row>
    <row r="5652" spans="1:15" x14ac:dyDescent="0.15">
      <c r="A5652" t="s">
        <v>21</v>
      </c>
      <c r="B5652">
        <v>1000359</v>
      </c>
      <c r="C5652">
        <v>351755</v>
      </c>
      <c r="F5652" s="7">
        <v>1</v>
      </c>
      <c r="G5652" s="7">
        <v>640</v>
      </c>
      <c r="H5652" s="8">
        <v>475</v>
      </c>
      <c r="J5652" t="s">
        <v>23</v>
      </c>
      <c r="K5652" s="7">
        <v>1233</v>
      </c>
      <c r="L5652" s="9">
        <v>-1</v>
      </c>
      <c r="M5652" t="s">
        <v>4172</v>
      </c>
      <c r="N5652" t="s">
        <v>68</v>
      </c>
      <c r="O5652" s="27" t="str">
        <f>HYPERLINK("https://www.ncbi.nlm.nih.gov/nuccore/NZ_BARG01000024.1?report=graph&amp;from=208642&amp;to=208646", "TTA_codon")</f>
        <v>TTA_codon</v>
      </c>
    </row>
    <row r="5653" spans="1:15" x14ac:dyDescent="0.15">
      <c r="A5653" t="s">
        <v>21</v>
      </c>
      <c r="B5653">
        <v>1000359</v>
      </c>
      <c r="C5653">
        <v>352140</v>
      </c>
      <c r="F5653" s="7">
        <v>1</v>
      </c>
      <c r="G5653" s="7">
        <v>226</v>
      </c>
      <c r="H5653" s="8">
        <v>121</v>
      </c>
      <c r="J5653" t="s">
        <v>23</v>
      </c>
      <c r="K5653" s="7">
        <v>1218</v>
      </c>
      <c r="L5653" s="9">
        <v>-1</v>
      </c>
      <c r="M5653" t="s">
        <v>2991</v>
      </c>
      <c r="N5653" t="s">
        <v>70</v>
      </c>
      <c r="O5653" s="27" t="str">
        <f>HYPERLINK("https://www.ncbi.nlm.nih.gov/nuccore/NZ_KB904677.1?report=graph&amp;from=12603&amp;to=12607", "TTA_codon")</f>
        <v>TTA_codon</v>
      </c>
    </row>
    <row r="5654" spans="1:15" x14ac:dyDescent="0.15">
      <c r="A5654" t="s">
        <v>21</v>
      </c>
      <c r="B5654">
        <v>1000359</v>
      </c>
      <c r="C5654">
        <v>352285</v>
      </c>
      <c r="F5654" s="7">
        <v>1</v>
      </c>
      <c r="G5654" s="7">
        <v>1219</v>
      </c>
      <c r="H5654" s="8">
        <v>910</v>
      </c>
      <c r="J5654" t="s">
        <v>23</v>
      </c>
      <c r="K5654" s="7">
        <v>1266</v>
      </c>
      <c r="L5654" s="9">
        <v>-1</v>
      </c>
      <c r="M5654" t="s">
        <v>527</v>
      </c>
      <c r="N5654" t="s">
        <v>72</v>
      </c>
      <c r="O5654" s="27" t="str">
        <f>HYPERLINK("https://www.ncbi.nlm.nih.gov/nuccore/NZ_KB905813.1?report=graph&amp;from=914778&amp;to=914782", "TTA_codon")</f>
        <v>TTA_codon</v>
      </c>
    </row>
    <row r="5655" spans="1:15" x14ac:dyDescent="0.15">
      <c r="A5655" t="s">
        <v>21</v>
      </c>
      <c r="B5655">
        <v>1000359</v>
      </c>
      <c r="C5655">
        <v>352393</v>
      </c>
      <c r="F5655" s="7">
        <v>2</v>
      </c>
      <c r="G5655" s="7" t="s">
        <v>4173</v>
      </c>
      <c r="H5655" s="8" t="s">
        <v>4174</v>
      </c>
      <c r="J5655" t="s">
        <v>23</v>
      </c>
      <c r="K5655" s="7">
        <v>1191</v>
      </c>
      <c r="L5655" s="9">
        <v>-1</v>
      </c>
      <c r="M5655" t="s">
        <v>30</v>
      </c>
      <c r="N5655" t="s">
        <v>31</v>
      </c>
      <c r="O5655" s="27" t="str">
        <f>HYPERLINK("https://www.ncbi.nlm.nih.gov/nuccore/NZ_KB913030.1?report=graph&amp;from=7137626&amp;to=7137999", "TTA_codon")</f>
        <v>TTA_codon</v>
      </c>
    </row>
    <row r="5656" spans="1:15" x14ac:dyDescent="0.15">
      <c r="A5656" t="s">
        <v>21</v>
      </c>
      <c r="B5656">
        <v>1000359</v>
      </c>
      <c r="C5656">
        <v>352945</v>
      </c>
      <c r="F5656" s="7">
        <v>1</v>
      </c>
      <c r="G5656" s="7">
        <v>178</v>
      </c>
      <c r="H5656" s="8">
        <v>157</v>
      </c>
      <c r="J5656" t="s">
        <v>23</v>
      </c>
      <c r="K5656" s="7">
        <v>1395</v>
      </c>
      <c r="L5656" s="9">
        <v>-1</v>
      </c>
      <c r="M5656" t="s">
        <v>4175</v>
      </c>
      <c r="N5656" t="s">
        <v>306</v>
      </c>
      <c r="O5656" s="27" t="str">
        <f>HYPERLINK("https://www.ncbi.nlm.nih.gov/nuccore/NZ_KL571130.1?report=graph&amp;from=38020&amp;to=38024", "TTA_codon")</f>
        <v>TTA_codon</v>
      </c>
    </row>
    <row r="5657" spans="1:15" x14ac:dyDescent="0.15">
      <c r="A5657" t="s">
        <v>21</v>
      </c>
      <c r="B5657">
        <v>1000359</v>
      </c>
      <c r="C5657">
        <v>353173</v>
      </c>
      <c r="F5657" s="7">
        <v>1</v>
      </c>
      <c r="G5657" s="7">
        <v>667</v>
      </c>
      <c r="H5657" s="8">
        <v>460</v>
      </c>
      <c r="J5657" t="s">
        <v>23</v>
      </c>
      <c r="K5657" s="7">
        <v>1188</v>
      </c>
      <c r="L5657" s="9">
        <v>-1</v>
      </c>
      <c r="M5657" t="s">
        <v>3355</v>
      </c>
      <c r="N5657" t="s">
        <v>169</v>
      </c>
      <c r="O5657" s="27" t="str">
        <f>HYPERLINK("https://www.ncbi.nlm.nih.gov/nuccore/NZ_JNWJ01000006.1?report=graph&amp;from=204308&amp;to=204312", "TTA_codon")</f>
        <v>TTA_codon</v>
      </c>
    </row>
    <row r="5658" spans="1:15" x14ac:dyDescent="0.15">
      <c r="A5658" t="s">
        <v>21</v>
      </c>
      <c r="B5658">
        <v>1000359</v>
      </c>
      <c r="C5658">
        <v>353586</v>
      </c>
      <c r="F5658" s="7">
        <v>1</v>
      </c>
      <c r="G5658" s="7">
        <v>178</v>
      </c>
      <c r="H5658" s="8">
        <v>70</v>
      </c>
      <c r="J5658" t="s">
        <v>23</v>
      </c>
      <c r="K5658" s="7">
        <v>1218</v>
      </c>
      <c r="L5658" s="9">
        <v>-1</v>
      </c>
      <c r="M5658" t="s">
        <v>546</v>
      </c>
      <c r="N5658" t="s">
        <v>140</v>
      </c>
      <c r="O5658" s="27" t="str">
        <f>HYPERLINK("https://www.ncbi.nlm.nih.gov/nuccore/NZ_JNXG01000003.1?report=graph&amp;from=305222&amp;to=305226", "TTA_codon")</f>
        <v>TTA_codon</v>
      </c>
    </row>
    <row r="5659" spans="1:15" x14ac:dyDescent="0.15">
      <c r="A5659" t="s">
        <v>21</v>
      </c>
      <c r="B5659">
        <v>1000359</v>
      </c>
      <c r="C5659">
        <v>354813</v>
      </c>
      <c r="F5659" s="7">
        <v>1</v>
      </c>
      <c r="G5659" s="7">
        <v>286</v>
      </c>
      <c r="H5659" s="8">
        <v>172</v>
      </c>
      <c r="J5659" t="s">
        <v>23</v>
      </c>
      <c r="K5659" s="7">
        <v>1185</v>
      </c>
      <c r="L5659" s="9">
        <v>-1</v>
      </c>
      <c r="M5659" t="s">
        <v>2986</v>
      </c>
      <c r="N5659" t="s">
        <v>25</v>
      </c>
      <c r="O5659" s="27" t="str">
        <f>HYPERLINK("https://www.ncbi.nlm.nih.gov/nuccore/NZ_JOFU01000032.1?report=graph&amp;from=83554&amp;to=83558", "TTA_codon")</f>
        <v>TTA_codon</v>
      </c>
    </row>
    <row r="5660" spans="1:15" x14ac:dyDescent="0.15">
      <c r="A5660" t="s">
        <v>21</v>
      </c>
      <c r="B5660">
        <v>1000359</v>
      </c>
      <c r="C5660">
        <v>355057</v>
      </c>
      <c r="F5660" s="7">
        <v>1</v>
      </c>
      <c r="G5660" s="7">
        <v>178</v>
      </c>
      <c r="H5660" s="8">
        <v>100</v>
      </c>
      <c r="J5660" t="s">
        <v>23</v>
      </c>
      <c r="K5660" s="7">
        <v>1209</v>
      </c>
      <c r="L5660" s="9">
        <v>-1</v>
      </c>
      <c r="M5660" t="s">
        <v>2654</v>
      </c>
      <c r="N5660" t="s">
        <v>433</v>
      </c>
      <c r="O5660" s="27" t="str">
        <f>HYPERLINK("https://www.ncbi.nlm.nih.gov/nuccore/NZ_JOBF01000001.1?report=graph&amp;from=23229&amp;to=23233", "TTA_codon")</f>
        <v>TTA_codon</v>
      </c>
    </row>
    <row r="5661" spans="1:15" x14ac:dyDescent="0.15">
      <c r="A5661" t="s">
        <v>21</v>
      </c>
      <c r="B5661">
        <v>1000359</v>
      </c>
      <c r="C5661">
        <v>355600</v>
      </c>
      <c r="F5661" s="7">
        <v>1</v>
      </c>
      <c r="G5661" s="7">
        <v>163</v>
      </c>
      <c r="H5661" s="8">
        <v>49</v>
      </c>
      <c r="J5661" t="s">
        <v>23</v>
      </c>
      <c r="K5661" s="7">
        <v>1155</v>
      </c>
      <c r="L5661" s="9">
        <v>-1</v>
      </c>
      <c r="M5661" t="s">
        <v>1232</v>
      </c>
      <c r="N5661" t="s">
        <v>278</v>
      </c>
      <c r="O5661" s="27" t="str">
        <f>HYPERLINK("https://www.ncbi.nlm.nih.gov/nuccore/NZ_JOID01000004.1?report=graph&amp;from=136137&amp;to=136141", "TTA_codon")</f>
        <v>TTA_codon</v>
      </c>
    </row>
    <row r="5662" spans="1:15" x14ac:dyDescent="0.15">
      <c r="A5662" t="s">
        <v>21</v>
      </c>
      <c r="B5662">
        <v>1000359</v>
      </c>
      <c r="C5662">
        <v>356997</v>
      </c>
      <c r="F5662" s="7">
        <v>1</v>
      </c>
      <c r="G5662" s="7">
        <v>565</v>
      </c>
      <c r="H5662" s="8">
        <v>379</v>
      </c>
      <c r="J5662" t="s">
        <v>23</v>
      </c>
      <c r="K5662" s="7">
        <v>1176</v>
      </c>
      <c r="L5662" s="9">
        <v>-1</v>
      </c>
      <c r="M5662" t="s">
        <v>162</v>
      </c>
      <c r="N5662" t="s">
        <v>163</v>
      </c>
      <c r="O5662" s="27" t="str">
        <f>HYPERLINK("https://www.ncbi.nlm.nih.gov/nuccore/NZ_CP010519.1?report=graph&amp;from=4881000&amp;to=4881004", "TTA_codon")</f>
        <v>TTA_codon</v>
      </c>
    </row>
    <row r="5663" spans="1:15" x14ac:dyDescent="0.15">
      <c r="A5663" t="s">
        <v>21</v>
      </c>
      <c r="B5663">
        <v>1000359</v>
      </c>
      <c r="C5663">
        <v>357378</v>
      </c>
      <c r="F5663" s="7">
        <v>2</v>
      </c>
      <c r="G5663" s="7" t="s">
        <v>4176</v>
      </c>
      <c r="H5663" s="8" t="s">
        <v>4177</v>
      </c>
      <c r="J5663" t="s">
        <v>23</v>
      </c>
      <c r="K5663" s="7">
        <v>1224</v>
      </c>
      <c r="L5663" s="9">
        <v>-1</v>
      </c>
      <c r="M5663" t="s">
        <v>80</v>
      </c>
      <c r="N5663" t="s">
        <v>81</v>
      </c>
      <c r="O5663" s="27" t="str">
        <f>HYPERLINK("https://www.ncbi.nlm.nih.gov/nuccore/NZ_LN831790.1?report=graph&amp;from=2958310&amp;to=2959421", "TTA_codon")</f>
        <v>TTA_codon</v>
      </c>
    </row>
    <row r="5664" spans="1:15" x14ac:dyDescent="0.15">
      <c r="A5664" t="s">
        <v>21</v>
      </c>
      <c r="B5664">
        <v>1000359</v>
      </c>
      <c r="C5664">
        <v>357441</v>
      </c>
      <c r="F5664" s="7">
        <v>1</v>
      </c>
      <c r="G5664" s="7">
        <v>469</v>
      </c>
      <c r="H5664" s="8">
        <v>301</v>
      </c>
      <c r="J5664" t="s">
        <v>23</v>
      </c>
      <c r="K5664" s="7">
        <v>1230</v>
      </c>
      <c r="L5664" s="9">
        <v>-1</v>
      </c>
      <c r="M5664" t="s">
        <v>80</v>
      </c>
      <c r="N5664" t="s">
        <v>81</v>
      </c>
      <c r="O5664" s="27" t="str">
        <f>HYPERLINK("https://www.ncbi.nlm.nih.gov/nuccore/NZ_LN831790.1?report=graph&amp;from=382818&amp;to=382822", "TTA_codon")</f>
        <v>TTA_codon</v>
      </c>
    </row>
    <row r="5665" spans="1:15" x14ac:dyDescent="0.15">
      <c r="A5665" t="s">
        <v>21</v>
      </c>
      <c r="B5665">
        <v>1000359</v>
      </c>
      <c r="C5665">
        <v>357724</v>
      </c>
      <c r="F5665" s="7">
        <v>1</v>
      </c>
      <c r="G5665" s="7">
        <v>673</v>
      </c>
      <c r="H5665" s="8">
        <v>496</v>
      </c>
      <c r="J5665" t="s">
        <v>23</v>
      </c>
      <c r="K5665" s="7">
        <v>1242</v>
      </c>
      <c r="L5665" s="9">
        <v>-1</v>
      </c>
      <c r="M5665" t="s">
        <v>4178</v>
      </c>
      <c r="N5665" t="s">
        <v>83</v>
      </c>
      <c r="O5665" s="27" t="str">
        <f>HYPERLINK("https://www.ncbi.nlm.nih.gov/nuccore/NZ_DF968268.1?report=graph&amp;from=56253&amp;to=56257", "TTA_codon")</f>
        <v>TTA_codon</v>
      </c>
    </row>
    <row r="5666" spans="1:15" x14ac:dyDescent="0.15">
      <c r="A5666" t="s">
        <v>21</v>
      </c>
      <c r="B5666">
        <v>1000359</v>
      </c>
      <c r="C5666">
        <v>360720</v>
      </c>
      <c r="F5666" s="7">
        <v>1</v>
      </c>
      <c r="G5666" s="7">
        <v>1114</v>
      </c>
      <c r="H5666" s="8">
        <v>841</v>
      </c>
      <c r="J5666" t="s">
        <v>23</v>
      </c>
      <c r="K5666" s="7">
        <v>1233</v>
      </c>
      <c r="L5666" s="9">
        <v>-1</v>
      </c>
      <c r="M5666" t="s">
        <v>1409</v>
      </c>
      <c r="N5666" t="s">
        <v>95</v>
      </c>
      <c r="O5666" s="27" t="str">
        <f>HYPERLINK("https://www.ncbi.nlm.nih.gov/nuccore/NZ_JYIJ01000012.1?report=graph&amp;from=18340&amp;to=18344", "TTA_codon")</f>
        <v>TTA_codon</v>
      </c>
    </row>
    <row r="5667" spans="1:15" x14ac:dyDescent="0.15">
      <c r="A5667" t="s">
        <v>21</v>
      </c>
      <c r="B5667">
        <v>1000359</v>
      </c>
      <c r="C5667">
        <v>361344</v>
      </c>
      <c r="F5667" s="7">
        <v>1</v>
      </c>
      <c r="G5667" s="7">
        <v>1219</v>
      </c>
      <c r="H5667" s="8">
        <v>841</v>
      </c>
      <c r="J5667" t="s">
        <v>23</v>
      </c>
      <c r="K5667" s="7">
        <v>1209</v>
      </c>
      <c r="L5667" s="9">
        <v>-1</v>
      </c>
      <c r="M5667" t="s">
        <v>286</v>
      </c>
      <c r="N5667" t="s">
        <v>201</v>
      </c>
      <c r="O5667" s="27" t="str">
        <f>HYPERLINK("https://www.ncbi.nlm.nih.gov/nuccore/NZ_CP016560.1?report=graph&amp;from=239288&amp;to=239292", "TTA_codon")</f>
        <v>TTA_codon</v>
      </c>
    </row>
    <row r="5668" spans="1:15" x14ac:dyDescent="0.15">
      <c r="A5668" t="s">
        <v>21</v>
      </c>
      <c r="B5668">
        <v>1000359</v>
      </c>
      <c r="C5668">
        <v>361376</v>
      </c>
      <c r="F5668" s="7">
        <v>1</v>
      </c>
      <c r="G5668" s="7">
        <v>1549</v>
      </c>
      <c r="H5668" s="8">
        <v>1078</v>
      </c>
      <c r="J5668" t="s">
        <v>23</v>
      </c>
      <c r="K5668" s="7">
        <v>1158</v>
      </c>
      <c r="L5668" s="9">
        <v>-1</v>
      </c>
      <c r="M5668" t="s">
        <v>200</v>
      </c>
      <c r="N5668" t="s">
        <v>201</v>
      </c>
      <c r="O5668" s="27" t="str">
        <f>HYPERLINK("https://www.ncbi.nlm.nih.gov/nuccore/NZ_CP016559.1?report=graph&amp;from=995805&amp;to=995809", "TTA_codon")</f>
        <v>TTA_codon</v>
      </c>
    </row>
    <row r="5669" spans="1:15" x14ac:dyDescent="0.15">
      <c r="A5669" t="s">
        <v>21</v>
      </c>
      <c r="B5669">
        <v>1000359</v>
      </c>
      <c r="C5669">
        <v>361558</v>
      </c>
      <c r="F5669" s="7">
        <v>1</v>
      </c>
      <c r="G5669" s="7">
        <v>1219</v>
      </c>
      <c r="H5669" s="8">
        <v>826</v>
      </c>
      <c r="J5669" t="s">
        <v>23</v>
      </c>
      <c r="K5669" s="7">
        <v>1176</v>
      </c>
      <c r="L5669" s="9">
        <v>-1</v>
      </c>
      <c r="M5669" t="s">
        <v>37</v>
      </c>
      <c r="N5669" t="s">
        <v>38</v>
      </c>
      <c r="O5669" s="27" t="str">
        <f>HYPERLINK("https://www.ncbi.nlm.nih.gov/nuccore/NZ_CP011533.1?report=graph&amp;from=7986467&amp;to=7986471", "TTA_codon")</f>
        <v>TTA_codon</v>
      </c>
    </row>
    <row r="5670" spans="1:15" x14ac:dyDescent="0.15">
      <c r="A5670" t="s">
        <v>21</v>
      </c>
      <c r="B5670">
        <v>1000359</v>
      </c>
      <c r="C5670">
        <v>361559</v>
      </c>
      <c r="F5670" s="7">
        <v>3</v>
      </c>
      <c r="G5670" s="7" t="s">
        <v>4179</v>
      </c>
      <c r="H5670" s="8" t="s">
        <v>4180</v>
      </c>
      <c r="J5670" t="s">
        <v>23</v>
      </c>
      <c r="K5670" s="7">
        <v>1206</v>
      </c>
      <c r="L5670" s="9">
        <v>-1</v>
      </c>
      <c r="M5670" t="s">
        <v>37</v>
      </c>
      <c r="N5670" t="s">
        <v>38</v>
      </c>
      <c r="O5670" s="27" t="str">
        <f>HYPERLINK("https://www.ncbi.nlm.nih.gov/nuccore/NZ_CP011533.1?report=graph&amp;from=6515097&amp;to=6515596", "TTA_codon")</f>
        <v>TTA_codon</v>
      </c>
    </row>
    <row r="5671" spans="1:15" x14ac:dyDescent="0.15">
      <c r="A5671" t="s">
        <v>21</v>
      </c>
      <c r="B5671">
        <v>1000359</v>
      </c>
      <c r="C5671">
        <v>361675</v>
      </c>
      <c r="F5671" s="7">
        <v>2</v>
      </c>
      <c r="G5671" s="7" t="s">
        <v>4181</v>
      </c>
      <c r="H5671" s="8" t="s">
        <v>4182</v>
      </c>
      <c r="J5671" t="s">
        <v>23</v>
      </c>
      <c r="K5671" s="7">
        <v>1257</v>
      </c>
      <c r="L5671" s="9">
        <v>-1</v>
      </c>
      <c r="M5671" t="s">
        <v>37</v>
      </c>
      <c r="N5671" t="s">
        <v>38</v>
      </c>
      <c r="O5671" s="27" t="str">
        <f>HYPERLINK("https://www.ncbi.nlm.nih.gov/nuccore/NZ_CP011533.1?report=graph&amp;from=2233340&amp;to=2233545", "TTA_codon")</f>
        <v>TTA_codon</v>
      </c>
    </row>
    <row r="5672" spans="1:15" x14ac:dyDescent="0.15">
      <c r="A5672" t="s">
        <v>21</v>
      </c>
      <c r="B5672">
        <v>1000359</v>
      </c>
      <c r="C5672">
        <v>361910</v>
      </c>
      <c r="F5672" s="7">
        <v>1</v>
      </c>
      <c r="G5672" s="7">
        <v>172</v>
      </c>
      <c r="H5672" s="8">
        <v>88</v>
      </c>
      <c r="J5672" t="s">
        <v>23</v>
      </c>
      <c r="K5672" s="7">
        <v>1203</v>
      </c>
      <c r="L5672" s="9">
        <v>-1</v>
      </c>
      <c r="M5672" t="s">
        <v>4183</v>
      </c>
      <c r="N5672" t="s">
        <v>187</v>
      </c>
      <c r="O5672" s="27" t="str">
        <f>HYPERLINK("https://www.ncbi.nlm.nih.gov/nuccore/NZ_MAXF01000201.1?report=graph&amp;from=8582&amp;to=8586", "TTA_codon")</f>
        <v>TTA_codon</v>
      </c>
    </row>
    <row r="5673" spans="1:15" x14ac:dyDescent="0.15">
      <c r="A5673" t="s">
        <v>21</v>
      </c>
      <c r="B5673">
        <v>1000359</v>
      </c>
      <c r="C5673">
        <v>362821</v>
      </c>
      <c r="F5673" s="7">
        <v>1</v>
      </c>
      <c r="G5673" s="7">
        <v>577</v>
      </c>
      <c r="H5673" s="8">
        <v>379</v>
      </c>
      <c r="J5673" t="s">
        <v>23</v>
      </c>
      <c r="K5673" s="7">
        <v>1287</v>
      </c>
      <c r="L5673" s="9">
        <v>-1</v>
      </c>
      <c r="M5673" t="s">
        <v>4184</v>
      </c>
      <c r="N5673" t="s">
        <v>156</v>
      </c>
      <c r="O5673" s="27" t="str">
        <f>HYPERLINK("https://www.ncbi.nlm.nih.gov/nuccore/NZ_LJGW01000717.1?report=graph&amp;from=8389&amp;to=8393", "TTA_codon")</f>
        <v>TTA_codon</v>
      </c>
    </row>
    <row r="5674" spans="1:15" x14ac:dyDescent="0.15">
      <c r="A5674" t="s">
        <v>21</v>
      </c>
      <c r="B5674">
        <v>1000359</v>
      </c>
      <c r="C5674">
        <v>363080</v>
      </c>
      <c r="F5674" s="7">
        <v>1</v>
      </c>
      <c r="G5674" s="7">
        <v>208</v>
      </c>
      <c r="H5674" s="8">
        <v>103</v>
      </c>
      <c r="J5674" t="s">
        <v>23</v>
      </c>
      <c r="K5674" s="7">
        <v>1176</v>
      </c>
      <c r="L5674" s="9">
        <v>-1</v>
      </c>
      <c r="M5674" t="s">
        <v>635</v>
      </c>
      <c r="N5674" t="s">
        <v>401</v>
      </c>
      <c r="O5674" s="27" t="str">
        <f>HYPERLINK("https://www.ncbi.nlm.nih.gov/nuccore/NZ_LFBV01000002.1?report=graph&amp;from=618334&amp;to=618338", "TTA_codon")</f>
        <v>TTA_codon</v>
      </c>
    </row>
    <row r="5675" spans="1:15" x14ac:dyDescent="0.15">
      <c r="A5675" t="s">
        <v>21</v>
      </c>
      <c r="B5675">
        <v>1000359</v>
      </c>
      <c r="C5675">
        <v>363441</v>
      </c>
      <c r="F5675" s="7">
        <v>1</v>
      </c>
      <c r="G5675" s="7">
        <v>1591</v>
      </c>
      <c r="H5675" s="8">
        <v>1183</v>
      </c>
      <c r="J5675" t="s">
        <v>23</v>
      </c>
      <c r="K5675" s="7">
        <v>1224</v>
      </c>
      <c r="L5675" s="9">
        <v>-1</v>
      </c>
      <c r="M5675" t="s">
        <v>157</v>
      </c>
      <c r="N5675" t="s">
        <v>158</v>
      </c>
      <c r="O5675" s="27" t="str">
        <f>HYPERLINK("https://www.ncbi.nlm.nih.gov/nuccore/NZ_CP015588.1?report=graph&amp;from=150049&amp;to=150053", "TTA_codon")</f>
        <v>TTA_codon</v>
      </c>
    </row>
    <row r="5676" spans="1:15" x14ac:dyDescent="0.15">
      <c r="A5676" t="s">
        <v>21</v>
      </c>
      <c r="B5676">
        <v>1000359</v>
      </c>
      <c r="C5676">
        <v>363941</v>
      </c>
      <c r="F5676" s="7">
        <v>1</v>
      </c>
      <c r="G5676" s="7">
        <v>178</v>
      </c>
      <c r="H5676" s="8">
        <v>112</v>
      </c>
      <c r="J5676" t="s">
        <v>23</v>
      </c>
      <c r="K5676" s="7">
        <v>1269</v>
      </c>
      <c r="L5676" s="9">
        <v>-1</v>
      </c>
      <c r="M5676" t="s">
        <v>1674</v>
      </c>
      <c r="N5676" t="s">
        <v>104</v>
      </c>
      <c r="O5676" s="27" t="str">
        <f>HYPERLINK("https://www.ncbi.nlm.nih.gov/nuccore/NZ_MVFC01000045.1?report=graph&amp;from=5179&amp;to=5183", "TTA_codon")</f>
        <v>TTA_codon</v>
      </c>
    </row>
    <row r="5677" spans="1:15" x14ac:dyDescent="0.15">
      <c r="A5677" t="s">
        <v>21</v>
      </c>
      <c r="B5677">
        <v>1000359</v>
      </c>
      <c r="C5677">
        <v>364288</v>
      </c>
      <c r="F5677" s="7">
        <v>1</v>
      </c>
      <c r="G5677" s="7">
        <v>208</v>
      </c>
      <c r="H5677" s="8">
        <v>103</v>
      </c>
      <c r="J5677" t="s">
        <v>23</v>
      </c>
      <c r="K5677" s="7">
        <v>1179</v>
      </c>
      <c r="L5677" s="9">
        <v>-1</v>
      </c>
      <c r="M5677" t="s">
        <v>105</v>
      </c>
      <c r="N5677" t="s">
        <v>106</v>
      </c>
      <c r="O5677" s="27" t="str">
        <f>HYPERLINK("https://www.ncbi.nlm.nih.gov/nuccore/NZ_CP020042.1?report=graph&amp;from=7242350&amp;to=7242354", "TTA_codon")</f>
        <v>TTA_codon</v>
      </c>
    </row>
    <row r="5678" spans="1:15" x14ac:dyDescent="0.15">
      <c r="A5678" t="s">
        <v>21</v>
      </c>
      <c r="B5678">
        <v>1000359</v>
      </c>
      <c r="C5678">
        <v>364452</v>
      </c>
      <c r="F5678" s="7">
        <v>1</v>
      </c>
      <c r="G5678" s="7">
        <v>1222</v>
      </c>
      <c r="H5678" s="8">
        <v>904</v>
      </c>
      <c r="J5678" t="s">
        <v>23</v>
      </c>
      <c r="K5678" s="7">
        <v>1251</v>
      </c>
      <c r="L5678" s="9">
        <v>-1</v>
      </c>
      <c r="M5678" t="s">
        <v>2152</v>
      </c>
      <c r="N5678" t="s">
        <v>326</v>
      </c>
      <c r="O5678" s="27" t="str">
        <f>HYPERLINK("https://www.ncbi.nlm.nih.gov/nuccore/NZ_MUBL01000343.1?report=graph&amp;from=5125&amp;to=5129", "TTA_codon")</f>
        <v>TTA_codon</v>
      </c>
    </row>
    <row r="5679" spans="1:15" x14ac:dyDescent="0.15">
      <c r="A5679" t="s">
        <v>21</v>
      </c>
      <c r="B5679">
        <v>1000359</v>
      </c>
      <c r="C5679">
        <v>364692</v>
      </c>
      <c r="F5679" s="7">
        <v>1</v>
      </c>
      <c r="G5679" s="7">
        <v>469</v>
      </c>
      <c r="H5679" s="8">
        <v>280</v>
      </c>
      <c r="J5679" t="s">
        <v>23</v>
      </c>
      <c r="K5679" s="7">
        <v>1167</v>
      </c>
      <c r="L5679" s="9">
        <v>-1</v>
      </c>
      <c r="M5679" t="s">
        <v>4185</v>
      </c>
      <c r="N5679" t="s">
        <v>110</v>
      </c>
      <c r="O5679" s="27" t="str">
        <f>HYPERLINK("https://www.ncbi.nlm.nih.gov/nuccore/NZ_MUME01000201.1?report=graph&amp;from=8852&amp;to=8856", "TTA_codon")</f>
        <v>TTA_codon</v>
      </c>
    </row>
    <row r="5680" spans="1:15" x14ac:dyDescent="0.15">
      <c r="A5680" t="s">
        <v>21</v>
      </c>
      <c r="B5680">
        <v>1000359</v>
      </c>
      <c r="C5680">
        <v>364854</v>
      </c>
      <c r="F5680" s="7">
        <v>1</v>
      </c>
      <c r="G5680" s="7">
        <v>445</v>
      </c>
      <c r="H5680" s="8">
        <v>229</v>
      </c>
      <c r="J5680" t="s">
        <v>23</v>
      </c>
      <c r="K5680" s="7">
        <v>1179</v>
      </c>
      <c r="L5680" s="9">
        <v>-1</v>
      </c>
      <c r="M5680" t="s">
        <v>126</v>
      </c>
      <c r="N5680" t="s">
        <v>127</v>
      </c>
      <c r="O5680" s="27" t="str">
        <f>HYPERLINK("https://www.ncbi.nlm.nih.gov/nuccore/NZ_CP021748.1?report=graph&amp;from=1597069&amp;to=1597073", "TTA_codon")</f>
        <v>TTA_codon</v>
      </c>
    </row>
    <row r="5681" spans="1:15" x14ac:dyDescent="0.15">
      <c r="A5681" t="s">
        <v>21</v>
      </c>
      <c r="B5681">
        <v>1000359</v>
      </c>
      <c r="C5681">
        <v>364982</v>
      </c>
      <c r="F5681" s="7">
        <v>1</v>
      </c>
      <c r="G5681" s="7">
        <v>688</v>
      </c>
      <c r="H5681" s="8">
        <v>517</v>
      </c>
      <c r="J5681" t="s">
        <v>23</v>
      </c>
      <c r="K5681" s="7">
        <v>1221</v>
      </c>
      <c r="L5681" s="9">
        <v>-1</v>
      </c>
      <c r="M5681" t="s">
        <v>111</v>
      </c>
      <c r="N5681" t="s">
        <v>112</v>
      </c>
      <c r="O5681" s="27" t="str">
        <f>HYPERLINK("https://www.ncbi.nlm.nih.gov/nuccore/NZ_CP021744.1?report=graph&amp;from=151887&amp;to=151891", "TTA_codon")</f>
        <v>TTA_codon</v>
      </c>
    </row>
    <row r="5682" spans="1:15" x14ac:dyDescent="0.15">
      <c r="A5682" t="s">
        <v>21</v>
      </c>
      <c r="B5682">
        <v>1000359</v>
      </c>
      <c r="C5682">
        <v>365557</v>
      </c>
      <c r="F5682" s="7">
        <v>1</v>
      </c>
      <c r="G5682" s="7">
        <v>1558</v>
      </c>
      <c r="H5682" s="8">
        <v>1141</v>
      </c>
      <c r="J5682" t="s">
        <v>23</v>
      </c>
      <c r="K5682" s="7">
        <v>1212</v>
      </c>
      <c r="L5682" s="9">
        <v>-1</v>
      </c>
      <c r="M5682" t="s">
        <v>213</v>
      </c>
      <c r="N5682" t="s">
        <v>214</v>
      </c>
      <c r="O5682" s="27" t="str">
        <f>HYPERLINK("https://www.ncbi.nlm.nih.gov/nuccore/NZ_FNST01000002.1?report=graph&amp;from=5877051&amp;to=5877055", "TTA_codon")</f>
        <v>TTA_codon</v>
      </c>
    </row>
    <row r="5683" spans="1:15" x14ac:dyDescent="0.15">
      <c r="A5683" t="s">
        <v>21</v>
      </c>
      <c r="B5683">
        <v>1000359</v>
      </c>
      <c r="C5683">
        <v>365966</v>
      </c>
      <c r="F5683" s="7">
        <v>1</v>
      </c>
      <c r="G5683" s="7">
        <v>508</v>
      </c>
      <c r="H5683" s="8">
        <v>298</v>
      </c>
      <c r="J5683" t="s">
        <v>23</v>
      </c>
      <c r="K5683" s="7">
        <v>1203</v>
      </c>
      <c r="L5683" s="9">
        <v>-1</v>
      </c>
      <c r="M5683" t="s">
        <v>4186</v>
      </c>
      <c r="N5683" t="s">
        <v>115</v>
      </c>
      <c r="O5683" s="27" t="str">
        <f>HYPERLINK("https://www.ncbi.nlm.nih.gov/nuccore/NZ_FODD01000049.1?report=graph&amp;from=22208&amp;to=22212", "TTA_codon")</f>
        <v>TTA_codon</v>
      </c>
    </row>
    <row r="5684" spans="1:15" x14ac:dyDescent="0.15">
      <c r="A5684" t="s">
        <v>21</v>
      </c>
      <c r="B5684">
        <v>1000359</v>
      </c>
      <c r="C5684">
        <v>366275</v>
      </c>
      <c r="F5684" s="7">
        <v>1</v>
      </c>
      <c r="G5684" s="7">
        <v>1075</v>
      </c>
      <c r="H5684" s="8">
        <v>760</v>
      </c>
      <c r="J5684" t="s">
        <v>23</v>
      </c>
      <c r="K5684" s="7">
        <v>1200</v>
      </c>
      <c r="L5684" s="9">
        <v>-1</v>
      </c>
      <c r="M5684" t="s">
        <v>4187</v>
      </c>
      <c r="N5684" t="s">
        <v>47</v>
      </c>
      <c r="O5684" s="27" t="str">
        <f>HYPERLINK("https://www.ncbi.nlm.nih.gov/nuccore/NZ_FOLM01000022.1?report=graph&amp;from=80654&amp;to=80658", "TTA_codon")</f>
        <v>TTA_codon</v>
      </c>
    </row>
    <row r="5685" spans="1:15" x14ac:dyDescent="0.15">
      <c r="A5685" t="s">
        <v>195</v>
      </c>
      <c r="B5685" t="s">
        <v>4188</v>
      </c>
    </row>
    <row r="5686" spans="1:15" x14ac:dyDescent="0.15">
      <c r="A5686" t="s">
        <v>195</v>
      </c>
      <c r="B5686">
        <v>1000131</v>
      </c>
      <c r="C5686">
        <v>346703</v>
      </c>
      <c r="F5686" s="7">
        <v>1</v>
      </c>
      <c r="G5686" s="7">
        <v>214</v>
      </c>
      <c r="H5686" s="8">
        <v>58</v>
      </c>
      <c r="J5686" t="s">
        <v>23</v>
      </c>
      <c r="K5686" s="7">
        <v>1005</v>
      </c>
      <c r="L5686" s="9">
        <v>1</v>
      </c>
      <c r="M5686" t="s">
        <v>4189</v>
      </c>
      <c r="N5686" t="s">
        <v>451</v>
      </c>
      <c r="O5686" s="27" t="str">
        <f>HYPERLINK("https://www.ncbi.nlm.nih.gov/nuccore/NZ_LIQZ01000472.1?report=graph&amp;from=3392&amp;to=3396", "TTA_codon")</f>
        <v>TTA_codon</v>
      </c>
    </row>
    <row r="5687" spans="1:15" x14ac:dyDescent="0.15">
      <c r="A5687" t="s">
        <v>195</v>
      </c>
      <c r="B5687">
        <v>1000131</v>
      </c>
      <c r="C5687">
        <v>346925</v>
      </c>
      <c r="F5687" s="7">
        <v>1</v>
      </c>
      <c r="G5687" s="7">
        <v>643</v>
      </c>
      <c r="H5687" s="8">
        <v>478</v>
      </c>
      <c r="J5687" t="s">
        <v>23</v>
      </c>
      <c r="K5687" s="7">
        <v>1164</v>
      </c>
      <c r="L5687" s="9">
        <v>1</v>
      </c>
      <c r="M5687" t="s">
        <v>32</v>
      </c>
      <c r="N5687" t="s">
        <v>33</v>
      </c>
      <c r="O5687" s="27" t="str">
        <f>HYPERLINK("https://www.ncbi.nlm.nih.gov/nuccore/NZ_CP017248.1?report=graph&amp;from=8809313&amp;to=8809317", "TTA_codon")</f>
        <v>TTA_codon</v>
      </c>
    </row>
    <row r="5688" spans="1:15" x14ac:dyDescent="0.15">
      <c r="A5688" t="s">
        <v>21</v>
      </c>
      <c r="B5688">
        <v>1000131</v>
      </c>
      <c r="C5688">
        <v>348020</v>
      </c>
      <c r="F5688" s="7">
        <v>2</v>
      </c>
      <c r="G5688" s="7" t="s">
        <v>4190</v>
      </c>
      <c r="H5688" s="8" t="s">
        <v>4191</v>
      </c>
      <c r="J5688" t="s">
        <v>23</v>
      </c>
      <c r="K5688" s="7">
        <v>1194</v>
      </c>
      <c r="L5688" s="9">
        <v>1</v>
      </c>
      <c r="M5688" t="s">
        <v>59</v>
      </c>
      <c r="N5688" t="s">
        <v>60</v>
      </c>
      <c r="O5688" s="27" t="str">
        <f>HYPERLINK("https://www.ncbi.nlm.nih.gov/nuccore/NC_016582.1?report=graph&amp;from=2890884&amp;to=2891233", "TTA_codon")</f>
        <v>TTA_codon</v>
      </c>
    </row>
    <row r="5689" spans="1:15" x14ac:dyDescent="0.15">
      <c r="A5689" t="s">
        <v>21</v>
      </c>
      <c r="B5689">
        <v>1000131</v>
      </c>
      <c r="C5689">
        <v>348021</v>
      </c>
      <c r="F5689" s="7">
        <v>1</v>
      </c>
      <c r="G5689" s="7">
        <v>895</v>
      </c>
      <c r="H5689" s="8">
        <v>550</v>
      </c>
      <c r="J5689" t="s">
        <v>23</v>
      </c>
      <c r="K5689" s="7">
        <v>1095</v>
      </c>
      <c r="L5689" s="9">
        <v>1</v>
      </c>
      <c r="M5689" t="s">
        <v>59</v>
      </c>
      <c r="N5689" t="s">
        <v>60</v>
      </c>
      <c r="O5689" s="27" t="str">
        <f>HYPERLINK("https://www.ncbi.nlm.nih.gov/nuccore/NC_016582.1?report=graph&amp;from=911212&amp;to=911216", "TTA_codon")</f>
        <v>TTA_codon</v>
      </c>
    </row>
    <row r="5690" spans="1:15" x14ac:dyDescent="0.15">
      <c r="A5690" t="s">
        <v>21</v>
      </c>
      <c r="B5690">
        <v>1000131</v>
      </c>
      <c r="C5690">
        <v>348747</v>
      </c>
      <c r="F5690" s="7">
        <v>1</v>
      </c>
      <c r="G5690" s="7">
        <v>295</v>
      </c>
      <c r="H5690" s="8">
        <v>235</v>
      </c>
      <c r="J5690" t="s">
        <v>23</v>
      </c>
      <c r="K5690" s="7">
        <v>1167</v>
      </c>
      <c r="L5690" s="9">
        <v>1</v>
      </c>
      <c r="M5690" t="s">
        <v>211</v>
      </c>
      <c r="N5690" t="s">
        <v>212</v>
      </c>
      <c r="O5690" s="27" t="str">
        <f>HYPERLINK("https://www.ncbi.nlm.nih.gov/nuccore/NZ_GG657754.1?report=graph&amp;from=892519&amp;to=892523", "TTA_codon")</f>
        <v>TTA_codon</v>
      </c>
    </row>
    <row r="5691" spans="1:15" x14ac:dyDescent="0.15">
      <c r="A5691" t="s">
        <v>21</v>
      </c>
      <c r="B5691">
        <v>1000131</v>
      </c>
      <c r="C5691">
        <v>362816</v>
      </c>
      <c r="F5691" s="7">
        <v>1</v>
      </c>
      <c r="G5691" s="7">
        <v>214</v>
      </c>
      <c r="H5691" s="8">
        <v>58</v>
      </c>
      <c r="J5691" t="s">
        <v>23</v>
      </c>
      <c r="K5691" s="7">
        <v>1068</v>
      </c>
      <c r="L5691" s="9">
        <v>1</v>
      </c>
      <c r="M5691" t="s">
        <v>4192</v>
      </c>
      <c r="N5691" t="s">
        <v>156</v>
      </c>
      <c r="O5691" s="27" t="str">
        <f>HYPERLINK("https://www.ncbi.nlm.nih.gov/nuccore/NZ_LJGW01000211.1?report=graph&amp;from=3805&amp;to=3809", "TTA_codon")</f>
        <v>TTA_codon</v>
      </c>
    </row>
    <row r="5692" spans="1:15" x14ac:dyDescent="0.15">
      <c r="A5692" t="s">
        <v>21</v>
      </c>
      <c r="B5692">
        <v>1000131</v>
      </c>
      <c r="C5692">
        <v>364662</v>
      </c>
      <c r="F5692" s="7">
        <v>1</v>
      </c>
      <c r="G5692" s="7">
        <v>643</v>
      </c>
      <c r="H5692" s="8">
        <v>544</v>
      </c>
      <c r="J5692" t="s">
        <v>23</v>
      </c>
      <c r="K5692" s="7">
        <v>1245</v>
      </c>
      <c r="L5692" s="9">
        <v>1</v>
      </c>
      <c r="M5692" t="s">
        <v>2992</v>
      </c>
      <c r="N5692" t="s">
        <v>110</v>
      </c>
      <c r="O5692" s="27" t="str">
        <f>HYPERLINK("https://www.ncbi.nlm.nih.gov/nuccore/NZ_MUME01000005.1?report=graph&amp;from=1528&amp;to=1532", "TTA_codon")</f>
        <v>TTA_codon</v>
      </c>
    </row>
    <row r="5693" spans="1:15" x14ac:dyDescent="0.15">
      <c r="A5693" t="s">
        <v>21</v>
      </c>
      <c r="B5693" t="s">
        <v>4193</v>
      </c>
    </row>
    <row r="5694" spans="1:15" x14ac:dyDescent="0.15">
      <c r="A5694" t="s">
        <v>21</v>
      </c>
      <c r="B5694">
        <v>1000454</v>
      </c>
      <c r="C5694">
        <v>348812</v>
      </c>
      <c r="F5694" s="7">
        <v>1</v>
      </c>
      <c r="G5694" s="7">
        <v>256</v>
      </c>
      <c r="H5694" s="8">
        <v>256</v>
      </c>
      <c r="J5694" t="s">
        <v>23</v>
      </c>
      <c r="K5694" s="7">
        <v>2079</v>
      </c>
      <c r="L5694" s="9">
        <v>-1</v>
      </c>
      <c r="M5694" t="s">
        <v>211</v>
      </c>
      <c r="N5694" t="s">
        <v>212</v>
      </c>
      <c r="O5694" s="27" t="str">
        <f>HYPERLINK("https://www.ncbi.nlm.nih.gov/nuccore/NZ_GG657754.1?report=graph&amp;from=3404872&amp;to=3404876", "TTA_codon")</f>
        <v>TTA_codon</v>
      </c>
    </row>
    <row r="5695" spans="1:15" x14ac:dyDescent="0.15">
      <c r="A5695" t="s">
        <v>21</v>
      </c>
      <c r="B5695">
        <v>1000454</v>
      </c>
      <c r="C5695">
        <v>365012</v>
      </c>
      <c r="F5695" s="7">
        <v>1</v>
      </c>
      <c r="G5695" s="7">
        <v>364</v>
      </c>
      <c r="H5695" s="8">
        <v>364</v>
      </c>
      <c r="J5695" t="s">
        <v>23</v>
      </c>
      <c r="K5695" s="7">
        <v>2109</v>
      </c>
      <c r="L5695" s="9">
        <v>-1</v>
      </c>
      <c r="M5695" t="s">
        <v>111</v>
      </c>
      <c r="N5695" t="s">
        <v>112</v>
      </c>
      <c r="O5695" s="27" t="str">
        <f>HYPERLINK("https://www.ncbi.nlm.nih.gov/nuccore/NZ_CP021744.1?report=graph&amp;from=2447607&amp;to=2447611", "TTA_codon")</f>
        <v>TTA_codon</v>
      </c>
    </row>
    <row r="5696" spans="1:15" x14ac:dyDescent="0.15">
      <c r="A5696" t="s">
        <v>21</v>
      </c>
      <c r="B5696" t="s">
        <v>4194</v>
      </c>
    </row>
    <row r="5697" spans="1:15" x14ac:dyDescent="0.15">
      <c r="A5697" t="s">
        <v>21</v>
      </c>
      <c r="B5697">
        <v>1000259</v>
      </c>
      <c r="C5697">
        <v>347697</v>
      </c>
      <c r="F5697" s="7">
        <v>1</v>
      </c>
      <c r="G5697" s="7">
        <v>1222</v>
      </c>
      <c r="H5697" s="8">
        <v>1222</v>
      </c>
      <c r="J5697" t="s">
        <v>23</v>
      </c>
      <c r="K5697" s="7">
        <v>1962</v>
      </c>
      <c r="L5697" s="9">
        <v>-1</v>
      </c>
      <c r="M5697" t="s">
        <v>55</v>
      </c>
      <c r="N5697" t="s">
        <v>56</v>
      </c>
      <c r="O5697" s="27" t="str">
        <f>HYPERLINK("https://www.ncbi.nlm.nih.gov/nuccore/NC_010572.1?report=graph&amp;from=268791&amp;to=268795", "TTA_codon")</f>
        <v>TTA_codon</v>
      </c>
    </row>
    <row r="5698" spans="1:15" x14ac:dyDescent="0.15">
      <c r="A5698" t="s">
        <v>21</v>
      </c>
      <c r="B5698">
        <v>1000259</v>
      </c>
      <c r="C5698">
        <v>364250</v>
      </c>
      <c r="F5698" s="7">
        <v>1</v>
      </c>
      <c r="G5698" s="7">
        <v>1222</v>
      </c>
      <c r="H5698" s="8">
        <v>1213</v>
      </c>
      <c r="J5698" t="s">
        <v>23</v>
      </c>
      <c r="K5698" s="7">
        <v>1968</v>
      </c>
      <c r="L5698" s="9">
        <v>-1</v>
      </c>
      <c r="M5698" t="s">
        <v>254</v>
      </c>
      <c r="N5698" t="s">
        <v>255</v>
      </c>
      <c r="O5698" s="27" t="str">
        <f>HYPERLINK("https://www.ncbi.nlm.nih.gov/nuccore/NZ_CP018047.1?report=graph&amp;from=594338&amp;to=594342", "TTA_codon")</f>
        <v>TTA_codon</v>
      </c>
    </row>
    <row r="5699" spans="1:15" x14ac:dyDescent="0.15">
      <c r="A5699" t="s">
        <v>21</v>
      </c>
      <c r="B5699" t="s">
        <v>4195</v>
      </c>
    </row>
    <row r="5700" spans="1:15" x14ac:dyDescent="0.15">
      <c r="A5700" t="s">
        <v>21</v>
      </c>
      <c r="B5700">
        <v>1000989</v>
      </c>
      <c r="C5700">
        <v>354046</v>
      </c>
      <c r="F5700" s="7">
        <v>1</v>
      </c>
      <c r="G5700" s="7">
        <v>88</v>
      </c>
      <c r="H5700" s="8">
        <v>85</v>
      </c>
      <c r="J5700" t="s">
        <v>23</v>
      </c>
      <c r="K5700" s="7">
        <v>510</v>
      </c>
      <c r="L5700" s="9">
        <v>-1</v>
      </c>
      <c r="M5700" t="s">
        <v>4196</v>
      </c>
      <c r="N5700" t="s">
        <v>270</v>
      </c>
      <c r="O5700" s="27" t="str">
        <f>HYPERLINK("https://www.ncbi.nlm.nih.gov/nuccore/NZ_JOBH01000016.1?report=graph&amp;from=118108&amp;to=118112", "TTA_codon")</f>
        <v>TTA_codon</v>
      </c>
    </row>
    <row r="5701" spans="1:15" x14ac:dyDescent="0.15">
      <c r="A5701" t="s">
        <v>21</v>
      </c>
      <c r="B5701">
        <v>1000989</v>
      </c>
      <c r="C5701">
        <v>360967</v>
      </c>
      <c r="F5701" s="7">
        <v>1</v>
      </c>
      <c r="G5701" s="7">
        <v>133</v>
      </c>
      <c r="H5701" s="8">
        <v>133</v>
      </c>
      <c r="J5701" t="s">
        <v>23</v>
      </c>
      <c r="K5701" s="7">
        <v>555</v>
      </c>
      <c r="L5701" s="9">
        <v>-1</v>
      </c>
      <c r="M5701" t="s">
        <v>4197</v>
      </c>
      <c r="N5701" t="s">
        <v>97</v>
      </c>
      <c r="O5701" s="27" t="str">
        <f>HYPERLINK("https://www.ncbi.nlm.nih.gov/nuccore/NZ_LOHS01000015.1?report=graph&amp;from=31362&amp;to=31366", "TTA_codon")</f>
        <v>TTA_codon</v>
      </c>
    </row>
    <row r="5702" spans="1:15" x14ac:dyDescent="0.15">
      <c r="A5702" t="s">
        <v>195</v>
      </c>
      <c r="B5702" t="s">
        <v>4198</v>
      </c>
    </row>
    <row r="5703" spans="1:15" x14ac:dyDescent="0.15">
      <c r="A5703" t="s">
        <v>195</v>
      </c>
      <c r="B5703">
        <v>1000073</v>
      </c>
      <c r="C5703">
        <v>346421</v>
      </c>
      <c r="F5703" s="7">
        <v>1</v>
      </c>
      <c r="G5703" s="7">
        <v>364</v>
      </c>
      <c r="H5703" s="8">
        <v>286</v>
      </c>
      <c r="J5703" t="s">
        <v>23</v>
      </c>
      <c r="K5703" s="7">
        <v>924</v>
      </c>
      <c r="L5703" s="9">
        <v>-1</v>
      </c>
      <c r="M5703" t="s">
        <v>4199</v>
      </c>
      <c r="N5703" t="s">
        <v>272</v>
      </c>
      <c r="O5703" s="27" t="str">
        <f>HYPERLINK("https://www.ncbi.nlm.nih.gov/nuccore/NZ_JOEY01000056.1?report=graph&amp;from=61369&amp;to=61373", "TTA_codon")</f>
        <v>TTA_codon</v>
      </c>
    </row>
    <row r="5704" spans="1:15" x14ac:dyDescent="0.15">
      <c r="A5704" t="s">
        <v>21</v>
      </c>
      <c r="B5704">
        <v>1000073</v>
      </c>
      <c r="C5704">
        <v>358840</v>
      </c>
      <c r="F5704" s="7">
        <v>1</v>
      </c>
      <c r="G5704" s="7">
        <v>259</v>
      </c>
      <c r="H5704" s="8">
        <v>205</v>
      </c>
      <c r="J5704" t="s">
        <v>23</v>
      </c>
      <c r="K5704" s="7">
        <v>945</v>
      </c>
      <c r="L5704" s="9">
        <v>-1</v>
      </c>
      <c r="M5704" t="s">
        <v>4200</v>
      </c>
      <c r="N5704" t="s">
        <v>87</v>
      </c>
      <c r="O5704" s="27" t="str">
        <f>HYPERLINK("https://www.ncbi.nlm.nih.gov/nuccore/NZ_LIQS01000243.1?report=graph&amp;from=11932&amp;to=11936", "TTA_codon")</f>
        <v>TTA_codon</v>
      </c>
    </row>
    <row r="5705" spans="1:15" x14ac:dyDescent="0.15">
      <c r="A5705" t="s">
        <v>195</v>
      </c>
      <c r="B5705" t="s">
        <v>4201</v>
      </c>
    </row>
    <row r="5706" spans="1:15" x14ac:dyDescent="0.15">
      <c r="A5706" t="s">
        <v>195</v>
      </c>
      <c r="B5706">
        <v>1000043</v>
      </c>
      <c r="C5706">
        <v>346214</v>
      </c>
      <c r="F5706" s="7">
        <v>1</v>
      </c>
      <c r="G5706" s="7">
        <v>115</v>
      </c>
      <c r="H5706" s="8">
        <v>115</v>
      </c>
      <c r="J5706" t="s">
        <v>23</v>
      </c>
      <c r="K5706" s="7">
        <v>1251</v>
      </c>
      <c r="L5706" s="9">
        <v>-1</v>
      </c>
      <c r="M5706" t="s">
        <v>65</v>
      </c>
      <c r="N5706" t="s">
        <v>66</v>
      </c>
      <c r="O5706" s="27" t="str">
        <f>HYPERLINK("https://www.ncbi.nlm.nih.gov/nuccore/NC_020504.1?report=graph&amp;from=613227&amp;to=613231", "TTA_codon")</f>
        <v>TTA_codon</v>
      </c>
    </row>
    <row r="5707" spans="1:15" x14ac:dyDescent="0.15">
      <c r="A5707" t="s">
        <v>21</v>
      </c>
      <c r="B5707">
        <v>1000043</v>
      </c>
      <c r="C5707">
        <v>349577</v>
      </c>
      <c r="F5707" s="7">
        <v>1</v>
      </c>
      <c r="G5707" s="7">
        <v>163</v>
      </c>
      <c r="H5707" s="8">
        <v>163</v>
      </c>
      <c r="J5707" t="s">
        <v>23</v>
      </c>
      <c r="K5707" s="7">
        <v>1257</v>
      </c>
      <c r="L5707" s="9">
        <v>-1</v>
      </c>
      <c r="M5707" t="s">
        <v>3591</v>
      </c>
      <c r="N5707" t="s">
        <v>335</v>
      </c>
      <c r="O5707" s="27" t="str">
        <f>HYPERLINK("https://www.ncbi.nlm.nih.gov/nuccore/NZ_AGBF01000140.1?report=graph&amp;from=6871&amp;to=6875", "TTA_codon")</f>
        <v>TTA_codon</v>
      </c>
    </row>
    <row r="5708" spans="1:15" x14ac:dyDescent="0.15">
      <c r="A5708" t="s">
        <v>21</v>
      </c>
      <c r="B5708">
        <v>1000043</v>
      </c>
      <c r="C5708">
        <v>357673</v>
      </c>
      <c r="F5708" s="7">
        <v>1</v>
      </c>
      <c r="G5708" s="7">
        <v>115</v>
      </c>
      <c r="H5708" s="8">
        <v>115</v>
      </c>
      <c r="J5708" t="s">
        <v>23</v>
      </c>
      <c r="K5708" s="7">
        <v>1242</v>
      </c>
      <c r="L5708" s="9">
        <v>-1</v>
      </c>
      <c r="M5708" t="s">
        <v>4202</v>
      </c>
      <c r="N5708" t="s">
        <v>83</v>
      </c>
      <c r="O5708" s="27" t="str">
        <f>HYPERLINK("https://www.ncbi.nlm.nih.gov/nuccore/NZ_DF968195.1?report=graph&amp;from=44332&amp;to=44336", "TTA_codon")</f>
        <v>TTA_codon</v>
      </c>
    </row>
    <row r="5709" spans="1:15" x14ac:dyDescent="0.15">
      <c r="A5709" t="s">
        <v>21</v>
      </c>
      <c r="B5709">
        <v>1000043</v>
      </c>
      <c r="C5709">
        <v>359801</v>
      </c>
      <c r="F5709" s="7">
        <v>1</v>
      </c>
      <c r="G5709" s="7">
        <v>220</v>
      </c>
      <c r="H5709" s="8">
        <v>205</v>
      </c>
      <c r="J5709" t="s">
        <v>23</v>
      </c>
      <c r="K5709" s="7">
        <v>1245</v>
      </c>
      <c r="L5709" s="9">
        <v>-1</v>
      </c>
      <c r="M5709" t="s">
        <v>3198</v>
      </c>
      <c r="N5709" t="s">
        <v>91</v>
      </c>
      <c r="O5709" s="27" t="str">
        <f>HYPERLINK("https://www.ncbi.nlm.nih.gov/nuccore/NZ_KQ948325.1?report=graph&amp;from=60158&amp;to=60162", "TTA_codon")</f>
        <v>TTA_codon</v>
      </c>
    </row>
    <row r="5710" spans="1:15" x14ac:dyDescent="0.15">
      <c r="A5710" t="s">
        <v>21</v>
      </c>
      <c r="B5710">
        <v>1000043</v>
      </c>
      <c r="C5710">
        <v>361069</v>
      </c>
      <c r="F5710" s="7">
        <v>1</v>
      </c>
      <c r="G5710" s="7">
        <v>220</v>
      </c>
      <c r="H5710" s="8">
        <v>205</v>
      </c>
      <c r="J5710" t="s">
        <v>23</v>
      </c>
      <c r="K5710" s="7">
        <v>1251</v>
      </c>
      <c r="L5710" s="9">
        <v>-1</v>
      </c>
      <c r="M5710" t="s">
        <v>98</v>
      </c>
      <c r="N5710" t="s">
        <v>99</v>
      </c>
      <c r="O5710" s="27" t="str">
        <f>HYPERLINK("https://www.ncbi.nlm.nih.gov/nuccore/NZ_CP016438.1?report=graph&amp;from=7650593&amp;to=7650597", "TTA_codon")</f>
        <v>TTA_codon</v>
      </c>
    </row>
    <row r="5711" spans="1:15" x14ac:dyDescent="0.15">
      <c r="A5711" t="s">
        <v>21</v>
      </c>
      <c r="B5711">
        <v>1000043</v>
      </c>
      <c r="C5711">
        <v>361884</v>
      </c>
      <c r="F5711" s="7">
        <v>2</v>
      </c>
      <c r="G5711" s="7" t="s">
        <v>4203</v>
      </c>
      <c r="H5711" s="8" t="s">
        <v>4203</v>
      </c>
      <c r="J5711" t="s">
        <v>23</v>
      </c>
      <c r="K5711" s="7">
        <v>2106</v>
      </c>
      <c r="L5711" s="9">
        <v>-1</v>
      </c>
      <c r="M5711" t="s">
        <v>1650</v>
      </c>
      <c r="N5711" t="s">
        <v>187</v>
      </c>
      <c r="O5711" s="27" t="str">
        <f>HYPERLINK("https://www.ncbi.nlm.nih.gov/nuccore/NZ_MAXF01000084.1?report=graph&amp;from=26230&amp;to=26357", "TTA_codon")</f>
        <v>TTA_codon</v>
      </c>
    </row>
    <row r="5712" spans="1:15" x14ac:dyDescent="0.15">
      <c r="A5712" t="s">
        <v>21</v>
      </c>
      <c r="B5712" t="s">
        <v>4204</v>
      </c>
    </row>
    <row r="5713" spans="1:15" x14ac:dyDescent="0.15">
      <c r="A5713" t="s">
        <v>21</v>
      </c>
      <c r="B5713">
        <v>1001490</v>
      </c>
      <c r="C5713">
        <v>364840</v>
      </c>
      <c r="F5713" s="7">
        <v>1</v>
      </c>
      <c r="G5713" s="7">
        <v>457</v>
      </c>
      <c r="H5713" s="8">
        <v>454</v>
      </c>
      <c r="J5713" t="s">
        <v>23</v>
      </c>
      <c r="K5713" s="7">
        <v>3261</v>
      </c>
      <c r="L5713" s="9">
        <v>1</v>
      </c>
      <c r="M5713" t="s">
        <v>126</v>
      </c>
      <c r="N5713" t="s">
        <v>127</v>
      </c>
      <c r="O5713" s="27" t="str">
        <f>HYPERLINK("https://www.ncbi.nlm.nih.gov/nuccore/NZ_CP021748.1?report=graph&amp;from=5728284&amp;to=5728288", "TTA_codon")</f>
        <v>TTA_codon</v>
      </c>
    </row>
    <row r="5714" spans="1:15" x14ac:dyDescent="0.15">
      <c r="A5714" t="s">
        <v>21</v>
      </c>
      <c r="B5714">
        <v>1001490</v>
      </c>
      <c r="C5714">
        <v>365952</v>
      </c>
      <c r="F5714" s="7">
        <v>1</v>
      </c>
      <c r="G5714" s="7">
        <v>457</v>
      </c>
      <c r="H5714" s="8">
        <v>352</v>
      </c>
      <c r="J5714" t="s">
        <v>23</v>
      </c>
      <c r="K5714" s="7">
        <v>2124</v>
      </c>
      <c r="L5714" s="9">
        <v>1</v>
      </c>
      <c r="M5714" t="s">
        <v>3370</v>
      </c>
      <c r="N5714" t="s">
        <v>115</v>
      </c>
      <c r="O5714" s="27" t="str">
        <f>HYPERLINK("https://www.ncbi.nlm.nih.gov/nuccore/NZ_FODD01000019.1?report=graph&amp;from=33150&amp;to=33154", "TTA_codon")</f>
        <v>TTA_codon</v>
      </c>
    </row>
    <row r="5715" spans="1:15" x14ac:dyDescent="0.15">
      <c r="A5715" t="s">
        <v>21</v>
      </c>
      <c r="B5715">
        <v>1001490</v>
      </c>
      <c r="C5715">
        <v>366406</v>
      </c>
      <c r="F5715" s="7">
        <v>1</v>
      </c>
      <c r="G5715" s="7">
        <v>457</v>
      </c>
      <c r="H5715" s="8">
        <v>352</v>
      </c>
      <c r="J5715" t="s">
        <v>23</v>
      </c>
      <c r="K5715" s="7">
        <v>1983</v>
      </c>
      <c r="L5715" s="9">
        <v>1</v>
      </c>
      <c r="M5715" t="s">
        <v>4149</v>
      </c>
      <c r="N5715" t="s">
        <v>375</v>
      </c>
      <c r="O5715" s="27" t="str">
        <f>HYPERLINK("https://www.ncbi.nlm.nih.gov/nuccore/NZ_FONG01000005.1?report=graph&amp;from=258729&amp;to=258733", "TTA_codon")</f>
        <v>TTA_codon</v>
      </c>
    </row>
    <row r="5716" spans="1:15" x14ac:dyDescent="0.15">
      <c r="A5716" t="s">
        <v>21</v>
      </c>
      <c r="B5716">
        <v>1001490</v>
      </c>
      <c r="C5716">
        <v>366587</v>
      </c>
      <c r="F5716" s="7">
        <v>1</v>
      </c>
      <c r="G5716" s="7">
        <v>457</v>
      </c>
      <c r="H5716" s="8">
        <v>340</v>
      </c>
      <c r="J5716" t="s">
        <v>23</v>
      </c>
      <c r="K5716" s="7">
        <v>1974</v>
      </c>
      <c r="L5716" s="9">
        <v>1</v>
      </c>
      <c r="M5716" t="s">
        <v>2436</v>
      </c>
      <c r="N5716" t="s">
        <v>180</v>
      </c>
      <c r="O5716" s="27" t="str">
        <f>HYPERLINK("https://www.ncbi.nlm.nih.gov/nuccore/NZ_FRBI01000001.1?report=graph&amp;from=191412&amp;to=191416", "TTA_codon")</f>
        <v>TTA_codon</v>
      </c>
    </row>
    <row r="5717" spans="1:15" x14ac:dyDescent="0.15">
      <c r="A5717" t="s">
        <v>21</v>
      </c>
      <c r="B5717" t="s">
        <v>4205</v>
      </c>
    </row>
    <row r="5718" spans="1:15" x14ac:dyDescent="0.15">
      <c r="A5718" t="s">
        <v>21</v>
      </c>
      <c r="B5718">
        <v>1000447</v>
      </c>
      <c r="C5718">
        <v>348767</v>
      </c>
      <c r="F5718" s="7">
        <v>1</v>
      </c>
      <c r="G5718" s="7">
        <v>121</v>
      </c>
      <c r="H5718" s="8">
        <v>118</v>
      </c>
      <c r="J5718" t="s">
        <v>23</v>
      </c>
      <c r="K5718" s="7">
        <v>810</v>
      </c>
      <c r="L5718" s="9">
        <v>1</v>
      </c>
      <c r="M5718" t="s">
        <v>211</v>
      </c>
      <c r="N5718" t="s">
        <v>212</v>
      </c>
      <c r="O5718" s="27" t="str">
        <f>HYPERLINK("https://www.ncbi.nlm.nih.gov/nuccore/NZ_GG657754.1?report=graph&amp;from=3545876&amp;to=3545880", "TTA_codon")</f>
        <v>TTA_codon</v>
      </c>
    </row>
    <row r="5719" spans="1:15" x14ac:dyDescent="0.15">
      <c r="A5719" t="s">
        <v>21</v>
      </c>
      <c r="B5719">
        <v>1000447</v>
      </c>
      <c r="C5719">
        <v>350729</v>
      </c>
      <c r="F5719" s="7">
        <v>1</v>
      </c>
      <c r="G5719" s="7">
        <v>121</v>
      </c>
      <c r="H5719" s="8">
        <v>121</v>
      </c>
      <c r="J5719" t="s">
        <v>23</v>
      </c>
      <c r="K5719" s="7">
        <v>813</v>
      </c>
      <c r="L5719" s="9">
        <v>1</v>
      </c>
      <c r="M5719" t="s">
        <v>924</v>
      </c>
      <c r="N5719" t="s">
        <v>51</v>
      </c>
      <c r="O5719" s="27" t="str">
        <f>HYPERLINK("https://www.ncbi.nlm.nih.gov/nuccore/NZ_AEJB01000182.1?report=graph&amp;from=7460&amp;to=7464", "TTA_codon")</f>
        <v>TTA_codon</v>
      </c>
    </row>
    <row r="5720" spans="1:15" x14ac:dyDescent="0.15">
      <c r="A5720" t="s">
        <v>21</v>
      </c>
      <c r="B5720" t="s">
        <v>4206</v>
      </c>
    </row>
    <row r="5721" spans="1:15" x14ac:dyDescent="0.15">
      <c r="A5721" t="s">
        <v>21</v>
      </c>
      <c r="B5721">
        <v>1000775</v>
      </c>
      <c r="C5721">
        <v>351775</v>
      </c>
      <c r="F5721" s="7">
        <v>1</v>
      </c>
      <c r="G5721" s="7">
        <v>559</v>
      </c>
      <c r="H5721" s="8">
        <v>556</v>
      </c>
      <c r="J5721" t="s">
        <v>23</v>
      </c>
      <c r="K5721" s="7">
        <v>603</v>
      </c>
      <c r="L5721" s="9">
        <v>-1</v>
      </c>
      <c r="M5721" t="s">
        <v>4207</v>
      </c>
      <c r="N5721" t="s">
        <v>68</v>
      </c>
      <c r="O5721" s="27" t="str">
        <f>HYPERLINK("https://www.ncbi.nlm.nih.gov/nuccore/NZ_BARG01000021.1?report=graph&amp;from=10762&amp;to=10766", "TTA_codon")</f>
        <v>TTA_codon</v>
      </c>
    </row>
    <row r="5722" spans="1:15" x14ac:dyDescent="0.15">
      <c r="A5722" t="s">
        <v>21</v>
      </c>
      <c r="B5722">
        <v>1000775</v>
      </c>
      <c r="C5722">
        <v>354554</v>
      </c>
      <c r="F5722" s="7">
        <v>1</v>
      </c>
      <c r="G5722" s="7">
        <v>559</v>
      </c>
      <c r="H5722" s="8">
        <v>547</v>
      </c>
      <c r="J5722" t="s">
        <v>23</v>
      </c>
      <c r="K5722" s="7">
        <v>594</v>
      </c>
      <c r="L5722" s="9">
        <v>-1</v>
      </c>
      <c r="M5722" t="s">
        <v>4208</v>
      </c>
      <c r="N5722" t="s">
        <v>272</v>
      </c>
      <c r="O5722" s="27" t="str">
        <f>HYPERLINK("https://www.ncbi.nlm.nih.gov/nuccore/NZ_JOEY01000040.1?report=graph&amp;from=7109&amp;to=7113", "TTA_codon")</f>
        <v>TTA_codon</v>
      </c>
    </row>
    <row r="5723" spans="1:15" x14ac:dyDescent="0.15">
      <c r="A5723" t="s">
        <v>21</v>
      </c>
      <c r="B5723">
        <v>1000775</v>
      </c>
      <c r="C5723">
        <v>361115</v>
      </c>
      <c r="F5723" s="7">
        <v>1</v>
      </c>
      <c r="G5723" s="7">
        <v>559</v>
      </c>
      <c r="H5723" s="8">
        <v>556</v>
      </c>
      <c r="J5723" t="s">
        <v>23</v>
      </c>
      <c r="K5723" s="7">
        <v>603</v>
      </c>
      <c r="L5723" s="9">
        <v>-1</v>
      </c>
      <c r="M5723" t="s">
        <v>98</v>
      </c>
      <c r="N5723" t="s">
        <v>99</v>
      </c>
      <c r="O5723" s="27" t="str">
        <f>HYPERLINK("https://www.ncbi.nlm.nih.gov/nuccore/NZ_CP016438.1?report=graph&amp;from=2549530&amp;to=2549534", "TTA_codon")</f>
        <v>TTA_codon</v>
      </c>
    </row>
    <row r="5724" spans="1:15" x14ac:dyDescent="0.15">
      <c r="A5724" t="s">
        <v>21</v>
      </c>
      <c r="B5724" t="s">
        <v>4209</v>
      </c>
    </row>
    <row r="5725" spans="1:15" x14ac:dyDescent="0.15">
      <c r="A5725" t="s">
        <v>21</v>
      </c>
      <c r="B5725">
        <v>1000908</v>
      </c>
      <c r="C5725">
        <v>353056</v>
      </c>
      <c r="F5725" s="7">
        <v>1</v>
      </c>
      <c r="G5725" s="7">
        <v>55</v>
      </c>
      <c r="H5725" s="8">
        <v>55</v>
      </c>
      <c r="J5725" t="s">
        <v>23</v>
      </c>
      <c r="K5725" s="7">
        <v>492</v>
      </c>
      <c r="L5725" s="9">
        <v>-1</v>
      </c>
      <c r="M5725" t="s">
        <v>4210</v>
      </c>
      <c r="N5725" t="s">
        <v>306</v>
      </c>
      <c r="O5725" s="27" t="str">
        <f>HYPERLINK("https://www.ncbi.nlm.nih.gov/nuccore/NZ_KL571071.1?report=graph&amp;from=19687&amp;to=19691", "TTA_codon")</f>
        <v>TTA_codon</v>
      </c>
    </row>
    <row r="5726" spans="1:15" x14ac:dyDescent="0.15">
      <c r="A5726" t="s">
        <v>21</v>
      </c>
      <c r="B5726">
        <v>1000908</v>
      </c>
      <c r="C5726">
        <v>353950</v>
      </c>
      <c r="F5726" s="7">
        <v>1</v>
      </c>
      <c r="G5726" s="7">
        <v>55</v>
      </c>
      <c r="H5726" s="8">
        <v>55</v>
      </c>
      <c r="J5726" t="s">
        <v>23</v>
      </c>
      <c r="K5726" s="7">
        <v>489</v>
      </c>
      <c r="L5726" s="9">
        <v>-1</v>
      </c>
      <c r="M5726" t="s">
        <v>4211</v>
      </c>
      <c r="N5726" t="s">
        <v>246</v>
      </c>
      <c r="O5726" s="27" t="str">
        <f>HYPERLINK("https://www.ncbi.nlm.nih.gov/nuccore/NZ_JNYR01000025.1?report=graph&amp;from=67151&amp;to=67155", "TTA_codon")</f>
        <v>TTA_codon</v>
      </c>
    </row>
    <row r="5727" spans="1:15" x14ac:dyDescent="0.15">
      <c r="A5727" t="s">
        <v>21</v>
      </c>
      <c r="B5727" t="s">
        <v>4212</v>
      </c>
    </row>
    <row r="5728" spans="1:15" x14ac:dyDescent="0.15">
      <c r="A5728" t="s">
        <v>21</v>
      </c>
      <c r="B5728">
        <v>1001093</v>
      </c>
      <c r="C5728">
        <v>355467</v>
      </c>
      <c r="F5728" s="7">
        <v>1</v>
      </c>
      <c r="G5728" s="7">
        <v>286</v>
      </c>
      <c r="H5728" s="8">
        <v>265</v>
      </c>
      <c r="J5728" t="s">
        <v>23</v>
      </c>
      <c r="K5728" s="7">
        <v>1569</v>
      </c>
      <c r="L5728" s="9">
        <v>1</v>
      </c>
      <c r="M5728" t="s">
        <v>2946</v>
      </c>
      <c r="N5728" t="s">
        <v>198</v>
      </c>
      <c r="O5728" s="27" t="str">
        <f>HYPERLINK("https://www.ncbi.nlm.nih.gov/nuccore/NZ_JOFL01000011.1?report=graph&amp;from=329370&amp;to=329374", "TTA_codon")</f>
        <v>TTA_codon</v>
      </c>
    </row>
    <row r="5729" spans="1:15" x14ac:dyDescent="0.15">
      <c r="A5729" t="s">
        <v>21</v>
      </c>
      <c r="B5729">
        <v>1001093</v>
      </c>
      <c r="C5729">
        <v>365176</v>
      </c>
      <c r="F5729" s="7">
        <v>1</v>
      </c>
      <c r="G5729" s="7">
        <v>244</v>
      </c>
      <c r="H5729" s="8">
        <v>223</v>
      </c>
      <c r="J5729" t="s">
        <v>23</v>
      </c>
      <c r="K5729" s="7">
        <v>1578</v>
      </c>
      <c r="L5729" s="9">
        <v>1</v>
      </c>
      <c r="M5729" t="s">
        <v>111</v>
      </c>
      <c r="N5729" t="s">
        <v>112</v>
      </c>
      <c r="O5729" s="27" t="str">
        <f>HYPERLINK("https://www.ncbi.nlm.nih.gov/nuccore/NZ_CP021744.1?report=graph&amp;from=4106103&amp;to=4106107", "TTA_codon")</f>
        <v>TTA_codon</v>
      </c>
    </row>
    <row r="5730" spans="1:15" x14ac:dyDescent="0.15">
      <c r="A5730" t="s">
        <v>21</v>
      </c>
      <c r="B5730">
        <v>1001093</v>
      </c>
      <c r="C5730">
        <v>366704</v>
      </c>
      <c r="F5730" s="7">
        <v>3</v>
      </c>
      <c r="G5730" s="7" t="s">
        <v>4213</v>
      </c>
      <c r="H5730" s="8" t="s">
        <v>4213</v>
      </c>
      <c r="J5730" t="s">
        <v>23</v>
      </c>
      <c r="K5730" s="7">
        <v>1581</v>
      </c>
      <c r="L5730" s="9">
        <v>1</v>
      </c>
      <c r="M5730" t="s">
        <v>4214</v>
      </c>
      <c r="N5730" t="s">
        <v>180</v>
      </c>
      <c r="O5730" s="27" t="str">
        <f>HYPERLINK("https://www.ncbi.nlm.nih.gov/nuccore/NZ_FRBI01000053.1?report=graph&amp;from=10928&amp;to=12012", "TTA_codon")</f>
        <v>TTA_codon</v>
      </c>
    </row>
    <row r="5731" spans="1:15" x14ac:dyDescent="0.15">
      <c r="A5731" t="s">
        <v>21</v>
      </c>
      <c r="B5731" t="s">
        <v>4215</v>
      </c>
    </row>
    <row r="5732" spans="1:15" x14ac:dyDescent="0.15">
      <c r="A5732" t="s">
        <v>21</v>
      </c>
      <c r="B5732">
        <v>1001247</v>
      </c>
      <c r="C5732">
        <v>357751</v>
      </c>
      <c r="F5732" s="7">
        <v>1</v>
      </c>
      <c r="G5732" s="7">
        <v>1201</v>
      </c>
      <c r="H5732" s="8">
        <v>1201</v>
      </c>
      <c r="J5732" t="s">
        <v>23</v>
      </c>
      <c r="K5732" s="7">
        <v>1800</v>
      </c>
      <c r="L5732" s="9">
        <v>-1</v>
      </c>
      <c r="M5732" t="s">
        <v>4216</v>
      </c>
      <c r="N5732" t="s">
        <v>83</v>
      </c>
      <c r="O5732" s="27" t="str">
        <f>HYPERLINK("https://www.ncbi.nlm.nih.gov/nuccore/NZ_DF968367.1?report=graph&amp;from=13813&amp;to=13817", "TTA_codon")</f>
        <v>TTA_codon</v>
      </c>
    </row>
    <row r="5733" spans="1:15" x14ac:dyDescent="0.15">
      <c r="A5733" t="s">
        <v>21</v>
      </c>
      <c r="B5733">
        <v>1001247</v>
      </c>
      <c r="C5733">
        <v>358414</v>
      </c>
      <c r="F5733" s="7">
        <v>1</v>
      </c>
      <c r="G5733" s="7">
        <v>1261</v>
      </c>
      <c r="H5733" s="8">
        <v>1261</v>
      </c>
      <c r="J5733" t="s">
        <v>23</v>
      </c>
      <c r="K5733" s="7">
        <v>1989</v>
      </c>
      <c r="L5733" s="9">
        <v>-1</v>
      </c>
      <c r="M5733" t="s">
        <v>4217</v>
      </c>
      <c r="N5733" t="s">
        <v>85</v>
      </c>
      <c r="O5733" s="27" t="str">
        <f>HYPERLINK("https://www.ncbi.nlm.nih.gov/nuccore/NZ_LIQX01000377.1?report=graph&amp;from=27736&amp;to=27740", "TTA_codon")</f>
        <v>TTA_codon</v>
      </c>
    </row>
    <row r="5734" spans="1:15" x14ac:dyDescent="0.15">
      <c r="A5734" t="s">
        <v>21</v>
      </c>
      <c r="B5734" t="s">
        <v>4218</v>
      </c>
    </row>
    <row r="5735" spans="1:15" x14ac:dyDescent="0.15">
      <c r="A5735" t="s">
        <v>21</v>
      </c>
      <c r="B5735">
        <v>1001100</v>
      </c>
      <c r="C5735">
        <v>355581</v>
      </c>
      <c r="F5735" s="7">
        <v>1</v>
      </c>
      <c r="G5735" s="7">
        <v>553</v>
      </c>
      <c r="H5735" s="8">
        <v>547</v>
      </c>
      <c r="J5735" t="s">
        <v>23</v>
      </c>
      <c r="K5735" s="7">
        <v>1230</v>
      </c>
      <c r="L5735" s="9">
        <v>-1</v>
      </c>
      <c r="M5735" t="s">
        <v>1493</v>
      </c>
      <c r="N5735" t="s">
        <v>278</v>
      </c>
      <c r="O5735" s="27" t="str">
        <f>HYPERLINK("https://www.ncbi.nlm.nih.gov/nuccore/NZ_JOID01000021.1?report=graph&amp;from=54500&amp;to=54504", "TTA_codon")</f>
        <v>TTA_codon</v>
      </c>
    </row>
    <row r="5736" spans="1:15" x14ac:dyDescent="0.15">
      <c r="A5736" t="s">
        <v>21</v>
      </c>
      <c r="B5736">
        <v>1001100</v>
      </c>
      <c r="C5736">
        <v>366528</v>
      </c>
      <c r="F5736" s="7">
        <v>1</v>
      </c>
      <c r="G5736" s="7">
        <v>553</v>
      </c>
      <c r="H5736" s="8">
        <v>532</v>
      </c>
      <c r="J5736" t="s">
        <v>23</v>
      </c>
      <c r="K5736" s="7">
        <v>1233</v>
      </c>
      <c r="L5736" s="9">
        <v>-1</v>
      </c>
      <c r="M5736" t="s">
        <v>1007</v>
      </c>
      <c r="N5736" t="s">
        <v>180</v>
      </c>
      <c r="O5736" s="27" t="str">
        <f>HYPERLINK("https://www.ncbi.nlm.nih.gov/nuccore/NZ_FRBI01000003.1?report=graph&amp;from=15970&amp;to=15974", "TTA_codon")</f>
        <v>TTA_codon</v>
      </c>
    </row>
    <row r="5737" spans="1:15" x14ac:dyDescent="0.15">
      <c r="A5737" t="s">
        <v>21</v>
      </c>
      <c r="B5737" t="s">
        <v>4219</v>
      </c>
    </row>
    <row r="5738" spans="1:15" x14ac:dyDescent="0.15">
      <c r="A5738" t="s">
        <v>21</v>
      </c>
      <c r="B5738">
        <v>1001125</v>
      </c>
      <c r="C5738">
        <v>355860</v>
      </c>
      <c r="F5738" s="7">
        <v>1</v>
      </c>
      <c r="G5738" s="7">
        <v>580</v>
      </c>
      <c r="H5738" s="8">
        <v>553</v>
      </c>
      <c r="J5738" t="s">
        <v>23</v>
      </c>
      <c r="K5738" s="7">
        <v>996</v>
      </c>
      <c r="L5738" s="9">
        <v>-1</v>
      </c>
      <c r="M5738" t="s">
        <v>1861</v>
      </c>
      <c r="N5738" t="s">
        <v>75</v>
      </c>
      <c r="O5738" s="27" t="str">
        <f>HYPERLINK("https://www.ncbi.nlm.nih.gov/nuccore/NZ_JOII01000006.1?report=graph&amp;from=102194&amp;to=102198", "TTA_codon")</f>
        <v>TTA_codon</v>
      </c>
    </row>
    <row r="5739" spans="1:15" x14ac:dyDescent="0.15">
      <c r="A5739" t="s">
        <v>21</v>
      </c>
      <c r="B5739">
        <v>1001125</v>
      </c>
      <c r="C5739">
        <v>356137</v>
      </c>
      <c r="F5739" s="7">
        <v>1</v>
      </c>
      <c r="G5739" s="7">
        <v>580</v>
      </c>
      <c r="H5739" s="8">
        <v>580</v>
      </c>
      <c r="J5739" t="s">
        <v>23</v>
      </c>
      <c r="K5739" s="7">
        <v>1059</v>
      </c>
      <c r="L5739" s="9">
        <v>-1</v>
      </c>
      <c r="M5739" t="s">
        <v>4220</v>
      </c>
      <c r="N5739" t="s">
        <v>146</v>
      </c>
      <c r="O5739" s="27" t="str">
        <f>HYPERLINK("https://www.ncbi.nlm.nih.gov/nuccore/NZ_JOFH01000007.1?report=graph&amp;from=70787&amp;to=70791", "TTA_codon")</f>
        <v>TTA_codon</v>
      </c>
    </row>
    <row r="5740" spans="1:15" x14ac:dyDescent="0.15">
      <c r="A5740" t="s">
        <v>21</v>
      </c>
      <c r="B5740" t="s">
        <v>4221</v>
      </c>
    </row>
    <row r="5741" spans="1:15" x14ac:dyDescent="0.15">
      <c r="A5741" t="s">
        <v>21</v>
      </c>
      <c r="B5741">
        <v>1001183</v>
      </c>
      <c r="C5741">
        <v>356644</v>
      </c>
      <c r="F5741" s="7">
        <v>1</v>
      </c>
      <c r="G5741" s="7">
        <v>91</v>
      </c>
      <c r="H5741" s="8">
        <v>91</v>
      </c>
      <c r="J5741" t="s">
        <v>23</v>
      </c>
      <c r="K5741" s="7">
        <v>372</v>
      </c>
      <c r="L5741" s="9">
        <v>-1</v>
      </c>
      <c r="M5741" t="s">
        <v>147</v>
      </c>
      <c r="N5741" t="s">
        <v>148</v>
      </c>
      <c r="O5741" s="27" t="str">
        <f>HYPERLINK("https://www.ncbi.nlm.nih.gov/nuccore/NZ_CP021080.1?report=graph&amp;from=169283&amp;to=169287", "TTA_codon")</f>
        <v>TTA_codon</v>
      </c>
    </row>
    <row r="5742" spans="1:15" x14ac:dyDescent="0.15">
      <c r="A5742" t="s">
        <v>21</v>
      </c>
      <c r="B5742">
        <v>1001183</v>
      </c>
      <c r="C5742">
        <v>356645</v>
      </c>
      <c r="F5742" s="7">
        <v>1</v>
      </c>
      <c r="G5742" s="7">
        <v>91</v>
      </c>
      <c r="H5742" s="8">
        <v>91</v>
      </c>
      <c r="J5742" t="s">
        <v>23</v>
      </c>
      <c r="K5742" s="7">
        <v>372</v>
      </c>
      <c r="L5742" s="9">
        <v>-1</v>
      </c>
      <c r="M5742" t="s">
        <v>147</v>
      </c>
      <c r="N5742" t="s">
        <v>148</v>
      </c>
      <c r="O5742" s="27" t="str">
        <f>HYPERLINK("https://www.ncbi.nlm.nih.gov/nuccore/NZ_CP021080.1?report=graph&amp;from=1854427&amp;to=1854431", "TTA_codon")</f>
        <v>TTA_codon</v>
      </c>
    </row>
    <row r="5743" spans="1:15" x14ac:dyDescent="0.15">
      <c r="A5743" t="s">
        <v>21</v>
      </c>
      <c r="B5743" t="s">
        <v>4222</v>
      </c>
    </row>
    <row r="5744" spans="1:15" x14ac:dyDescent="0.15">
      <c r="A5744" t="s">
        <v>21</v>
      </c>
      <c r="B5744">
        <v>1001214</v>
      </c>
      <c r="C5744">
        <v>357107</v>
      </c>
      <c r="F5744" s="7">
        <v>1</v>
      </c>
      <c r="G5744" s="7">
        <v>784</v>
      </c>
      <c r="H5744" s="8">
        <v>763</v>
      </c>
      <c r="J5744" t="s">
        <v>23</v>
      </c>
      <c r="K5744" s="7">
        <v>921</v>
      </c>
      <c r="L5744" s="9">
        <v>-1</v>
      </c>
      <c r="M5744" t="s">
        <v>162</v>
      </c>
      <c r="N5744" t="s">
        <v>163</v>
      </c>
      <c r="O5744" s="27" t="str">
        <f>HYPERLINK("https://www.ncbi.nlm.nih.gov/nuccore/NZ_CP010519.1?report=graph&amp;from=7783600&amp;to=7783604", "TTA_codon")</f>
        <v>TTA_codon</v>
      </c>
    </row>
    <row r="5745" spans="1:15" x14ac:dyDescent="0.15">
      <c r="A5745" t="s">
        <v>21</v>
      </c>
      <c r="B5745">
        <v>1001214</v>
      </c>
      <c r="C5745">
        <v>357359</v>
      </c>
      <c r="F5745" s="7">
        <v>1</v>
      </c>
      <c r="G5745" s="7">
        <v>907</v>
      </c>
      <c r="H5745" s="8">
        <v>889</v>
      </c>
      <c r="J5745" t="s">
        <v>23</v>
      </c>
      <c r="K5745" s="7">
        <v>933</v>
      </c>
      <c r="L5745" s="9">
        <v>-1</v>
      </c>
      <c r="M5745" t="s">
        <v>250</v>
      </c>
      <c r="N5745" t="s">
        <v>251</v>
      </c>
      <c r="O5745" s="27" t="str">
        <f>HYPERLINK("https://www.ncbi.nlm.nih.gov/nuccore/NZ_CP009922.2?report=graph&amp;from=3970158&amp;to=3970162", "TTA_codon")</f>
        <v>TTA_codon</v>
      </c>
    </row>
    <row r="5746" spans="1:15" x14ac:dyDescent="0.15">
      <c r="A5746" t="s">
        <v>21</v>
      </c>
      <c r="B5746" t="s">
        <v>4223</v>
      </c>
    </row>
    <row r="5747" spans="1:15" x14ac:dyDescent="0.15">
      <c r="A5747" t="s">
        <v>21</v>
      </c>
      <c r="B5747">
        <v>1001047</v>
      </c>
      <c r="C5747">
        <v>354784</v>
      </c>
      <c r="F5747" s="7">
        <v>1</v>
      </c>
      <c r="G5747" s="7">
        <v>286</v>
      </c>
      <c r="H5747" s="8">
        <v>286</v>
      </c>
      <c r="J5747" t="s">
        <v>23</v>
      </c>
      <c r="K5747" s="7">
        <v>753</v>
      </c>
      <c r="L5747" s="9">
        <v>1</v>
      </c>
      <c r="M5747" t="s">
        <v>4224</v>
      </c>
      <c r="N5747" t="s">
        <v>272</v>
      </c>
      <c r="O5747" s="27" t="str">
        <f>HYPERLINK("https://www.ncbi.nlm.nih.gov/nuccore/NZ_JOEY01000064.1?report=graph&amp;from=6544&amp;to=6548", "TTA_codon")</f>
        <v>TTA_codon</v>
      </c>
    </row>
    <row r="5748" spans="1:15" x14ac:dyDescent="0.15">
      <c r="A5748" t="s">
        <v>21</v>
      </c>
      <c r="B5748">
        <v>1001047</v>
      </c>
      <c r="C5748">
        <v>362320</v>
      </c>
      <c r="F5748" s="7">
        <v>1</v>
      </c>
      <c r="G5748" s="7">
        <v>286</v>
      </c>
      <c r="H5748" s="8">
        <v>286</v>
      </c>
      <c r="J5748" t="s">
        <v>23</v>
      </c>
      <c r="K5748" s="7">
        <v>738</v>
      </c>
      <c r="L5748" s="9">
        <v>1</v>
      </c>
      <c r="M5748" t="s">
        <v>39</v>
      </c>
      <c r="N5748" t="s">
        <v>40</v>
      </c>
      <c r="O5748" s="27" t="str">
        <f>HYPERLINK("https://www.ncbi.nlm.nih.gov/nuccore/NZ_CP017157.1?report=graph&amp;from=4218216&amp;to=4218220", "TTA_codon")</f>
        <v>TTA_codon</v>
      </c>
    </row>
    <row r="5749" spans="1:15" x14ac:dyDescent="0.15">
      <c r="A5749" t="s">
        <v>21</v>
      </c>
      <c r="B5749" t="s">
        <v>4225</v>
      </c>
    </row>
    <row r="5750" spans="1:15" x14ac:dyDescent="0.15">
      <c r="A5750" t="s">
        <v>21</v>
      </c>
      <c r="B5750">
        <v>1000340</v>
      </c>
      <c r="C5750">
        <v>348097</v>
      </c>
      <c r="F5750" s="7">
        <v>1</v>
      </c>
      <c r="G5750" s="7">
        <v>676</v>
      </c>
      <c r="H5750" s="8">
        <v>667</v>
      </c>
      <c r="J5750" t="s">
        <v>23</v>
      </c>
      <c r="K5750" s="7">
        <v>2274</v>
      </c>
      <c r="L5750" s="9">
        <v>1</v>
      </c>
      <c r="M5750" t="s">
        <v>59</v>
      </c>
      <c r="N5750" t="s">
        <v>60</v>
      </c>
      <c r="O5750" s="27" t="str">
        <f>HYPERLINK("https://www.ncbi.nlm.nih.gov/nuccore/NC_016582.1?report=graph&amp;from=8470265&amp;to=8470269", "TTA_codon")</f>
        <v>TTA_codon</v>
      </c>
    </row>
    <row r="5751" spans="1:15" x14ac:dyDescent="0.15">
      <c r="A5751" t="s">
        <v>21</v>
      </c>
      <c r="B5751">
        <v>1000340</v>
      </c>
      <c r="C5751">
        <v>362229</v>
      </c>
      <c r="F5751" s="7">
        <v>1</v>
      </c>
      <c r="G5751" s="7">
        <v>727</v>
      </c>
      <c r="H5751" s="8">
        <v>718</v>
      </c>
      <c r="J5751" t="s">
        <v>23</v>
      </c>
      <c r="K5751" s="7">
        <v>2151</v>
      </c>
      <c r="L5751" s="9">
        <v>1</v>
      </c>
      <c r="M5751" t="s">
        <v>39</v>
      </c>
      <c r="N5751" t="s">
        <v>40</v>
      </c>
      <c r="O5751" s="27" t="str">
        <f>HYPERLINK("https://www.ncbi.nlm.nih.gov/nuccore/NZ_CP017157.1?report=graph&amp;from=1376709&amp;to=1376713", "TTA_codon")</f>
        <v>TTA_codon</v>
      </c>
    </row>
    <row r="5752" spans="1:15" x14ac:dyDescent="0.15">
      <c r="A5752" t="s">
        <v>21</v>
      </c>
      <c r="B5752">
        <v>1000340</v>
      </c>
      <c r="C5752">
        <v>365231</v>
      </c>
      <c r="F5752" s="7">
        <v>1</v>
      </c>
      <c r="G5752" s="7">
        <v>763</v>
      </c>
      <c r="H5752" s="8">
        <v>733</v>
      </c>
      <c r="J5752" t="s">
        <v>23</v>
      </c>
      <c r="K5752" s="7">
        <v>2034</v>
      </c>
      <c r="L5752" s="9">
        <v>1</v>
      </c>
      <c r="M5752" t="s">
        <v>2480</v>
      </c>
      <c r="N5752" t="s">
        <v>347</v>
      </c>
      <c r="O5752" s="27" t="str">
        <f>HYPERLINK("https://www.ncbi.nlm.nih.gov/nuccore/NZ_FNFF01000015.1?report=graph&amp;from=196904&amp;to=196908", "TTA_codon")</f>
        <v>TTA_codon</v>
      </c>
    </row>
    <row r="5753" spans="1:15" x14ac:dyDescent="0.15">
      <c r="A5753" t="s">
        <v>21</v>
      </c>
      <c r="B5753" t="s">
        <v>4226</v>
      </c>
    </row>
    <row r="5754" spans="1:15" x14ac:dyDescent="0.15">
      <c r="A5754" t="s">
        <v>21</v>
      </c>
      <c r="B5754">
        <v>1001359</v>
      </c>
      <c r="C5754">
        <v>361122</v>
      </c>
      <c r="F5754" s="7">
        <v>1</v>
      </c>
      <c r="G5754" s="7">
        <v>292</v>
      </c>
      <c r="H5754" s="8">
        <v>268</v>
      </c>
      <c r="J5754" t="s">
        <v>23</v>
      </c>
      <c r="K5754" s="7">
        <v>912</v>
      </c>
      <c r="L5754" s="9">
        <v>1</v>
      </c>
      <c r="M5754" t="s">
        <v>98</v>
      </c>
      <c r="N5754" t="s">
        <v>99</v>
      </c>
      <c r="O5754" s="27" t="str">
        <f>HYPERLINK("https://www.ncbi.nlm.nih.gov/nuccore/NZ_CP016438.1?report=graph&amp;from=9773857&amp;to=9773861", "TTA_codon")</f>
        <v>TTA_codon</v>
      </c>
    </row>
    <row r="5755" spans="1:15" x14ac:dyDescent="0.15">
      <c r="A5755" t="s">
        <v>21</v>
      </c>
      <c r="B5755">
        <v>1001359</v>
      </c>
      <c r="C5755">
        <v>366080</v>
      </c>
      <c r="F5755" s="7">
        <v>2</v>
      </c>
      <c r="G5755" s="7" t="s">
        <v>4227</v>
      </c>
      <c r="H5755" s="8" t="s">
        <v>4227</v>
      </c>
      <c r="J5755" t="s">
        <v>23</v>
      </c>
      <c r="K5755" s="7">
        <v>945</v>
      </c>
      <c r="L5755" s="9">
        <v>1</v>
      </c>
      <c r="M5755" t="s">
        <v>2760</v>
      </c>
      <c r="N5755" t="s">
        <v>257</v>
      </c>
      <c r="O5755" s="27" t="str">
        <f>HYPERLINK("https://www.ncbi.nlm.nih.gov/nuccore/NZ_FOET01000017.1?report=graph&amp;from=68888&amp;to=69102", "TTA_codon")</f>
        <v>TTA_codon</v>
      </c>
    </row>
    <row r="5756" spans="1:15" x14ac:dyDescent="0.15">
      <c r="A5756" t="s">
        <v>21</v>
      </c>
      <c r="B5756" t="s">
        <v>4228</v>
      </c>
    </row>
    <row r="5757" spans="1:15" x14ac:dyDescent="0.15">
      <c r="A5757" t="s">
        <v>21</v>
      </c>
      <c r="B5757">
        <v>1001140</v>
      </c>
      <c r="C5757">
        <v>356147</v>
      </c>
      <c r="F5757" s="7">
        <v>1</v>
      </c>
      <c r="G5757" s="7">
        <v>109</v>
      </c>
      <c r="H5757" s="8">
        <v>109</v>
      </c>
      <c r="J5757" t="s">
        <v>23</v>
      </c>
      <c r="K5757" s="7">
        <v>3288</v>
      </c>
      <c r="L5757" s="9">
        <v>1</v>
      </c>
      <c r="M5757" t="s">
        <v>1561</v>
      </c>
      <c r="N5757" t="s">
        <v>77</v>
      </c>
      <c r="O5757" s="27" t="str">
        <f>HYPERLINK("https://www.ncbi.nlm.nih.gov/nuccore/NZ_JNXD01000001.1?report=graph&amp;from=773427&amp;to=773431", "TTA_codon")</f>
        <v>TTA_codon</v>
      </c>
    </row>
    <row r="5758" spans="1:15" x14ac:dyDescent="0.15">
      <c r="A5758" t="s">
        <v>21</v>
      </c>
      <c r="B5758">
        <v>1001140</v>
      </c>
      <c r="C5758">
        <v>357664</v>
      </c>
      <c r="F5758" s="7">
        <v>1</v>
      </c>
      <c r="G5758" s="7">
        <v>211</v>
      </c>
      <c r="H5758" s="8">
        <v>196</v>
      </c>
      <c r="J5758" t="s">
        <v>23</v>
      </c>
      <c r="K5758" s="7">
        <v>3270</v>
      </c>
      <c r="L5758" s="9">
        <v>1</v>
      </c>
      <c r="M5758" t="s">
        <v>4229</v>
      </c>
      <c r="N5758" t="s">
        <v>83</v>
      </c>
      <c r="O5758" s="27" t="str">
        <f>HYPERLINK("https://www.ncbi.nlm.nih.gov/nuccore/NZ_DF968337.1?report=graph&amp;from=1646&amp;to=1650", "TTA_codon")</f>
        <v>TTA_codon</v>
      </c>
    </row>
    <row r="5759" spans="1:15" x14ac:dyDescent="0.15">
      <c r="A5759" t="s">
        <v>21</v>
      </c>
      <c r="B5759" t="s">
        <v>4230</v>
      </c>
    </row>
    <row r="5760" spans="1:15" x14ac:dyDescent="0.15">
      <c r="A5760" t="s">
        <v>21</v>
      </c>
      <c r="B5760">
        <v>1000611</v>
      </c>
      <c r="C5760">
        <v>350309</v>
      </c>
      <c r="F5760" s="7">
        <v>2</v>
      </c>
      <c r="G5760" s="7" t="s">
        <v>4231</v>
      </c>
      <c r="H5760" s="8" t="s">
        <v>4232</v>
      </c>
      <c r="J5760" t="s">
        <v>23</v>
      </c>
      <c r="K5760" s="7">
        <v>1257</v>
      </c>
      <c r="L5760" s="9">
        <v>1</v>
      </c>
      <c r="M5760" t="s">
        <v>1457</v>
      </c>
      <c r="N5760" t="s">
        <v>36</v>
      </c>
      <c r="O5760" s="27" t="str">
        <f>HYPERLINK("https://www.ncbi.nlm.nih.gov/nuccore/NZ_JH725388.1?report=graph&amp;from=368568&amp;to=369310", "TTA_codon")</f>
        <v>TTA_codon</v>
      </c>
    </row>
    <row r="5761" spans="1:15" x14ac:dyDescent="0.15">
      <c r="A5761" t="s">
        <v>21</v>
      </c>
      <c r="B5761">
        <v>1000611</v>
      </c>
      <c r="C5761">
        <v>362257</v>
      </c>
      <c r="F5761" s="7">
        <v>1</v>
      </c>
      <c r="G5761" s="7">
        <v>460</v>
      </c>
      <c r="H5761" s="8">
        <v>460</v>
      </c>
      <c r="J5761" t="s">
        <v>23</v>
      </c>
      <c r="K5761" s="7">
        <v>1260</v>
      </c>
      <c r="L5761" s="9">
        <v>1</v>
      </c>
      <c r="M5761" t="s">
        <v>39</v>
      </c>
      <c r="N5761" t="s">
        <v>40</v>
      </c>
      <c r="O5761" s="27" t="str">
        <f>HYPERLINK("https://www.ncbi.nlm.nih.gov/nuccore/NZ_CP017157.1?report=graph&amp;from=4576364&amp;to=4576368", "TTA_codon")</f>
        <v>TTA_codon</v>
      </c>
    </row>
    <row r="5762" spans="1:15" x14ac:dyDescent="0.15">
      <c r="A5762" t="s">
        <v>21</v>
      </c>
      <c r="B5762" t="s">
        <v>4233</v>
      </c>
    </row>
    <row r="5763" spans="1:15" x14ac:dyDescent="0.15">
      <c r="A5763" t="s">
        <v>21</v>
      </c>
      <c r="B5763">
        <v>1000389</v>
      </c>
      <c r="C5763">
        <v>348381</v>
      </c>
      <c r="F5763" s="7">
        <v>2</v>
      </c>
      <c r="G5763" s="7" t="s">
        <v>4234</v>
      </c>
      <c r="H5763" s="8" t="s">
        <v>4235</v>
      </c>
      <c r="J5763" t="s">
        <v>23</v>
      </c>
      <c r="K5763" s="7">
        <v>1209</v>
      </c>
      <c r="L5763" s="9">
        <v>-1</v>
      </c>
      <c r="M5763" t="s">
        <v>59</v>
      </c>
      <c r="N5763" t="s">
        <v>60</v>
      </c>
      <c r="O5763" s="27" t="str">
        <f>HYPERLINK("https://www.ncbi.nlm.nih.gov/nuccore/NC_016582.1?report=graph&amp;from=5906143&amp;to=5906903", "TTA_codon")</f>
        <v>TTA_codon</v>
      </c>
    </row>
    <row r="5764" spans="1:15" x14ac:dyDescent="0.15">
      <c r="A5764" t="s">
        <v>21</v>
      </c>
      <c r="B5764">
        <v>1000389</v>
      </c>
      <c r="C5764">
        <v>362147</v>
      </c>
      <c r="F5764" s="7">
        <v>2</v>
      </c>
      <c r="G5764" s="7" t="s">
        <v>4236</v>
      </c>
      <c r="H5764" s="8" t="s">
        <v>4237</v>
      </c>
      <c r="J5764" t="s">
        <v>23</v>
      </c>
      <c r="K5764" s="7">
        <v>723</v>
      </c>
      <c r="L5764" s="9">
        <v>-1</v>
      </c>
      <c r="M5764" t="s">
        <v>2500</v>
      </c>
      <c r="N5764" t="s">
        <v>187</v>
      </c>
      <c r="O5764" s="27" t="str">
        <f>HYPERLINK("https://www.ncbi.nlm.nih.gov/nuccore/NZ_MAXF01000041.1?report=graph&amp;from=4898&amp;to=5304", "TTA_codon")</f>
        <v>TTA_codon</v>
      </c>
    </row>
    <row r="5765" spans="1:15" x14ac:dyDescent="0.15">
      <c r="A5765" t="s">
        <v>195</v>
      </c>
      <c r="B5765" t="s">
        <v>4238</v>
      </c>
    </row>
    <row r="5766" spans="1:15" x14ac:dyDescent="0.15">
      <c r="A5766" t="s">
        <v>195</v>
      </c>
      <c r="B5766">
        <v>1000121</v>
      </c>
      <c r="C5766">
        <v>346847</v>
      </c>
      <c r="F5766" s="7">
        <v>1</v>
      </c>
      <c r="G5766" s="7">
        <v>55</v>
      </c>
      <c r="H5766" s="8">
        <v>55</v>
      </c>
      <c r="J5766" t="s">
        <v>23</v>
      </c>
      <c r="K5766" s="7">
        <v>1425</v>
      </c>
      <c r="L5766" s="9">
        <v>1</v>
      </c>
      <c r="M5766" t="s">
        <v>200</v>
      </c>
      <c r="N5766" t="s">
        <v>201</v>
      </c>
      <c r="O5766" s="27" t="str">
        <f>HYPERLINK("https://www.ncbi.nlm.nih.gov/nuccore/NZ_CP016559.1?report=graph&amp;from=2950248&amp;to=2950252", "TTA_codon")</f>
        <v>TTA_codon</v>
      </c>
    </row>
    <row r="5767" spans="1:15" x14ac:dyDescent="0.15">
      <c r="A5767" t="s">
        <v>21</v>
      </c>
      <c r="B5767">
        <v>1000121</v>
      </c>
      <c r="C5767">
        <v>351192</v>
      </c>
      <c r="F5767" s="7">
        <v>1</v>
      </c>
      <c r="G5767" s="7">
        <v>55</v>
      </c>
      <c r="H5767" s="8">
        <v>55</v>
      </c>
      <c r="J5767" t="s">
        <v>23</v>
      </c>
      <c r="K5767" s="7">
        <v>1434</v>
      </c>
      <c r="L5767" s="9">
        <v>1</v>
      </c>
      <c r="M5767" t="s">
        <v>65</v>
      </c>
      <c r="N5767" t="s">
        <v>66</v>
      </c>
      <c r="O5767" s="27" t="str">
        <f>HYPERLINK("https://www.ncbi.nlm.nih.gov/nuccore/NC_020504.1?report=graph&amp;from=530237&amp;to=530241", "TTA_codon")</f>
        <v>TTA_codon</v>
      </c>
    </row>
    <row r="5768" spans="1:15" x14ac:dyDescent="0.15">
      <c r="A5768" t="s">
        <v>195</v>
      </c>
      <c r="B5768" t="s">
        <v>4239</v>
      </c>
    </row>
    <row r="5769" spans="1:15" x14ac:dyDescent="0.15">
      <c r="A5769" t="s">
        <v>195</v>
      </c>
      <c r="B5769">
        <v>1000021</v>
      </c>
      <c r="C5769">
        <v>346079</v>
      </c>
      <c r="F5769" s="7">
        <v>1</v>
      </c>
      <c r="G5769" s="7">
        <v>61</v>
      </c>
      <c r="H5769" s="8">
        <v>61</v>
      </c>
      <c r="J5769" t="s">
        <v>23</v>
      </c>
      <c r="K5769" s="7">
        <v>882</v>
      </c>
      <c r="L5769" s="9">
        <v>-1</v>
      </c>
      <c r="M5769" t="s">
        <v>59</v>
      </c>
      <c r="N5769" t="s">
        <v>60</v>
      </c>
      <c r="O5769" s="27" t="str">
        <f>HYPERLINK("https://www.ncbi.nlm.nih.gov/nuccore/NC_016582.1?report=graph&amp;from=7892241&amp;to=7892245", "TTA_codon")</f>
        <v>TTA_codon</v>
      </c>
    </row>
    <row r="5770" spans="1:15" x14ac:dyDescent="0.15">
      <c r="A5770" t="s">
        <v>21</v>
      </c>
      <c r="B5770">
        <v>1000021</v>
      </c>
      <c r="C5770">
        <v>347243</v>
      </c>
      <c r="F5770" s="7">
        <v>1</v>
      </c>
      <c r="G5770" s="7">
        <v>52</v>
      </c>
      <c r="H5770" s="8">
        <v>52</v>
      </c>
      <c r="J5770" t="s">
        <v>23</v>
      </c>
      <c r="K5770" s="7">
        <v>867</v>
      </c>
      <c r="L5770" s="9">
        <v>-1</v>
      </c>
      <c r="M5770" t="s">
        <v>53</v>
      </c>
      <c r="N5770" t="s">
        <v>54</v>
      </c>
      <c r="O5770" s="27" t="str">
        <f>HYPERLINK("https://www.ncbi.nlm.nih.gov/nuccore/NC_003155.5?report=graph&amp;from=6557570&amp;to=6557574", "TTA_codon")</f>
        <v>TTA_codon</v>
      </c>
    </row>
    <row r="5771" spans="1:15" x14ac:dyDescent="0.15">
      <c r="A5771" t="s">
        <v>21</v>
      </c>
      <c r="B5771">
        <v>1000021</v>
      </c>
      <c r="C5771">
        <v>348011</v>
      </c>
      <c r="F5771" s="7">
        <v>1</v>
      </c>
      <c r="G5771" s="7">
        <v>196</v>
      </c>
      <c r="H5771" s="8">
        <v>175</v>
      </c>
      <c r="J5771" t="s">
        <v>23</v>
      </c>
      <c r="K5771" s="7">
        <v>849</v>
      </c>
      <c r="L5771" s="9">
        <v>-1</v>
      </c>
      <c r="M5771" t="s">
        <v>59</v>
      </c>
      <c r="N5771" t="s">
        <v>60</v>
      </c>
      <c r="O5771" s="27" t="str">
        <f>HYPERLINK("https://www.ncbi.nlm.nih.gov/nuccore/NC_016582.1?report=graph&amp;from=3073909&amp;to=3073913", "TTA_codon")</f>
        <v>TTA_codon</v>
      </c>
    </row>
    <row r="5772" spans="1:15" x14ac:dyDescent="0.15">
      <c r="A5772" t="s">
        <v>21</v>
      </c>
      <c r="B5772" t="s">
        <v>4240</v>
      </c>
    </row>
    <row r="5773" spans="1:15" x14ac:dyDescent="0.15">
      <c r="A5773" t="s">
        <v>21</v>
      </c>
      <c r="B5773">
        <v>1001530</v>
      </c>
      <c r="C5773">
        <v>355081</v>
      </c>
      <c r="F5773" s="7">
        <v>2</v>
      </c>
      <c r="G5773" s="7" t="s">
        <v>4241</v>
      </c>
      <c r="H5773" s="8" t="s">
        <v>4242</v>
      </c>
      <c r="J5773" t="s">
        <v>23</v>
      </c>
      <c r="K5773" s="7">
        <v>801</v>
      </c>
      <c r="L5773" s="9">
        <v>1</v>
      </c>
      <c r="M5773" t="s">
        <v>4243</v>
      </c>
      <c r="N5773" t="s">
        <v>433</v>
      </c>
      <c r="O5773" s="27" t="str">
        <f>HYPERLINK("https://www.ncbi.nlm.nih.gov/nuccore/NZ_JOBF01000046.1?report=graph&amp;from=6611&amp;to=7209", "TTA_codon")</f>
        <v>TTA_codon</v>
      </c>
    </row>
    <row r="5774" spans="1:15" x14ac:dyDescent="0.15">
      <c r="A5774" t="s">
        <v>21</v>
      </c>
      <c r="B5774">
        <v>1001530</v>
      </c>
      <c r="C5774">
        <v>355628</v>
      </c>
      <c r="F5774" s="7">
        <v>1</v>
      </c>
      <c r="G5774" s="7">
        <v>43</v>
      </c>
      <c r="H5774" s="8">
        <v>43</v>
      </c>
      <c r="J5774" t="s">
        <v>23</v>
      </c>
      <c r="K5774" s="7">
        <v>846</v>
      </c>
      <c r="L5774" s="9">
        <v>1</v>
      </c>
      <c r="M5774" t="s">
        <v>1383</v>
      </c>
      <c r="N5774" t="s">
        <v>278</v>
      </c>
      <c r="O5774" s="27" t="str">
        <f>HYPERLINK("https://www.ncbi.nlm.nih.gov/nuccore/NZ_JOID01000001.1?report=graph&amp;from=452746&amp;to=452750", "TTA_codon")</f>
        <v>TTA_codon</v>
      </c>
    </row>
    <row r="5775" spans="1:15" x14ac:dyDescent="0.15">
      <c r="A5775" t="s">
        <v>21</v>
      </c>
      <c r="B5775">
        <v>1001530</v>
      </c>
      <c r="C5775">
        <v>360398</v>
      </c>
      <c r="F5775" s="7">
        <v>1</v>
      </c>
      <c r="G5775" s="7">
        <v>43</v>
      </c>
      <c r="H5775" s="8">
        <v>43</v>
      </c>
      <c r="J5775" t="s">
        <v>23</v>
      </c>
      <c r="K5775" s="7">
        <v>807</v>
      </c>
      <c r="L5775" s="9">
        <v>1</v>
      </c>
      <c r="M5775" t="s">
        <v>121</v>
      </c>
      <c r="N5775" t="s">
        <v>122</v>
      </c>
      <c r="O5775" s="27" t="str">
        <f>HYPERLINK("https://www.ncbi.nlm.nih.gov/nuccore/NZ_CP016279.1?report=graph&amp;from=8159771&amp;to=8159775", "TTA_codon")</f>
        <v>TTA_codon</v>
      </c>
    </row>
    <row r="5776" spans="1:15" x14ac:dyDescent="0.15">
      <c r="A5776" t="s">
        <v>21</v>
      </c>
      <c r="B5776">
        <v>1001530</v>
      </c>
      <c r="C5776">
        <v>364448</v>
      </c>
      <c r="F5776" s="7">
        <v>2</v>
      </c>
      <c r="G5776" s="7" t="s">
        <v>4244</v>
      </c>
      <c r="H5776" s="8" t="s">
        <v>4245</v>
      </c>
      <c r="J5776" t="s">
        <v>23</v>
      </c>
      <c r="K5776" s="7">
        <v>810</v>
      </c>
      <c r="L5776" s="9">
        <v>1</v>
      </c>
      <c r="M5776" t="s">
        <v>4246</v>
      </c>
      <c r="N5776" t="s">
        <v>326</v>
      </c>
      <c r="O5776" s="27" t="str">
        <f>HYPERLINK("https://www.ncbi.nlm.nih.gov/nuccore/NZ_MUBL01000359.1?report=graph&amp;from=5796&amp;to=5818", "TTA_codon")</f>
        <v>TTA_codon</v>
      </c>
    </row>
    <row r="5777" spans="1:15" x14ac:dyDescent="0.15">
      <c r="A5777" t="s">
        <v>21</v>
      </c>
      <c r="B5777">
        <v>1001530</v>
      </c>
      <c r="C5777">
        <v>366781</v>
      </c>
      <c r="F5777" s="7">
        <v>1</v>
      </c>
      <c r="G5777" s="7">
        <v>760</v>
      </c>
      <c r="H5777" s="8">
        <v>727</v>
      </c>
      <c r="J5777" t="s">
        <v>23</v>
      </c>
      <c r="K5777" s="7">
        <v>783</v>
      </c>
      <c r="L5777" s="9">
        <v>1</v>
      </c>
      <c r="M5777" t="s">
        <v>1384</v>
      </c>
      <c r="N5777" t="s">
        <v>209</v>
      </c>
      <c r="O5777" s="27" t="str">
        <f>HYPERLINK("https://www.ncbi.nlm.nih.gov/nuccore/NZ_FZOF01000014.1?report=graph&amp;from=111334&amp;to=111338", "TTA_codon")</f>
        <v>TTA_codon</v>
      </c>
    </row>
    <row r="5778" spans="1:15" x14ac:dyDescent="0.15">
      <c r="A5778" t="s">
        <v>21</v>
      </c>
      <c r="B5778" t="s">
        <v>4247</v>
      </c>
    </row>
    <row r="5779" spans="1:15" x14ac:dyDescent="0.15">
      <c r="A5779" t="s">
        <v>21</v>
      </c>
      <c r="B5779">
        <v>1000422</v>
      </c>
      <c r="C5779">
        <v>348648</v>
      </c>
      <c r="F5779" s="7">
        <v>1</v>
      </c>
      <c r="G5779" s="7">
        <v>142</v>
      </c>
      <c r="H5779" s="8">
        <v>127</v>
      </c>
      <c r="J5779" t="s">
        <v>23</v>
      </c>
      <c r="K5779" s="7">
        <v>504</v>
      </c>
      <c r="L5779" s="9">
        <v>-1</v>
      </c>
      <c r="M5779" t="s">
        <v>61</v>
      </c>
      <c r="N5779" t="s">
        <v>62</v>
      </c>
      <c r="O5779" s="27" t="str">
        <f>HYPERLINK("https://www.ncbi.nlm.nih.gov/nuccore/NZ_DS999641.1?report=graph&amp;from=3733209&amp;to=3733213", "TTA_codon")</f>
        <v>TTA_codon</v>
      </c>
    </row>
    <row r="5780" spans="1:15" x14ac:dyDescent="0.15">
      <c r="A5780" t="s">
        <v>21</v>
      </c>
      <c r="B5780">
        <v>1000422</v>
      </c>
      <c r="C5780">
        <v>349169</v>
      </c>
      <c r="F5780" s="7">
        <v>1</v>
      </c>
      <c r="G5780" s="7">
        <v>340</v>
      </c>
      <c r="H5780" s="8">
        <v>325</v>
      </c>
      <c r="J5780" t="s">
        <v>23</v>
      </c>
      <c r="K5780" s="7">
        <v>537</v>
      </c>
      <c r="L5780" s="9">
        <v>-1</v>
      </c>
      <c r="M5780" t="s">
        <v>211</v>
      </c>
      <c r="N5780" t="s">
        <v>212</v>
      </c>
      <c r="O5780" s="27" t="str">
        <f>HYPERLINK("https://www.ncbi.nlm.nih.gov/nuccore/NZ_GG657754.1?report=graph&amp;from=5025146&amp;to=5025150", "TTA_codon")</f>
        <v>TTA_codon</v>
      </c>
    </row>
    <row r="5781" spans="1:15" x14ac:dyDescent="0.15">
      <c r="A5781" t="s">
        <v>21</v>
      </c>
      <c r="B5781">
        <v>1000422</v>
      </c>
      <c r="C5781">
        <v>357076</v>
      </c>
      <c r="F5781" s="7">
        <v>1</v>
      </c>
      <c r="G5781" s="7">
        <v>238</v>
      </c>
      <c r="H5781" s="8">
        <v>223</v>
      </c>
      <c r="J5781" t="s">
        <v>23</v>
      </c>
      <c r="K5781" s="7">
        <v>504</v>
      </c>
      <c r="L5781" s="9">
        <v>-1</v>
      </c>
      <c r="M5781" t="s">
        <v>162</v>
      </c>
      <c r="N5781" t="s">
        <v>163</v>
      </c>
      <c r="O5781" s="27" t="str">
        <f>HYPERLINK("https://www.ncbi.nlm.nih.gov/nuccore/NZ_CP010519.1?report=graph&amp;from=3842994&amp;to=3842998", "TTA_codon")</f>
        <v>TTA_codon</v>
      </c>
    </row>
    <row r="5782" spans="1:15" x14ac:dyDescent="0.15">
      <c r="A5782" t="s">
        <v>21</v>
      </c>
      <c r="B5782">
        <v>1000422</v>
      </c>
      <c r="C5782">
        <v>360248</v>
      </c>
      <c r="F5782" s="7">
        <v>1</v>
      </c>
      <c r="G5782" s="7">
        <v>340</v>
      </c>
      <c r="H5782" s="8">
        <v>325</v>
      </c>
      <c r="J5782" t="s">
        <v>23</v>
      </c>
      <c r="K5782" s="7">
        <v>507</v>
      </c>
      <c r="L5782" s="9">
        <v>-1</v>
      </c>
      <c r="M5782" t="s">
        <v>2642</v>
      </c>
      <c r="N5782" t="s">
        <v>125</v>
      </c>
      <c r="O5782" s="27" t="str">
        <f>HYPERLINK("https://www.ncbi.nlm.nih.gov/nuccore/NZ_KQ948460.1?report=graph&amp;from=271877&amp;to=271881", "TTA_codon")</f>
        <v>TTA_codon</v>
      </c>
    </row>
    <row r="5783" spans="1:15" x14ac:dyDescent="0.15">
      <c r="A5783" t="s">
        <v>21</v>
      </c>
      <c r="B5783">
        <v>1000422</v>
      </c>
      <c r="C5783">
        <v>362717</v>
      </c>
      <c r="F5783" s="7">
        <v>1</v>
      </c>
      <c r="G5783" s="7">
        <v>148</v>
      </c>
      <c r="H5783" s="8">
        <v>133</v>
      </c>
      <c r="J5783" t="s">
        <v>23</v>
      </c>
      <c r="K5783" s="7">
        <v>513</v>
      </c>
      <c r="L5783" s="9">
        <v>-1</v>
      </c>
      <c r="M5783" t="s">
        <v>2215</v>
      </c>
      <c r="N5783" t="s">
        <v>985</v>
      </c>
      <c r="O5783" s="27" t="str">
        <f>HYPERLINK("https://www.ncbi.nlm.nih.gov/nuccore/NZ_LJGU01000141.1?report=graph&amp;from=24818&amp;to=24822", "TTA_codon")</f>
        <v>TTA_codon</v>
      </c>
    </row>
    <row r="5784" spans="1:15" x14ac:dyDescent="0.15">
      <c r="A5784" t="s">
        <v>21</v>
      </c>
      <c r="B5784">
        <v>1000422</v>
      </c>
      <c r="C5784">
        <v>363515</v>
      </c>
      <c r="F5784" s="7">
        <v>1</v>
      </c>
      <c r="G5784" s="7">
        <v>142</v>
      </c>
      <c r="H5784" s="8">
        <v>127</v>
      </c>
      <c r="J5784" t="s">
        <v>23</v>
      </c>
      <c r="K5784" s="7">
        <v>510</v>
      </c>
      <c r="L5784" s="9">
        <v>-1</v>
      </c>
      <c r="M5784" t="s">
        <v>157</v>
      </c>
      <c r="N5784" t="s">
        <v>158</v>
      </c>
      <c r="O5784" s="27" t="str">
        <f>HYPERLINK("https://www.ncbi.nlm.nih.gov/nuccore/NZ_CP015588.1?report=graph&amp;from=4185041&amp;to=4185045", "TTA_codon")</f>
        <v>TTA_codon</v>
      </c>
    </row>
    <row r="5785" spans="1:15" x14ac:dyDescent="0.15">
      <c r="A5785" t="s">
        <v>21</v>
      </c>
      <c r="B5785">
        <v>1000422</v>
      </c>
      <c r="C5785">
        <v>366006</v>
      </c>
      <c r="F5785" s="7">
        <v>1</v>
      </c>
      <c r="G5785" s="7">
        <v>142</v>
      </c>
      <c r="H5785" s="8">
        <v>142</v>
      </c>
      <c r="J5785" t="s">
        <v>23</v>
      </c>
      <c r="K5785" s="7">
        <v>507</v>
      </c>
      <c r="L5785" s="9">
        <v>-1</v>
      </c>
      <c r="M5785" t="s">
        <v>4248</v>
      </c>
      <c r="N5785" t="s">
        <v>115</v>
      </c>
      <c r="O5785" s="27" t="str">
        <f>HYPERLINK("https://www.ncbi.nlm.nih.gov/nuccore/NZ_FODD01000026.1?report=graph&amp;from=72838&amp;to=72842", "TTA_codon")</f>
        <v>TTA_codon</v>
      </c>
    </row>
    <row r="5786" spans="1:15" x14ac:dyDescent="0.15">
      <c r="A5786" t="s">
        <v>21</v>
      </c>
      <c r="B5786" t="s">
        <v>4249</v>
      </c>
    </row>
    <row r="5787" spans="1:15" x14ac:dyDescent="0.15">
      <c r="A5787" t="s">
        <v>21</v>
      </c>
      <c r="B5787">
        <v>1000871</v>
      </c>
      <c r="C5787">
        <v>352615</v>
      </c>
      <c r="F5787" s="7">
        <v>1</v>
      </c>
      <c r="G5787" s="7">
        <v>76</v>
      </c>
      <c r="H5787" s="8">
        <v>76</v>
      </c>
      <c r="J5787" t="s">
        <v>23</v>
      </c>
      <c r="K5787" s="7">
        <v>1560</v>
      </c>
      <c r="L5787" s="9">
        <v>1</v>
      </c>
      <c r="M5787" t="s">
        <v>1160</v>
      </c>
      <c r="N5787" t="s">
        <v>436</v>
      </c>
      <c r="O5787" s="27" t="str">
        <f>HYPERLINK("https://www.ncbi.nlm.nih.gov/nuccore/NZ_AUBE01000005.1?report=graph&amp;from=352502&amp;to=352506", "TTA_codon")</f>
        <v>TTA_codon</v>
      </c>
    </row>
    <row r="5788" spans="1:15" x14ac:dyDescent="0.15">
      <c r="A5788" t="s">
        <v>21</v>
      </c>
      <c r="B5788">
        <v>1000871</v>
      </c>
      <c r="C5788">
        <v>356541</v>
      </c>
      <c r="F5788" s="7">
        <v>1</v>
      </c>
      <c r="G5788" s="7">
        <v>76</v>
      </c>
      <c r="H5788" s="8">
        <v>76</v>
      </c>
      <c r="J5788" t="s">
        <v>23</v>
      </c>
      <c r="K5788" s="7">
        <v>1731</v>
      </c>
      <c r="L5788" s="9">
        <v>1</v>
      </c>
      <c r="M5788" t="s">
        <v>508</v>
      </c>
      <c r="N5788" t="s">
        <v>509</v>
      </c>
      <c r="O5788" s="27" t="str">
        <f>HYPERLINK("https://www.ncbi.nlm.nih.gov/nuccore/NZ_CP009438.1?report=graph&amp;from=6817337&amp;to=6817341", "TTA_codon")</f>
        <v>TTA_codon</v>
      </c>
    </row>
    <row r="5789" spans="1:15" x14ac:dyDescent="0.15">
      <c r="A5789" t="s">
        <v>21</v>
      </c>
      <c r="B5789">
        <v>1000871</v>
      </c>
      <c r="C5789">
        <v>356892</v>
      </c>
      <c r="F5789" s="7">
        <v>1</v>
      </c>
      <c r="G5789" s="7">
        <v>76</v>
      </c>
      <c r="H5789" s="8">
        <v>76</v>
      </c>
      <c r="J5789" t="s">
        <v>23</v>
      </c>
      <c r="K5789" s="7">
        <v>1677</v>
      </c>
      <c r="L5789" s="9">
        <v>1</v>
      </c>
      <c r="M5789" t="s">
        <v>78</v>
      </c>
      <c r="N5789" t="s">
        <v>79</v>
      </c>
      <c r="O5789" s="27" t="str">
        <f>HYPERLINK("https://www.ncbi.nlm.nih.gov/nuccore/NZ_CP009313.1?report=graph&amp;from=6677498&amp;to=6677502", "TTA_codon")</f>
        <v>TTA_codon</v>
      </c>
    </row>
    <row r="5790" spans="1:15" x14ac:dyDescent="0.15">
      <c r="A5790" t="s">
        <v>21</v>
      </c>
      <c r="B5790">
        <v>1000871</v>
      </c>
      <c r="C5790">
        <v>359109</v>
      </c>
      <c r="F5790" s="7">
        <v>1</v>
      </c>
      <c r="G5790" s="7">
        <v>76</v>
      </c>
      <c r="H5790" s="8">
        <v>76</v>
      </c>
      <c r="J5790" t="s">
        <v>23</v>
      </c>
      <c r="K5790" s="7">
        <v>1620</v>
      </c>
      <c r="L5790" s="9">
        <v>1</v>
      </c>
      <c r="M5790" t="s">
        <v>4250</v>
      </c>
      <c r="N5790" t="s">
        <v>451</v>
      </c>
      <c r="O5790" s="27" t="str">
        <f>HYPERLINK("https://www.ncbi.nlm.nih.gov/nuccore/NZ_LIQZ01000059.1?report=graph&amp;from=27741&amp;to=27745", "TTA_codon")</f>
        <v>TTA_codon</v>
      </c>
    </row>
    <row r="5791" spans="1:15" x14ac:dyDescent="0.15">
      <c r="A5791" t="s">
        <v>21</v>
      </c>
      <c r="B5791" t="s">
        <v>4251</v>
      </c>
    </row>
    <row r="5792" spans="1:15" x14ac:dyDescent="0.15">
      <c r="A5792" t="s">
        <v>21</v>
      </c>
      <c r="B5792">
        <v>1001487</v>
      </c>
      <c r="C5792">
        <v>364778</v>
      </c>
      <c r="F5792" s="7">
        <v>1</v>
      </c>
      <c r="G5792" s="7">
        <v>139</v>
      </c>
      <c r="H5792" s="8">
        <v>139</v>
      </c>
      <c r="J5792" t="s">
        <v>23</v>
      </c>
      <c r="K5792" s="7">
        <v>486</v>
      </c>
      <c r="L5792" s="9">
        <v>-1</v>
      </c>
      <c r="M5792" t="s">
        <v>2038</v>
      </c>
      <c r="N5792" t="s">
        <v>110</v>
      </c>
      <c r="O5792" s="27" t="str">
        <f>HYPERLINK("https://www.ncbi.nlm.nih.gov/nuccore/NZ_MUME01000157.1?report=graph&amp;from=13680&amp;to=13684", "TTA_codon")</f>
        <v>TTA_codon</v>
      </c>
    </row>
    <row r="5793" spans="1:15" x14ac:dyDescent="0.15">
      <c r="A5793" t="s">
        <v>21</v>
      </c>
      <c r="B5793">
        <v>1001487</v>
      </c>
      <c r="C5793">
        <v>365096</v>
      </c>
      <c r="F5793" s="7">
        <v>1</v>
      </c>
      <c r="G5793" s="7">
        <v>229</v>
      </c>
      <c r="H5793" s="8">
        <v>229</v>
      </c>
      <c r="J5793" t="s">
        <v>23</v>
      </c>
      <c r="K5793" s="7">
        <v>486</v>
      </c>
      <c r="L5793" s="9">
        <v>-1</v>
      </c>
      <c r="M5793" t="s">
        <v>111</v>
      </c>
      <c r="N5793" t="s">
        <v>112</v>
      </c>
      <c r="O5793" s="27" t="str">
        <f>HYPERLINK("https://www.ncbi.nlm.nih.gov/nuccore/NZ_CP021744.1?report=graph&amp;from=1766250&amp;to=1766254", "TTA_codon")</f>
        <v>TTA_codon</v>
      </c>
    </row>
    <row r="5794" spans="1:15" x14ac:dyDescent="0.15">
      <c r="A5794" t="s">
        <v>21</v>
      </c>
      <c r="B5794" t="s">
        <v>4252</v>
      </c>
    </row>
    <row r="5795" spans="1:15" x14ac:dyDescent="0.15">
      <c r="A5795" t="s">
        <v>21</v>
      </c>
      <c r="B5795">
        <v>1000795</v>
      </c>
      <c r="C5795">
        <v>351940</v>
      </c>
      <c r="F5795" s="7">
        <v>1</v>
      </c>
      <c r="G5795" s="7">
        <v>1741</v>
      </c>
      <c r="H5795" s="8">
        <v>1666</v>
      </c>
      <c r="J5795" t="s">
        <v>23</v>
      </c>
      <c r="K5795" s="7">
        <v>2145</v>
      </c>
      <c r="L5795" s="9">
        <v>1</v>
      </c>
      <c r="M5795" t="s">
        <v>3648</v>
      </c>
      <c r="N5795" t="s">
        <v>68</v>
      </c>
      <c r="O5795" s="27" t="str">
        <f>HYPERLINK("https://www.ncbi.nlm.nih.gov/nuccore/NZ_BARG01000030.1?report=graph&amp;from=186183&amp;to=186187", "TTA_codon")</f>
        <v>TTA_codon</v>
      </c>
    </row>
    <row r="5796" spans="1:15" x14ac:dyDescent="0.15">
      <c r="A5796" t="s">
        <v>21</v>
      </c>
      <c r="B5796">
        <v>1000795</v>
      </c>
      <c r="C5796">
        <v>352991</v>
      </c>
      <c r="F5796" s="7">
        <v>2</v>
      </c>
      <c r="G5796" s="7" t="s">
        <v>4253</v>
      </c>
      <c r="H5796" s="8" t="s">
        <v>4254</v>
      </c>
      <c r="J5796" t="s">
        <v>23</v>
      </c>
      <c r="K5796" s="7">
        <v>1848</v>
      </c>
      <c r="L5796" s="9">
        <v>1</v>
      </c>
      <c r="M5796" t="s">
        <v>4255</v>
      </c>
      <c r="N5796" t="s">
        <v>306</v>
      </c>
      <c r="O5796" s="27" t="str">
        <f>HYPERLINK("https://www.ncbi.nlm.nih.gov/nuccore/NZ_JNYL01000100.1?report=graph&amp;from=48364&amp;to=48605", "TTA_codon")</f>
        <v>TTA_codon</v>
      </c>
    </row>
    <row r="5797" spans="1:15" x14ac:dyDescent="0.15">
      <c r="A5797" t="s">
        <v>21</v>
      </c>
      <c r="B5797">
        <v>1000795</v>
      </c>
      <c r="C5797">
        <v>358878</v>
      </c>
      <c r="F5797" s="7">
        <v>2</v>
      </c>
      <c r="G5797" s="7" t="s">
        <v>4256</v>
      </c>
      <c r="H5797" s="8" t="s">
        <v>4257</v>
      </c>
      <c r="J5797" t="s">
        <v>23</v>
      </c>
      <c r="K5797" s="7">
        <v>1920</v>
      </c>
      <c r="L5797" s="9">
        <v>1</v>
      </c>
      <c r="M5797" t="s">
        <v>1683</v>
      </c>
      <c r="N5797" t="s">
        <v>87</v>
      </c>
      <c r="O5797" s="27" t="str">
        <f>HYPERLINK("https://www.ncbi.nlm.nih.gov/nuccore/NZ_LIQS01000070.1?report=graph&amp;from=11084&amp;to=11562", "TTA_codon")</f>
        <v>TTA_codon</v>
      </c>
    </row>
    <row r="5798" spans="1:15" x14ac:dyDescent="0.15">
      <c r="A5798" t="s">
        <v>21</v>
      </c>
      <c r="B5798" t="s">
        <v>4258</v>
      </c>
    </row>
    <row r="5799" spans="1:15" x14ac:dyDescent="0.15">
      <c r="A5799" t="s">
        <v>21</v>
      </c>
      <c r="B5799">
        <v>1000452</v>
      </c>
      <c r="C5799">
        <v>348788</v>
      </c>
      <c r="F5799" s="7">
        <v>1</v>
      </c>
      <c r="G5799" s="7">
        <v>190</v>
      </c>
      <c r="H5799" s="8">
        <v>190</v>
      </c>
      <c r="J5799" t="s">
        <v>23</v>
      </c>
      <c r="K5799" s="7">
        <v>1311</v>
      </c>
      <c r="L5799" s="9">
        <v>-1</v>
      </c>
      <c r="M5799" t="s">
        <v>211</v>
      </c>
      <c r="N5799" t="s">
        <v>212</v>
      </c>
      <c r="O5799" s="27" t="str">
        <f>HYPERLINK("https://www.ncbi.nlm.nih.gov/nuccore/NZ_GG657754.1?report=graph&amp;from=8846320&amp;to=8846324", "TTA_codon")</f>
        <v>TTA_codon</v>
      </c>
    </row>
    <row r="5800" spans="1:15" x14ac:dyDescent="0.15">
      <c r="A5800" t="s">
        <v>21</v>
      </c>
      <c r="B5800">
        <v>1000452</v>
      </c>
      <c r="C5800">
        <v>350508</v>
      </c>
      <c r="F5800" s="7">
        <v>2</v>
      </c>
      <c r="G5800" s="7" t="s">
        <v>4259</v>
      </c>
      <c r="H5800" s="8" t="s">
        <v>4260</v>
      </c>
      <c r="J5800" t="s">
        <v>23</v>
      </c>
      <c r="K5800" s="7">
        <v>1302</v>
      </c>
      <c r="L5800" s="9">
        <v>-1</v>
      </c>
      <c r="M5800" t="s">
        <v>4261</v>
      </c>
      <c r="N5800" t="s">
        <v>134</v>
      </c>
      <c r="O5800" s="27" t="str">
        <f>HYPERLINK("https://www.ncbi.nlm.nih.gov/nuccore/NZ_AJSZ01000050.1?report=graph&amp;from=24885&amp;to=25516", "TTA_codon")</f>
        <v>TTA_codon</v>
      </c>
    </row>
    <row r="5801" spans="1:15" x14ac:dyDescent="0.15">
      <c r="A5801" t="s">
        <v>21</v>
      </c>
      <c r="B5801">
        <v>1000452</v>
      </c>
      <c r="C5801">
        <v>352415</v>
      </c>
      <c r="F5801" s="7">
        <v>2</v>
      </c>
      <c r="G5801" s="7" t="s">
        <v>4262</v>
      </c>
      <c r="H5801" s="8" t="s">
        <v>4262</v>
      </c>
      <c r="J5801" t="s">
        <v>23</v>
      </c>
      <c r="K5801" s="7">
        <v>1311</v>
      </c>
      <c r="L5801" s="9">
        <v>-1</v>
      </c>
      <c r="M5801" t="s">
        <v>30</v>
      </c>
      <c r="N5801" t="s">
        <v>31</v>
      </c>
      <c r="O5801" s="27" t="str">
        <f>HYPERLINK("https://www.ncbi.nlm.nih.gov/nuccore/NZ_KB913030.1?report=graph&amp;from=6992861&amp;to=6993675", "TTA_codon")</f>
        <v>TTA_codon</v>
      </c>
    </row>
    <row r="5802" spans="1:15" x14ac:dyDescent="0.15">
      <c r="A5802" t="s">
        <v>21</v>
      </c>
      <c r="B5802">
        <v>1000452</v>
      </c>
      <c r="C5802">
        <v>359453</v>
      </c>
      <c r="F5802" s="7">
        <v>1</v>
      </c>
      <c r="G5802" s="7">
        <v>190</v>
      </c>
      <c r="H5802" s="8">
        <v>190</v>
      </c>
      <c r="J5802" t="s">
        <v>23</v>
      </c>
      <c r="K5802" s="7">
        <v>1311</v>
      </c>
      <c r="L5802" s="9">
        <v>-1</v>
      </c>
      <c r="M5802" t="s">
        <v>151</v>
      </c>
      <c r="N5802" t="s">
        <v>152</v>
      </c>
      <c r="O5802" s="27" t="str">
        <f>HYPERLINK("https://www.ncbi.nlm.nih.gov/nuccore/NZ_CP013129.1?report=graph&amp;from=8417736&amp;to=8417740", "TTA_codon")</f>
        <v>TTA_codon</v>
      </c>
    </row>
    <row r="5803" spans="1:15" x14ac:dyDescent="0.15">
      <c r="A5803" t="s">
        <v>21</v>
      </c>
      <c r="B5803">
        <v>1000452</v>
      </c>
      <c r="C5803">
        <v>365219</v>
      </c>
      <c r="F5803" s="7">
        <v>1</v>
      </c>
      <c r="G5803" s="7">
        <v>190</v>
      </c>
      <c r="H5803" s="8">
        <v>190</v>
      </c>
      <c r="J5803" t="s">
        <v>23</v>
      </c>
      <c r="K5803" s="7">
        <v>1311</v>
      </c>
      <c r="L5803" s="9">
        <v>-1</v>
      </c>
      <c r="M5803" t="s">
        <v>1277</v>
      </c>
      <c r="N5803" t="s">
        <v>347</v>
      </c>
      <c r="O5803" s="27" t="str">
        <f>HYPERLINK("https://www.ncbi.nlm.nih.gov/nuccore/NZ_FNFF01000001.1?report=graph&amp;from=407330&amp;to=407334", "TTA_codon")</f>
        <v>TTA_codon</v>
      </c>
    </row>
    <row r="5804" spans="1:15" x14ac:dyDescent="0.15">
      <c r="A5804" t="s">
        <v>21</v>
      </c>
      <c r="B5804">
        <v>1000452</v>
      </c>
      <c r="C5804">
        <v>365577</v>
      </c>
      <c r="F5804" s="7">
        <v>1</v>
      </c>
      <c r="G5804" s="7">
        <v>190</v>
      </c>
      <c r="H5804" s="8">
        <v>190</v>
      </c>
      <c r="J5804" t="s">
        <v>23</v>
      </c>
      <c r="K5804" s="7">
        <v>1311</v>
      </c>
      <c r="L5804" s="9">
        <v>-1</v>
      </c>
      <c r="M5804" t="s">
        <v>213</v>
      </c>
      <c r="N5804" t="s">
        <v>214</v>
      </c>
      <c r="O5804" s="27" t="str">
        <f>HYPERLINK("https://www.ncbi.nlm.nih.gov/nuccore/NZ_FNST01000002.1?report=graph&amp;from=8369401&amp;to=8369405", "TTA_codon")</f>
        <v>TTA_codon</v>
      </c>
    </row>
    <row r="5805" spans="1:15" x14ac:dyDescent="0.15">
      <c r="A5805" t="s">
        <v>21</v>
      </c>
      <c r="B5805" t="s">
        <v>4263</v>
      </c>
    </row>
    <row r="5806" spans="1:15" x14ac:dyDescent="0.15">
      <c r="A5806" t="s">
        <v>21</v>
      </c>
      <c r="B5806">
        <v>1001552</v>
      </c>
      <c r="C5806">
        <v>366984</v>
      </c>
      <c r="F5806" s="7">
        <v>1</v>
      </c>
      <c r="G5806" s="7">
        <v>511</v>
      </c>
      <c r="H5806" s="8">
        <v>511</v>
      </c>
      <c r="J5806" t="s">
        <v>23</v>
      </c>
      <c r="K5806" s="7">
        <v>774</v>
      </c>
      <c r="L5806" s="9">
        <v>1</v>
      </c>
      <c r="M5806" t="s">
        <v>222</v>
      </c>
      <c r="N5806" t="s">
        <v>223</v>
      </c>
      <c r="O5806" s="27" t="str">
        <f>HYPERLINK("https://www.ncbi.nlm.nih.gov/nuccore/MK359332.1?report=graph&amp;from=67393&amp;to=67397", "TTA_codon")</f>
        <v>TTA_codon</v>
      </c>
    </row>
    <row r="5807" spans="1:15" x14ac:dyDescent="0.15">
      <c r="A5807" t="s">
        <v>21</v>
      </c>
      <c r="B5807">
        <v>1001552</v>
      </c>
      <c r="C5807">
        <v>367005</v>
      </c>
      <c r="F5807" s="7">
        <v>1</v>
      </c>
      <c r="G5807" s="7">
        <v>511</v>
      </c>
      <c r="H5807" s="8">
        <v>511</v>
      </c>
      <c r="J5807" t="s">
        <v>23</v>
      </c>
      <c r="K5807" s="7">
        <v>774</v>
      </c>
      <c r="L5807" s="9">
        <v>1</v>
      </c>
      <c r="M5807" t="s">
        <v>224</v>
      </c>
      <c r="N5807" t="s">
        <v>225</v>
      </c>
      <c r="O5807" s="27" t="str">
        <f>HYPERLINK("https://www.ncbi.nlm.nih.gov/nuccore/MK359351.1?report=graph&amp;from=67279&amp;to=67283", "TTA_codon")</f>
        <v>TTA_codon</v>
      </c>
    </row>
    <row r="5808" spans="1:15" x14ac:dyDescent="0.15">
      <c r="A5808" t="s">
        <v>21</v>
      </c>
      <c r="B5808">
        <v>1001552</v>
      </c>
      <c r="C5808">
        <v>367377</v>
      </c>
      <c r="F5808" s="7">
        <v>1</v>
      </c>
      <c r="G5808" s="7">
        <v>511</v>
      </c>
      <c r="H5808" s="8">
        <v>511</v>
      </c>
      <c r="J5808" t="s">
        <v>23</v>
      </c>
      <c r="K5808" s="7">
        <v>774</v>
      </c>
      <c r="L5808" s="9">
        <v>1</v>
      </c>
      <c r="M5808" t="s">
        <v>242</v>
      </c>
      <c r="N5808" t="s">
        <v>243</v>
      </c>
      <c r="O5808" s="27" t="str">
        <f>HYPERLINK("https://www.ncbi.nlm.nih.gov/nuccore/NC_048730.1?report=graph&amp;from=67370&amp;to=67374", "TTA_codon")</f>
        <v>TTA_codon</v>
      </c>
    </row>
    <row r="5809" spans="1:15" x14ac:dyDescent="0.15">
      <c r="A5809" t="s">
        <v>21</v>
      </c>
      <c r="B5809" t="s">
        <v>4264</v>
      </c>
    </row>
    <row r="5810" spans="1:15" x14ac:dyDescent="0.15">
      <c r="A5810" t="s">
        <v>21</v>
      </c>
      <c r="B5810">
        <v>1001243</v>
      </c>
      <c r="C5810">
        <v>350908</v>
      </c>
      <c r="F5810" s="7">
        <v>1</v>
      </c>
      <c r="G5810" s="7">
        <v>244</v>
      </c>
      <c r="H5810" s="8">
        <v>229</v>
      </c>
      <c r="J5810" t="s">
        <v>23</v>
      </c>
      <c r="K5810" s="7">
        <v>459</v>
      </c>
      <c r="L5810" s="9">
        <v>1</v>
      </c>
      <c r="M5810" t="s">
        <v>2081</v>
      </c>
      <c r="N5810" t="s">
        <v>51</v>
      </c>
      <c r="O5810" s="27" t="str">
        <f>HYPERLINK("https://www.ncbi.nlm.nih.gov/nuccore/NZ_AEJB01000328.1?report=graph&amp;from=34844&amp;to=34848", "TTA_codon")</f>
        <v>TTA_codon</v>
      </c>
    </row>
    <row r="5811" spans="1:15" x14ac:dyDescent="0.15">
      <c r="A5811" t="s">
        <v>21</v>
      </c>
      <c r="B5811">
        <v>1001243</v>
      </c>
      <c r="C5811">
        <v>352512</v>
      </c>
      <c r="F5811" s="7">
        <v>1</v>
      </c>
      <c r="G5811" s="7">
        <v>244</v>
      </c>
      <c r="H5811" s="8">
        <v>226</v>
      </c>
      <c r="J5811" t="s">
        <v>23</v>
      </c>
      <c r="K5811" s="7">
        <v>492</v>
      </c>
      <c r="L5811" s="9">
        <v>1</v>
      </c>
      <c r="M5811" t="s">
        <v>30</v>
      </c>
      <c r="N5811" t="s">
        <v>31</v>
      </c>
      <c r="O5811" s="27" t="str">
        <f>HYPERLINK("https://www.ncbi.nlm.nih.gov/nuccore/NZ_KB913030.1?report=graph&amp;from=5778228&amp;to=5778232", "TTA_codon")</f>
        <v>TTA_codon</v>
      </c>
    </row>
    <row r="5812" spans="1:15" x14ac:dyDescent="0.15">
      <c r="A5812" t="s">
        <v>21</v>
      </c>
      <c r="B5812">
        <v>1001243</v>
      </c>
      <c r="C5812">
        <v>353642</v>
      </c>
      <c r="F5812" s="7">
        <v>1</v>
      </c>
      <c r="G5812" s="7">
        <v>145</v>
      </c>
      <c r="H5812" s="8">
        <v>145</v>
      </c>
      <c r="J5812" t="s">
        <v>23</v>
      </c>
      <c r="K5812" s="7">
        <v>516</v>
      </c>
      <c r="L5812" s="9">
        <v>1</v>
      </c>
      <c r="M5812" t="s">
        <v>941</v>
      </c>
      <c r="N5812" t="s">
        <v>140</v>
      </c>
      <c r="O5812" s="27" t="str">
        <f>HYPERLINK("https://www.ncbi.nlm.nih.gov/nuccore/NZ_JNXG01000009.1?report=graph&amp;from=176979&amp;to=176983", "TTA_codon")</f>
        <v>TTA_codon</v>
      </c>
    </row>
    <row r="5813" spans="1:15" x14ac:dyDescent="0.15">
      <c r="A5813" t="s">
        <v>21</v>
      </c>
      <c r="B5813">
        <v>1001243</v>
      </c>
      <c r="C5813">
        <v>357645</v>
      </c>
      <c r="F5813" s="7">
        <v>1</v>
      </c>
      <c r="G5813" s="7">
        <v>244</v>
      </c>
      <c r="H5813" s="8">
        <v>229</v>
      </c>
      <c r="J5813" t="s">
        <v>23</v>
      </c>
      <c r="K5813" s="7">
        <v>444</v>
      </c>
      <c r="L5813" s="9">
        <v>1</v>
      </c>
      <c r="M5813" t="s">
        <v>814</v>
      </c>
      <c r="N5813" t="s">
        <v>378</v>
      </c>
      <c r="O5813" s="27" t="str">
        <f>HYPERLINK("https://www.ncbi.nlm.nih.gov/nuccore/NZ_LFXA01000002.1?report=graph&amp;from=20049&amp;to=20053", "TTA_codon")</f>
        <v>TTA_codon</v>
      </c>
    </row>
    <row r="5814" spans="1:15" x14ac:dyDescent="0.15">
      <c r="A5814" t="s">
        <v>21</v>
      </c>
      <c r="B5814">
        <v>1001243</v>
      </c>
      <c r="C5814">
        <v>358540</v>
      </c>
      <c r="F5814" s="7">
        <v>1</v>
      </c>
      <c r="G5814" s="7">
        <v>244</v>
      </c>
      <c r="H5814" s="8">
        <v>229</v>
      </c>
      <c r="J5814" t="s">
        <v>23</v>
      </c>
      <c r="K5814" s="7">
        <v>462</v>
      </c>
      <c r="L5814" s="9">
        <v>1</v>
      </c>
      <c r="M5814" t="s">
        <v>4265</v>
      </c>
      <c r="N5814" t="s">
        <v>85</v>
      </c>
      <c r="O5814" s="27" t="str">
        <f>HYPERLINK("https://www.ncbi.nlm.nih.gov/nuccore/NZ_LIQX01000721.1?report=graph&amp;from=2162&amp;to=2166", "TTA_codon")</f>
        <v>TTA_codon</v>
      </c>
    </row>
    <row r="5815" spans="1:15" x14ac:dyDescent="0.15">
      <c r="A5815" t="s">
        <v>21</v>
      </c>
      <c r="B5815">
        <v>1001243</v>
      </c>
      <c r="C5815">
        <v>361018</v>
      </c>
      <c r="F5815" s="7">
        <v>1</v>
      </c>
      <c r="G5815" s="7">
        <v>145</v>
      </c>
      <c r="H5815" s="8">
        <v>145</v>
      </c>
      <c r="J5815" t="s">
        <v>23</v>
      </c>
      <c r="K5815" s="7">
        <v>468</v>
      </c>
      <c r="L5815" s="9">
        <v>1</v>
      </c>
      <c r="M5815" t="s">
        <v>4266</v>
      </c>
      <c r="N5815" t="s">
        <v>97</v>
      </c>
      <c r="O5815" s="27" t="str">
        <f>HYPERLINK("https://www.ncbi.nlm.nih.gov/nuccore/NZ_LOHS01000086.1?report=graph&amp;from=59143&amp;to=59147", "TTA_codon")</f>
        <v>TTA_codon</v>
      </c>
    </row>
    <row r="5816" spans="1:15" x14ac:dyDescent="0.15">
      <c r="A5816" t="s">
        <v>21</v>
      </c>
      <c r="B5816">
        <v>1001243</v>
      </c>
      <c r="C5816">
        <v>362143</v>
      </c>
      <c r="F5816" s="7">
        <v>1</v>
      </c>
      <c r="G5816" s="7">
        <v>244</v>
      </c>
      <c r="H5816" s="8">
        <v>244</v>
      </c>
      <c r="J5816" t="s">
        <v>23</v>
      </c>
      <c r="K5816" s="7">
        <v>459</v>
      </c>
      <c r="L5816" s="9">
        <v>1</v>
      </c>
      <c r="M5816" t="s">
        <v>2319</v>
      </c>
      <c r="N5816" t="s">
        <v>187</v>
      </c>
      <c r="O5816" s="27" t="str">
        <f>HYPERLINK("https://www.ncbi.nlm.nih.gov/nuccore/NZ_MAXF01000110.1?report=graph&amp;from=36278&amp;to=36282", "TTA_codon")</f>
        <v>TTA_codon</v>
      </c>
    </row>
    <row r="5817" spans="1:15" x14ac:dyDescent="0.15">
      <c r="A5817" t="s">
        <v>21</v>
      </c>
      <c r="B5817">
        <v>1001243</v>
      </c>
      <c r="C5817">
        <v>363767</v>
      </c>
      <c r="F5817" s="7">
        <v>1</v>
      </c>
      <c r="G5817" s="7">
        <v>244</v>
      </c>
      <c r="H5817" s="8">
        <v>244</v>
      </c>
      <c r="J5817" t="s">
        <v>23</v>
      </c>
      <c r="K5817" s="7">
        <v>471</v>
      </c>
      <c r="L5817" s="9">
        <v>1</v>
      </c>
      <c r="M5817" t="s">
        <v>101</v>
      </c>
      <c r="N5817" t="s">
        <v>102</v>
      </c>
      <c r="O5817" s="27" t="str">
        <f>HYPERLINK("https://www.ncbi.nlm.nih.gov/nuccore/NZ_CP019458.1?report=graph&amp;from=8015751&amp;to=8015755", "TTA_codon")</f>
        <v>TTA_codon</v>
      </c>
    </row>
    <row r="5818" spans="1:15" x14ac:dyDescent="0.15">
      <c r="A5818" t="s">
        <v>21</v>
      </c>
      <c r="B5818">
        <v>1001243</v>
      </c>
      <c r="C5818">
        <v>364942</v>
      </c>
      <c r="F5818" s="7">
        <v>1</v>
      </c>
      <c r="G5818" s="7">
        <v>145</v>
      </c>
      <c r="H5818" s="8">
        <v>145</v>
      </c>
      <c r="J5818" t="s">
        <v>23</v>
      </c>
      <c r="K5818" s="7">
        <v>507</v>
      </c>
      <c r="L5818" s="9">
        <v>1</v>
      </c>
      <c r="M5818" t="s">
        <v>126</v>
      </c>
      <c r="N5818" t="s">
        <v>127</v>
      </c>
      <c r="O5818" s="27" t="str">
        <f>HYPERLINK("https://www.ncbi.nlm.nih.gov/nuccore/NZ_CP021748.1?report=graph&amp;from=7200942&amp;to=7200946", "TTA_codon")</f>
        <v>TTA_codon</v>
      </c>
    </row>
    <row r="5819" spans="1:15" x14ac:dyDescent="0.15">
      <c r="A5819" t="s">
        <v>21</v>
      </c>
      <c r="B5819">
        <v>1001243</v>
      </c>
      <c r="C5819">
        <v>365738</v>
      </c>
      <c r="F5819" s="7">
        <v>1</v>
      </c>
      <c r="G5819" s="7">
        <v>244</v>
      </c>
      <c r="H5819" s="8">
        <v>244</v>
      </c>
      <c r="J5819" t="s">
        <v>23</v>
      </c>
      <c r="K5819" s="7">
        <v>471</v>
      </c>
      <c r="L5819" s="9">
        <v>1</v>
      </c>
      <c r="M5819" t="s">
        <v>213</v>
      </c>
      <c r="N5819" t="s">
        <v>214</v>
      </c>
      <c r="O5819" s="27" t="str">
        <f>HYPERLINK("https://www.ncbi.nlm.nih.gov/nuccore/NZ_FNST01000002.1?report=graph&amp;from=5407020&amp;to=5407024", "TTA_codon")</f>
        <v>TTA_codon</v>
      </c>
    </row>
    <row r="5820" spans="1:15" x14ac:dyDescent="0.15">
      <c r="A5820" t="s">
        <v>21</v>
      </c>
      <c r="B5820" t="s">
        <v>4267</v>
      </c>
    </row>
    <row r="5821" spans="1:15" x14ac:dyDescent="0.15">
      <c r="A5821" t="s">
        <v>21</v>
      </c>
      <c r="B5821">
        <v>1000342</v>
      </c>
      <c r="C5821">
        <v>348108</v>
      </c>
      <c r="F5821" s="7">
        <v>1</v>
      </c>
      <c r="G5821" s="7">
        <v>1081</v>
      </c>
      <c r="H5821" s="8">
        <v>976</v>
      </c>
      <c r="J5821" t="s">
        <v>23</v>
      </c>
      <c r="K5821" s="7">
        <v>1734</v>
      </c>
      <c r="L5821" s="9">
        <v>1</v>
      </c>
      <c r="M5821" t="s">
        <v>59</v>
      </c>
      <c r="N5821" t="s">
        <v>60</v>
      </c>
      <c r="O5821" s="27" t="str">
        <f>HYPERLINK("https://www.ncbi.nlm.nih.gov/nuccore/NC_016582.1?report=graph&amp;from=2401689&amp;to=2401693", "TTA_codon")</f>
        <v>TTA_codon</v>
      </c>
    </row>
    <row r="5822" spans="1:15" x14ac:dyDescent="0.15">
      <c r="A5822" t="s">
        <v>21</v>
      </c>
      <c r="B5822">
        <v>1000342</v>
      </c>
      <c r="C5822">
        <v>356193</v>
      </c>
      <c r="F5822" s="7">
        <v>1</v>
      </c>
      <c r="G5822" s="7">
        <v>1171</v>
      </c>
      <c r="H5822" s="8">
        <v>1171</v>
      </c>
      <c r="J5822" t="s">
        <v>23</v>
      </c>
      <c r="K5822" s="7">
        <v>1929</v>
      </c>
      <c r="L5822" s="9">
        <v>1</v>
      </c>
      <c r="M5822" t="s">
        <v>4268</v>
      </c>
      <c r="N5822" t="s">
        <v>77</v>
      </c>
      <c r="O5822" s="27" t="str">
        <f>HYPERLINK("https://www.ncbi.nlm.nih.gov/nuccore/NZ_JNXD01000015.1?report=graph&amp;from=163550&amp;to=163554", "TTA_codon")</f>
        <v>TTA_codon</v>
      </c>
    </row>
    <row r="5823" spans="1:15" x14ac:dyDescent="0.15">
      <c r="A5823" t="s">
        <v>21</v>
      </c>
      <c r="B5823" t="s">
        <v>4269</v>
      </c>
    </row>
    <row r="5824" spans="1:15" x14ac:dyDescent="0.15">
      <c r="A5824" t="s">
        <v>21</v>
      </c>
      <c r="B5824">
        <v>1001398</v>
      </c>
      <c r="C5824">
        <v>361975</v>
      </c>
      <c r="F5824" s="7">
        <v>1</v>
      </c>
      <c r="G5824" s="7">
        <v>253</v>
      </c>
      <c r="H5824" s="8">
        <v>253</v>
      </c>
      <c r="J5824" t="s">
        <v>23</v>
      </c>
      <c r="K5824" s="7">
        <v>594</v>
      </c>
      <c r="L5824" s="9">
        <v>1</v>
      </c>
      <c r="M5824" t="s">
        <v>4270</v>
      </c>
      <c r="N5824" t="s">
        <v>187</v>
      </c>
      <c r="O5824" s="27" t="str">
        <f>HYPERLINK("https://www.ncbi.nlm.nih.gov/nuccore/NZ_MAXF01000155.1?report=graph&amp;from=2680&amp;to=2684", "TTA_codon")</f>
        <v>TTA_codon</v>
      </c>
    </row>
    <row r="5825" spans="1:15" x14ac:dyDescent="0.15">
      <c r="A5825" t="s">
        <v>21</v>
      </c>
      <c r="B5825">
        <v>1001398</v>
      </c>
      <c r="C5825">
        <v>361976</v>
      </c>
      <c r="F5825" s="7">
        <v>1</v>
      </c>
      <c r="G5825" s="7">
        <v>253</v>
      </c>
      <c r="H5825" s="8">
        <v>253</v>
      </c>
      <c r="J5825" t="s">
        <v>23</v>
      </c>
      <c r="K5825" s="7">
        <v>594</v>
      </c>
      <c r="L5825" s="9">
        <v>1</v>
      </c>
      <c r="M5825" t="s">
        <v>4271</v>
      </c>
      <c r="N5825" t="s">
        <v>187</v>
      </c>
      <c r="O5825" s="27" t="str">
        <f>HYPERLINK("https://www.ncbi.nlm.nih.gov/nuccore/NZ_MAXF01000251.1?report=graph&amp;from=848&amp;to=852", "TTA_codon")</f>
        <v>TTA_codon</v>
      </c>
    </row>
    <row r="5826" spans="1:15" x14ac:dyDescent="0.15">
      <c r="A5826" t="s">
        <v>21</v>
      </c>
      <c r="B5826" t="s">
        <v>4272</v>
      </c>
    </row>
    <row r="5827" spans="1:15" x14ac:dyDescent="0.15">
      <c r="A5827" t="s">
        <v>21</v>
      </c>
      <c r="B5827">
        <v>1000473</v>
      </c>
      <c r="C5827">
        <v>349010</v>
      </c>
      <c r="F5827" s="7">
        <v>2</v>
      </c>
      <c r="G5827" s="7" t="s">
        <v>4273</v>
      </c>
      <c r="H5827" s="8" t="s">
        <v>4273</v>
      </c>
      <c r="J5827" t="s">
        <v>23</v>
      </c>
      <c r="K5827" s="7">
        <v>1242</v>
      </c>
      <c r="L5827" s="9">
        <v>-1</v>
      </c>
      <c r="M5827" t="s">
        <v>211</v>
      </c>
      <c r="N5827" t="s">
        <v>212</v>
      </c>
      <c r="O5827" s="27" t="str">
        <f>HYPERLINK("https://www.ncbi.nlm.nih.gov/nuccore/NZ_GG657754.1?report=graph&amp;from=3989514&amp;to=3990538", "TTA_codon")</f>
        <v>TTA_codon</v>
      </c>
    </row>
    <row r="5828" spans="1:15" x14ac:dyDescent="0.15">
      <c r="A5828" t="s">
        <v>21</v>
      </c>
      <c r="B5828">
        <v>1000473</v>
      </c>
      <c r="C5828">
        <v>364348</v>
      </c>
      <c r="F5828" s="7">
        <v>1</v>
      </c>
      <c r="G5828" s="7">
        <v>1120</v>
      </c>
      <c r="H5828" s="8">
        <v>1117</v>
      </c>
      <c r="J5828" t="s">
        <v>23</v>
      </c>
      <c r="K5828" s="7">
        <v>1239</v>
      </c>
      <c r="L5828" s="9">
        <v>-1</v>
      </c>
      <c r="M5828" t="s">
        <v>105</v>
      </c>
      <c r="N5828" t="s">
        <v>106</v>
      </c>
      <c r="O5828" s="27" t="str">
        <f>HYPERLINK("https://www.ncbi.nlm.nih.gov/nuccore/NZ_CP020042.1?report=graph&amp;from=4880946&amp;to=4880950", "TTA_codon")</f>
        <v>TTA_codon</v>
      </c>
    </row>
    <row r="5829" spans="1:15" x14ac:dyDescent="0.15">
      <c r="A5829" t="s">
        <v>21</v>
      </c>
      <c r="B5829" t="s">
        <v>4274</v>
      </c>
    </row>
    <row r="5830" spans="1:15" x14ac:dyDescent="0.15">
      <c r="A5830" t="s">
        <v>21</v>
      </c>
      <c r="B5830">
        <v>1000331</v>
      </c>
      <c r="C5830">
        <v>348054</v>
      </c>
      <c r="F5830" s="7">
        <v>2</v>
      </c>
      <c r="G5830" s="7" t="s">
        <v>4275</v>
      </c>
      <c r="H5830" s="8" t="s">
        <v>4276</v>
      </c>
      <c r="J5830" t="s">
        <v>23</v>
      </c>
      <c r="K5830" s="7">
        <v>1554</v>
      </c>
      <c r="L5830" s="9">
        <v>-1</v>
      </c>
      <c r="M5830" t="s">
        <v>59</v>
      </c>
      <c r="N5830" t="s">
        <v>60</v>
      </c>
      <c r="O5830" s="27" t="str">
        <f>HYPERLINK("https://www.ncbi.nlm.nih.gov/nuccore/NC_016582.1?report=graph&amp;from=9058764&amp;to=9059188", "TTA_codon")</f>
        <v>TTA_codon</v>
      </c>
    </row>
    <row r="5831" spans="1:15" x14ac:dyDescent="0.15">
      <c r="A5831" t="s">
        <v>21</v>
      </c>
      <c r="B5831">
        <v>1000331</v>
      </c>
      <c r="C5831">
        <v>352070</v>
      </c>
      <c r="F5831" s="7">
        <v>1</v>
      </c>
      <c r="G5831" s="7">
        <v>451</v>
      </c>
      <c r="H5831" s="8">
        <v>424</v>
      </c>
      <c r="J5831" t="s">
        <v>23</v>
      </c>
      <c r="K5831" s="7">
        <v>1668</v>
      </c>
      <c r="L5831" s="9">
        <v>-1</v>
      </c>
      <c r="M5831" t="s">
        <v>1387</v>
      </c>
      <c r="N5831" t="s">
        <v>70</v>
      </c>
      <c r="O5831" s="27" t="str">
        <f>HYPERLINK("https://www.ncbi.nlm.nih.gov/nuccore/NZ_KB904691.1?report=graph&amp;from=46683&amp;to=46687", "TTA_codon")</f>
        <v>TTA_codon</v>
      </c>
    </row>
    <row r="5832" spans="1:15" x14ac:dyDescent="0.15">
      <c r="A5832" t="s">
        <v>21</v>
      </c>
      <c r="B5832">
        <v>1000331</v>
      </c>
      <c r="C5832">
        <v>365425</v>
      </c>
      <c r="F5832" s="7">
        <v>1</v>
      </c>
      <c r="G5832" s="7">
        <v>499</v>
      </c>
      <c r="H5832" s="8">
        <v>460</v>
      </c>
      <c r="J5832" t="s">
        <v>23</v>
      </c>
      <c r="K5832" s="7">
        <v>2517</v>
      </c>
      <c r="L5832" s="9">
        <v>-1</v>
      </c>
      <c r="M5832" t="s">
        <v>2155</v>
      </c>
      <c r="N5832" t="s">
        <v>45</v>
      </c>
      <c r="O5832" s="27" t="str">
        <f>HYPERLINK("https://www.ncbi.nlm.nih.gov/nuccore/NZ_FNIE01000004.1?report=graph&amp;from=245178&amp;to=245182", "TTA_codon")</f>
        <v>TTA_codon</v>
      </c>
    </row>
    <row r="5833" spans="1:15" x14ac:dyDescent="0.15">
      <c r="A5833" t="s">
        <v>21</v>
      </c>
      <c r="B5833" t="s">
        <v>4277</v>
      </c>
    </row>
    <row r="5834" spans="1:15" x14ac:dyDescent="0.15">
      <c r="A5834" t="s">
        <v>21</v>
      </c>
      <c r="B5834">
        <v>1000486</v>
      </c>
      <c r="C5834">
        <v>349219</v>
      </c>
      <c r="F5834" s="7">
        <v>1</v>
      </c>
      <c r="G5834" s="7">
        <v>391</v>
      </c>
      <c r="H5834" s="8">
        <v>391</v>
      </c>
      <c r="J5834" t="s">
        <v>23</v>
      </c>
      <c r="K5834" s="7">
        <v>2048</v>
      </c>
      <c r="L5834" s="9">
        <v>1</v>
      </c>
      <c r="M5834" t="s">
        <v>211</v>
      </c>
      <c r="N5834" t="s">
        <v>212</v>
      </c>
      <c r="O5834" s="27" t="str">
        <f>HYPERLINK("https://www.ncbi.nlm.nih.gov/nuccore/NZ_GG657754.1?report=graph&amp;from=4356288&amp;to=4356292", "TTA_codon")</f>
        <v>TTA_codon</v>
      </c>
    </row>
    <row r="5835" spans="1:15" x14ac:dyDescent="0.15">
      <c r="A5835" t="s">
        <v>21</v>
      </c>
      <c r="B5835">
        <v>1000486</v>
      </c>
      <c r="C5835">
        <v>365869</v>
      </c>
      <c r="F5835" s="7">
        <v>1</v>
      </c>
      <c r="G5835" s="7">
        <v>436</v>
      </c>
      <c r="H5835" s="8">
        <v>139</v>
      </c>
      <c r="J5835" t="s">
        <v>23</v>
      </c>
      <c r="K5835" s="7">
        <v>2094</v>
      </c>
      <c r="L5835" s="9">
        <v>1</v>
      </c>
      <c r="M5835" t="s">
        <v>2024</v>
      </c>
      <c r="N5835" t="s">
        <v>214</v>
      </c>
      <c r="O5835" s="27" t="str">
        <f>HYPERLINK("https://www.ncbi.nlm.nih.gov/nuccore/NZ_FNST01000001.1?report=graph&amp;from=180923&amp;to=180927", "TTA_codon")</f>
        <v>TTA_codon</v>
      </c>
    </row>
    <row r="5836" spans="1:15" x14ac:dyDescent="0.15">
      <c r="A5836" t="s">
        <v>21</v>
      </c>
      <c r="B5836" t="s">
        <v>4278</v>
      </c>
    </row>
    <row r="5837" spans="1:15" x14ac:dyDescent="0.15">
      <c r="A5837" t="s">
        <v>21</v>
      </c>
      <c r="B5837">
        <v>1001437</v>
      </c>
      <c r="C5837">
        <v>363408</v>
      </c>
      <c r="F5837" s="7">
        <v>1</v>
      </c>
      <c r="G5837" s="7">
        <v>172</v>
      </c>
      <c r="H5837" s="8">
        <v>148</v>
      </c>
      <c r="J5837" t="s">
        <v>23</v>
      </c>
      <c r="K5837" s="7">
        <v>1290</v>
      </c>
      <c r="L5837" s="9">
        <v>1</v>
      </c>
      <c r="M5837" t="s">
        <v>4279</v>
      </c>
      <c r="N5837" t="s">
        <v>28</v>
      </c>
      <c r="O5837" s="27" t="str">
        <f>HYPERLINK("https://www.ncbi.nlm.nih.gov/nuccore/NZ_JUJA01000153.1?report=graph&amp;from=14977&amp;to=14981", "TTA_codon")</f>
        <v>TTA_codon</v>
      </c>
    </row>
    <row r="5838" spans="1:15" x14ac:dyDescent="0.15">
      <c r="A5838" t="s">
        <v>21</v>
      </c>
      <c r="B5838">
        <v>1001437</v>
      </c>
      <c r="C5838">
        <v>366720</v>
      </c>
      <c r="F5838" s="7">
        <v>1</v>
      </c>
      <c r="G5838" s="7">
        <v>250</v>
      </c>
      <c r="H5838" s="8">
        <v>244</v>
      </c>
      <c r="J5838" t="s">
        <v>23</v>
      </c>
      <c r="K5838" s="7">
        <v>1320</v>
      </c>
      <c r="L5838" s="9">
        <v>1</v>
      </c>
      <c r="M5838" t="s">
        <v>1007</v>
      </c>
      <c r="N5838" t="s">
        <v>180</v>
      </c>
      <c r="O5838" s="27" t="str">
        <f>HYPERLINK("https://www.ncbi.nlm.nih.gov/nuccore/NZ_FRBI01000003.1?report=graph&amp;from=25621&amp;to=25625", "TTA_codon")</f>
        <v>TTA_codon</v>
      </c>
    </row>
    <row r="5839" spans="1:15" x14ac:dyDescent="0.15">
      <c r="A5839" t="s">
        <v>21</v>
      </c>
      <c r="B5839" t="s">
        <v>4280</v>
      </c>
    </row>
    <row r="5840" spans="1:15" x14ac:dyDescent="0.15">
      <c r="A5840" t="s">
        <v>21</v>
      </c>
      <c r="B5840">
        <v>1000920</v>
      </c>
      <c r="C5840">
        <v>353157</v>
      </c>
      <c r="F5840" s="7">
        <v>1</v>
      </c>
      <c r="G5840" s="7">
        <v>1267</v>
      </c>
      <c r="H5840" s="8">
        <v>1183</v>
      </c>
      <c r="J5840" t="s">
        <v>23</v>
      </c>
      <c r="K5840" s="7">
        <v>2334</v>
      </c>
      <c r="L5840" s="9">
        <v>-1</v>
      </c>
      <c r="M5840" t="s">
        <v>4281</v>
      </c>
      <c r="N5840" t="s">
        <v>169</v>
      </c>
      <c r="O5840" s="27" t="str">
        <f>HYPERLINK("https://www.ncbi.nlm.nih.gov/nuccore/NZ_JNWJ01000017.1?report=graph&amp;from=48497&amp;to=48501", "TTA_codon")</f>
        <v>TTA_codon</v>
      </c>
    </row>
    <row r="5841" spans="1:15" x14ac:dyDescent="0.15">
      <c r="A5841" t="s">
        <v>21</v>
      </c>
      <c r="B5841">
        <v>1000920</v>
      </c>
      <c r="C5841">
        <v>365203</v>
      </c>
      <c r="F5841" s="7">
        <v>1</v>
      </c>
      <c r="G5841" s="7">
        <v>1267</v>
      </c>
      <c r="H5841" s="8">
        <v>1180</v>
      </c>
      <c r="J5841" t="s">
        <v>23</v>
      </c>
      <c r="K5841" s="7">
        <v>2232</v>
      </c>
      <c r="L5841" s="9">
        <v>-1</v>
      </c>
      <c r="M5841" t="s">
        <v>1277</v>
      </c>
      <c r="N5841" t="s">
        <v>347</v>
      </c>
      <c r="O5841" s="27" t="str">
        <f>HYPERLINK("https://www.ncbi.nlm.nih.gov/nuccore/NZ_FNFF01000001.1?report=graph&amp;from=360471&amp;to=360475", "TTA_codon")</f>
        <v>TTA_codon</v>
      </c>
    </row>
    <row r="5842" spans="1:15" x14ac:dyDescent="0.15">
      <c r="A5842" t="s">
        <v>21</v>
      </c>
      <c r="B5842" t="s">
        <v>4282</v>
      </c>
    </row>
    <row r="5843" spans="1:15" x14ac:dyDescent="0.15">
      <c r="A5843" t="s">
        <v>21</v>
      </c>
      <c r="B5843">
        <v>1001208</v>
      </c>
      <c r="C5843">
        <v>357020</v>
      </c>
      <c r="F5843" s="7">
        <v>1</v>
      </c>
      <c r="G5843" s="7">
        <v>91</v>
      </c>
      <c r="H5843" s="8">
        <v>91</v>
      </c>
      <c r="J5843" t="s">
        <v>23</v>
      </c>
      <c r="K5843" s="7">
        <v>1338</v>
      </c>
      <c r="L5843" s="9">
        <v>-1</v>
      </c>
      <c r="M5843" t="s">
        <v>162</v>
      </c>
      <c r="N5843" t="s">
        <v>163</v>
      </c>
      <c r="O5843" s="27" t="str">
        <f>HYPERLINK("https://www.ncbi.nlm.nih.gov/nuccore/NZ_CP010519.1?report=graph&amp;from=6609838&amp;to=6609842", "TTA_codon")</f>
        <v>TTA_codon</v>
      </c>
    </row>
    <row r="5844" spans="1:15" x14ac:dyDescent="0.15">
      <c r="A5844" t="s">
        <v>21</v>
      </c>
      <c r="B5844">
        <v>1001208</v>
      </c>
      <c r="C5844">
        <v>364141</v>
      </c>
      <c r="F5844" s="7">
        <v>1</v>
      </c>
      <c r="G5844" s="7">
        <v>241</v>
      </c>
      <c r="H5844" s="8">
        <v>241</v>
      </c>
      <c r="J5844" t="s">
        <v>23</v>
      </c>
      <c r="K5844" s="7">
        <v>1386</v>
      </c>
      <c r="L5844" s="9">
        <v>-1</v>
      </c>
      <c r="M5844" t="s">
        <v>254</v>
      </c>
      <c r="N5844" t="s">
        <v>255</v>
      </c>
      <c r="O5844" s="27" t="str">
        <f>HYPERLINK("https://www.ncbi.nlm.nih.gov/nuccore/NZ_CP018047.1?report=graph&amp;from=5983674&amp;to=5983678", "TTA_codon")</f>
        <v>TTA_codon</v>
      </c>
    </row>
    <row r="5845" spans="1:15" x14ac:dyDescent="0.15">
      <c r="A5845" t="s">
        <v>21</v>
      </c>
      <c r="B5845" t="s">
        <v>4283</v>
      </c>
    </row>
    <row r="5846" spans="1:15" x14ac:dyDescent="0.15">
      <c r="A5846" t="s">
        <v>21</v>
      </c>
      <c r="B5846">
        <v>1000904</v>
      </c>
      <c r="C5846">
        <v>353004</v>
      </c>
      <c r="F5846" s="7">
        <v>1</v>
      </c>
      <c r="G5846" s="7">
        <v>127</v>
      </c>
      <c r="H5846" s="8">
        <v>127</v>
      </c>
      <c r="J5846" t="s">
        <v>23</v>
      </c>
      <c r="K5846" s="7">
        <v>576</v>
      </c>
      <c r="L5846" s="9">
        <v>-1</v>
      </c>
      <c r="M5846" t="s">
        <v>3261</v>
      </c>
      <c r="N5846" t="s">
        <v>306</v>
      </c>
      <c r="O5846" s="27" t="str">
        <f>HYPERLINK("https://www.ncbi.nlm.nih.gov/nuccore/NZ_KL571155.1?report=graph&amp;from=12706&amp;to=12710", "TTA_codon")</f>
        <v>TTA_codon</v>
      </c>
    </row>
    <row r="5847" spans="1:15" x14ac:dyDescent="0.15">
      <c r="A5847" t="s">
        <v>21</v>
      </c>
      <c r="B5847">
        <v>1000904</v>
      </c>
      <c r="C5847">
        <v>353050</v>
      </c>
      <c r="F5847" s="7">
        <v>1</v>
      </c>
      <c r="G5847" s="7">
        <v>127</v>
      </c>
      <c r="H5847" s="8">
        <v>127</v>
      </c>
      <c r="J5847" t="s">
        <v>23</v>
      </c>
      <c r="K5847" s="7">
        <v>576</v>
      </c>
      <c r="L5847" s="9">
        <v>-1</v>
      </c>
      <c r="M5847" t="s">
        <v>3261</v>
      </c>
      <c r="N5847" t="s">
        <v>306</v>
      </c>
      <c r="O5847" s="27" t="str">
        <f>HYPERLINK("https://www.ncbi.nlm.nih.gov/nuccore/NZ_KL571155.1?report=graph&amp;from=78672&amp;to=78676", "TTA_codon")</f>
        <v>TTA_codon</v>
      </c>
    </row>
    <row r="5848" spans="1:15" x14ac:dyDescent="0.15">
      <c r="A5848" t="s">
        <v>21</v>
      </c>
      <c r="B5848" t="s">
        <v>4284</v>
      </c>
    </row>
    <row r="5849" spans="1:15" x14ac:dyDescent="0.15">
      <c r="A5849" t="s">
        <v>21</v>
      </c>
      <c r="B5849">
        <v>1000427</v>
      </c>
      <c r="C5849">
        <v>348675</v>
      </c>
      <c r="F5849" s="7">
        <v>1</v>
      </c>
      <c r="G5849" s="7">
        <v>583</v>
      </c>
      <c r="H5849" s="8">
        <v>550</v>
      </c>
      <c r="J5849" t="s">
        <v>23</v>
      </c>
      <c r="K5849" s="7">
        <v>2181</v>
      </c>
      <c r="L5849" s="9">
        <v>-1</v>
      </c>
      <c r="M5849" t="s">
        <v>61</v>
      </c>
      <c r="N5849" t="s">
        <v>62</v>
      </c>
      <c r="O5849" s="27" t="str">
        <f>HYPERLINK("https://www.ncbi.nlm.nih.gov/nuccore/NZ_DS999641.1?report=graph&amp;from=1226659&amp;to=1226663", "TTA_codon")</f>
        <v>TTA_codon</v>
      </c>
    </row>
    <row r="5850" spans="1:15" x14ac:dyDescent="0.15">
      <c r="A5850" t="s">
        <v>21</v>
      </c>
      <c r="B5850">
        <v>1000427</v>
      </c>
      <c r="C5850">
        <v>350846</v>
      </c>
      <c r="F5850" s="7">
        <v>4</v>
      </c>
      <c r="G5850" s="7" t="s">
        <v>4285</v>
      </c>
      <c r="H5850" s="8" t="s">
        <v>4286</v>
      </c>
      <c r="J5850" t="s">
        <v>23</v>
      </c>
      <c r="K5850" s="7">
        <v>1845</v>
      </c>
      <c r="L5850" s="9">
        <v>-1</v>
      </c>
      <c r="M5850" t="s">
        <v>50</v>
      </c>
      <c r="N5850" t="s">
        <v>51</v>
      </c>
      <c r="O5850" s="27" t="str">
        <f>HYPERLINK("https://www.ncbi.nlm.nih.gov/nuccore/NZ_AEJB01000421.1?report=graph&amp;from=6629&amp;to=6933", "TTA_codon")</f>
        <v>TTA_codon</v>
      </c>
    </row>
    <row r="5851" spans="1:15" x14ac:dyDescent="0.15">
      <c r="A5851" t="s">
        <v>21</v>
      </c>
      <c r="B5851">
        <v>1000427</v>
      </c>
      <c r="C5851">
        <v>351361</v>
      </c>
      <c r="F5851" s="7">
        <v>2</v>
      </c>
      <c r="G5851" s="7" t="s">
        <v>4287</v>
      </c>
      <c r="H5851" s="8" t="s">
        <v>4288</v>
      </c>
      <c r="J5851" t="s">
        <v>23</v>
      </c>
      <c r="K5851" s="7">
        <v>1842</v>
      </c>
      <c r="L5851" s="9">
        <v>-1</v>
      </c>
      <c r="M5851" t="s">
        <v>65</v>
      </c>
      <c r="N5851" t="s">
        <v>66</v>
      </c>
      <c r="O5851" s="27" t="str">
        <f>HYPERLINK("https://www.ncbi.nlm.nih.gov/nuccore/NC_020504.1?report=graph&amp;from=6841771&amp;to=6842939", "TTA_codon")</f>
        <v>TTA_codon</v>
      </c>
    </row>
    <row r="5852" spans="1:15" x14ac:dyDescent="0.15">
      <c r="A5852" t="s">
        <v>21</v>
      </c>
      <c r="B5852">
        <v>1000427</v>
      </c>
      <c r="C5852">
        <v>352180</v>
      </c>
      <c r="F5852" s="7">
        <v>1</v>
      </c>
      <c r="G5852" s="7">
        <v>448</v>
      </c>
      <c r="H5852" s="8">
        <v>379</v>
      </c>
      <c r="J5852" t="s">
        <v>23</v>
      </c>
      <c r="K5852" s="7">
        <v>1926</v>
      </c>
      <c r="L5852" s="9">
        <v>-1</v>
      </c>
      <c r="M5852" t="s">
        <v>1517</v>
      </c>
      <c r="N5852" t="s">
        <v>70</v>
      </c>
      <c r="O5852" s="27" t="str">
        <f>HYPERLINK("https://www.ncbi.nlm.nih.gov/nuccore/NZ_KB904680.1?report=graph&amp;from=69444&amp;to=69448", "TTA_codon")</f>
        <v>TTA_codon</v>
      </c>
    </row>
    <row r="5853" spans="1:15" x14ac:dyDescent="0.15">
      <c r="A5853" t="s">
        <v>21</v>
      </c>
      <c r="B5853">
        <v>1000427</v>
      </c>
      <c r="C5853">
        <v>356945</v>
      </c>
      <c r="F5853" s="7">
        <v>1</v>
      </c>
      <c r="G5853" s="7">
        <v>775</v>
      </c>
      <c r="H5853" s="8">
        <v>655</v>
      </c>
      <c r="J5853" t="s">
        <v>23</v>
      </c>
      <c r="K5853" s="7">
        <v>2103</v>
      </c>
      <c r="L5853" s="9">
        <v>-1</v>
      </c>
      <c r="M5853" t="s">
        <v>78</v>
      </c>
      <c r="N5853" t="s">
        <v>79</v>
      </c>
      <c r="O5853" s="27" t="str">
        <f>HYPERLINK("https://www.ncbi.nlm.nih.gov/nuccore/NZ_CP009313.1?report=graph&amp;from=2342520&amp;to=2342524", "TTA_codon")</f>
        <v>TTA_codon</v>
      </c>
    </row>
    <row r="5854" spans="1:15" x14ac:dyDescent="0.15">
      <c r="A5854" t="s">
        <v>21</v>
      </c>
      <c r="B5854">
        <v>1000427</v>
      </c>
      <c r="C5854">
        <v>358435</v>
      </c>
      <c r="F5854" s="7">
        <v>1</v>
      </c>
      <c r="G5854" s="7">
        <v>775</v>
      </c>
      <c r="H5854" s="8">
        <v>655</v>
      </c>
      <c r="J5854" t="s">
        <v>23</v>
      </c>
      <c r="K5854" s="7">
        <v>2103</v>
      </c>
      <c r="L5854" s="9">
        <v>-1</v>
      </c>
      <c r="M5854" t="s">
        <v>4289</v>
      </c>
      <c r="N5854" t="s">
        <v>85</v>
      </c>
      <c r="O5854" s="27" t="str">
        <f>HYPERLINK("https://www.ncbi.nlm.nih.gov/nuccore/NZ_LIQX01000719.1?report=graph&amp;from=5120&amp;to=5124", "TTA_codon")</f>
        <v>TTA_codon</v>
      </c>
    </row>
    <row r="5855" spans="1:15" x14ac:dyDescent="0.15">
      <c r="A5855" t="s">
        <v>21</v>
      </c>
      <c r="B5855">
        <v>1000427</v>
      </c>
      <c r="C5855">
        <v>359341</v>
      </c>
      <c r="F5855" s="7">
        <v>2</v>
      </c>
      <c r="G5855" s="7" t="s">
        <v>1996</v>
      </c>
      <c r="H5855" s="8" t="s">
        <v>1997</v>
      </c>
      <c r="J5855" t="s">
        <v>23</v>
      </c>
      <c r="K5855" s="7">
        <v>2043</v>
      </c>
      <c r="L5855" s="9">
        <v>-1</v>
      </c>
      <c r="M5855" t="s">
        <v>4290</v>
      </c>
      <c r="N5855" t="s">
        <v>89</v>
      </c>
      <c r="O5855" s="27" t="str">
        <f>HYPERLINK("https://www.ncbi.nlm.nih.gov/nuccore/NZ_LIRG01000164.1?report=graph&amp;from=9634&amp;to=9659", "TTA_codon")</f>
        <v>TTA_codon</v>
      </c>
    </row>
    <row r="5856" spans="1:15" x14ac:dyDescent="0.15">
      <c r="A5856" t="s">
        <v>21</v>
      </c>
      <c r="B5856" t="s">
        <v>4291</v>
      </c>
    </row>
    <row r="5857" spans="1:15" x14ac:dyDescent="0.15">
      <c r="A5857" t="s">
        <v>21</v>
      </c>
      <c r="B5857">
        <v>1001212</v>
      </c>
      <c r="C5857">
        <v>350338</v>
      </c>
      <c r="F5857" s="7">
        <v>4</v>
      </c>
      <c r="G5857" s="7" t="s">
        <v>4292</v>
      </c>
      <c r="H5857" s="8" t="s">
        <v>4293</v>
      </c>
      <c r="J5857" t="s">
        <v>23</v>
      </c>
      <c r="K5857" s="7">
        <v>930</v>
      </c>
      <c r="L5857" s="9">
        <v>1</v>
      </c>
      <c r="M5857" t="s">
        <v>35</v>
      </c>
      <c r="N5857" t="s">
        <v>36</v>
      </c>
      <c r="O5857" s="27" t="str">
        <f>HYPERLINK("https://www.ncbi.nlm.nih.gov/nuccore/NZ_JH725387.1?report=graph&amp;from=2582034&amp;to=2582668", "TTA_codon")</f>
        <v>TTA_codon</v>
      </c>
    </row>
    <row r="5858" spans="1:15" x14ac:dyDescent="0.15">
      <c r="A5858" t="s">
        <v>21</v>
      </c>
      <c r="B5858">
        <v>1001212</v>
      </c>
      <c r="C5858">
        <v>357066</v>
      </c>
      <c r="F5858" s="7">
        <v>1</v>
      </c>
      <c r="G5858" s="7">
        <v>433</v>
      </c>
      <c r="H5858" s="8">
        <v>49</v>
      </c>
      <c r="J5858" t="s">
        <v>23</v>
      </c>
      <c r="K5858" s="7">
        <v>525</v>
      </c>
      <c r="L5858" s="9">
        <v>1</v>
      </c>
      <c r="M5858" t="s">
        <v>162</v>
      </c>
      <c r="N5858" t="s">
        <v>163</v>
      </c>
      <c r="O5858" s="27" t="str">
        <f>HYPERLINK("https://www.ncbi.nlm.nih.gov/nuccore/NZ_CP010519.1?report=graph&amp;from=4346071&amp;to=4346075", "TTA_codon")</f>
        <v>TTA_codon</v>
      </c>
    </row>
    <row r="5859" spans="1:15" x14ac:dyDescent="0.15">
      <c r="A5859" t="s">
        <v>21</v>
      </c>
      <c r="B5859" t="s">
        <v>4294</v>
      </c>
    </row>
    <row r="5860" spans="1:15" x14ac:dyDescent="0.15">
      <c r="A5860" t="s">
        <v>21</v>
      </c>
      <c r="B5860">
        <v>1001563</v>
      </c>
      <c r="C5860">
        <v>367306</v>
      </c>
      <c r="F5860" s="7">
        <v>1</v>
      </c>
      <c r="G5860" s="7">
        <v>181</v>
      </c>
      <c r="H5860" s="8">
        <v>181</v>
      </c>
      <c r="J5860" t="s">
        <v>23</v>
      </c>
      <c r="K5860" s="7">
        <v>315</v>
      </c>
      <c r="L5860" s="9">
        <v>1</v>
      </c>
      <c r="M5860" t="s">
        <v>4295</v>
      </c>
      <c r="N5860" t="s">
        <v>4296</v>
      </c>
      <c r="O5860" s="27" t="str">
        <f>HYPERLINK("https://www.ncbi.nlm.nih.gov/nuccore/NC_042105.1?report=graph&amp;from=126694&amp;to=126698", "TTA_codon")</f>
        <v>TTA_codon</v>
      </c>
    </row>
    <row r="5861" spans="1:15" x14ac:dyDescent="0.15">
      <c r="A5861" t="s">
        <v>21</v>
      </c>
      <c r="B5861">
        <v>1001563</v>
      </c>
      <c r="C5861">
        <v>367307</v>
      </c>
      <c r="F5861" s="7">
        <v>1</v>
      </c>
      <c r="G5861" s="7">
        <v>181</v>
      </c>
      <c r="H5861" s="8">
        <v>181</v>
      </c>
      <c r="J5861" t="s">
        <v>23</v>
      </c>
      <c r="K5861" s="7">
        <v>315</v>
      </c>
      <c r="L5861" s="9">
        <v>1</v>
      </c>
      <c r="M5861" t="s">
        <v>4295</v>
      </c>
      <c r="N5861" t="s">
        <v>4296</v>
      </c>
      <c r="O5861" s="27" t="str">
        <f>HYPERLINK("https://www.ncbi.nlm.nih.gov/nuccore/NC_042105.1?report=graph&amp;from=1872&amp;to=1876", "TTA_codon")</f>
        <v>TTA_codon</v>
      </c>
    </row>
    <row r="5862" spans="1:15" x14ac:dyDescent="0.15">
      <c r="A5862" t="s">
        <v>21</v>
      </c>
      <c r="B5862" t="s">
        <v>4297</v>
      </c>
    </row>
    <row r="5863" spans="1:15" x14ac:dyDescent="0.15">
      <c r="A5863" t="s">
        <v>21</v>
      </c>
      <c r="B5863">
        <v>1000730</v>
      </c>
      <c r="C5863">
        <v>351198</v>
      </c>
      <c r="F5863" s="7">
        <v>1</v>
      </c>
      <c r="G5863" s="7">
        <v>667</v>
      </c>
      <c r="H5863" s="8">
        <v>661</v>
      </c>
      <c r="J5863" t="s">
        <v>23</v>
      </c>
      <c r="K5863" s="7">
        <v>732</v>
      </c>
      <c r="L5863" s="9">
        <v>-1</v>
      </c>
      <c r="M5863" t="s">
        <v>65</v>
      </c>
      <c r="N5863" t="s">
        <v>66</v>
      </c>
      <c r="O5863" s="27" t="str">
        <f>HYPERLINK("https://www.ncbi.nlm.nih.gov/nuccore/NC_020504.1?report=graph&amp;from=1034418&amp;to=1034422", "TTA_codon")</f>
        <v>TTA_codon</v>
      </c>
    </row>
    <row r="5864" spans="1:15" x14ac:dyDescent="0.15">
      <c r="A5864" t="s">
        <v>21</v>
      </c>
      <c r="B5864">
        <v>1000730</v>
      </c>
      <c r="C5864">
        <v>358679</v>
      </c>
      <c r="F5864" s="7">
        <v>1</v>
      </c>
      <c r="G5864" s="7">
        <v>667</v>
      </c>
      <c r="H5864" s="8">
        <v>616</v>
      </c>
      <c r="J5864" t="s">
        <v>23</v>
      </c>
      <c r="K5864" s="7">
        <v>678</v>
      </c>
      <c r="L5864" s="9">
        <v>-1</v>
      </c>
      <c r="M5864" t="s">
        <v>4298</v>
      </c>
      <c r="N5864" t="s">
        <v>757</v>
      </c>
      <c r="O5864" s="27" t="str">
        <f>HYPERLINK("https://www.ncbi.nlm.nih.gov/nuccore/NZ_LIQR01000671.1?report=graph&amp;from=366&amp;to=370", "TTA_codon")</f>
        <v>TTA_codon</v>
      </c>
    </row>
    <row r="5865" spans="1:15" x14ac:dyDescent="0.15">
      <c r="A5865" t="s">
        <v>21</v>
      </c>
      <c r="B5865" t="s">
        <v>4299</v>
      </c>
    </row>
    <row r="5866" spans="1:15" x14ac:dyDescent="0.15">
      <c r="A5866" t="s">
        <v>21</v>
      </c>
      <c r="B5866">
        <v>1000424</v>
      </c>
      <c r="C5866">
        <v>348661</v>
      </c>
      <c r="F5866" s="7">
        <v>1</v>
      </c>
      <c r="G5866" s="7">
        <v>526</v>
      </c>
      <c r="H5866" s="8">
        <v>454</v>
      </c>
      <c r="J5866" t="s">
        <v>23</v>
      </c>
      <c r="K5866" s="7">
        <v>732</v>
      </c>
      <c r="L5866" s="9">
        <v>-1</v>
      </c>
      <c r="M5866" t="s">
        <v>61</v>
      </c>
      <c r="N5866" t="s">
        <v>62</v>
      </c>
      <c r="O5866" s="27" t="str">
        <f>HYPERLINK("https://www.ncbi.nlm.nih.gov/nuccore/NZ_DS999641.1?report=graph&amp;from=4528746&amp;to=4528750", "TTA_codon")</f>
        <v>TTA_codon</v>
      </c>
    </row>
    <row r="5867" spans="1:15" x14ac:dyDescent="0.15">
      <c r="A5867" t="s">
        <v>21</v>
      </c>
      <c r="B5867">
        <v>1000424</v>
      </c>
      <c r="C5867">
        <v>349232</v>
      </c>
      <c r="F5867" s="7">
        <v>1</v>
      </c>
      <c r="G5867" s="7">
        <v>427</v>
      </c>
      <c r="H5867" s="8">
        <v>367</v>
      </c>
      <c r="J5867" t="s">
        <v>23</v>
      </c>
      <c r="K5867" s="7">
        <v>756</v>
      </c>
      <c r="L5867" s="9">
        <v>-1</v>
      </c>
      <c r="M5867" t="s">
        <v>211</v>
      </c>
      <c r="N5867" t="s">
        <v>212</v>
      </c>
      <c r="O5867" s="27" t="str">
        <f>HYPERLINK("https://www.ncbi.nlm.nih.gov/nuccore/NZ_GG657754.1?report=graph&amp;from=4921003&amp;to=4921007", "TTA_codon")</f>
        <v>TTA_codon</v>
      </c>
    </row>
    <row r="5868" spans="1:15" x14ac:dyDescent="0.15">
      <c r="A5868" t="s">
        <v>21</v>
      </c>
      <c r="B5868">
        <v>1000424</v>
      </c>
      <c r="C5868">
        <v>349637</v>
      </c>
      <c r="F5868" s="7">
        <v>1</v>
      </c>
      <c r="G5868" s="7">
        <v>388</v>
      </c>
      <c r="H5868" s="8">
        <v>343</v>
      </c>
      <c r="J5868" t="s">
        <v>23</v>
      </c>
      <c r="K5868" s="7">
        <v>732</v>
      </c>
      <c r="L5868" s="9">
        <v>-1</v>
      </c>
      <c r="M5868" t="s">
        <v>4300</v>
      </c>
      <c r="N5868" t="s">
        <v>335</v>
      </c>
      <c r="O5868" s="27" t="str">
        <f>HYPERLINK("https://www.ncbi.nlm.nih.gov/nuccore/NZ_AGBF01000014.1?report=graph&amp;from=74317&amp;to=74321", "TTA_codon")</f>
        <v>TTA_codon</v>
      </c>
    </row>
    <row r="5869" spans="1:15" x14ac:dyDescent="0.15">
      <c r="A5869" t="s">
        <v>21</v>
      </c>
      <c r="B5869">
        <v>1000424</v>
      </c>
      <c r="C5869">
        <v>350149</v>
      </c>
      <c r="F5869" s="7">
        <v>1</v>
      </c>
      <c r="G5869" s="7">
        <v>388</v>
      </c>
      <c r="H5869" s="8">
        <v>343</v>
      </c>
      <c r="J5869" t="s">
        <v>23</v>
      </c>
      <c r="K5869" s="7">
        <v>732</v>
      </c>
      <c r="L5869" s="9">
        <v>-1</v>
      </c>
      <c r="M5869" t="s">
        <v>4301</v>
      </c>
      <c r="N5869" t="s">
        <v>249</v>
      </c>
      <c r="O5869" s="27" t="str">
        <f>HYPERLINK("https://www.ncbi.nlm.nih.gov/nuccore/NZ_AHBF01000002.1?report=graph&amp;from=36824&amp;to=36828", "TTA_codon")</f>
        <v>TTA_codon</v>
      </c>
    </row>
    <row r="5870" spans="1:15" x14ac:dyDescent="0.15">
      <c r="A5870" t="s">
        <v>21</v>
      </c>
      <c r="B5870">
        <v>1000424</v>
      </c>
      <c r="C5870">
        <v>351927</v>
      </c>
      <c r="F5870" s="7">
        <v>1</v>
      </c>
      <c r="G5870" s="7">
        <v>526</v>
      </c>
      <c r="H5870" s="8">
        <v>457</v>
      </c>
      <c r="J5870" t="s">
        <v>23</v>
      </c>
      <c r="K5870" s="7">
        <v>735</v>
      </c>
      <c r="L5870" s="9">
        <v>-1</v>
      </c>
      <c r="M5870" t="s">
        <v>4082</v>
      </c>
      <c r="N5870" t="s">
        <v>68</v>
      </c>
      <c r="O5870" s="27" t="str">
        <f>HYPERLINK("https://www.ncbi.nlm.nih.gov/nuccore/NZ_BARG01000013.1?report=graph&amp;from=32941&amp;to=32945", "TTA_codon")</f>
        <v>TTA_codon</v>
      </c>
    </row>
    <row r="5871" spans="1:15" x14ac:dyDescent="0.15">
      <c r="A5871" t="s">
        <v>21</v>
      </c>
      <c r="B5871">
        <v>1000424</v>
      </c>
      <c r="C5871">
        <v>356081</v>
      </c>
      <c r="F5871" s="7">
        <v>1</v>
      </c>
      <c r="G5871" s="7">
        <v>694</v>
      </c>
      <c r="H5871" s="8">
        <v>538</v>
      </c>
      <c r="J5871" t="s">
        <v>23</v>
      </c>
      <c r="K5871" s="7">
        <v>663</v>
      </c>
      <c r="L5871" s="9">
        <v>-1</v>
      </c>
      <c r="M5871" t="s">
        <v>4302</v>
      </c>
      <c r="N5871" t="s">
        <v>146</v>
      </c>
      <c r="O5871" s="27" t="str">
        <f>HYPERLINK("https://www.ncbi.nlm.nih.gov/nuccore/NZ_JOFH01000033.1?report=graph&amp;from=57492&amp;to=57496", "TTA_codon")</f>
        <v>TTA_codon</v>
      </c>
    </row>
    <row r="5872" spans="1:15" x14ac:dyDescent="0.15">
      <c r="A5872" t="s">
        <v>21</v>
      </c>
      <c r="B5872">
        <v>1000424</v>
      </c>
      <c r="C5872">
        <v>356233</v>
      </c>
      <c r="F5872" s="7">
        <v>1</v>
      </c>
      <c r="G5872" s="7">
        <v>526</v>
      </c>
      <c r="H5872" s="8">
        <v>454</v>
      </c>
      <c r="J5872" t="s">
        <v>23</v>
      </c>
      <c r="K5872" s="7">
        <v>732</v>
      </c>
      <c r="L5872" s="9">
        <v>-1</v>
      </c>
      <c r="M5872" t="s">
        <v>4303</v>
      </c>
      <c r="N5872" t="s">
        <v>77</v>
      </c>
      <c r="O5872" s="27" t="str">
        <f>HYPERLINK("https://www.ncbi.nlm.nih.gov/nuccore/NZ_JNXD01000043.1?report=graph&amp;from=15553&amp;to=15557", "TTA_codon")</f>
        <v>TTA_codon</v>
      </c>
    </row>
    <row r="5873" spans="1:15" x14ac:dyDescent="0.15">
      <c r="A5873" t="s">
        <v>21</v>
      </c>
      <c r="B5873">
        <v>1000424</v>
      </c>
      <c r="C5873">
        <v>356759</v>
      </c>
      <c r="F5873" s="7">
        <v>1</v>
      </c>
      <c r="G5873" s="7">
        <v>577</v>
      </c>
      <c r="H5873" s="8">
        <v>505</v>
      </c>
      <c r="J5873" t="s">
        <v>23</v>
      </c>
      <c r="K5873" s="7">
        <v>744</v>
      </c>
      <c r="L5873" s="9">
        <v>-1</v>
      </c>
      <c r="M5873" t="s">
        <v>147</v>
      </c>
      <c r="N5873" t="s">
        <v>148</v>
      </c>
      <c r="O5873" s="27" t="str">
        <f>HYPERLINK("https://www.ncbi.nlm.nih.gov/nuccore/NZ_CP021080.1?report=graph&amp;from=4254027&amp;to=4254031", "TTA_codon")</f>
        <v>TTA_codon</v>
      </c>
    </row>
    <row r="5874" spans="1:15" x14ac:dyDescent="0.15">
      <c r="A5874" t="s">
        <v>21</v>
      </c>
      <c r="B5874">
        <v>1000424</v>
      </c>
      <c r="C5874">
        <v>357077</v>
      </c>
      <c r="F5874" s="7">
        <v>1</v>
      </c>
      <c r="G5874" s="7">
        <v>526</v>
      </c>
      <c r="H5874" s="8">
        <v>481</v>
      </c>
      <c r="J5874" t="s">
        <v>23</v>
      </c>
      <c r="K5874" s="7">
        <v>762</v>
      </c>
      <c r="L5874" s="9">
        <v>-1</v>
      </c>
      <c r="M5874" t="s">
        <v>162</v>
      </c>
      <c r="N5874" t="s">
        <v>163</v>
      </c>
      <c r="O5874" s="27" t="str">
        <f>HYPERLINK("https://www.ncbi.nlm.nih.gov/nuccore/NZ_CP010519.1?report=graph&amp;from=5139216&amp;to=5139220", "TTA_codon")</f>
        <v>TTA_codon</v>
      </c>
    </row>
    <row r="5875" spans="1:15" x14ac:dyDescent="0.15">
      <c r="A5875" t="s">
        <v>21</v>
      </c>
      <c r="B5875">
        <v>1000424</v>
      </c>
      <c r="C5875">
        <v>358233</v>
      </c>
      <c r="F5875" s="7">
        <v>1</v>
      </c>
      <c r="G5875" s="7">
        <v>580</v>
      </c>
      <c r="H5875" s="8">
        <v>508</v>
      </c>
      <c r="J5875" t="s">
        <v>23</v>
      </c>
      <c r="K5875" s="7">
        <v>732</v>
      </c>
      <c r="L5875" s="9">
        <v>-1</v>
      </c>
      <c r="M5875" t="s">
        <v>4304</v>
      </c>
      <c r="N5875" t="s">
        <v>119</v>
      </c>
      <c r="O5875" s="27" t="str">
        <f>HYPERLINK("https://www.ncbi.nlm.nih.gov/nuccore/NZ_LIPP01000095.1?report=graph&amp;from=6897&amp;to=6901", "TTA_codon")</f>
        <v>TTA_codon</v>
      </c>
    </row>
    <row r="5876" spans="1:15" x14ac:dyDescent="0.15">
      <c r="A5876" t="s">
        <v>21</v>
      </c>
      <c r="B5876">
        <v>1000424</v>
      </c>
      <c r="C5876">
        <v>359401</v>
      </c>
      <c r="F5876" s="7">
        <v>1</v>
      </c>
      <c r="G5876" s="7">
        <v>526</v>
      </c>
      <c r="H5876" s="8">
        <v>454</v>
      </c>
      <c r="J5876" t="s">
        <v>23</v>
      </c>
      <c r="K5876" s="7">
        <v>741</v>
      </c>
      <c r="L5876" s="9">
        <v>-1</v>
      </c>
      <c r="M5876" t="s">
        <v>4305</v>
      </c>
      <c r="N5876" t="s">
        <v>89</v>
      </c>
      <c r="O5876" s="27" t="str">
        <f>HYPERLINK("https://www.ncbi.nlm.nih.gov/nuccore/NZ_LIRG01000718.1?report=graph&amp;from=3134&amp;to=3138", "TTA_codon")</f>
        <v>TTA_codon</v>
      </c>
    </row>
    <row r="5877" spans="1:15" x14ac:dyDescent="0.15">
      <c r="A5877" t="s">
        <v>21</v>
      </c>
      <c r="B5877">
        <v>1000424</v>
      </c>
      <c r="C5877">
        <v>363164</v>
      </c>
      <c r="F5877" s="7">
        <v>1</v>
      </c>
      <c r="G5877" s="7">
        <v>526</v>
      </c>
      <c r="H5877" s="8">
        <v>457</v>
      </c>
      <c r="J5877" t="s">
        <v>23</v>
      </c>
      <c r="K5877" s="7">
        <v>747</v>
      </c>
      <c r="L5877" s="9">
        <v>-1</v>
      </c>
      <c r="M5877" t="s">
        <v>1483</v>
      </c>
      <c r="N5877" t="s">
        <v>401</v>
      </c>
      <c r="O5877" s="27" t="str">
        <f>HYPERLINK("https://www.ncbi.nlm.nih.gov/nuccore/NZ_LFBV01000001.1?report=graph&amp;from=1011569&amp;to=1011573", "TTA_codon")</f>
        <v>TTA_codon</v>
      </c>
    </row>
    <row r="5878" spans="1:15" x14ac:dyDescent="0.15">
      <c r="A5878" t="s">
        <v>21</v>
      </c>
      <c r="B5878" t="s">
        <v>4306</v>
      </c>
    </row>
    <row r="5879" spans="1:15" x14ac:dyDescent="0.15">
      <c r="A5879" t="s">
        <v>21</v>
      </c>
      <c r="B5879">
        <v>1000891</v>
      </c>
      <c r="C5879">
        <v>352854</v>
      </c>
      <c r="F5879" s="7">
        <v>1</v>
      </c>
      <c r="G5879" s="7">
        <v>61</v>
      </c>
      <c r="H5879" s="8">
        <v>58</v>
      </c>
      <c r="J5879" t="s">
        <v>23</v>
      </c>
      <c r="K5879" s="7">
        <v>822</v>
      </c>
      <c r="L5879" s="9">
        <v>-1</v>
      </c>
      <c r="M5879" t="s">
        <v>1640</v>
      </c>
      <c r="N5879" t="s">
        <v>306</v>
      </c>
      <c r="O5879" s="27" t="str">
        <f>HYPERLINK("https://www.ncbi.nlm.nih.gov/nuccore/NZ_KL571057.1?report=graph&amp;from=83784&amp;to=83788", "TTA_codon")</f>
        <v>TTA_codon</v>
      </c>
    </row>
    <row r="5880" spans="1:15" x14ac:dyDescent="0.15">
      <c r="A5880" t="s">
        <v>21</v>
      </c>
      <c r="B5880">
        <v>1000891</v>
      </c>
      <c r="C5880">
        <v>361882</v>
      </c>
      <c r="F5880" s="7">
        <v>1</v>
      </c>
      <c r="G5880" s="7">
        <v>61</v>
      </c>
      <c r="H5880" s="8">
        <v>61</v>
      </c>
      <c r="J5880" t="s">
        <v>23</v>
      </c>
      <c r="K5880" s="7">
        <v>825</v>
      </c>
      <c r="L5880" s="9">
        <v>-1</v>
      </c>
      <c r="M5880" t="s">
        <v>465</v>
      </c>
      <c r="N5880" t="s">
        <v>187</v>
      </c>
      <c r="O5880" s="27" t="str">
        <f>HYPERLINK("https://www.ncbi.nlm.nih.gov/nuccore/NZ_MAXF01000023.1?report=graph&amp;from=40286&amp;to=40290", "TTA_codon")</f>
        <v>TTA_codon</v>
      </c>
    </row>
    <row r="5881" spans="1:15" x14ac:dyDescent="0.15">
      <c r="A5881" t="s">
        <v>21</v>
      </c>
      <c r="B5881" t="s">
        <v>4307</v>
      </c>
    </row>
    <row r="5882" spans="1:15" x14ac:dyDescent="0.15">
      <c r="A5882" t="s">
        <v>21</v>
      </c>
      <c r="B5882">
        <v>1001170</v>
      </c>
      <c r="C5882">
        <v>356472</v>
      </c>
      <c r="F5882" s="7">
        <v>1</v>
      </c>
      <c r="G5882" s="7">
        <v>412</v>
      </c>
      <c r="H5882" s="8">
        <v>412</v>
      </c>
      <c r="J5882" t="s">
        <v>23</v>
      </c>
      <c r="K5882" s="7">
        <v>1224</v>
      </c>
      <c r="L5882" s="9">
        <v>-1</v>
      </c>
      <c r="M5882" t="s">
        <v>4308</v>
      </c>
      <c r="N5882" t="s">
        <v>354</v>
      </c>
      <c r="O5882" s="27" t="str">
        <f>HYPERLINK("https://www.ncbi.nlm.nih.gov/nuccore/NZ_JQJU01000012.1?report=graph&amp;from=119849&amp;to=119853", "TTA_codon")</f>
        <v>TTA_codon</v>
      </c>
    </row>
    <row r="5883" spans="1:15" x14ac:dyDescent="0.15">
      <c r="A5883" t="s">
        <v>21</v>
      </c>
      <c r="B5883">
        <v>1001170</v>
      </c>
      <c r="C5883">
        <v>365046</v>
      </c>
      <c r="F5883" s="7">
        <v>1</v>
      </c>
      <c r="G5883" s="7">
        <v>328</v>
      </c>
      <c r="H5883" s="8">
        <v>325</v>
      </c>
      <c r="J5883" t="s">
        <v>23</v>
      </c>
      <c r="K5883" s="7">
        <v>1209</v>
      </c>
      <c r="L5883" s="9">
        <v>-1</v>
      </c>
      <c r="M5883" t="s">
        <v>111</v>
      </c>
      <c r="N5883" t="s">
        <v>112</v>
      </c>
      <c r="O5883" s="27" t="str">
        <f>HYPERLINK("https://www.ncbi.nlm.nih.gov/nuccore/NZ_CP021744.1?report=graph&amp;from=971921&amp;to=971925", "TTA_codon")</f>
        <v>TTA_codon</v>
      </c>
    </row>
    <row r="5884" spans="1:15" x14ac:dyDescent="0.15">
      <c r="A5884" t="s">
        <v>21</v>
      </c>
      <c r="B5884" t="s">
        <v>4309</v>
      </c>
    </row>
    <row r="5885" spans="1:15" x14ac:dyDescent="0.15">
      <c r="A5885" t="s">
        <v>21</v>
      </c>
      <c r="B5885">
        <v>1001094</v>
      </c>
      <c r="C5885">
        <v>355501</v>
      </c>
      <c r="F5885" s="7">
        <v>2</v>
      </c>
      <c r="G5885" s="7" t="s">
        <v>4310</v>
      </c>
      <c r="H5885" s="8" t="s">
        <v>4311</v>
      </c>
      <c r="J5885" t="s">
        <v>23</v>
      </c>
      <c r="K5885" s="7">
        <v>981</v>
      </c>
      <c r="L5885" s="9">
        <v>1</v>
      </c>
      <c r="M5885" t="s">
        <v>4312</v>
      </c>
      <c r="N5885" t="s">
        <v>198</v>
      </c>
      <c r="O5885" s="27" t="str">
        <f>HYPERLINK("https://www.ncbi.nlm.nih.gov/nuccore/NZ_JOFL01000025.1?report=graph&amp;from=43163&amp;to=43764", "TTA_codon")</f>
        <v>TTA_codon</v>
      </c>
    </row>
    <row r="5886" spans="1:15" x14ac:dyDescent="0.15">
      <c r="A5886" t="s">
        <v>21</v>
      </c>
      <c r="B5886">
        <v>1001094</v>
      </c>
      <c r="C5886">
        <v>355517</v>
      </c>
      <c r="F5886" s="7">
        <v>1</v>
      </c>
      <c r="G5886" s="7">
        <v>928</v>
      </c>
      <c r="H5886" s="8">
        <v>928</v>
      </c>
      <c r="J5886" t="s">
        <v>23</v>
      </c>
      <c r="K5886" s="7">
        <v>1005</v>
      </c>
      <c r="L5886" s="9">
        <v>1</v>
      </c>
      <c r="M5886" t="s">
        <v>4312</v>
      </c>
      <c r="N5886" t="s">
        <v>198</v>
      </c>
      <c r="O5886" s="27" t="str">
        <f>HYPERLINK("https://www.ncbi.nlm.nih.gov/nuccore/NZ_JOFL01000025.1?report=graph&amp;from=33087&amp;to=33091", "TTA_codon")</f>
        <v>TTA_codon</v>
      </c>
    </row>
    <row r="5887" spans="1:15" x14ac:dyDescent="0.15">
      <c r="A5887" t="s">
        <v>21</v>
      </c>
      <c r="B5887" t="s">
        <v>4313</v>
      </c>
    </row>
    <row r="5888" spans="1:15" x14ac:dyDescent="0.15">
      <c r="A5888" t="s">
        <v>21</v>
      </c>
      <c r="B5888">
        <v>1000698</v>
      </c>
      <c r="C5888">
        <v>351020</v>
      </c>
      <c r="F5888" s="7">
        <v>1</v>
      </c>
      <c r="G5888" s="7">
        <v>1231</v>
      </c>
      <c r="H5888" s="8">
        <v>1231</v>
      </c>
      <c r="J5888" t="s">
        <v>23</v>
      </c>
      <c r="K5888" s="7">
        <v>1323</v>
      </c>
      <c r="L5888" s="9">
        <v>1</v>
      </c>
      <c r="M5888" t="s">
        <v>4314</v>
      </c>
      <c r="N5888" t="s">
        <v>136</v>
      </c>
      <c r="O5888" s="27" t="str">
        <f>HYPERLINK("https://www.ncbi.nlm.nih.gov/nuccore/NZ_AORZ01000033.1?report=graph&amp;from=49910&amp;to=49914", "TTA_codon")</f>
        <v>TTA_codon</v>
      </c>
    </row>
    <row r="5889" spans="1:15" x14ac:dyDescent="0.15">
      <c r="A5889" t="s">
        <v>21</v>
      </c>
      <c r="B5889">
        <v>1000698</v>
      </c>
      <c r="C5889">
        <v>353723</v>
      </c>
      <c r="F5889" s="7">
        <v>1</v>
      </c>
      <c r="G5889" s="7">
        <v>1231</v>
      </c>
      <c r="H5889" s="8">
        <v>1231</v>
      </c>
      <c r="J5889" t="s">
        <v>23</v>
      </c>
      <c r="K5889" s="7">
        <v>1323</v>
      </c>
      <c r="L5889" s="9">
        <v>1</v>
      </c>
      <c r="M5889" t="s">
        <v>2418</v>
      </c>
      <c r="N5889" t="s">
        <v>246</v>
      </c>
      <c r="O5889" s="27" t="str">
        <f>HYPERLINK("https://www.ncbi.nlm.nih.gov/nuccore/NZ_JNYR01000002.1?report=graph&amp;from=330101&amp;to=330105", "TTA_codon")</f>
        <v>TTA_codon</v>
      </c>
    </row>
    <row r="5890" spans="1:15" x14ac:dyDescent="0.15">
      <c r="A5890" t="s">
        <v>21</v>
      </c>
      <c r="B5890">
        <v>1000698</v>
      </c>
      <c r="C5890">
        <v>354158</v>
      </c>
      <c r="F5890" s="7">
        <v>1</v>
      </c>
      <c r="G5890" s="7">
        <v>1231</v>
      </c>
      <c r="H5890" s="8">
        <v>1231</v>
      </c>
      <c r="J5890" t="s">
        <v>23</v>
      </c>
      <c r="K5890" s="7">
        <v>1323</v>
      </c>
      <c r="L5890" s="9">
        <v>1</v>
      </c>
      <c r="M5890" t="s">
        <v>4315</v>
      </c>
      <c r="N5890" t="s">
        <v>361</v>
      </c>
      <c r="O5890" s="27" t="str">
        <f>HYPERLINK("https://www.ncbi.nlm.nih.gov/nuccore/NZ_JODY01000001.1?report=graph&amp;from=15883&amp;to=15887", "TTA_codon")</f>
        <v>TTA_codon</v>
      </c>
    </row>
    <row r="5891" spans="1:15" x14ac:dyDescent="0.15">
      <c r="A5891" t="s">
        <v>21</v>
      </c>
      <c r="B5891">
        <v>1000698</v>
      </c>
      <c r="C5891">
        <v>357535</v>
      </c>
      <c r="F5891" s="7">
        <v>1</v>
      </c>
      <c r="G5891" s="7">
        <v>1231</v>
      </c>
      <c r="H5891" s="8">
        <v>1231</v>
      </c>
      <c r="J5891" t="s">
        <v>23</v>
      </c>
      <c r="K5891" s="7">
        <v>1323</v>
      </c>
      <c r="L5891" s="9">
        <v>1</v>
      </c>
      <c r="M5891" t="s">
        <v>957</v>
      </c>
      <c r="N5891" t="s">
        <v>378</v>
      </c>
      <c r="O5891" s="27" t="str">
        <f>HYPERLINK("https://www.ncbi.nlm.nih.gov/nuccore/NZ_LFXA01000017.1?report=graph&amp;from=210370&amp;to=210374", "TTA_codon")</f>
        <v>TTA_codon</v>
      </c>
    </row>
    <row r="5892" spans="1:15" x14ac:dyDescent="0.15">
      <c r="A5892" t="s">
        <v>21</v>
      </c>
      <c r="B5892">
        <v>1000698</v>
      </c>
      <c r="C5892">
        <v>361913</v>
      </c>
      <c r="F5892" s="7">
        <v>1</v>
      </c>
      <c r="G5892" s="7">
        <v>1231</v>
      </c>
      <c r="H5892" s="8">
        <v>1231</v>
      </c>
      <c r="J5892" t="s">
        <v>23</v>
      </c>
      <c r="K5892" s="7">
        <v>1323</v>
      </c>
      <c r="L5892" s="9">
        <v>1</v>
      </c>
      <c r="M5892" t="s">
        <v>3290</v>
      </c>
      <c r="N5892" t="s">
        <v>187</v>
      </c>
      <c r="O5892" s="27" t="str">
        <f>HYPERLINK("https://www.ncbi.nlm.nih.gov/nuccore/NZ_MAXF01000126.1?report=graph&amp;from=58076&amp;to=58080", "TTA_codon")</f>
        <v>TTA_codon</v>
      </c>
    </row>
    <row r="5893" spans="1:15" x14ac:dyDescent="0.15">
      <c r="A5893" t="s">
        <v>21</v>
      </c>
      <c r="B5893">
        <v>1000698</v>
      </c>
      <c r="C5893">
        <v>363586</v>
      </c>
      <c r="F5893" s="7">
        <v>1</v>
      </c>
      <c r="G5893" s="7">
        <v>1231</v>
      </c>
      <c r="H5893" s="8">
        <v>1231</v>
      </c>
      <c r="J5893" t="s">
        <v>23</v>
      </c>
      <c r="K5893" s="7">
        <v>1323</v>
      </c>
      <c r="L5893" s="9">
        <v>1</v>
      </c>
      <c r="M5893" t="s">
        <v>101</v>
      </c>
      <c r="N5893" t="s">
        <v>102</v>
      </c>
      <c r="O5893" s="27" t="str">
        <f>HYPERLINK("https://www.ncbi.nlm.nih.gov/nuccore/NZ_CP019458.1?report=graph&amp;from=8721054&amp;to=8721058", "TTA_codon")</f>
        <v>TTA_codon</v>
      </c>
    </row>
    <row r="5894" spans="1:15" x14ac:dyDescent="0.15">
      <c r="A5894" t="s">
        <v>21</v>
      </c>
      <c r="B5894">
        <v>1000698</v>
      </c>
      <c r="C5894">
        <v>364987</v>
      </c>
      <c r="F5894" s="7">
        <v>1</v>
      </c>
      <c r="G5894" s="7">
        <v>1231</v>
      </c>
      <c r="H5894" s="8">
        <v>1231</v>
      </c>
      <c r="J5894" t="s">
        <v>23</v>
      </c>
      <c r="K5894" s="7">
        <v>1323</v>
      </c>
      <c r="L5894" s="9">
        <v>1</v>
      </c>
      <c r="M5894" t="s">
        <v>111</v>
      </c>
      <c r="N5894" t="s">
        <v>112</v>
      </c>
      <c r="O5894" s="27" t="str">
        <f>HYPERLINK("https://www.ncbi.nlm.nih.gov/nuccore/NZ_CP021744.1?report=graph&amp;from=6168699&amp;to=6168703", "TTA_codon")</f>
        <v>TTA_codon</v>
      </c>
    </row>
    <row r="5895" spans="1:15" x14ac:dyDescent="0.15">
      <c r="A5895" t="s">
        <v>21</v>
      </c>
      <c r="B5895" t="s">
        <v>4316</v>
      </c>
    </row>
    <row r="5896" spans="1:15" x14ac:dyDescent="0.15">
      <c r="A5896" t="s">
        <v>21</v>
      </c>
      <c r="B5896">
        <v>1000002</v>
      </c>
      <c r="C5896">
        <v>324688</v>
      </c>
      <c r="F5896" s="7">
        <v>1</v>
      </c>
      <c r="G5896" s="7">
        <v>43</v>
      </c>
      <c r="H5896" s="8">
        <v>43</v>
      </c>
      <c r="J5896" t="s">
        <v>23</v>
      </c>
      <c r="K5896" s="7">
        <v>669</v>
      </c>
      <c r="L5896" s="9">
        <v>1</v>
      </c>
      <c r="M5896" t="s">
        <v>4317</v>
      </c>
      <c r="N5896" t="s">
        <v>306</v>
      </c>
      <c r="O5896" s="27" t="str">
        <f>HYPERLINK("https://www.ncbi.nlm.nih.gov/nuccore/NZ_KL571147.1?report=graph&amp;from=12545&amp;to=12549", "TTA_codon")</f>
        <v>TTA_codon</v>
      </c>
    </row>
    <row r="5897" spans="1:15" x14ac:dyDescent="0.15">
      <c r="A5897" t="s">
        <v>21</v>
      </c>
      <c r="B5897">
        <v>1000002</v>
      </c>
      <c r="C5897">
        <v>325061</v>
      </c>
      <c r="F5897" s="7">
        <v>1</v>
      </c>
      <c r="G5897" s="7">
        <v>43</v>
      </c>
      <c r="H5897" s="8">
        <v>40</v>
      </c>
      <c r="J5897" t="s">
        <v>23</v>
      </c>
      <c r="K5897" s="7">
        <v>666</v>
      </c>
      <c r="L5897" s="9">
        <v>1</v>
      </c>
      <c r="M5897" t="s">
        <v>2902</v>
      </c>
      <c r="N5897" t="s">
        <v>270</v>
      </c>
      <c r="O5897" s="27" t="str">
        <f>HYPERLINK("https://www.ncbi.nlm.nih.gov/nuccore/NZ_JOBH01000020.1?report=graph&amp;from=36909&amp;to=36913", "TTA_codon")</f>
        <v>TTA_codon</v>
      </c>
    </row>
    <row r="5898" spans="1:15" x14ac:dyDescent="0.15">
      <c r="A5898" t="s">
        <v>21</v>
      </c>
      <c r="B5898">
        <v>1000002</v>
      </c>
      <c r="C5898">
        <v>334635</v>
      </c>
      <c r="F5898" s="7">
        <v>1</v>
      </c>
      <c r="G5898" s="7">
        <v>43</v>
      </c>
      <c r="H5898" s="8">
        <v>43</v>
      </c>
      <c r="J5898" t="s">
        <v>23</v>
      </c>
      <c r="K5898" s="7">
        <v>669</v>
      </c>
      <c r="L5898" s="9">
        <v>1</v>
      </c>
      <c r="M5898" t="s">
        <v>37</v>
      </c>
      <c r="N5898" t="s">
        <v>38</v>
      </c>
      <c r="O5898" s="27" t="str">
        <f>HYPERLINK("https://www.ncbi.nlm.nih.gov/nuccore/NZ_CP011533.1?report=graph&amp;from=3713983&amp;to=3713987", "TTA_codon")</f>
        <v>TTA_codon</v>
      </c>
    </row>
    <row r="5899" spans="1:15" x14ac:dyDescent="0.15">
      <c r="A5899" t="s">
        <v>21</v>
      </c>
      <c r="B5899">
        <v>1000002</v>
      </c>
      <c r="C5899">
        <v>338476</v>
      </c>
      <c r="F5899" s="7">
        <v>1</v>
      </c>
      <c r="G5899" s="7">
        <v>43</v>
      </c>
      <c r="H5899" s="8">
        <v>43</v>
      </c>
      <c r="J5899" t="s">
        <v>23</v>
      </c>
      <c r="K5899" s="7">
        <v>660</v>
      </c>
      <c r="L5899" s="9">
        <v>1</v>
      </c>
      <c r="M5899" t="s">
        <v>111</v>
      </c>
      <c r="N5899" t="s">
        <v>112</v>
      </c>
      <c r="O5899" s="27" t="str">
        <f>HYPERLINK("https://www.ncbi.nlm.nih.gov/nuccore/NZ_CP021744.1?report=graph&amp;from=2913155&amp;to=2913159", "TTA_codon")</f>
        <v>TTA_codon</v>
      </c>
    </row>
    <row r="5900" spans="1:15" x14ac:dyDescent="0.15">
      <c r="A5900" t="s">
        <v>21</v>
      </c>
      <c r="B5900">
        <v>1000002</v>
      </c>
      <c r="C5900">
        <v>350281</v>
      </c>
      <c r="F5900" s="7">
        <v>1</v>
      </c>
      <c r="G5900" s="7">
        <v>43</v>
      </c>
      <c r="H5900" s="8">
        <v>43</v>
      </c>
      <c r="J5900" t="s">
        <v>23</v>
      </c>
      <c r="K5900" s="7">
        <v>669</v>
      </c>
      <c r="L5900" s="9">
        <v>1</v>
      </c>
      <c r="M5900" t="s">
        <v>35</v>
      </c>
      <c r="N5900" t="s">
        <v>36</v>
      </c>
      <c r="O5900" s="27" t="str">
        <f>HYPERLINK("https://www.ncbi.nlm.nih.gov/nuccore/NZ_JH725387.1?report=graph&amp;from=2049655&amp;to=2049659", "TTA_codon")</f>
        <v>TTA_codon</v>
      </c>
    </row>
    <row r="5901" spans="1:15" x14ac:dyDescent="0.15">
      <c r="A5901" t="s">
        <v>21</v>
      </c>
      <c r="B5901">
        <v>1000002</v>
      </c>
      <c r="C5901">
        <v>362232</v>
      </c>
      <c r="F5901" s="7">
        <v>1</v>
      </c>
      <c r="G5901" s="7">
        <v>43</v>
      </c>
      <c r="H5901" s="8">
        <v>43</v>
      </c>
      <c r="J5901" t="s">
        <v>23</v>
      </c>
      <c r="K5901" s="7">
        <v>669</v>
      </c>
      <c r="L5901" s="9">
        <v>1</v>
      </c>
      <c r="M5901" t="s">
        <v>39</v>
      </c>
      <c r="N5901" t="s">
        <v>40</v>
      </c>
      <c r="O5901" s="27" t="str">
        <f>HYPERLINK("https://www.ncbi.nlm.nih.gov/nuccore/NZ_CP017157.1?report=graph&amp;from=7057429&amp;to=7057433", "TTA_codon")</f>
        <v>TTA_codon</v>
      </c>
    </row>
    <row r="5902" spans="1:15" x14ac:dyDescent="0.15">
      <c r="A5902" t="s">
        <v>195</v>
      </c>
      <c r="B5902" t="s">
        <v>4318</v>
      </c>
    </row>
    <row r="5903" spans="1:15" x14ac:dyDescent="0.15">
      <c r="A5903" t="s">
        <v>195</v>
      </c>
      <c r="B5903">
        <v>1000118</v>
      </c>
      <c r="C5903">
        <v>346807</v>
      </c>
      <c r="F5903" s="7">
        <v>1</v>
      </c>
      <c r="G5903" s="7">
        <v>508</v>
      </c>
      <c r="H5903" s="8">
        <v>478</v>
      </c>
      <c r="J5903" t="s">
        <v>23</v>
      </c>
      <c r="K5903" s="7">
        <v>1482</v>
      </c>
      <c r="L5903" s="9">
        <v>-1</v>
      </c>
      <c r="M5903" t="s">
        <v>891</v>
      </c>
      <c r="N5903" t="s">
        <v>95</v>
      </c>
      <c r="O5903" s="27" t="str">
        <f>HYPERLINK("https://www.ncbi.nlm.nih.gov/nuccore/NZ_JYIJ01000014.1?report=graph&amp;from=174589&amp;to=174593", "TTA_codon")</f>
        <v>TTA_codon</v>
      </c>
    </row>
    <row r="5904" spans="1:15" x14ac:dyDescent="0.15">
      <c r="A5904" t="s">
        <v>21</v>
      </c>
      <c r="B5904">
        <v>1000118</v>
      </c>
      <c r="C5904">
        <v>360752</v>
      </c>
      <c r="F5904" s="7">
        <v>1</v>
      </c>
      <c r="G5904" s="7">
        <v>529</v>
      </c>
      <c r="H5904" s="8">
        <v>505</v>
      </c>
      <c r="J5904" t="s">
        <v>23</v>
      </c>
      <c r="K5904" s="7">
        <v>1464</v>
      </c>
      <c r="L5904" s="9">
        <v>-1</v>
      </c>
      <c r="M5904" t="s">
        <v>1503</v>
      </c>
      <c r="N5904" t="s">
        <v>95</v>
      </c>
      <c r="O5904" s="27" t="str">
        <f>HYPERLINK("https://www.ncbi.nlm.nih.gov/nuccore/NZ_JYIJ01000017.1?report=graph&amp;from=297456&amp;to=297460", "TTA_codon")</f>
        <v>TTA_codon</v>
      </c>
    </row>
    <row r="5905" spans="1:15" x14ac:dyDescent="0.15">
      <c r="A5905" t="s">
        <v>21</v>
      </c>
      <c r="B5905">
        <v>1000118</v>
      </c>
      <c r="C5905">
        <v>360845</v>
      </c>
      <c r="F5905" s="7">
        <v>1</v>
      </c>
      <c r="G5905" s="7">
        <v>529</v>
      </c>
      <c r="H5905" s="8">
        <v>520</v>
      </c>
      <c r="J5905" t="s">
        <v>23</v>
      </c>
      <c r="K5905" s="7">
        <v>1476</v>
      </c>
      <c r="L5905" s="9">
        <v>-1</v>
      </c>
      <c r="M5905" t="s">
        <v>94</v>
      </c>
      <c r="N5905" t="s">
        <v>95</v>
      </c>
      <c r="O5905" s="27" t="str">
        <f>HYPERLINK("https://www.ncbi.nlm.nih.gov/nuccore/NZ_JYIJ01000019.1?report=graph&amp;from=409963&amp;to=409967", "TTA_codon")</f>
        <v>TTA_codon</v>
      </c>
    </row>
    <row r="5906" spans="1:15" x14ac:dyDescent="0.15">
      <c r="A5906" t="s">
        <v>21</v>
      </c>
      <c r="B5906" t="s">
        <v>4319</v>
      </c>
    </row>
    <row r="5907" spans="1:15" x14ac:dyDescent="0.15">
      <c r="A5907" t="s">
        <v>21</v>
      </c>
      <c r="B5907">
        <v>1000936</v>
      </c>
      <c r="C5907">
        <v>353297</v>
      </c>
      <c r="F5907" s="7">
        <v>1</v>
      </c>
      <c r="G5907" s="7">
        <v>49</v>
      </c>
      <c r="H5907" s="8">
        <v>49</v>
      </c>
      <c r="J5907" t="s">
        <v>23</v>
      </c>
      <c r="K5907" s="7">
        <v>1455</v>
      </c>
      <c r="L5907" s="9">
        <v>1</v>
      </c>
      <c r="M5907" t="s">
        <v>3194</v>
      </c>
      <c r="N5907" t="s">
        <v>169</v>
      </c>
      <c r="O5907" s="27" t="str">
        <f>HYPERLINK("https://www.ncbi.nlm.nih.gov/nuccore/NZ_JNWJ01000042.1?report=graph&amp;from=26168&amp;to=26172", "TTA_codon")</f>
        <v>TTA_codon</v>
      </c>
    </row>
    <row r="5908" spans="1:15" x14ac:dyDescent="0.15">
      <c r="A5908" t="s">
        <v>21</v>
      </c>
      <c r="B5908">
        <v>1000936</v>
      </c>
      <c r="C5908">
        <v>362858</v>
      </c>
      <c r="F5908" s="7">
        <v>1</v>
      </c>
      <c r="G5908" s="7">
        <v>49</v>
      </c>
      <c r="H5908" s="8">
        <v>49</v>
      </c>
      <c r="J5908" t="s">
        <v>23</v>
      </c>
      <c r="K5908" s="7">
        <v>1491</v>
      </c>
      <c r="L5908" s="9">
        <v>1</v>
      </c>
      <c r="M5908" t="s">
        <v>4320</v>
      </c>
      <c r="N5908" t="s">
        <v>156</v>
      </c>
      <c r="O5908" s="27" t="str">
        <f>HYPERLINK("https://www.ncbi.nlm.nih.gov/nuccore/NZ_LJGW01000419.1?report=graph&amp;from=8529&amp;to=8533", "TTA_codon")</f>
        <v>TTA_codon</v>
      </c>
    </row>
    <row r="5909" spans="1:15" x14ac:dyDescent="0.15">
      <c r="A5909" t="s">
        <v>21</v>
      </c>
      <c r="B5909" t="s">
        <v>4321</v>
      </c>
    </row>
    <row r="5910" spans="1:15" x14ac:dyDescent="0.15">
      <c r="A5910" t="s">
        <v>21</v>
      </c>
      <c r="B5910">
        <v>1000188</v>
      </c>
      <c r="C5910">
        <v>347314</v>
      </c>
      <c r="F5910" s="7">
        <v>1</v>
      </c>
      <c r="G5910" s="7">
        <v>1222</v>
      </c>
      <c r="H5910" s="8">
        <v>1111</v>
      </c>
      <c r="J5910" t="s">
        <v>23</v>
      </c>
      <c r="K5910" s="7">
        <v>1848</v>
      </c>
      <c r="L5910" s="9">
        <v>-1</v>
      </c>
      <c r="M5910" t="s">
        <v>53</v>
      </c>
      <c r="N5910" t="s">
        <v>54</v>
      </c>
      <c r="O5910" s="27" t="str">
        <f>HYPERLINK("https://www.ncbi.nlm.nih.gov/nuccore/NC_003155.5?report=graph&amp;from=8244754&amp;to=8244758", "TTA_codon")</f>
        <v>TTA_codon</v>
      </c>
    </row>
    <row r="5911" spans="1:15" x14ac:dyDescent="0.15">
      <c r="A5911" t="s">
        <v>21</v>
      </c>
      <c r="B5911">
        <v>1000188</v>
      </c>
      <c r="C5911">
        <v>348539</v>
      </c>
      <c r="F5911" s="7">
        <v>1</v>
      </c>
      <c r="G5911" s="7">
        <v>1105</v>
      </c>
      <c r="H5911" s="8">
        <v>994</v>
      </c>
      <c r="J5911" t="s">
        <v>23</v>
      </c>
      <c r="K5911" s="7">
        <v>1848</v>
      </c>
      <c r="L5911" s="9">
        <v>-1</v>
      </c>
      <c r="M5911" t="s">
        <v>61</v>
      </c>
      <c r="N5911" t="s">
        <v>62</v>
      </c>
      <c r="O5911" s="27" t="str">
        <f>HYPERLINK("https://www.ncbi.nlm.nih.gov/nuccore/NZ_DS999641.1?report=graph&amp;from=6520769&amp;to=6520773", "TTA_codon")</f>
        <v>TTA_codon</v>
      </c>
    </row>
    <row r="5912" spans="1:15" x14ac:dyDescent="0.15">
      <c r="A5912" t="s">
        <v>21</v>
      </c>
      <c r="B5912">
        <v>1000188</v>
      </c>
      <c r="C5912">
        <v>350010</v>
      </c>
      <c r="F5912" s="7">
        <v>1</v>
      </c>
      <c r="G5912" s="7">
        <v>1105</v>
      </c>
      <c r="H5912" s="8">
        <v>994</v>
      </c>
      <c r="J5912" t="s">
        <v>23</v>
      </c>
      <c r="K5912" s="7">
        <v>1848</v>
      </c>
      <c r="L5912" s="9">
        <v>-1</v>
      </c>
      <c r="M5912" t="s">
        <v>4322</v>
      </c>
      <c r="N5912" t="s">
        <v>249</v>
      </c>
      <c r="O5912" s="27" t="str">
        <f>HYPERLINK("https://www.ncbi.nlm.nih.gov/nuccore/NZ_AHBF01000093.1?report=graph&amp;from=68927&amp;to=68931", "TTA_codon")</f>
        <v>TTA_codon</v>
      </c>
    </row>
    <row r="5913" spans="1:15" x14ac:dyDescent="0.15">
      <c r="A5913" t="s">
        <v>21</v>
      </c>
      <c r="B5913">
        <v>1000188</v>
      </c>
      <c r="C5913">
        <v>351261</v>
      </c>
      <c r="F5913" s="7">
        <v>1</v>
      </c>
      <c r="G5913" s="7">
        <v>1105</v>
      </c>
      <c r="H5913" s="8">
        <v>994</v>
      </c>
      <c r="J5913" t="s">
        <v>23</v>
      </c>
      <c r="K5913" s="7">
        <v>1848</v>
      </c>
      <c r="L5913" s="9">
        <v>-1</v>
      </c>
      <c r="M5913" t="s">
        <v>65</v>
      </c>
      <c r="N5913" t="s">
        <v>66</v>
      </c>
      <c r="O5913" s="27" t="str">
        <f>HYPERLINK("https://www.ncbi.nlm.nih.gov/nuccore/NC_020504.1?report=graph&amp;from=8009712&amp;to=8009716", "TTA_codon")</f>
        <v>TTA_codon</v>
      </c>
    </row>
    <row r="5914" spans="1:15" x14ac:dyDescent="0.15">
      <c r="A5914" t="s">
        <v>21</v>
      </c>
      <c r="B5914">
        <v>1000188</v>
      </c>
      <c r="C5914">
        <v>351831</v>
      </c>
      <c r="F5914" s="7">
        <v>1</v>
      </c>
      <c r="G5914" s="7">
        <v>1105</v>
      </c>
      <c r="H5914" s="8">
        <v>1000</v>
      </c>
      <c r="J5914" t="s">
        <v>23</v>
      </c>
      <c r="K5914" s="7">
        <v>1845</v>
      </c>
      <c r="L5914" s="9">
        <v>-1</v>
      </c>
      <c r="M5914" t="s">
        <v>4323</v>
      </c>
      <c r="N5914" t="s">
        <v>68</v>
      </c>
      <c r="O5914" s="27" t="str">
        <f>HYPERLINK("https://www.ncbi.nlm.nih.gov/nuccore/NZ_BARG01000012.1?report=graph&amp;from=41477&amp;to=41481", "TTA_codon")</f>
        <v>TTA_codon</v>
      </c>
    </row>
    <row r="5915" spans="1:15" x14ac:dyDescent="0.15">
      <c r="A5915" t="s">
        <v>21</v>
      </c>
      <c r="B5915">
        <v>1000188</v>
      </c>
      <c r="C5915">
        <v>352776</v>
      </c>
      <c r="F5915" s="7">
        <v>1</v>
      </c>
      <c r="G5915" s="7">
        <v>1204</v>
      </c>
      <c r="H5915" s="8">
        <v>1159</v>
      </c>
      <c r="J5915" t="s">
        <v>23</v>
      </c>
      <c r="K5915" s="7">
        <v>1935</v>
      </c>
      <c r="L5915" s="9">
        <v>-1</v>
      </c>
      <c r="M5915" t="s">
        <v>472</v>
      </c>
      <c r="N5915" t="s">
        <v>473</v>
      </c>
      <c r="O5915" s="27" t="str">
        <f>HYPERLINK("https://www.ncbi.nlm.nih.gov/nuccore/NZ_ASHX02000001.1?report=graph&amp;from=5613632&amp;to=5613636", "TTA_codon")</f>
        <v>TTA_codon</v>
      </c>
    </row>
    <row r="5916" spans="1:15" x14ac:dyDescent="0.15">
      <c r="A5916" t="s">
        <v>21</v>
      </c>
      <c r="B5916">
        <v>1000188</v>
      </c>
      <c r="C5916">
        <v>356045</v>
      </c>
      <c r="F5916" s="7">
        <v>1</v>
      </c>
      <c r="G5916" s="7">
        <v>1105</v>
      </c>
      <c r="H5916" s="8">
        <v>985</v>
      </c>
      <c r="J5916" t="s">
        <v>23</v>
      </c>
      <c r="K5916" s="7">
        <v>1839</v>
      </c>
      <c r="L5916" s="9">
        <v>-1</v>
      </c>
      <c r="M5916" t="s">
        <v>4324</v>
      </c>
      <c r="N5916" t="s">
        <v>146</v>
      </c>
      <c r="O5916" s="27" t="str">
        <f>HYPERLINK("https://www.ncbi.nlm.nih.gov/nuccore/NZ_JOFH01000024.1?report=graph&amp;from=44382&amp;to=44386", "TTA_codon")</f>
        <v>TTA_codon</v>
      </c>
    </row>
    <row r="5917" spans="1:15" x14ac:dyDescent="0.15">
      <c r="A5917" t="s">
        <v>21</v>
      </c>
      <c r="B5917">
        <v>1000188</v>
      </c>
      <c r="C5917">
        <v>357420</v>
      </c>
      <c r="F5917" s="7">
        <v>1</v>
      </c>
      <c r="G5917" s="7">
        <v>1105</v>
      </c>
      <c r="H5917" s="8">
        <v>1000</v>
      </c>
      <c r="J5917" t="s">
        <v>23</v>
      </c>
      <c r="K5917" s="7">
        <v>1854</v>
      </c>
      <c r="L5917" s="9">
        <v>-1</v>
      </c>
      <c r="M5917" t="s">
        <v>80</v>
      </c>
      <c r="N5917" t="s">
        <v>81</v>
      </c>
      <c r="O5917" s="27" t="str">
        <f>HYPERLINK("https://www.ncbi.nlm.nih.gov/nuccore/NZ_LN831790.1?report=graph&amp;from=6624754&amp;to=6624758", "TTA_codon")</f>
        <v>TTA_codon</v>
      </c>
    </row>
    <row r="5918" spans="1:15" x14ac:dyDescent="0.15">
      <c r="A5918" t="s">
        <v>21</v>
      </c>
      <c r="B5918">
        <v>1000188</v>
      </c>
      <c r="C5918">
        <v>358842</v>
      </c>
      <c r="F5918" s="7">
        <v>1</v>
      </c>
      <c r="G5918" s="7">
        <v>1105</v>
      </c>
      <c r="H5918" s="8">
        <v>997</v>
      </c>
      <c r="J5918" t="s">
        <v>23</v>
      </c>
      <c r="K5918" s="7">
        <v>1851</v>
      </c>
      <c r="L5918" s="9">
        <v>-1</v>
      </c>
      <c r="M5918" t="s">
        <v>4325</v>
      </c>
      <c r="N5918" t="s">
        <v>87</v>
      </c>
      <c r="O5918" s="27" t="str">
        <f>HYPERLINK("https://www.ncbi.nlm.nih.gov/nuccore/NZ_LIQS01000433.1?report=graph&amp;from=14184&amp;to=14188", "TTA_codon")</f>
        <v>TTA_codon</v>
      </c>
    </row>
    <row r="5919" spans="1:15" x14ac:dyDescent="0.15">
      <c r="A5919" t="s">
        <v>21</v>
      </c>
      <c r="B5919">
        <v>1000188</v>
      </c>
      <c r="C5919">
        <v>360106</v>
      </c>
      <c r="F5919" s="7">
        <v>1</v>
      </c>
      <c r="G5919" s="7">
        <v>1105</v>
      </c>
      <c r="H5919" s="8">
        <v>997</v>
      </c>
      <c r="J5919" t="s">
        <v>23</v>
      </c>
      <c r="K5919" s="7">
        <v>1851</v>
      </c>
      <c r="L5919" s="9">
        <v>-1</v>
      </c>
      <c r="M5919" t="s">
        <v>292</v>
      </c>
      <c r="N5919" t="s">
        <v>125</v>
      </c>
      <c r="O5919" s="27" t="str">
        <f>HYPERLINK("https://www.ncbi.nlm.nih.gov/nuccore/NZ_KQ948453.1?report=graph&amp;from=533678&amp;to=533682", "TTA_codon")</f>
        <v>TTA_codon</v>
      </c>
    </row>
    <row r="5920" spans="1:15" x14ac:dyDescent="0.15">
      <c r="A5920" t="s">
        <v>21</v>
      </c>
      <c r="B5920">
        <v>1000188</v>
      </c>
      <c r="C5920">
        <v>364153</v>
      </c>
      <c r="F5920" s="7">
        <v>1</v>
      </c>
      <c r="G5920" s="7">
        <v>1204</v>
      </c>
      <c r="H5920" s="8">
        <v>1120</v>
      </c>
      <c r="J5920" t="s">
        <v>23</v>
      </c>
      <c r="K5920" s="7">
        <v>1896</v>
      </c>
      <c r="L5920" s="9">
        <v>-1</v>
      </c>
      <c r="M5920" t="s">
        <v>254</v>
      </c>
      <c r="N5920" t="s">
        <v>255</v>
      </c>
      <c r="O5920" s="27" t="str">
        <f>HYPERLINK("https://www.ncbi.nlm.nih.gov/nuccore/NZ_CP018047.1?report=graph&amp;from=6878819&amp;to=6878823", "TTA_codon")</f>
        <v>TTA_codon</v>
      </c>
    </row>
    <row r="5921" spans="1:15" x14ac:dyDescent="0.15">
      <c r="A5921" t="s">
        <v>21</v>
      </c>
      <c r="B5921">
        <v>1000188</v>
      </c>
      <c r="C5921">
        <v>364566</v>
      </c>
      <c r="F5921" s="7">
        <v>1</v>
      </c>
      <c r="G5921" s="7">
        <v>1105</v>
      </c>
      <c r="H5921" s="8">
        <v>997</v>
      </c>
      <c r="J5921" t="s">
        <v>23</v>
      </c>
      <c r="K5921" s="7">
        <v>1851</v>
      </c>
      <c r="L5921" s="9">
        <v>-1</v>
      </c>
      <c r="M5921" t="s">
        <v>4326</v>
      </c>
      <c r="N5921" t="s">
        <v>108</v>
      </c>
      <c r="O5921" s="27" t="str">
        <f>HYPERLINK("https://www.ncbi.nlm.nih.gov/nuccore/NZ_MUMD01000012.1?report=graph&amp;from=14170&amp;to=14174", "TTA_codon")</f>
        <v>TTA_codon</v>
      </c>
    </row>
    <row r="5922" spans="1:15" x14ac:dyDescent="0.15">
      <c r="A5922" t="s">
        <v>21</v>
      </c>
      <c r="B5922" t="s">
        <v>4327</v>
      </c>
    </row>
    <row r="5923" spans="1:15" x14ac:dyDescent="0.15">
      <c r="A5923" t="s">
        <v>21</v>
      </c>
      <c r="B5923">
        <v>1000519</v>
      </c>
      <c r="C5923">
        <v>349489</v>
      </c>
      <c r="F5923" s="7">
        <v>1</v>
      </c>
      <c r="G5923" s="7">
        <v>313</v>
      </c>
      <c r="H5923" s="8">
        <v>307</v>
      </c>
      <c r="J5923" t="s">
        <v>23</v>
      </c>
      <c r="K5923" s="7">
        <v>684</v>
      </c>
      <c r="L5923" s="9">
        <v>-1</v>
      </c>
      <c r="M5923" t="s">
        <v>2573</v>
      </c>
      <c r="N5923" t="s">
        <v>64</v>
      </c>
      <c r="O5923" s="27" t="str">
        <f>HYPERLINK("https://www.ncbi.nlm.nih.gov/nuccore/NZ_AEYX01000025.1?report=graph&amp;from=32979&amp;to=32983", "TTA_codon")</f>
        <v>TTA_codon</v>
      </c>
    </row>
    <row r="5924" spans="1:15" x14ac:dyDescent="0.15">
      <c r="A5924" t="s">
        <v>21</v>
      </c>
      <c r="B5924">
        <v>1000519</v>
      </c>
      <c r="C5924">
        <v>351834</v>
      </c>
      <c r="F5924" s="7">
        <v>2</v>
      </c>
      <c r="G5924" s="7" t="s">
        <v>4328</v>
      </c>
      <c r="H5924" s="8" t="s">
        <v>4328</v>
      </c>
      <c r="J5924" t="s">
        <v>23</v>
      </c>
      <c r="K5924" s="7">
        <v>690</v>
      </c>
      <c r="L5924" s="9">
        <v>-1</v>
      </c>
      <c r="M5924" t="s">
        <v>3218</v>
      </c>
      <c r="N5924" t="s">
        <v>68</v>
      </c>
      <c r="O5924" s="27" t="str">
        <f>HYPERLINK("https://www.ncbi.nlm.nih.gov/nuccore/NZ_BARG01000107.1?report=graph&amp;from=21327&amp;to=21499", "TTA_codon")</f>
        <v>TTA_codon</v>
      </c>
    </row>
    <row r="5925" spans="1:15" x14ac:dyDescent="0.15">
      <c r="A5925" t="s">
        <v>21</v>
      </c>
      <c r="B5925">
        <v>1000519</v>
      </c>
      <c r="C5925">
        <v>362848</v>
      </c>
      <c r="F5925" s="7">
        <v>1</v>
      </c>
      <c r="G5925" s="7">
        <v>196</v>
      </c>
      <c r="H5925" s="8">
        <v>133</v>
      </c>
      <c r="J5925" t="s">
        <v>23</v>
      </c>
      <c r="K5925" s="7">
        <v>687</v>
      </c>
      <c r="L5925" s="9">
        <v>-1</v>
      </c>
      <c r="M5925" t="s">
        <v>4329</v>
      </c>
      <c r="N5925" t="s">
        <v>156</v>
      </c>
      <c r="O5925" s="27" t="str">
        <f>HYPERLINK("https://www.ncbi.nlm.nih.gov/nuccore/NZ_LJGW01000135.1?report=graph&amp;from=9572&amp;to=9576", "TTA_codon")</f>
        <v>TTA_codon</v>
      </c>
    </row>
    <row r="5926" spans="1:15" x14ac:dyDescent="0.15">
      <c r="A5926" t="s">
        <v>21</v>
      </c>
      <c r="B5926" t="s">
        <v>4330</v>
      </c>
    </row>
    <row r="5927" spans="1:15" x14ac:dyDescent="0.15">
      <c r="A5927" t="s">
        <v>21</v>
      </c>
      <c r="B5927">
        <v>1000792</v>
      </c>
      <c r="C5927">
        <v>351893</v>
      </c>
      <c r="F5927" s="7">
        <v>1</v>
      </c>
      <c r="G5927" s="7">
        <v>763</v>
      </c>
      <c r="H5927" s="8">
        <v>748</v>
      </c>
      <c r="J5927" t="s">
        <v>23</v>
      </c>
      <c r="K5927" s="7">
        <v>1473</v>
      </c>
      <c r="L5927" s="9">
        <v>1</v>
      </c>
      <c r="M5927" t="s">
        <v>4331</v>
      </c>
      <c r="N5927" t="s">
        <v>68</v>
      </c>
      <c r="O5927" s="27" t="str">
        <f>HYPERLINK("https://www.ncbi.nlm.nih.gov/nuccore/NZ_BARG01000118.1?report=graph&amp;from=10719&amp;to=10723", "TTA_codon")</f>
        <v>TTA_codon</v>
      </c>
    </row>
    <row r="5928" spans="1:15" x14ac:dyDescent="0.15">
      <c r="A5928" t="s">
        <v>21</v>
      </c>
      <c r="B5928">
        <v>1000792</v>
      </c>
      <c r="C5928">
        <v>358430</v>
      </c>
      <c r="F5928" s="7">
        <v>1</v>
      </c>
      <c r="G5928" s="7">
        <v>820</v>
      </c>
      <c r="H5928" s="8">
        <v>808</v>
      </c>
      <c r="J5928" t="s">
        <v>23</v>
      </c>
      <c r="K5928" s="7">
        <v>1461</v>
      </c>
      <c r="L5928" s="9">
        <v>1</v>
      </c>
      <c r="M5928" t="s">
        <v>4332</v>
      </c>
      <c r="N5928" t="s">
        <v>85</v>
      </c>
      <c r="O5928" s="27" t="str">
        <f>HYPERLINK("https://www.ncbi.nlm.nih.gov/nuccore/NZ_LIQX01000531.1?report=graph&amp;from=6251&amp;to=6255", "TTA_codon")</f>
        <v>TTA_codon</v>
      </c>
    </row>
    <row r="5929" spans="1:15" x14ac:dyDescent="0.15">
      <c r="A5929" t="s">
        <v>21</v>
      </c>
      <c r="B5929" t="s">
        <v>4333</v>
      </c>
    </row>
    <row r="5930" spans="1:15" x14ac:dyDescent="0.15">
      <c r="A5930" t="s">
        <v>21</v>
      </c>
      <c r="B5930">
        <v>1001085</v>
      </c>
      <c r="C5930">
        <v>355377</v>
      </c>
      <c r="F5930" s="7">
        <v>1</v>
      </c>
      <c r="G5930" s="7">
        <v>166</v>
      </c>
      <c r="H5930" s="8">
        <v>166</v>
      </c>
      <c r="J5930" t="s">
        <v>23</v>
      </c>
      <c r="K5930" s="7">
        <v>1143</v>
      </c>
      <c r="L5930" s="9">
        <v>1</v>
      </c>
      <c r="M5930" t="s">
        <v>3905</v>
      </c>
      <c r="N5930" t="s">
        <v>198</v>
      </c>
      <c r="O5930" s="27" t="str">
        <f>HYPERLINK("https://www.ncbi.nlm.nih.gov/nuccore/NZ_JOFL01000006.1?report=graph&amp;from=488867&amp;to=488871", "TTA_codon")</f>
        <v>TTA_codon</v>
      </c>
    </row>
    <row r="5931" spans="1:15" x14ac:dyDescent="0.15">
      <c r="A5931" t="s">
        <v>21</v>
      </c>
      <c r="B5931">
        <v>1001085</v>
      </c>
      <c r="C5931">
        <v>357920</v>
      </c>
      <c r="F5931" s="7">
        <v>1</v>
      </c>
      <c r="G5931" s="7">
        <v>166</v>
      </c>
      <c r="H5931" s="8">
        <v>166</v>
      </c>
      <c r="J5931" t="s">
        <v>23</v>
      </c>
      <c r="K5931" s="7">
        <v>1065</v>
      </c>
      <c r="L5931" s="9">
        <v>1</v>
      </c>
      <c r="M5931" t="s">
        <v>261</v>
      </c>
      <c r="N5931" t="s">
        <v>262</v>
      </c>
      <c r="O5931" s="27" t="str">
        <f>HYPERLINK("https://www.ncbi.nlm.nih.gov/nuccore/NZ_CP011340.1?report=graph&amp;from=809286&amp;to=809290", "TTA_codon")</f>
        <v>TTA_codon</v>
      </c>
    </row>
    <row r="5932" spans="1:15" x14ac:dyDescent="0.15">
      <c r="A5932" t="s">
        <v>21</v>
      </c>
      <c r="B5932">
        <v>1001085</v>
      </c>
      <c r="C5932">
        <v>364971</v>
      </c>
      <c r="F5932" s="7">
        <v>1</v>
      </c>
      <c r="G5932" s="7">
        <v>166</v>
      </c>
      <c r="H5932" s="8">
        <v>166</v>
      </c>
      <c r="J5932" t="s">
        <v>23</v>
      </c>
      <c r="K5932" s="7">
        <v>1071</v>
      </c>
      <c r="L5932" s="9">
        <v>1</v>
      </c>
      <c r="M5932" t="s">
        <v>111</v>
      </c>
      <c r="N5932" t="s">
        <v>112</v>
      </c>
      <c r="O5932" s="27" t="str">
        <f>HYPERLINK("https://www.ncbi.nlm.nih.gov/nuccore/NZ_CP021744.1?report=graph&amp;from=7641852&amp;to=7641856", "TTA_codon")</f>
        <v>TTA_codon</v>
      </c>
    </row>
    <row r="5933" spans="1:15" x14ac:dyDescent="0.15">
      <c r="A5933" t="s">
        <v>21</v>
      </c>
      <c r="B5933" t="s">
        <v>4334</v>
      </c>
    </row>
    <row r="5934" spans="1:15" x14ac:dyDescent="0.15">
      <c r="A5934" t="s">
        <v>21</v>
      </c>
      <c r="B5934">
        <v>1000316</v>
      </c>
      <c r="C5934">
        <v>347991</v>
      </c>
      <c r="F5934" s="7">
        <v>1</v>
      </c>
      <c r="G5934" s="7">
        <v>316</v>
      </c>
      <c r="H5934" s="8">
        <v>316</v>
      </c>
      <c r="J5934" t="s">
        <v>23</v>
      </c>
      <c r="K5934" s="7">
        <v>840</v>
      </c>
      <c r="L5934" s="9">
        <v>1</v>
      </c>
      <c r="M5934" t="s">
        <v>59</v>
      </c>
      <c r="N5934" t="s">
        <v>60</v>
      </c>
      <c r="O5934" s="27" t="str">
        <f>HYPERLINK("https://www.ncbi.nlm.nih.gov/nuccore/NC_016582.1?report=graph&amp;from=6024952&amp;to=6024956", "TTA_codon")</f>
        <v>TTA_codon</v>
      </c>
    </row>
    <row r="5935" spans="1:15" x14ac:dyDescent="0.15">
      <c r="A5935" t="s">
        <v>21</v>
      </c>
      <c r="B5935">
        <v>1000316</v>
      </c>
      <c r="C5935">
        <v>351014</v>
      </c>
      <c r="F5935" s="7">
        <v>1</v>
      </c>
      <c r="G5935" s="7">
        <v>337</v>
      </c>
      <c r="H5935" s="8">
        <v>334</v>
      </c>
      <c r="J5935" t="s">
        <v>23</v>
      </c>
      <c r="K5935" s="7">
        <v>837</v>
      </c>
      <c r="L5935" s="9">
        <v>1</v>
      </c>
      <c r="M5935" t="s">
        <v>4335</v>
      </c>
      <c r="N5935" t="s">
        <v>136</v>
      </c>
      <c r="O5935" s="27" t="str">
        <f>HYPERLINK("https://www.ncbi.nlm.nih.gov/nuccore/NZ_AORZ01000085.1?report=graph&amp;from=9305&amp;to=9309", "TTA_codon")</f>
        <v>TTA_codon</v>
      </c>
    </row>
    <row r="5936" spans="1:15" x14ac:dyDescent="0.15">
      <c r="A5936" t="s">
        <v>21</v>
      </c>
      <c r="B5936">
        <v>1000316</v>
      </c>
      <c r="C5936">
        <v>355382</v>
      </c>
      <c r="F5936" s="7">
        <v>1</v>
      </c>
      <c r="G5936" s="7">
        <v>67</v>
      </c>
      <c r="H5936" s="8">
        <v>67</v>
      </c>
      <c r="J5936" t="s">
        <v>23</v>
      </c>
      <c r="K5936" s="7">
        <v>837</v>
      </c>
      <c r="L5936" s="9">
        <v>1</v>
      </c>
      <c r="M5936" t="s">
        <v>845</v>
      </c>
      <c r="N5936" t="s">
        <v>198</v>
      </c>
      <c r="O5936" s="27" t="str">
        <f>HYPERLINK("https://www.ncbi.nlm.nih.gov/nuccore/NZ_JOFL01000008.1?report=graph&amp;from=396&amp;to=400", "TTA_codon")</f>
        <v>TTA_codon</v>
      </c>
    </row>
    <row r="5937" spans="1:15" x14ac:dyDescent="0.15">
      <c r="A5937" t="s">
        <v>21</v>
      </c>
      <c r="B5937">
        <v>1000316</v>
      </c>
      <c r="C5937">
        <v>355591</v>
      </c>
      <c r="F5937" s="7">
        <v>1</v>
      </c>
      <c r="G5937" s="7">
        <v>373</v>
      </c>
      <c r="H5937" s="8">
        <v>373</v>
      </c>
      <c r="J5937" t="s">
        <v>23</v>
      </c>
      <c r="K5937" s="7">
        <v>840</v>
      </c>
      <c r="L5937" s="9">
        <v>1</v>
      </c>
      <c r="M5937" t="s">
        <v>277</v>
      </c>
      <c r="N5937" t="s">
        <v>278</v>
      </c>
      <c r="O5937" s="27" t="str">
        <f>HYPERLINK("https://www.ncbi.nlm.nih.gov/nuccore/NZ_JOID01000016.1?report=graph&amp;from=221625&amp;to=221629", "TTA_codon")</f>
        <v>TTA_codon</v>
      </c>
    </row>
    <row r="5938" spans="1:15" x14ac:dyDescent="0.15">
      <c r="A5938" t="s">
        <v>21</v>
      </c>
      <c r="B5938">
        <v>1000316</v>
      </c>
      <c r="C5938">
        <v>361082</v>
      </c>
      <c r="F5938" s="7">
        <v>1</v>
      </c>
      <c r="G5938" s="7">
        <v>226</v>
      </c>
      <c r="H5938" s="8">
        <v>226</v>
      </c>
      <c r="J5938" t="s">
        <v>23</v>
      </c>
      <c r="K5938" s="7">
        <v>837</v>
      </c>
      <c r="L5938" s="9">
        <v>1</v>
      </c>
      <c r="M5938" t="s">
        <v>98</v>
      </c>
      <c r="N5938" t="s">
        <v>99</v>
      </c>
      <c r="O5938" s="27" t="str">
        <f>HYPERLINK("https://www.ncbi.nlm.nih.gov/nuccore/NZ_CP016438.1?report=graph&amp;from=4514614&amp;to=4514618", "TTA_codon")</f>
        <v>TTA_codon</v>
      </c>
    </row>
    <row r="5939" spans="1:15" x14ac:dyDescent="0.15">
      <c r="A5939" t="s">
        <v>21</v>
      </c>
      <c r="B5939">
        <v>1000316</v>
      </c>
      <c r="C5939">
        <v>364803</v>
      </c>
      <c r="F5939" s="7">
        <v>1</v>
      </c>
      <c r="G5939" s="7">
        <v>286</v>
      </c>
      <c r="H5939" s="8">
        <v>283</v>
      </c>
      <c r="J5939" t="s">
        <v>23</v>
      </c>
      <c r="K5939" s="7">
        <v>837</v>
      </c>
      <c r="L5939" s="9">
        <v>1</v>
      </c>
      <c r="M5939" t="s">
        <v>126</v>
      </c>
      <c r="N5939" t="s">
        <v>127</v>
      </c>
      <c r="O5939" s="27" t="str">
        <f>HYPERLINK("https://www.ncbi.nlm.nih.gov/nuccore/NZ_CP021748.1?report=graph&amp;from=4932228&amp;to=4932232", "TTA_codon")</f>
        <v>TTA_codon</v>
      </c>
    </row>
    <row r="5940" spans="1:15" x14ac:dyDescent="0.15">
      <c r="A5940" t="s">
        <v>21</v>
      </c>
      <c r="B5940">
        <v>1000316</v>
      </c>
      <c r="C5940">
        <v>364975</v>
      </c>
      <c r="F5940" s="7">
        <v>1</v>
      </c>
      <c r="G5940" s="7">
        <v>40</v>
      </c>
      <c r="H5940" s="8">
        <v>40</v>
      </c>
      <c r="J5940" t="s">
        <v>23</v>
      </c>
      <c r="K5940" s="7">
        <v>837</v>
      </c>
      <c r="L5940" s="9">
        <v>1</v>
      </c>
      <c r="M5940" t="s">
        <v>111</v>
      </c>
      <c r="N5940" t="s">
        <v>112</v>
      </c>
      <c r="O5940" s="27" t="str">
        <f>HYPERLINK("https://www.ncbi.nlm.nih.gov/nuccore/NZ_CP021744.1?report=graph&amp;from=5136091&amp;to=5136095", "TTA_codon")</f>
        <v>TTA_codon</v>
      </c>
    </row>
    <row r="5941" spans="1:15" x14ac:dyDescent="0.15">
      <c r="A5941" t="s">
        <v>21</v>
      </c>
      <c r="B5941">
        <v>1000316</v>
      </c>
      <c r="C5941">
        <v>366364</v>
      </c>
      <c r="F5941" s="7">
        <v>1</v>
      </c>
      <c r="G5941" s="7">
        <v>172</v>
      </c>
      <c r="H5941" s="8">
        <v>172</v>
      </c>
      <c r="J5941" t="s">
        <v>23</v>
      </c>
      <c r="K5941" s="7">
        <v>840</v>
      </c>
      <c r="L5941" s="9">
        <v>1</v>
      </c>
      <c r="M5941" t="s">
        <v>2344</v>
      </c>
      <c r="N5941" t="s">
        <v>375</v>
      </c>
      <c r="O5941" s="27" t="str">
        <f>HYPERLINK("https://www.ncbi.nlm.nih.gov/nuccore/NZ_FONG01000007.1?report=graph&amp;from=271554&amp;to=271558", "TTA_codon")</f>
        <v>TTA_codon</v>
      </c>
    </row>
    <row r="5942" spans="1:15" x14ac:dyDescent="0.15">
      <c r="A5942" t="s">
        <v>21</v>
      </c>
      <c r="B5942" t="s">
        <v>4336</v>
      </c>
    </row>
    <row r="5943" spans="1:15" x14ac:dyDescent="0.15">
      <c r="A5943" t="s">
        <v>21</v>
      </c>
      <c r="B5943">
        <v>1000765</v>
      </c>
      <c r="C5943">
        <v>350216</v>
      </c>
      <c r="F5943" s="7">
        <v>1</v>
      </c>
      <c r="G5943" s="7">
        <v>184</v>
      </c>
      <c r="H5943" s="8">
        <v>181</v>
      </c>
      <c r="J5943" t="s">
        <v>23</v>
      </c>
      <c r="K5943" s="7">
        <v>1056</v>
      </c>
      <c r="L5943" s="9">
        <v>1</v>
      </c>
      <c r="M5943" t="s">
        <v>4337</v>
      </c>
      <c r="N5943" t="s">
        <v>249</v>
      </c>
      <c r="O5943" s="27" t="str">
        <f>HYPERLINK("https://www.ncbi.nlm.nih.gov/nuccore/NZ_AHBF01000056.1?report=graph&amp;from=88204&amp;to=88208", "TTA_codon")</f>
        <v>TTA_codon</v>
      </c>
    </row>
    <row r="5944" spans="1:15" x14ac:dyDescent="0.15">
      <c r="A5944" t="s">
        <v>21</v>
      </c>
      <c r="B5944">
        <v>1000765</v>
      </c>
      <c r="C5944">
        <v>351671</v>
      </c>
      <c r="F5944" s="7">
        <v>1</v>
      </c>
      <c r="G5944" s="7">
        <v>223</v>
      </c>
      <c r="H5944" s="8">
        <v>202</v>
      </c>
      <c r="J5944" t="s">
        <v>23</v>
      </c>
      <c r="K5944" s="7">
        <v>1020</v>
      </c>
      <c r="L5944" s="9">
        <v>1</v>
      </c>
      <c r="M5944" t="s">
        <v>4338</v>
      </c>
      <c r="N5944" t="s">
        <v>138</v>
      </c>
      <c r="O5944" s="27" t="str">
        <f>HYPERLINK("https://www.ncbi.nlm.nih.gov/nuccore/NZ_KB889593.1?report=graph&amp;from=8236&amp;to=8240", "TTA_codon")</f>
        <v>TTA_codon</v>
      </c>
    </row>
    <row r="5945" spans="1:15" x14ac:dyDescent="0.15">
      <c r="A5945" t="s">
        <v>195</v>
      </c>
      <c r="B5945" t="s">
        <v>4339</v>
      </c>
    </row>
    <row r="5946" spans="1:15" x14ac:dyDescent="0.15">
      <c r="A5946" t="s">
        <v>195</v>
      </c>
      <c r="B5946">
        <v>1000085</v>
      </c>
      <c r="C5946">
        <v>346527</v>
      </c>
      <c r="F5946" s="7">
        <v>1</v>
      </c>
      <c r="G5946" s="7">
        <v>211</v>
      </c>
      <c r="H5946" s="8">
        <v>211</v>
      </c>
      <c r="J5946" t="s">
        <v>23</v>
      </c>
      <c r="K5946" s="7">
        <v>1437</v>
      </c>
      <c r="L5946" s="9">
        <v>-1</v>
      </c>
      <c r="M5946" t="s">
        <v>147</v>
      </c>
      <c r="N5946" t="s">
        <v>148</v>
      </c>
      <c r="O5946" s="27" t="str">
        <f>HYPERLINK("https://www.ncbi.nlm.nih.gov/nuccore/NZ_CP021080.1?report=graph&amp;from=1032470&amp;to=1032474", "TTA_codon")</f>
        <v>TTA_codon</v>
      </c>
    </row>
    <row r="5947" spans="1:15" x14ac:dyDescent="0.15">
      <c r="A5947" t="s">
        <v>21</v>
      </c>
      <c r="B5947">
        <v>1000085</v>
      </c>
      <c r="C5947">
        <v>349718</v>
      </c>
      <c r="F5947" s="7">
        <v>1</v>
      </c>
      <c r="G5947" s="7">
        <v>127</v>
      </c>
      <c r="H5947" s="8">
        <v>127</v>
      </c>
      <c r="J5947" t="s">
        <v>23</v>
      </c>
      <c r="K5947" s="7">
        <v>1434</v>
      </c>
      <c r="L5947" s="9">
        <v>-1</v>
      </c>
      <c r="M5947" t="s">
        <v>4086</v>
      </c>
      <c r="N5947" t="s">
        <v>335</v>
      </c>
      <c r="O5947" s="27" t="str">
        <f>HYPERLINK("https://www.ncbi.nlm.nih.gov/nuccore/NZ_AGBF01000005.1?report=graph&amp;from=129590&amp;to=129594", "TTA_codon")</f>
        <v>TTA_codon</v>
      </c>
    </row>
    <row r="5948" spans="1:15" x14ac:dyDescent="0.15">
      <c r="A5948" t="s">
        <v>21</v>
      </c>
      <c r="B5948" t="s">
        <v>4340</v>
      </c>
    </row>
    <row r="5949" spans="1:15" x14ac:dyDescent="0.15">
      <c r="A5949" t="s">
        <v>21</v>
      </c>
      <c r="B5949">
        <v>1000317</v>
      </c>
      <c r="C5949">
        <v>347997</v>
      </c>
      <c r="F5949" s="7">
        <v>1</v>
      </c>
      <c r="G5949" s="7">
        <v>133</v>
      </c>
      <c r="H5949" s="8">
        <v>133</v>
      </c>
      <c r="J5949" t="s">
        <v>23</v>
      </c>
      <c r="K5949" s="7">
        <v>1920</v>
      </c>
      <c r="L5949" s="9">
        <v>-1</v>
      </c>
      <c r="M5949" t="s">
        <v>59</v>
      </c>
      <c r="N5949" t="s">
        <v>60</v>
      </c>
      <c r="O5949" s="27" t="str">
        <f>HYPERLINK("https://www.ncbi.nlm.nih.gov/nuccore/NC_016582.1?report=graph&amp;from=2322287&amp;to=2322291", "TTA_codon")</f>
        <v>TTA_codon</v>
      </c>
    </row>
    <row r="5950" spans="1:15" x14ac:dyDescent="0.15">
      <c r="A5950" t="s">
        <v>21</v>
      </c>
      <c r="B5950">
        <v>1000317</v>
      </c>
      <c r="C5950">
        <v>351184</v>
      </c>
      <c r="F5950" s="7">
        <v>1</v>
      </c>
      <c r="G5950" s="7">
        <v>154</v>
      </c>
      <c r="H5950" s="8">
        <v>136</v>
      </c>
      <c r="J5950" t="s">
        <v>23</v>
      </c>
      <c r="K5950" s="7">
        <v>1920</v>
      </c>
      <c r="L5950" s="9">
        <v>-1</v>
      </c>
      <c r="M5950" t="s">
        <v>65</v>
      </c>
      <c r="N5950" t="s">
        <v>66</v>
      </c>
      <c r="O5950" s="27" t="str">
        <f>HYPERLINK("https://www.ncbi.nlm.nih.gov/nuccore/NC_020504.1?report=graph&amp;from=7290481&amp;to=7290485", "TTA_codon")</f>
        <v>TTA_codon</v>
      </c>
    </row>
    <row r="5951" spans="1:15" x14ac:dyDescent="0.15">
      <c r="A5951" t="s">
        <v>21</v>
      </c>
      <c r="B5951">
        <v>1000317</v>
      </c>
      <c r="C5951">
        <v>354282</v>
      </c>
      <c r="F5951" s="7">
        <v>1</v>
      </c>
      <c r="G5951" s="7">
        <v>133</v>
      </c>
      <c r="H5951" s="8">
        <v>43</v>
      </c>
      <c r="J5951" t="s">
        <v>23</v>
      </c>
      <c r="K5951" s="7">
        <v>1872</v>
      </c>
      <c r="L5951" s="9">
        <v>-1</v>
      </c>
      <c r="M5951" t="s">
        <v>4341</v>
      </c>
      <c r="N5951" t="s">
        <v>142</v>
      </c>
      <c r="O5951" s="27" t="str">
        <f>HYPERLINK("https://www.ncbi.nlm.nih.gov/nuccore/NZ_JOEI01000006.1?report=graph&amp;from=51686&amp;to=51690", "TTA_codon")</f>
        <v>TTA_codon</v>
      </c>
    </row>
    <row r="5952" spans="1:15" x14ac:dyDescent="0.15">
      <c r="A5952" t="s">
        <v>21</v>
      </c>
      <c r="B5952" t="s">
        <v>4342</v>
      </c>
    </row>
    <row r="5953" spans="1:15" x14ac:dyDescent="0.15">
      <c r="A5953" t="s">
        <v>21</v>
      </c>
      <c r="B5953">
        <v>1001272</v>
      </c>
      <c r="C5953">
        <v>358272</v>
      </c>
      <c r="F5953" s="7">
        <v>1</v>
      </c>
      <c r="G5953" s="7">
        <v>1162</v>
      </c>
      <c r="H5953" s="8">
        <v>1147</v>
      </c>
      <c r="J5953" t="s">
        <v>23</v>
      </c>
      <c r="K5953" s="7">
        <v>3015</v>
      </c>
      <c r="L5953" s="9">
        <v>-1</v>
      </c>
      <c r="M5953" t="s">
        <v>4343</v>
      </c>
      <c r="N5953" t="s">
        <v>119</v>
      </c>
      <c r="O5953" s="27" t="str">
        <f>HYPERLINK("https://www.ncbi.nlm.nih.gov/nuccore/NZ_LIPP01000032.1?report=graph&amp;from=32586&amp;to=32590", "TTA_codon")</f>
        <v>TTA_codon</v>
      </c>
    </row>
    <row r="5954" spans="1:15" x14ac:dyDescent="0.15">
      <c r="A5954" t="s">
        <v>21</v>
      </c>
      <c r="B5954">
        <v>1001272</v>
      </c>
      <c r="C5954">
        <v>362943</v>
      </c>
      <c r="F5954" s="7">
        <v>2</v>
      </c>
      <c r="G5954" s="7" t="s">
        <v>4344</v>
      </c>
      <c r="H5954" s="8" t="s">
        <v>4345</v>
      </c>
      <c r="J5954" t="s">
        <v>23</v>
      </c>
      <c r="K5954" s="7">
        <v>2763</v>
      </c>
      <c r="L5954" s="9">
        <v>-1</v>
      </c>
      <c r="M5954" t="s">
        <v>466</v>
      </c>
      <c r="N5954" t="s">
        <v>156</v>
      </c>
      <c r="O5954" s="27" t="str">
        <f>HYPERLINK("https://www.ncbi.nlm.nih.gov/nuccore/NZ_LJGW01000421.1?report=graph&amp;from=22677&amp;to=23290", "TTA_codon")</f>
        <v>TTA_codon</v>
      </c>
    </row>
    <row r="5955" spans="1:15" x14ac:dyDescent="0.15">
      <c r="A5955" t="s">
        <v>21</v>
      </c>
      <c r="B5955" t="s">
        <v>4346</v>
      </c>
    </row>
    <row r="5956" spans="1:15" x14ac:dyDescent="0.15">
      <c r="A5956" t="s">
        <v>21</v>
      </c>
      <c r="B5956">
        <v>1000693</v>
      </c>
      <c r="C5956">
        <v>350985</v>
      </c>
      <c r="F5956" s="7">
        <v>1</v>
      </c>
      <c r="G5956" s="7">
        <v>511</v>
      </c>
      <c r="H5956" s="8">
        <v>502</v>
      </c>
      <c r="J5956" t="s">
        <v>23</v>
      </c>
      <c r="K5956" s="7">
        <v>573</v>
      </c>
      <c r="L5956" s="9">
        <v>1</v>
      </c>
      <c r="M5956" t="s">
        <v>4347</v>
      </c>
      <c r="N5956" t="s">
        <v>51</v>
      </c>
      <c r="O5956" s="27" t="str">
        <f>HYPERLINK("https://www.ncbi.nlm.nih.gov/nuccore/NZ_AEJB01000564.1?report=graph&amp;from=2971&amp;to=2975", "TTA_codon")</f>
        <v>TTA_codon</v>
      </c>
    </row>
    <row r="5957" spans="1:15" x14ac:dyDescent="0.15">
      <c r="A5957" t="s">
        <v>21</v>
      </c>
      <c r="B5957">
        <v>1000693</v>
      </c>
      <c r="C5957">
        <v>358888</v>
      </c>
      <c r="F5957" s="7">
        <v>1</v>
      </c>
      <c r="G5957" s="7">
        <v>385</v>
      </c>
      <c r="H5957" s="8">
        <v>373</v>
      </c>
      <c r="J5957" t="s">
        <v>23</v>
      </c>
      <c r="K5957" s="7">
        <v>570</v>
      </c>
      <c r="L5957" s="9">
        <v>1</v>
      </c>
      <c r="M5957" t="s">
        <v>4348</v>
      </c>
      <c r="N5957" t="s">
        <v>87</v>
      </c>
      <c r="O5957" s="27" t="str">
        <f>HYPERLINK("https://www.ncbi.nlm.nih.gov/nuccore/NZ_LIQS01000102.1?report=graph&amp;from=2799&amp;to=2803", "TTA_codon")</f>
        <v>TTA_codon</v>
      </c>
    </row>
    <row r="5958" spans="1:15" x14ac:dyDescent="0.15">
      <c r="A5958" t="s">
        <v>21</v>
      </c>
      <c r="B5958" t="s">
        <v>4349</v>
      </c>
    </row>
    <row r="5959" spans="1:15" x14ac:dyDescent="0.15">
      <c r="A5959" t="s">
        <v>21</v>
      </c>
      <c r="B5959">
        <v>1001497</v>
      </c>
      <c r="C5959">
        <v>347600</v>
      </c>
      <c r="F5959" s="7">
        <v>2</v>
      </c>
      <c r="G5959" s="7" t="s">
        <v>4350</v>
      </c>
      <c r="H5959" s="8" t="s">
        <v>4351</v>
      </c>
      <c r="J5959" t="s">
        <v>23</v>
      </c>
      <c r="K5959" s="7">
        <v>3051</v>
      </c>
      <c r="L5959" s="9">
        <v>-1</v>
      </c>
      <c r="M5959" t="s">
        <v>55</v>
      </c>
      <c r="N5959" t="s">
        <v>56</v>
      </c>
      <c r="O5959" s="27" t="str">
        <f>HYPERLINK("https://www.ncbi.nlm.nih.gov/nuccore/NC_010572.1?report=graph&amp;from=4509547&amp;to=4510238", "TTA_codon")</f>
        <v>TTA_codon</v>
      </c>
    </row>
    <row r="5960" spans="1:15" x14ac:dyDescent="0.15">
      <c r="A5960" t="s">
        <v>21</v>
      </c>
      <c r="B5960">
        <v>1001497</v>
      </c>
      <c r="C5960">
        <v>352849</v>
      </c>
      <c r="F5960" s="7">
        <v>1</v>
      </c>
      <c r="G5960" s="7">
        <v>1375</v>
      </c>
      <c r="H5960" s="8">
        <v>1201</v>
      </c>
      <c r="J5960" t="s">
        <v>23</v>
      </c>
      <c r="K5960" s="7">
        <v>2940</v>
      </c>
      <c r="L5960" s="9">
        <v>-1</v>
      </c>
      <c r="M5960" t="s">
        <v>4352</v>
      </c>
      <c r="N5960" t="s">
        <v>306</v>
      </c>
      <c r="O5960" s="27" t="str">
        <f>HYPERLINK("https://www.ncbi.nlm.nih.gov/nuccore/NZ_KL571117.1?report=graph&amp;from=20226&amp;to=20230", "TTA_codon")</f>
        <v>TTA_codon</v>
      </c>
    </row>
    <row r="5961" spans="1:15" x14ac:dyDescent="0.15">
      <c r="A5961" t="s">
        <v>21</v>
      </c>
      <c r="B5961">
        <v>1001497</v>
      </c>
      <c r="C5961">
        <v>363564</v>
      </c>
      <c r="F5961" s="7">
        <v>2</v>
      </c>
      <c r="G5961" s="7" t="s">
        <v>4353</v>
      </c>
      <c r="H5961" s="8" t="s">
        <v>4354</v>
      </c>
      <c r="J5961" t="s">
        <v>23</v>
      </c>
      <c r="K5961" s="7">
        <v>3078</v>
      </c>
      <c r="L5961" s="9">
        <v>-1</v>
      </c>
      <c r="M5961" t="s">
        <v>101</v>
      </c>
      <c r="N5961" t="s">
        <v>102</v>
      </c>
      <c r="O5961" s="27" t="str">
        <f>HYPERLINK("https://www.ncbi.nlm.nih.gov/nuccore/NZ_CP019458.1?report=graph&amp;from=3911996&amp;to=3913014", "TTA_codon")</f>
        <v>TTA_codon</v>
      </c>
    </row>
    <row r="5962" spans="1:15" x14ac:dyDescent="0.15">
      <c r="A5962" t="s">
        <v>21</v>
      </c>
      <c r="B5962">
        <v>1001497</v>
      </c>
      <c r="C5962">
        <v>365198</v>
      </c>
      <c r="F5962" s="7">
        <v>1</v>
      </c>
      <c r="G5962" s="7">
        <v>481</v>
      </c>
      <c r="H5962" s="8">
        <v>460</v>
      </c>
      <c r="J5962" t="s">
        <v>23</v>
      </c>
      <c r="K5962" s="7">
        <v>3051</v>
      </c>
      <c r="L5962" s="9">
        <v>-1</v>
      </c>
      <c r="M5962" t="s">
        <v>829</v>
      </c>
      <c r="N5962" t="s">
        <v>347</v>
      </c>
      <c r="O5962" s="27" t="str">
        <f>HYPERLINK("https://www.ncbi.nlm.nih.gov/nuccore/NZ_FNFF01000012.1?report=graph&amp;from=221466&amp;to=221470", "TTA_codon")</f>
        <v>TTA_codon</v>
      </c>
    </row>
    <row r="5963" spans="1:15" x14ac:dyDescent="0.15">
      <c r="A5963" t="s">
        <v>21</v>
      </c>
      <c r="B5963">
        <v>1001497</v>
      </c>
      <c r="C5963">
        <v>366251</v>
      </c>
      <c r="F5963" s="7">
        <v>1</v>
      </c>
      <c r="G5963" s="7">
        <v>481</v>
      </c>
      <c r="H5963" s="8">
        <v>451</v>
      </c>
      <c r="J5963" t="s">
        <v>23</v>
      </c>
      <c r="K5963" s="7">
        <v>3075</v>
      </c>
      <c r="L5963" s="9">
        <v>-1</v>
      </c>
      <c r="M5963" t="s">
        <v>4187</v>
      </c>
      <c r="N5963" t="s">
        <v>47</v>
      </c>
      <c r="O5963" s="27" t="str">
        <f>HYPERLINK("https://www.ncbi.nlm.nih.gov/nuccore/NZ_FOLM01000022.1?report=graph&amp;from=72565&amp;to=72569", "TTA_codon")</f>
        <v>TTA_codon</v>
      </c>
    </row>
    <row r="5964" spans="1:15" x14ac:dyDescent="0.15">
      <c r="A5964" t="s">
        <v>21</v>
      </c>
      <c r="B5964" t="s">
        <v>4355</v>
      </c>
    </row>
    <row r="5965" spans="1:15" x14ac:dyDescent="0.15">
      <c r="A5965" t="s">
        <v>21</v>
      </c>
      <c r="B5965">
        <v>1000873</v>
      </c>
      <c r="C5965">
        <v>352642</v>
      </c>
      <c r="F5965" s="7">
        <v>1</v>
      </c>
      <c r="G5965" s="7">
        <v>943</v>
      </c>
      <c r="H5965" s="8">
        <v>781</v>
      </c>
      <c r="J5965" t="s">
        <v>23</v>
      </c>
      <c r="K5965" s="7">
        <v>2019</v>
      </c>
      <c r="L5965" s="9">
        <v>1</v>
      </c>
      <c r="M5965" t="s">
        <v>4356</v>
      </c>
      <c r="N5965" t="s">
        <v>436</v>
      </c>
      <c r="O5965" s="27" t="str">
        <f>HYPERLINK("https://www.ncbi.nlm.nih.gov/nuccore/NZ_AUBE01000006.1?report=graph&amp;from=370955&amp;to=370959", "TTA_codon")</f>
        <v>TTA_codon</v>
      </c>
    </row>
    <row r="5966" spans="1:15" x14ac:dyDescent="0.15">
      <c r="A5966" t="s">
        <v>21</v>
      </c>
      <c r="B5966">
        <v>1000873</v>
      </c>
      <c r="C5966">
        <v>356072</v>
      </c>
      <c r="F5966" s="7">
        <v>1</v>
      </c>
      <c r="G5966" s="7">
        <v>934</v>
      </c>
      <c r="H5966" s="8">
        <v>901</v>
      </c>
      <c r="J5966" t="s">
        <v>23</v>
      </c>
      <c r="K5966" s="7">
        <v>2256</v>
      </c>
      <c r="L5966" s="9">
        <v>1</v>
      </c>
      <c r="M5966" t="s">
        <v>3714</v>
      </c>
      <c r="N5966" t="s">
        <v>146</v>
      </c>
      <c r="O5966" s="27" t="str">
        <f>HYPERLINK("https://www.ncbi.nlm.nih.gov/nuccore/NZ_JOFH01000016.1?report=graph&amp;from=55342&amp;to=55346", "TTA_codon")</f>
        <v>TTA_codon</v>
      </c>
    </row>
    <row r="5967" spans="1:15" x14ac:dyDescent="0.15">
      <c r="A5967" t="s">
        <v>21</v>
      </c>
      <c r="B5967">
        <v>1000873</v>
      </c>
      <c r="C5967">
        <v>363737</v>
      </c>
      <c r="F5967" s="7">
        <v>1</v>
      </c>
      <c r="G5967" s="7">
        <v>1096</v>
      </c>
      <c r="H5967" s="8">
        <v>946</v>
      </c>
      <c r="J5967" t="s">
        <v>23</v>
      </c>
      <c r="K5967" s="7">
        <v>2046</v>
      </c>
      <c r="L5967" s="9">
        <v>1</v>
      </c>
      <c r="M5967" t="s">
        <v>101</v>
      </c>
      <c r="N5967" t="s">
        <v>102</v>
      </c>
      <c r="O5967" s="27" t="str">
        <f>HYPERLINK("https://www.ncbi.nlm.nih.gov/nuccore/NZ_CP019458.1?report=graph&amp;from=9019224&amp;to=9019228", "TTA_codon")</f>
        <v>TTA_codon</v>
      </c>
    </row>
    <row r="5968" spans="1:15" x14ac:dyDescent="0.15">
      <c r="A5968" t="s">
        <v>21</v>
      </c>
      <c r="B5968">
        <v>1000873</v>
      </c>
      <c r="C5968">
        <v>365764</v>
      </c>
      <c r="F5968" s="7">
        <v>1</v>
      </c>
      <c r="G5968" s="7">
        <v>1096</v>
      </c>
      <c r="H5968" s="8">
        <v>946</v>
      </c>
      <c r="J5968" t="s">
        <v>23</v>
      </c>
      <c r="K5968" s="7">
        <v>2046</v>
      </c>
      <c r="L5968" s="9">
        <v>1</v>
      </c>
      <c r="M5968" t="s">
        <v>213</v>
      </c>
      <c r="N5968" t="s">
        <v>214</v>
      </c>
      <c r="O5968" s="27" t="str">
        <f>HYPERLINK("https://www.ncbi.nlm.nih.gov/nuccore/NZ_FNST01000002.1?report=graph&amp;from=6548582&amp;to=6548586", "TTA_codon")</f>
        <v>TTA_codon</v>
      </c>
    </row>
    <row r="5969" spans="1:15" x14ac:dyDescent="0.15">
      <c r="A5969" t="s">
        <v>21</v>
      </c>
      <c r="B5969" t="s">
        <v>4357</v>
      </c>
    </row>
    <row r="5970" spans="1:15" x14ac:dyDescent="0.15">
      <c r="A5970" t="s">
        <v>21</v>
      </c>
      <c r="B5970">
        <v>1000718</v>
      </c>
      <c r="C5970">
        <v>351139</v>
      </c>
      <c r="F5970" s="7">
        <v>1</v>
      </c>
      <c r="G5970" s="7">
        <v>214</v>
      </c>
      <c r="H5970" s="8">
        <v>214</v>
      </c>
      <c r="J5970" t="s">
        <v>23</v>
      </c>
      <c r="K5970" s="7">
        <v>1290</v>
      </c>
      <c r="L5970" s="9">
        <v>-1</v>
      </c>
      <c r="M5970" t="s">
        <v>4358</v>
      </c>
      <c r="N5970" t="s">
        <v>136</v>
      </c>
      <c r="O5970" s="27" t="str">
        <f>HYPERLINK("https://www.ncbi.nlm.nih.gov/nuccore/NZ_AORZ01000037.1?report=graph&amp;from=13946&amp;to=13950", "TTA_codon")</f>
        <v>TTA_codon</v>
      </c>
    </row>
    <row r="5971" spans="1:15" x14ac:dyDescent="0.15">
      <c r="A5971" t="s">
        <v>21</v>
      </c>
      <c r="B5971">
        <v>1000718</v>
      </c>
      <c r="C5971">
        <v>353827</v>
      </c>
      <c r="F5971" s="7">
        <v>1</v>
      </c>
      <c r="G5971" s="7">
        <v>214</v>
      </c>
      <c r="H5971" s="8">
        <v>88</v>
      </c>
      <c r="J5971" t="s">
        <v>23</v>
      </c>
      <c r="K5971" s="7">
        <v>1152</v>
      </c>
      <c r="L5971" s="9">
        <v>-1</v>
      </c>
      <c r="M5971" t="s">
        <v>4359</v>
      </c>
      <c r="N5971" t="s">
        <v>246</v>
      </c>
      <c r="O5971" s="27" t="str">
        <f>HYPERLINK("https://www.ncbi.nlm.nih.gov/nuccore/NZ_JNYR01000031.1?report=graph&amp;from=130302&amp;to=130306", "TTA_codon")</f>
        <v>TTA_codon</v>
      </c>
    </row>
    <row r="5972" spans="1:15" x14ac:dyDescent="0.15">
      <c r="A5972" t="s">
        <v>21</v>
      </c>
      <c r="B5972" t="s">
        <v>4360</v>
      </c>
    </row>
    <row r="5973" spans="1:15" x14ac:dyDescent="0.15">
      <c r="A5973" t="s">
        <v>21</v>
      </c>
      <c r="B5973">
        <v>1001196</v>
      </c>
      <c r="C5973">
        <v>356823</v>
      </c>
      <c r="F5973" s="7">
        <v>1</v>
      </c>
      <c r="G5973" s="7">
        <v>223</v>
      </c>
      <c r="H5973" s="8">
        <v>223</v>
      </c>
      <c r="J5973" t="s">
        <v>23</v>
      </c>
      <c r="K5973" s="7">
        <v>1530</v>
      </c>
      <c r="L5973" s="9">
        <v>1</v>
      </c>
      <c r="M5973" t="s">
        <v>78</v>
      </c>
      <c r="N5973" t="s">
        <v>79</v>
      </c>
      <c r="O5973" s="27" t="str">
        <f>HYPERLINK("https://www.ncbi.nlm.nih.gov/nuccore/NZ_CP009313.1?report=graph&amp;from=7381754&amp;to=7381758", "TTA_codon")</f>
        <v>TTA_codon</v>
      </c>
    </row>
    <row r="5974" spans="1:15" x14ac:dyDescent="0.15">
      <c r="A5974" t="s">
        <v>21</v>
      </c>
      <c r="B5974">
        <v>1001196</v>
      </c>
      <c r="C5974">
        <v>358055</v>
      </c>
      <c r="F5974" s="7">
        <v>1</v>
      </c>
      <c r="G5974" s="7">
        <v>349</v>
      </c>
      <c r="H5974" s="8">
        <v>343</v>
      </c>
      <c r="J5974" t="s">
        <v>23</v>
      </c>
      <c r="K5974" s="7">
        <v>1527</v>
      </c>
      <c r="L5974" s="9">
        <v>1</v>
      </c>
      <c r="M5974" t="s">
        <v>4361</v>
      </c>
      <c r="N5974" t="s">
        <v>119</v>
      </c>
      <c r="O5974" s="27" t="str">
        <f>HYPERLINK("https://www.ncbi.nlm.nih.gov/nuccore/NZ_LIPP01000003.1?report=graph&amp;from=29854&amp;to=29858", "TTA_codon")</f>
        <v>TTA_codon</v>
      </c>
    </row>
    <row r="5975" spans="1:15" x14ac:dyDescent="0.15">
      <c r="A5975" t="s">
        <v>21</v>
      </c>
      <c r="B5975" t="s">
        <v>4362</v>
      </c>
    </row>
    <row r="5976" spans="1:15" x14ac:dyDescent="0.15">
      <c r="A5976" t="s">
        <v>21</v>
      </c>
      <c r="B5976">
        <v>1001540</v>
      </c>
      <c r="C5976">
        <v>366930</v>
      </c>
      <c r="F5976" s="7">
        <v>1</v>
      </c>
      <c r="G5976" s="7">
        <v>82</v>
      </c>
      <c r="H5976" s="8">
        <v>82</v>
      </c>
      <c r="J5976" t="s">
        <v>23</v>
      </c>
      <c r="K5976" s="7">
        <v>261</v>
      </c>
      <c r="L5976" s="9">
        <v>1</v>
      </c>
      <c r="M5976" t="s">
        <v>2575</v>
      </c>
      <c r="N5976" t="s">
        <v>2576</v>
      </c>
      <c r="O5976" s="27" t="str">
        <f>HYPERLINK("https://www.ncbi.nlm.nih.gov/nuccore/MH155877.1?report=graph&amp;from=47142&amp;to=47146", "TTA_codon")</f>
        <v>TTA_codon</v>
      </c>
    </row>
    <row r="5977" spans="1:15" x14ac:dyDescent="0.15">
      <c r="A5977" t="s">
        <v>21</v>
      </c>
      <c r="B5977">
        <v>1001540</v>
      </c>
      <c r="C5977">
        <v>367145</v>
      </c>
      <c r="F5977" s="7">
        <v>1</v>
      </c>
      <c r="G5977" s="7">
        <v>82</v>
      </c>
      <c r="H5977" s="8">
        <v>82</v>
      </c>
      <c r="J5977" t="s">
        <v>23</v>
      </c>
      <c r="K5977" s="7">
        <v>261</v>
      </c>
      <c r="L5977" s="9">
        <v>1</v>
      </c>
      <c r="M5977" t="s">
        <v>2579</v>
      </c>
      <c r="N5977" t="s">
        <v>2580</v>
      </c>
      <c r="O5977" s="27" t="str">
        <f>HYPERLINK("https://www.ncbi.nlm.nih.gov/nuccore/MT310854.1?report=graph&amp;from=47142&amp;to=47146", "TTA_codon")</f>
        <v>TTA_codon</v>
      </c>
    </row>
    <row r="5978" spans="1:15" x14ac:dyDescent="0.15">
      <c r="A5978" t="s">
        <v>21</v>
      </c>
      <c r="B5978">
        <v>1001540</v>
      </c>
      <c r="C5978">
        <v>367177</v>
      </c>
      <c r="F5978" s="7">
        <v>1</v>
      </c>
      <c r="G5978" s="7">
        <v>82</v>
      </c>
      <c r="H5978" s="8">
        <v>82</v>
      </c>
      <c r="J5978" t="s">
        <v>23</v>
      </c>
      <c r="K5978" s="7">
        <v>261</v>
      </c>
      <c r="L5978" s="9">
        <v>1</v>
      </c>
      <c r="M5978" t="s">
        <v>2581</v>
      </c>
      <c r="N5978" t="s">
        <v>2582</v>
      </c>
      <c r="O5978" s="27" t="str">
        <f>HYPERLINK("https://www.ncbi.nlm.nih.gov/nuccore/MT657340.1?report=graph&amp;from=47142&amp;to=47146", "TTA_codon")</f>
        <v>TTA_codon</v>
      </c>
    </row>
    <row r="5979" spans="1:15" x14ac:dyDescent="0.15">
      <c r="A5979" t="s">
        <v>21</v>
      </c>
      <c r="B5979" t="s">
        <v>4363</v>
      </c>
    </row>
    <row r="5980" spans="1:15" x14ac:dyDescent="0.15">
      <c r="A5980" t="s">
        <v>21</v>
      </c>
      <c r="B5980">
        <v>1001318</v>
      </c>
      <c r="C5980">
        <v>359730</v>
      </c>
      <c r="F5980" s="7">
        <v>1</v>
      </c>
      <c r="G5980" s="7">
        <v>397</v>
      </c>
      <c r="H5980" s="8">
        <v>166</v>
      </c>
      <c r="J5980" t="s">
        <v>23</v>
      </c>
      <c r="K5980" s="7">
        <v>624</v>
      </c>
      <c r="L5980" s="9">
        <v>1</v>
      </c>
      <c r="M5980" t="s">
        <v>3584</v>
      </c>
      <c r="N5980" t="s">
        <v>651</v>
      </c>
      <c r="O5980" s="27" t="str">
        <f>HYPERLINK("https://www.ncbi.nlm.nih.gov/nuccore/NZ_LN929769.1?report=graph&amp;from=187637&amp;to=187641", "TTA_codon")</f>
        <v>TTA_codon</v>
      </c>
    </row>
    <row r="5981" spans="1:15" x14ac:dyDescent="0.15">
      <c r="A5981" t="s">
        <v>21</v>
      </c>
      <c r="B5981">
        <v>1001318</v>
      </c>
      <c r="C5981">
        <v>360512</v>
      </c>
      <c r="F5981" s="7">
        <v>2</v>
      </c>
      <c r="G5981" s="7" t="s">
        <v>4364</v>
      </c>
      <c r="H5981" s="8" t="s">
        <v>4365</v>
      </c>
      <c r="J5981" t="s">
        <v>23</v>
      </c>
      <c r="K5981" s="7">
        <v>855</v>
      </c>
      <c r="L5981" s="9">
        <v>1</v>
      </c>
      <c r="M5981" t="s">
        <v>121</v>
      </c>
      <c r="N5981" t="s">
        <v>122</v>
      </c>
      <c r="O5981" s="27" t="str">
        <f>HYPERLINK("https://www.ncbi.nlm.nih.gov/nuccore/NZ_CP016279.1?report=graph&amp;from=9979796&amp;to=9980022", "TTA_codon")</f>
        <v>TTA_codon</v>
      </c>
    </row>
    <row r="5982" spans="1:15" x14ac:dyDescent="0.15">
      <c r="A5982" t="s">
        <v>21</v>
      </c>
      <c r="B5982">
        <v>1001318</v>
      </c>
      <c r="C5982">
        <v>363995</v>
      </c>
      <c r="F5982" s="7">
        <v>1</v>
      </c>
      <c r="G5982" s="7">
        <v>226</v>
      </c>
      <c r="H5982" s="8">
        <v>226</v>
      </c>
      <c r="J5982" t="s">
        <v>23</v>
      </c>
      <c r="K5982" s="7">
        <v>870</v>
      </c>
      <c r="L5982" s="9">
        <v>1</v>
      </c>
      <c r="M5982" t="s">
        <v>2533</v>
      </c>
      <c r="N5982" t="s">
        <v>104</v>
      </c>
      <c r="O5982" s="27" t="str">
        <f>HYPERLINK("https://www.ncbi.nlm.nih.gov/nuccore/NZ_MVFC01000020.1?report=graph&amp;from=23585&amp;to=23589", "TTA_codon")</f>
        <v>TTA_codon</v>
      </c>
    </row>
    <row r="5983" spans="1:15" x14ac:dyDescent="0.15">
      <c r="A5983" t="s">
        <v>21</v>
      </c>
      <c r="B5983">
        <v>1001318</v>
      </c>
      <c r="C5983">
        <v>365248</v>
      </c>
      <c r="F5983" s="7">
        <v>1</v>
      </c>
      <c r="G5983" s="7">
        <v>310</v>
      </c>
      <c r="H5983" s="8">
        <v>298</v>
      </c>
      <c r="J5983" t="s">
        <v>23</v>
      </c>
      <c r="K5983" s="7">
        <v>858</v>
      </c>
      <c r="L5983" s="9">
        <v>1</v>
      </c>
      <c r="M5983" t="s">
        <v>4366</v>
      </c>
      <c r="N5983" t="s">
        <v>347</v>
      </c>
      <c r="O5983" s="27" t="str">
        <f>HYPERLINK("https://www.ncbi.nlm.nih.gov/nuccore/NZ_FNFF01000017.1?report=graph&amp;from=54915&amp;to=54919", "TTA_codon")</f>
        <v>TTA_codon</v>
      </c>
    </row>
    <row r="5984" spans="1:15" x14ac:dyDescent="0.15">
      <c r="A5984" t="s">
        <v>21</v>
      </c>
      <c r="B5984" t="s">
        <v>4367</v>
      </c>
    </row>
    <row r="5985" spans="1:15" x14ac:dyDescent="0.15">
      <c r="A5985" t="s">
        <v>21</v>
      </c>
      <c r="B5985">
        <v>1000726</v>
      </c>
      <c r="C5985">
        <v>351189</v>
      </c>
      <c r="F5985" s="7">
        <v>1</v>
      </c>
      <c r="G5985" s="7">
        <v>370</v>
      </c>
      <c r="H5985" s="8">
        <v>370</v>
      </c>
      <c r="J5985" t="s">
        <v>23</v>
      </c>
      <c r="K5985" s="7">
        <v>1641</v>
      </c>
      <c r="L5985" s="9">
        <v>1</v>
      </c>
      <c r="M5985" t="s">
        <v>65</v>
      </c>
      <c r="N5985" t="s">
        <v>66</v>
      </c>
      <c r="O5985" s="27" t="str">
        <f>HYPERLINK("https://www.ncbi.nlm.nih.gov/nuccore/NC_020504.1?report=graph&amp;from=9358210&amp;to=9358214", "TTA_codon")</f>
        <v>TTA_codon</v>
      </c>
    </row>
    <row r="5986" spans="1:15" x14ac:dyDescent="0.15">
      <c r="A5986" t="s">
        <v>21</v>
      </c>
      <c r="B5986">
        <v>1000726</v>
      </c>
      <c r="C5986">
        <v>356343</v>
      </c>
      <c r="F5986" s="7">
        <v>1</v>
      </c>
      <c r="G5986" s="7">
        <v>472</v>
      </c>
      <c r="H5986" s="8">
        <v>469</v>
      </c>
      <c r="J5986" t="s">
        <v>23</v>
      </c>
      <c r="K5986" s="7">
        <v>1653</v>
      </c>
      <c r="L5986" s="9">
        <v>1</v>
      </c>
      <c r="M5986" t="s">
        <v>2772</v>
      </c>
      <c r="N5986" t="s">
        <v>354</v>
      </c>
      <c r="O5986" s="27" t="str">
        <f>HYPERLINK("https://www.ncbi.nlm.nih.gov/nuccore/NZ_JQJU01000018.1?report=graph&amp;from=134851&amp;to=134855", "TTA_codon")</f>
        <v>TTA_codon</v>
      </c>
    </row>
    <row r="5987" spans="1:15" x14ac:dyDescent="0.15">
      <c r="A5987" t="s">
        <v>21</v>
      </c>
      <c r="B5987" t="s">
        <v>4368</v>
      </c>
    </row>
    <row r="5988" spans="1:15" x14ac:dyDescent="0.15">
      <c r="A5988" t="s">
        <v>21</v>
      </c>
      <c r="B5988">
        <v>1001332</v>
      </c>
      <c r="C5988">
        <v>360123</v>
      </c>
      <c r="F5988" s="7">
        <v>1</v>
      </c>
      <c r="G5988" s="7">
        <v>388</v>
      </c>
      <c r="H5988" s="8">
        <v>385</v>
      </c>
      <c r="J5988" t="s">
        <v>23</v>
      </c>
      <c r="K5988" s="7">
        <v>1131</v>
      </c>
      <c r="L5988" s="9">
        <v>-1</v>
      </c>
      <c r="M5988" t="s">
        <v>496</v>
      </c>
      <c r="N5988" t="s">
        <v>125</v>
      </c>
      <c r="O5988" s="27" t="str">
        <f>HYPERLINK("https://www.ncbi.nlm.nih.gov/nuccore/NZ_KQ948454.1?report=graph&amp;from=394688&amp;to=394692", "TTA_codon")</f>
        <v>TTA_codon</v>
      </c>
    </row>
    <row r="5989" spans="1:15" x14ac:dyDescent="0.15">
      <c r="A5989" t="s">
        <v>21</v>
      </c>
      <c r="B5989">
        <v>1001332</v>
      </c>
      <c r="C5989">
        <v>360959</v>
      </c>
      <c r="F5989" s="7">
        <v>1</v>
      </c>
      <c r="G5989" s="7">
        <v>322</v>
      </c>
      <c r="H5989" s="8">
        <v>316</v>
      </c>
      <c r="J5989" t="s">
        <v>23</v>
      </c>
      <c r="K5989" s="7">
        <v>1125</v>
      </c>
      <c r="L5989" s="9">
        <v>-1</v>
      </c>
      <c r="M5989" t="s">
        <v>4369</v>
      </c>
      <c r="N5989" t="s">
        <v>97</v>
      </c>
      <c r="O5989" s="27" t="str">
        <f>HYPERLINK("https://www.ncbi.nlm.nih.gov/nuccore/NZ_LOHS01000107.1?report=graph&amp;from=25459&amp;to=25463", "TTA_codon")</f>
        <v>TTA_codon</v>
      </c>
    </row>
    <row r="5990" spans="1:15" x14ac:dyDescent="0.15">
      <c r="A5990" t="s">
        <v>21</v>
      </c>
      <c r="B5990" t="s">
        <v>4370</v>
      </c>
    </row>
    <row r="5991" spans="1:15" x14ac:dyDescent="0.15">
      <c r="A5991" t="s">
        <v>21</v>
      </c>
      <c r="B5991">
        <v>1001274</v>
      </c>
      <c r="C5991">
        <v>358377</v>
      </c>
      <c r="F5991" s="7">
        <v>1</v>
      </c>
      <c r="G5991" s="7">
        <v>358</v>
      </c>
      <c r="H5991" s="8">
        <v>358</v>
      </c>
      <c r="J5991" t="s">
        <v>23</v>
      </c>
      <c r="K5991" s="7">
        <v>1137</v>
      </c>
      <c r="L5991" s="9">
        <v>1</v>
      </c>
      <c r="M5991" t="s">
        <v>4371</v>
      </c>
      <c r="N5991" t="s">
        <v>85</v>
      </c>
      <c r="O5991" s="27" t="str">
        <f>HYPERLINK("https://www.ncbi.nlm.nih.gov/nuccore/NZ_LIQX01000395.1?report=graph&amp;from=5212&amp;to=5216", "TTA_codon")</f>
        <v>TTA_codon</v>
      </c>
    </row>
    <row r="5992" spans="1:15" x14ac:dyDescent="0.15">
      <c r="A5992" t="s">
        <v>21</v>
      </c>
      <c r="B5992">
        <v>1001274</v>
      </c>
      <c r="C5992">
        <v>358575</v>
      </c>
      <c r="F5992" s="7">
        <v>2</v>
      </c>
      <c r="G5992" s="7" t="s">
        <v>4372</v>
      </c>
      <c r="H5992" s="8" t="s">
        <v>4373</v>
      </c>
      <c r="J5992" t="s">
        <v>23</v>
      </c>
      <c r="K5992" s="7">
        <v>1056</v>
      </c>
      <c r="L5992" s="9">
        <v>1</v>
      </c>
      <c r="M5992" t="s">
        <v>4374</v>
      </c>
      <c r="N5992" t="s">
        <v>299</v>
      </c>
      <c r="O5992" s="27" t="str">
        <f>HYPERLINK("https://www.ncbi.nlm.nih.gov/nuccore/NZ_LIQY01000277.1?report=graph&amp;from=4202&amp;to=4677", "TTA_codon")</f>
        <v>TTA_codon</v>
      </c>
    </row>
    <row r="5993" spans="1:15" x14ac:dyDescent="0.15">
      <c r="A5993" t="s">
        <v>21</v>
      </c>
      <c r="B5993" t="s">
        <v>4375</v>
      </c>
    </row>
    <row r="5994" spans="1:15" x14ac:dyDescent="0.15">
      <c r="A5994" t="s">
        <v>21</v>
      </c>
      <c r="B5994">
        <v>1000493</v>
      </c>
      <c r="C5994">
        <v>349298</v>
      </c>
      <c r="F5994" s="7">
        <v>1</v>
      </c>
      <c r="G5994" s="7">
        <v>634</v>
      </c>
      <c r="H5994" s="8">
        <v>634</v>
      </c>
      <c r="J5994" t="s">
        <v>23</v>
      </c>
      <c r="K5994" s="7">
        <v>696</v>
      </c>
      <c r="L5994" s="9">
        <v>1</v>
      </c>
      <c r="M5994" t="s">
        <v>458</v>
      </c>
      <c r="N5994" t="s">
        <v>315</v>
      </c>
      <c r="O5994" s="27" t="str">
        <f>HYPERLINK("https://www.ncbi.nlm.nih.gov/nuccore/NC_003888.3?report=graph&amp;from=6984904&amp;to=6984908", "TTA_codon")</f>
        <v>TTA_codon</v>
      </c>
    </row>
    <row r="5995" spans="1:15" x14ac:dyDescent="0.15">
      <c r="A5995" t="s">
        <v>21</v>
      </c>
      <c r="B5995">
        <v>1000493</v>
      </c>
      <c r="C5995">
        <v>356049</v>
      </c>
      <c r="F5995" s="7">
        <v>1</v>
      </c>
      <c r="G5995" s="7">
        <v>634</v>
      </c>
      <c r="H5995" s="8">
        <v>634</v>
      </c>
      <c r="J5995" t="s">
        <v>23</v>
      </c>
      <c r="K5995" s="7">
        <v>696</v>
      </c>
      <c r="L5995" s="9">
        <v>1</v>
      </c>
      <c r="M5995" t="s">
        <v>3269</v>
      </c>
      <c r="N5995" t="s">
        <v>146</v>
      </c>
      <c r="O5995" s="27" t="str">
        <f>HYPERLINK("https://www.ncbi.nlm.nih.gov/nuccore/NZ_JOFH01000017.1?report=graph&amp;from=102377&amp;to=102381", "TTA_codon")</f>
        <v>TTA_codon</v>
      </c>
    </row>
    <row r="5996" spans="1:15" x14ac:dyDescent="0.15">
      <c r="A5996" t="s">
        <v>195</v>
      </c>
      <c r="B5996" t="s">
        <v>4376</v>
      </c>
    </row>
    <row r="5997" spans="1:15" x14ac:dyDescent="0.15">
      <c r="A5997" t="s">
        <v>195</v>
      </c>
      <c r="B5997">
        <v>1000089</v>
      </c>
      <c r="C5997">
        <v>346570</v>
      </c>
      <c r="F5997" s="7">
        <v>1</v>
      </c>
      <c r="G5997" s="7">
        <v>514</v>
      </c>
      <c r="H5997" s="8">
        <v>460</v>
      </c>
      <c r="J5997" t="s">
        <v>23</v>
      </c>
      <c r="K5997" s="7">
        <v>1332</v>
      </c>
      <c r="L5997" s="9">
        <v>1</v>
      </c>
      <c r="M5997" t="s">
        <v>205</v>
      </c>
      <c r="N5997" t="s">
        <v>206</v>
      </c>
      <c r="O5997" s="27" t="str">
        <f>HYPERLINK("https://www.ncbi.nlm.nih.gov/nuccore/NZ_CP010407.1?report=graph&amp;from=7406897&amp;to=7406901", "TTA_codon")</f>
        <v>TTA_codon</v>
      </c>
    </row>
    <row r="5998" spans="1:15" x14ac:dyDescent="0.15">
      <c r="A5998" t="s">
        <v>21</v>
      </c>
      <c r="B5998">
        <v>1000089</v>
      </c>
      <c r="C5998">
        <v>359465</v>
      </c>
      <c r="F5998" s="7">
        <v>1</v>
      </c>
      <c r="G5998" s="7">
        <v>514</v>
      </c>
      <c r="H5998" s="8">
        <v>463</v>
      </c>
      <c r="J5998" t="s">
        <v>23</v>
      </c>
      <c r="K5998" s="7">
        <v>1410</v>
      </c>
      <c r="L5998" s="9">
        <v>1</v>
      </c>
      <c r="M5998" t="s">
        <v>151</v>
      </c>
      <c r="N5998" t="s">
        <v>152</v>
      </c>
      <c r="O5998" s="27" t="str">
        <f>HYPERLINK("https://www.ncbi.nlm.nih.gov/nuccore/NZ_CP013129.1?report=graph&amp;from=7837293&amp;to=7837297", "TTA_codon")</f>
        <v>TTA_codon</v>
      </c>
    </row>
    <row r="5999" spans="1:15" x14ac:dyDescent="0.15">
      <c r="A5999" t="s">
        <v>21</v>
      </c>
      <c r="B5999">
        <v>1000089</v>
      </c>
      <c r="C5999">
        <v>362995</v>
      </c>
      <c r="F5999" s="7">
        <v>1</v>
      </c>
      <c r="G5999" s="7">
        <v>391</v>
      </c>
      <c r="H5999" s="8">
        <v>337</v>
      </c>
      <c r="J5999" t="s">
        <v>23</v>
      </c>
      <c r="K5999" s="7">
        <v>1305</v>
      </c>
      <c r="L5999" s="9">
        <v>1</v>
      </c>
      <c r="M5999" t="s">
        <v>4377</v>
      </c>
      <c r="N5999" t="s">
        <v>1726</v>
      </c>
      <c r="O5999" s="27" t="str">
        <f>HYPERLINK("https://www.ncbi.nlm.nih.gov/nuccore/NZ_MLCF01000100.1?report=graph&amp;from=2757&amp;to=2761", "TTA_codon")</f>
        <v>TTA_codon</v>
      </c>
    </row>
    <row r="6000" spans="1:15" x14ac:dyDescent="0.15">
      <c r="A6000" t="s">
        <v>21</v>
      </c>
      <c r="B6000" t="s">
        <v>4378</v>
      </c>
    </row>
    <row r="6001" spans="1:15" x14ac:dyDescent="0.15">
      <c r="A6001" t="s">
        <v>21</v>
      </c>
      <c r="B6001">
        <v>1000886</v>
      </c>
      <c r="C6001">
        <v>352798</v>
      </c>
      <c r="F6001" s="7">
        <v>1</v>
      </c>
      <c r="G6001" s="7">
        <v>151</v>
      </c>
      <c r="H6001" s="8">
        <v>139</v>
      </c>
      <c r="J6001" t="s">
        <v>23</v>
      </c>
      <c r="K6001" s="7">
        <v>2505</v>
      </c>
      <c r="L6001" s="9">
        <v>-1</v>
      </c>
      <c r="M6001" t="s">
        <v>472</v>
      </c>
      <c r="N6001" t="s">
        <v>473</v>
      </c>
      <c r="O6001" s="27" t="str">
        <f>HYPERLINK("https://www.ncbi.nlm.nih.gov/nuccore/NZ_ASHX02000001.1?report=graph&amp;from=1101883&amp;to=1101887", "TTA_codon")</f>
        <v>TTA_codon</v>
      </c>
    </row>
    <row r="6002" spans="1:15" x14ac:dyDescent="0.15">
      <c r="A6002" t="s">
        <v>21</v>
      </c>
      <c r="B6002">
        <v>1000886</v>
      </c>
      <c r="C6002">
        <v>359590</v>
      </c>
      <c r="F6002" s="7">
        <v>2</v>
      </c>
      <c r="G6002" s="7" t="s">
        <v>4379</v>
      </c>
      <c r="H6002" s="8" t="s">
        <v>4379</v>
      </c>
      <c r="J6002" t="s">
        <v>23</v>
      </c>
      <c r="K6002" s="7">
        <v>2493</v>
      </c>
      <c r="L6002" s="9">
        <v>-1</v>
      </c>
      <c r="M6002" t="s">
        <v>151</v>
      </c>
      <c r="N6002" t="s">
        <v>152</v>
      </c>
      <c r="O6002" s="27" t="str">
        <f>HYPERLINK("https://www.ncbi.nlm.nih.gov/nuccore/NZ_CP013129.1?report=graph&amp;from=597358&amp;to=597440", "TTA_codon")</f>
        <v>TTA_codon</v>
      </c>
    </row>
    <row r="6003" spans="1:15" x14ac:dyDescent="0.15">
      <c r="A6003" t="s">
        <v>21</v>
      </c>
      <c r="B6003" t="s">
        <v>4380</v>
      </c>
    </row>
    <row r="6004" spans="1:15" x14ac:dyDescent="0.15">
      <c r="A6004" t="s">
        <v>21</v>
      </c>
      <c r="B6004">
        <v>1000509</v>
      </c>
      <c r="C6004">
        <v>349405</v>
      </c>
      <c r="F6004" s="7">
        <v>1</v>
      </c>
      <c r="G6004" s="7">
        <v>49</v>
      </c>
      <c r="H6004" s="8">
        <v>49</v>
      </c>
      <c r="J6004" t="s">
        <v>23</v>
      </c>
      <c r="K6004" s="7">
        <v>1068</v>
      </c>
      <c r="L6004" s="9">
        <v>1</v>
      </c>
      <c r="M6004" t="s">
        <v>458</v>
      </c>
      <c r="N6004" t="s">
        <v>315</v>
      </c>
      <c r="O6004" s="27" t="str">
        <f>HYPERLINK("https://www.ncbi.nlm.nih.gov/nuccore/NC_003888.3?report=graph&amp;from=7312529&amp;to=7312533", "TTA_codon")</f>
        <v>TTA_codon</v>
      </c>
    </row>
    <row r="6005" spans="1:15" x14ac:dyDescent="0.15">
      <c r="A6005" t="s">
        <v>21</v>
      </c>
      <c r="B6005">
        <v>1000509</v>
      </c>
      <c r="C6005">
        <v>365744</v>
      </c>
      <c r="F6005" s="7">
        <v>1</v>
      </c>
      <c r="G6005" s="7">
        <v>49</v>
      </c>
      <c r="H6005" s="8">
        <v>49</v>
      </c>
      <c r="J6005" t="s">
        <v>23</v>
      </c>
      <c r="K6005" s="7">
        <v>1077</v>
      </c>
      <c r="L6005" s="9">
        <v>1</v>
      </c>
      <c r="M6005" t="s">
        <v>213</v>
      </c>
      <c r="N6005" t="s">
        <v>214</v>
      </c>
      <c r="O6005" s="27" t="str">
        <f>HYPERLINK("https://www.ncbi.nlm.nih.gov/nuccore/NZ_FNST01000002.1?report=graph&amp;from=7234807&amp;to=7234811", "TTA_codon")</f>
        <v>TTA_codon</v>
      </c>
    </row>
    <row r="6006" spans="1:15" x14ac:dyDescent="0.15">
      <c r="A6006" t="s">
        <v>21</v>
      </c>
      <c r="B6006" t="s">
        <v>4381</v>
      </c>
    </row>
    <row r="6007" spans="1:15" x14ac:dyDescent="0.15">
      <c r="A6007" t="s">
        <v>21</v>
      </c>
      <c r="B6007">
        <v>1001557</v>
      </c>
      <c r="C6007">
        <v>367051</v>
      </c>
      <c r="F6007" s="7">
        <v>1</v>
      </c>
      <c r="G6007" s="7">
        <v>58</v>
      </c>
      <c r="H6007" s="8">
        <v>58</v>
      </c>
      <c r="J6007" t="s">
        <v>23</v>
      </c>
      <c r="K6007" s="7">
        <v>417</v>
      </c>
      <c r="L6007" s="9">
        <v>-1</v>
      </c>
      <c r="M6007" t="s">
        <v>4382</v>
      </c>
      <c r="N6007" t="s">
        <v>4383</v>
      </c>
      <c r="O6007" s="27" t="str">
        <f>HYPERLINK("https://www.ncbi.nlm.nih.gov/nuccore/MN119376.1?report=graph&amp;from=41512&amp;to=41516", "TTA_codon")</f>
        <v>TTA_codon</v>
      </c>
    </row>
    <row r="6008" spans="1:15" x14ac:dyDescent="0.15">
      <c r="A6008" t="s">
        <v>21</v>
      </c>
      <c r="B6008">
        <v>1001557</v>
      </c>
      <c r="C6008">
        <v>367063</v>
      </c>
      <c r="F6008" s="7">
        <v>1</v>
      </c>
      <c r="G6008" s="7">
        <v>58</v>
      </c>
      <c r="H6008" s="8">
        <v>58</v>
      </c>
      <c r="J6008" t="s">
        <v>23</v>
      </c>
      <c r="K6008" s="7">
        <v>417</v>
      </c>
      <c r="L6008" s="9">
        <v>-1</v>
      </c>
      <c r="M6008" t="s">
        <v>4384</v>
      </c>
      <c r="N6008" t="s">
        <v>4385</v>
      </c>
      <c r="O6008" s="27" t="str">
        <f>HYPERLINK("https://www.ncbi.nlm.nih.gov/nuccore/MN284894.1?report=graph&amp;from=41842&amp;to=41846", "TTA_codon")</f>
        <v>TTA_codon</v>
      </c>
    </row>
    <row r="6009" spans="1:15" x14ac:dyDescent="0.15">
      <c r="A6009" t="s">
        <v>21</v>
      </c>
      <c r="B6009">
        <v>1001557</v>
      </c>
      <c r="C6009">
        <v>367312</v>
      </c>
      <c r="F6009" s="7">
        <v>1</v>
      </c>
      <c r="G6009" s="7">
        <v>58</v>
      </c>
      <c r="H6009" s="8">
        <v>58</v>
      </c>
      <c r="J6009" t="s">
        <v>23</v>
      </c>
      <c r="K6009" s="7">
        <v>375</v>
      </c>
      <c r="L6009" s="9">
        <v>-1</v>
      </c>
      <c r="M6009" t="s">
        <v>4386</v>
      </c>
      <c r="N6009" t="s">
        <v>4387</v>
      </c>
      <c r="O6009" s="27" t="str">
        <f>HYPERLINK("https://www.ncbi.nlm.nih.gov/nuccore/NC_048706.1?report=graph&amp;from=41470&amp;to=41474", "TTA_codon")</f>
        <v>TTA_codon</v>
      </c>
    </row>
    <row r="6010" spans="1:15" x14ac:dyDescent="0.15">
      <c r="A6010" t="s">
        <v>195</v>
      </c>
      <c r="B6010" t="s">
        <v>4388</v>
      </c>
    </row>
    <row r="6011" spans="1:15" x14ac:dyDescent="0.15">
      <c r="A6011" t="s">
        <v>195</v>
      </c>
      <c r="B6011">
        <v>1000136</v>
      </c>
      <c r="C6011">
        <v>346953</v>
      </c>
      <c r="F6011" s="7">
        <v>1</v>
      </c>
      <c r="G6011" s="7">
        <v>499</v>
      </c>
      <c r="H6011" s="8">
        <v>436</v>
      </c>
      <c r="J6011" t="s">
        <v>23</v>
      </c>
      <c r="K6011" s="7">
        <v>939</v>
      </c>
      <c r="L6011" s="9">
        <v>-1</v>
      </c>
      <c r="M6011" t="s">
        <v>635</v>
      </c>
      <c r="N6011" t="s">
        <v>401</v>
      </c>
      <c r="O6011" s="27" t="str">
        <f>HYPERLINK("https://www.ncbi.nlm.nih.gov/nuccore/NZ_LFBV01000002.1?report=graph&amp;from=1247289&amp;to=1247293", "TTA_codon")</f>
        <v>TTA_codon</v>
      </c>
    </row>
    <row r="6012" spans="1:15" x14ac:dyDescent="0.15">
      <c r="A6012" t="s">
        <v>21</v>
      </c>
      <c r="B6012">
        <v>1000136</v>
      </c>
      <c r="C6012">
        <v>348295</v>
      </c>
      <c r="F6012" s="7">
        <v>1</v>
      </c>
      <c r="G6012" s="7">
        <v>541</v>
      </c>
      <c r="H6012" s="8">
        <v>421</v>
      </c>
      <c r="J6012" t="s">
        <v>23</v>
      </c>
      <c r="K6012" s="7">
        <v>882</v>
      </c>
      <c r="L6012" s="9">
        <v>-1</v>
      </c>
      <c r="M6012" t="s">
        <v>59</v>
      </c>
      <c r="N6012" t="s">
        <v>60</v>
      </c>
      <c r="O6012" s="27" t="str">
        <f>HYPERLINK("https://www.ncbi.nlm.nih.gov/nuccore/NC_016582.1?report=graph&amp;from=4907273&amp;to=4907277", "TTA_codon")</f>
        <v>TTA_codon</v>
      </c>
    </row>
    <row r="6013" spans="1:15" x14ac:dyDescent="0.15">
      <c r="A6013" t="s">
        <v>21</v>
      </c>
      <c r="B6013">
        <v>1000136</v>
      </c>
      <c r="C6013">
        <v>359581</v>
      </c>
      <c r="F6013" s="7">
        <v>1</v>
      </c>
      <c r="G6013" s="7">
        <v>499</v>
      </c>
      <c r="H6013" s="8">
        <v>397</v>
      </c>
      <c r="J6013" t="s">
        <v>23</v>
      </c>
      <c r="K6013" s="7">
        <v>900</v>
      </c>
      <c r="L6013" s="9">
        <v>-1</v>
      </c>
      <c r="M6013" t="s">
        <v>151</v>
      </c>
      <c r="N6013" t="s">
        <v>152</v>
      </c>
      <c r="O6013" s="27" t="str">
        <f>HYPERLINK("https://www.ncbi.nlm.nih.gov/nuccore/NZ_CP013129.1?report=graph&amp;from=4885348&amp;to=4885352", "TTA_codon")</f>
        <v>TTA_codon</v>
      </c>
    </row>
    <row r="6014" spans="1:15" x14ac:dyDescent="0.15">
      <c r="A6014" t="s">
        <v>21</v>
      </c>
      <c r="B6014">
        <v>1000136</v>
      </c>
      <c r="C6014">
        <v>361238</v>
      </c>
      <c r="F6014" s="7">
        <v>1</v>
      </c>
      <c r="G6014" s="7">
        <v>646</v>
      </c>
      <c r="H6014" s="8">
        <v>556</v>
      </c>
      <c r="J6014" t="s">
        <v>23</v>
      </c>
      <c r="K6014" s="7">
        <v>912</v>
      </c>
      <c r="L6014" s="9">
        <v>-1</v>
      </c>
      <c r="M6014" t="s">
        <v>98</v>
      </c>
      <c r="N6014" t="s">
        <v>99</v>
      </c>
      <c r="O6014" s="27" t="str">
        <f>HYPERLINK("https://www.ncbi.nlm.nih.gov/nuccore/NZ_CP016438.1?report=graph&amp;from=3701859&amp;to=3701863", "TTA_codon")</f>
        <v>TTA_codon</v>
      </c>
    </row>
    <row r="6015" spans="1:15" x14ac:dyDescent="0.15">
      <c r="A6015" t="s">
        <v>21</v>
      </c>
      <c r="B6015">
        <v>1000136</v>
      </c>
      <c r="C6015">
        <v>364941</v>
      </c>
      <c r="F6015" s="7">
        <v>1</v>
      </c>
      <c r="G6015" s="7">
        <v>415</v>
      </c>
      <c r="H6015" s="8">
        <v>319</v>
      </c>
      <c r="J6015" t="s">
        <v>23</v>
      </c>
      <c r="K6015" s="7">
        <v>906</v>
      </c>
      <c r="L6015" s="9">
        <v>-1</v>
      </c>
      <c r="M6015" t="s">
        <v>126</v>
      </c>
      <c r="N6015" t="s">
        <v>127</v>
      </c>
      <c r="O6015" s="27" t="str">
        <f>HYPERLINK("https://www.ncbi.nlm.nih.gov/nuccore/NZ_CP021748.1?report=graph&amp;from=1259590&amp;to=1259594", "TTA_codon")</f>
        <v>TTA_codon</v>
      </c>
    </row>
    <row r="6016" spans="1:15" x14ac:dyDescent="0.15">
      <c r="A6016" t="s">
        <v>21</v>
      </c>
      <c r="B6016" t="s">
        <v>4389</v>
      </c>
    </row>
    <row r="6017" spans="1:15" x14ac:dyDescent="0.15">
      <c r="A6017" t="s">
        <v>21</v>
      </c>
      <c r="B6017">
        <v>1001533</v>
      </c>
      <c r="C6017">
        <v>366893</v>
      </c>
      <c r="F6017" s="7">
        <v>1</v>
      </c>
      <c r="G6017" s="7">
        <v>181</v>
      </c>
      <c r="H6017" s="8">
        <v>181</v>
      </c>
      <c r="J6017" t="s">
        <v>23</v>
      </c>
      <c r="K6017" s="7">
        <v>1398</v>
      </c>
      <c r="L6017" s="9">
        <v>1</v>
      </c>
      <c r="M6017" t="s">
        <v>3065</v>
      </c>
      <c r="N6017" t="s">
        <v>3066</v>
      </c>
      <c r="O6017" s="27" t="str">
        <f>HYPERLINK("https://www.ncbi.nlm.nih.gov/nuccore/KT186229.1?report=graph&amp;from=37735&amp;to=37739", "TTA_codon")</f>
        <v>TTA_codon</v>
      </c>
    </row>
    <row r="6018" spans="1:15" x14ac:dyDescent="0.15">
      <c r="A6018" t="s">
        <v>21</v>
      </c>
      <c r="B6018">
        <v>1001533</v>
      </c>
      <c r="C6018">
        <v>367255</v>
      </c>
      <c r="F6018" s="7">
        <v>1</v>
      </c>
      <c r="G6018" s="7">
        <v>181</v>
      </c>
      <c r="H6018" s="8">
        <v>181</v>
      </c>
      <c r="J6018" t="s">
        <v>23</v>
      </c>
      <c r="K6018" s="7">
        <v>1398</v>
      </c>
      <c r="L6018" s="9">
        <v>1</v>
      </c>
      <c r="M6018" t="s">
        <v>3129</v>
      </c>
      <c r="N6018" t="s">
        <v>3130</v>
      </c>
      <c r="O6018" s="27" t="str">
        <f>HYPERLINK("https://www.ncbi.nlm.nih.gov/nuccore/NC_028904.1?report=graph&amp;from=37741&amp;to=37745", "TTA_codon")</f>
        <v>TTA_codon</v>
      </c>
    </row>
    <row r="6019" spans="1:15" x14ac:dyDescent="0.15">
      <c r="A6019" t="s">
        <v>21</v>
      </c>
      <c r="B6019">
        <v>1001533</v>
      </c>
      <c r="C6019">
        <v>367304</v>
      </c>
      <c r="F6019" s="7">
        <v>1</v>
      </c>
      <c r="G6019" s="7">
        <v>181</v>
      </c>
      <c r="H6019" s="8">
        <v>181</v>
      </c>
      <c r="J6019" t="s">
        <v>23</v>
      </c>
      <c r="K6019" s="7">
        <v>1404</v>
      </c>
      <c r="L6019" s="9">
        <v>1</v>
      </c>
      <c r="M6019" t="s">
        <v>3147</v>
      </c>
      <c r="N6019" t="s">
        <v>3148</v>
      </c>
      <c r="O6019" s="27" t="str">
        <f>HYPERLINK("https://www.ncbi.nlm.nih.gov/nuccore/NC_054677.1?report=graph&amp;from=36884&amp;to=36888", "TTA_codon")</f>
        <v>TTA_codon</v>
      </c>
    </row>
    <row r="6020" spans="1:15" x14ac:dyDescent="0.15">
      <c r="A6020" t="s">
        <v>195</v>
      </c>
      <c r="B6020" t="s">
        <v>4390</v>
      </c>
    </row>
    <row r="6021" spans="1:15" x14ac:dyDescent="0.15">
      <c r="A6021" t="s">
        <v>195</v>
      </c>
      <c r="B6021">
        <v>1000054</v>
      </c>
      <c r="C6021">
        <v>346270</v>
      </c>
      <c r="F6021" s="7">
        <v>1</v>
      </c>
      <c r="G6021" s="7">
        <v>1033</v>
      </c>
      <c r="H6021" s="8">
        <v>853</v>
      </c>
      <c r="J6021" t="s">
        <v>23</v>
      </c>
      <c r="K6021" s="7">
        <v>1161</v>
      </c>
      <c r="L6021" s="9">
        <v>1</v>
      </c>
      <c r="M6021" t="s">
        <v>30</v>
      </c>
      <c r="N6021" t="s">
        <v>31</v>
      </c>
      <c r="O6021" s="27" t="str">
        <f>HYPERLINK("https://www.ncbi.nlm.nih.gov/nuccore/NZ_KB913030.1?report=graph&amp;from=1426186&amp;to=1426190", "TTA_codon")</f>
        <v>TTA_codon</v>
      </c>
    </row>
    <row r="6022" spans="1:15" x14ac:dyDescent="0.15">
      <c r="A6022" t="s">
        <v>21</v>
      </c>
      <c r="B6022">
        <v>1000054</v>
      </c>
      <c r="C6022">
        <v>362707</v>
      </c>
      <c r="F6022" s="7">
        <v>1</v>
      </c>
      <c r="G6022" s="7">
        <v>1162</v>
      </c>
      <c r="H6022" s="8">
        <v>1096</v>
      </c>
      <c r="J6022" t="s">
        <v>23</v>
      </c>
      <c r="K6022" s="7">
        <v>1419</v>
      </c>
      <c r="L6022" s="9">
        <v>1</v>
      </c>
      <c r="M6022" t="s">
        <v>4391</v>
      </c>
      <c r="N6022" t="s">
        <v>985</v>
      </c>
      <c r="O6022" s="27" t="str">
        <f>HYPERLINK("https://www.ncbi.nlm.nih.gov/nuccore/NZ_LJGU01000133.1?report=graph&amp;from=58401&amp;to=58405", "TTA_codon")</f>
        <v>TTA_codon</v>
      </c>
    </row>
    <row r="6023" spans="1:15" x14ac:dyDescent="0.15">
      <c r="A6023" t="s">
        <v>21</v>
      </c>
      <c r="B6023">
        <v>1000054</v>
      </c>
      <c r="C6023">
        <v>363671</v>
      </c>
      <c r="F6023" s="7">
        <v>1</v>
      </c>
      <c r="G6023" s="7">
        <v>898</v>
      </c>
      <c r="H6023" s="8">
        <v>841</v>
      </c>
      <c r="J6023" t="s">
        <v>23</v>
      </c>
      <c r="K6023" s="7">
        <v>1251</v>
      </c>
      <c r="L6023" s="9">
        <v>1</v>
      </c>
      <c r="M6023" t="s">
        <v>101</v>
      </c>
      <c r="N6023" t="s">
        <v>102</v>
      </c>
      <c r="O6023" s="27" t="str">
        <f>HYPERLINK("https://www.ncbi.nlm.nih.gov/nuccore/NZ_CP019458.1?report=graph&amp;from=3227883&amp;to=3227887", "TTA_codon")</f>
        <v>TTA_codon</v>
      </c>
    </row>
    <row r="6024" spans="1:15" x14ac:dyDescent="0.15">
      <c r="A6024" t="s">
        <v>21</v>
      </c>
      <c r="B6024">
        <v>1000054</v>
      </c>
      <c r="C6024">
        <v>365644</v>
      </c>
      <c r="F6024" s="7">
        <v>1</v>
      </c>
      <c r="G6024" s="7">
        <v>898</v>
      </c>
      <c r="H6024" s="8">
        <v>838</v>
      </c>
      <c r="J6024" t="s">
        <v>23</v>
      </c>
      <c r="K6024" s="7">
        <v>1248</v>
      </c>
      <c r="L6024" s="9">
        <v>1</v>
      </c>
      <c r="M6024" t="s">
        <v>213</v>
      </c>
      <c r="N6024" t="s">
        <v>214</v>
      </c>
      <c r="O6024" s="27" t="str">
        <f>HYPERLINK("https://www.ncbi.nlm.nih.gov/nuccore/NZ_FNST01000002.1?report=graph&amp;from=853568&amp;to=853572", "TTA_codon")</f>
        <v>TTA_codon</v>
      </c>
    </row>
    <row r="6025" spans="1:15" x14ac:dyDescent="0.15">
      <c r="A6025" t="s">
        <v>21</v>
      </c>
      <c r="B6025" t="s">
        <v>4392</v>
      </c>
    </row>
    <row r="6026" spans="1:15" x14ac:dyDescent="0.15">
      <c r="A6026" t="s">
        <v>21</v>
      </c>
      <c r="B6026">
        <v>1000659</v>
      </c>
      <c r="C6026">
        <v>350683</v>
      </c>
      <c r="F6026" s="7">
        <v>1</v>
      </c>
      <c r="G6026" s="7">
        <v>424</v>
      </c>
      <c r="H6026" s="8">
        <v>118</v>
      </c>
      <c r="J6026" t="s">
        <v>23</v>
      </c>
      <c r="K6026" s="7">
        <v>1062</v>
      </c>
      <c r="L6026" s="9">
        <v>-1</v>
      </c>
      <c r="M6026" t="s">
        <v>2610</v>
      </c>
      <c r="N6026" t="s">
        <v>134</v>
      </c>
      <c r="O6026" s="27" t="str">
        <f>HYPERLINK("https://www.ncbi.nlm.nih.gov/nuccore/NZ_AJSZ01000947.1?report=graph&amp;from=49727&amp;to=49731", "TTA_codon")</f>
        <v>TTA_codon</v>
      </c>
    </row>
    <row r="6027" spans="1:15" x14ac:dyDescent="0.15">
      <c r="A6027" t="s">
        <v>21</v>
      </c>
      <c r="B6027">
        <v>1000659</v>
      </c>
      <c r="C6027">
        <v>351316</v>
      </c>
      <c r="F6027" s="7">
        <v>2</v>
      </c>
      <c r="G6027" s="7" t="s">
        <v>4393</v>
      </c>
      <c r="H6027" s="8" t="s">
        <v>4394</v>
      </c>
      <c r="J6027" t="s">
        <v>23</v>
      </c>
      <c r="K6027" s="7">
        <v>1362</v>
      </c>
      <c r="L6027" s="9">
        <v>-1</v>
      </c>
      <c r="M6027" t="s">
        <v>65</v>
      </c>
      <c r="N6027" t="s">
        <v>66</v>
      </c>
      <c r="O6027" s="27" t="str">
        <f>HYPERLINK("https://www.ncbi.nlm.nih.gov/nuccore/NC_020504.1?report=graph&amp;from=753073&amp;to=753095", "TTA_codon")</f>
        <v>TTA_codon</v>
      </c>
    </row>
    <row r="6028" spans="1:15" x14ac:dyDescent="0.15">
      <c r="A6028" t="s">
        <v>21</v>
      </c>
      <c r="B6028">
        <v>1000659</v>
      </c>
      <c r="C6028">
        <v>352502</v>
      </c>
      <c r="F6028" s="7">
        <v>2</v>
      </c>
      <c r="G6028" s="7" t="s">
        <v>4395</v>
      </c>
      <c r="H6028" s="8" t="s">
        <v>4396</v>
      </c>
      <c r="J6028" t="s">
        <v>23</v>
      </c>
      <c r="K6028" s="7">
        <v>978</v>
      </c>
      <c r="L6028" s="9">
        <v>-1</v>
      </c>
      <c r="M6028" t="s">
        <v>30</v>
      </c>
      <c r="N6028" t="s">
        <v>31</v>
      </c>
      <c r="O6028" s="27" t="str">
        <f>HYPERLINK("https://www.ncbi.nlm.nih.gov/nuccore/NZ_KB913030.1?report=graph&amp;from=795346&amp;to=795479", "TTA_codon")</f>
        <v>TTA_codon</v>
      </c>
    </row>
    <row r="6029" spans="1:15" x14ac:dyDescent="0.15">
      <c r="A6029" t="s">
        <v>21</v>
      </c>
      <c r="B6029">
        <v>1000659</v>
      </c>
      <c r="C6029">
        <v>356585</v>
      </c>
      <c r="F6029" s="7">
        <v>1</v>
      </c>
      <c r="G6029" s="7">
        <v>361</v>
      </c>
      <c r="H6029" s="8">
        <v>55</v>
      </c>
      <c r="J6029" t="s">
        <v>23</v>
      </c>
      <c r="K6029" s="7">
        <v>1230</v>
      </c>
      <c r="L6029" s="9">
        <v>-1</v>
      </c>
      <c r="M6029" t="s">
        <v>508</v>
      </c>
      <c r="N6029" t="s">
        <v>509</v>
      </c>
      <c r="O6029" s="27" t="str">
        <f>HYPERLINK("https://www.ncbi.nlm.nih.gov/nuccore/NZ_CP009438.1?report=graph&amp;from=294713&amp;to=294717", "TTA_codon")</f>
        <v>TTA_codon</v>
      </c>
    </row>
    <row r="6030" spans="1:15" x14ac:dyDescent="0.15">
      <c r="A6030" t="s">
        <v>21</v>
      </c>
      <c r="B6030">
        <v>1000659</v>
      </c>
      <c r="C6030">
        <v>358738</v>
      </c>
      <c r="F6030" s="7">
        <v>1</v>
      </c>
      <c r="G6030" s="7">
        <v>637</v>
      </c>
      <c r="H6030" s="8">
        <v>331</v>
      </c>
      <c r="J6030" t="s">
        <v>23</v>
      </c>
      <c r="K6030" s="7">
        <v>1056</v>
      </c>
      <c r="L6030" s="9">
        <v>-1</v>
      </c>
      <c r="M6030" t="s">
        <v>4397</v>
      </c>
      <c r="N6030" t="s">
        <v>757</v>
      </c>
      <c r="O6030" s="27" t="str">
        <f>HYPERLINK("https://www.ncbi.nlm.nih.gov/nuccore/NZ_LIQR01000168.1?report=graph&amp;from=13668&amp;to=13672", "TTA_codon")</f>
        <v>TTA_codon</v>
      </c>
    </row>
    <row r="6031" spans="1:15" x14ac:dyDescent="0.15">
      <c r="A6031" t="s">
        <v>21</v>
      </c>
      <c r="B6031">
        <v>1000659</v>
      </c>
      <c r="C6031">
        <v>361367</v>
      </c>
      <c r="F6031" s="7">
        <v>2</v>
      </c>
      <c r="G6031" s="7" t="s">
        <v>4398</v>
      </c>
      <c r="H6031" s="8" t="s">
        <v>4399</v>
      </c>
      <c r="J6031" t="s">
        <v>23</v>
      </c>
      <c r="K6031" s="7">
        <v>1689</v>
      </c>
      <c r="L6031" s="9">
        <v>-1</v>
      </c>
      <c r="M6031" t="s">
        <v>286</v>
      </c>
      <c r="N6031" t="s">
        <v>201</v>
      </c>
      <c r="O6031" s="27" t="str">
        <f>HYPERLINK("https://www.ncbi.nlm.nih.gov/nuccore/NZ_CP016560.1?report=graph&amp;from=629266&amp;to=629357", "TTA_codon")</f>
        <v>TTA_codon</v>
      </c>
    </row>
    <row r="6032" spans="1:15" x14ac:dyDescent="0.15">
      <c r="A6032" t="s">
        <v>21</v>
      </c>
      <c r="B6032">
        <v>1000659</v>
      </c>
      <c r="C6032">
        <v>362530</v>
      </c>
      <c r="F6032" s="7">
        <v>2</v>
      </c>
      <c r="G6032" s="7" t="s">
        <v>4400</v>
      </c>
      <c r="H6032" s="8" t="s">
        <v>4401</v>
      </c>
      <c r="J6032" t="s">
        <v>23</v>
      </c>
      <c r="K6032" s="7">
        <v>960</v>
      </c>
      <c r="L6032" s="9">
        <v>-1</v>
      </c>
      <c r="M6032" t="s">
        <v>32</v>
      </c>
      <c r="N6032" t="s">
        <v>33</v>
      </c>
      <c r="O6032" s="27" t="str">
        <f>HYPERLINK("https://www.ncbi.nlm.nih.gov/nuccore/NZ_CP017248.1?report=graph&amp;from=6738674&amp;to=6738858", "TTA_codon")</f>
        <v>TTA_codon</v>
      </c>
    </row>
    <row r="6033" spans="1:15" x14ac:dyDescent="0.15">
      <c r="A6033" t="s">
        <v>21</v>
      </c>
      <c r="B6033" t="s">
        <v>4402</v>
      </c>
    </row>
    <row r="6034" spans="1:15" x14ac:dyDescent="0.15">
      <c r="A6034" t="s">
        <v>21</v>
      </c>
      <c r="B6034">
        <v>1000685</v>
      </c>
      <c r="C6034">
        <v>350893</v>
      </c>
      <c r="F6034" s="7">
        <v>1</v>
      </c>
      <c r="G6034" s="7">
        <v>151</v>
      </c>
      <c r="H6034" s="8">
        <v>151</v>
      </c>
      <c r="J6034" t="s">
        <v>23</v>
      </c>
      <c r="K6034" s="7">
        <v>2358</v>
      </c>
      <c r="L6034" s="9">
        <v>-1</v>
      </c>
      <c r="M6034" t="s">
        <v>4403</v>
      </c>
      <c r="N6034" t="s">
        <v>51</v>
      </c>
      <c r="O6034" s="27" t="str">
        <f>HYPERLINK("https://www.ncbi.nlm.nih.gov/nuccore/NZ_AEJB01000069.1?report=graph&amp;from=13705&amp;to=13709", "TTA_codon")</f>
        <v>TTA_codon</v>
      </c>
    </row>
    <row r="6035" spans="1:15" x14ac:dyDescent="0.15">
      <c r="A6035" t="s">
        <v>21</v>
      </c>
      <c r="B6035">
        <v>1000685</v>
      </c>
      <c r="C6035">
        <v>356267</v>
      </c>
      <c r="F6035" s="7">
        <v>1</v>
      </c>
      <c r="G6035" s="7">
        <v>106</v>
      </c>
      <c r="H6035" s="8">
        <v>106</v>
      </c>
      <c r="J6035" t="s">
        <v>23</v>
      </c>
      <c r="K6035" s="7">
        <v>2370</v>
      </c>
      <c r="L6035" s="9">
        <v>-1</v>
      </c>
      <c r="M6035" t="s">
        <v>470</v>
      </c>
      <c r="N6035" t="s">
        <v>77</v>
      </c>
      <c r="O6035" s="27" t="str">
        <f>HYPERLINK("https://www.ncbi.nlm.nih.gov/nuccore/NZ_JNXD01000006.1?report=graph&amp;from=92652&amp;to=92656", "TTA_codon")</f>
        <v>TTA_codon</v>
      </c>
    </row>
    <row r="6036" spans="1:15" x14ac:dyDescent="0.15">
      <c r="A6036" t="s">
        <v>21</v>
      </c>
      <c r="B6036" t="s">
        <v>4404</v>
      </c>
    </row>
    <row r="6037" spans="1:15" x14ac:dyDescent="0.15">
      <c r="A6037" t="s">
        <v>21</v>
      </c>
      <c r="B6037">
        <v>1000722</v>
      </c>
      <c r="C6037">
        <v>351162</v>
      </c>
      <c r="F6037" s="7">
        <v>1</v>
      </c>
      <c r="G6037" s="7">
        <v>589</v>
      </c>
      <c r="H6037" s="8">
        <v>589</v>
      </c>
      <c r="J6037" t="s">
        <v>23</v>
      </c>
      <c r="K6037" s="7">
        <v>648</v>
      </c>
      <c r="L6037" s="9">
        <v>-1</v>
      </c>
      <c r="M6037" t="s">
        <v>65</v>
      </c>
      <c r="N6037" t="s">
        <v>66</v>
      </c>
      <c r="O6037" s="27" t="str">
        <f>HYPERLINK("https://www.ncbi.nlm.nih.gov/nuccore/NC_020504.1?report=graph&amp;from=355528&amp;to=355532", "TTA_codon")</f>
        <v>TTA_codon</v>
      </c>
    </row>
    <row r="6038" spans="1:15" x14ac:dyDescent="0.15">
      <c r="A6038" t="s">
        <v>21</v>
      </c>
      <c r="B6038">
        <v>1000722</v>
      </c>
      <c r="C6038">
        <v>361326</v>
      </c>
      <c r="F6038" s="7">
        <v>1</v>
      </c>
      <c r="G6038" s="7">
        <v>589</v>
      </c>
      <c r="H6038" s="8">
        <v>589</v>
      </c>
      <c r="J6038" t="s">
        <v>23</v>
      </c>
      <c r="K6038" s="7">
        <v>639</v>
      </c>
      <c r="L6038" s="9">
        <v>-1</v>
      </c>
      <c r="M6038" t="s">
        <v>286</v>
      </c>
      <c r="N6038" t="s">
        <v>201</v>
      </c>
      <c r="O6038" s="27" t="str">
        <f>HYPERLINK("https://www.ncbi.nlm.nih.gov/nuccore/NZ_CP016560.1?report=graph&amp;from=535439&amp;to=535443", "TTA_codon")</f>
        <v>TTA_codon</v>
      </c>
    </row>
    <row r="6039" spans="1:15" x14ac:dyDescent="0.15">
      <c r="A6039" t="s">
        <v>21</v>
      </c>
      <c r="B6039" t="s">
        <v>4405</v>
      </c>
    </row>
    <row r="6040" spans="1:15" x14ac:dyDescent="0.15">
      <c r="A6040" t="s">
        <v>21</v>
      </c>
      <c r="B6040">
        <v>1000677</v>
      </c>
      <c r="C6040">
        <v>350791</v>
      </c>
      <c r="F6040" s="7">
        <v>2</v>
      </c>
      <c r="G6040" s="7" t="s">
        <v>4406</v>
      </c>
      <c r="H6040" s="8" t="s">
        <v>4407</v>
      </c>
      <c r="J6040" t="s">
        <v>23</v>
      </c>
      <c r="K6040" s="7">
        <v>1227</v>
      </c>
      <c r="L6040" s="9">
        <v>-1</v>
      </c>
      <c r="M6040" t="s">
        <v>352</v>
      </c>
      <c r="N6040" t="s">
        <v>51</v>
      </c>
      <c r="O6040" s="27" t="str">
        <f>HYPERLINK("https://www.ncbi.nlm.nih.gov/nuccore/NZ_AEJB01000361.1?report=graph&amp;from=467011&amp;to=467036", "TTA_codon")</f>
        <v>TTA_codon</v>
      </c>
    </row>
    <row r="6041" spans="1:15" x14ac:dyDescent="0.15">
      <c r="A6041" t="s">
        <v>21</v>
      </c>
      <c r="B6041">
        <v>1000677</v>
      </c>
      <c r="C6041">
        <v>356387</v>
      </c>
      <c r="F6041" s="7">
        <v>1</v>
      </c>
      <c r="G6041" s="7">
        <v>76</v>
      </c>
      <c r="H6041" s="8">
        <v>73</v>
      </c>
      <c r="J6041" t="s">
        <v>23</v>
      </c>
      <c r="K6041" s="7">
        <v>1227</v>
      </c>
      <c r="L6041" s="9">
        <v>-1</v>
      </c>
      <c r="M6041" t="s">
        <v>4408</v>
      </c>
      <c r="N6041" t="s">
        <v>354</v>
      </c>
      <c r="O6041" s="27" t="str">
        <f>HYPERLINK("https://www.ncbi.nlm.nih.gov/nuccore/NZ_JQJU01000054.1?report=graph&amp;from=30814&amp;to=30818", "TTA_codon")</f>
        <v>TTA_codon</v>
      </c>
    </row>
    <row r="6042" spans="1:15" x14ac:dyDescent="0.15">
      <c r="A6042" t="s">
        <v>21</v>
      </c>
      <c r="B6042">
        <v>1000677</v>
      </c>
      <c r="C6042">
        <v>363654</v>
      </c>
      <c r="F6042" s="7">
        <v>2</v>
      </c>
      <c r="G6042" s="7" t="s">
        <v>4409</v>
      </c>
      <c r="H6042" s="8" t="s">
        <v>4409</v>
      </c>
      <c r="J6042" t="s">
        <v>23</v>
      </c>
      <c r="K6042" s="7">
        <v>1230</v>
      </c>
      <c r="L6042" s="9">
        <v>-1</v>
      </c>
      <c r="M6042" t="s">
        <v>101</v>
      </c>
      <c r="N6042" t="s">
        <v>102</v>
      </c>
      <c r="O6042" s="27" t="str">
        <f>HYPERLINK("https://www.ncbi.nlm.nih.gov/nuccore/NZ_CP019458.1?report=graph&amp;from=5955979&amp;to=5956937", "TTA_codon")</f>
        <v>TTA_codon</v>
      </c>
    </row>
    <row r="6043" spans="1:15" x14ac:dyDescent="0.15">
      <c r="A6043" t="s">
        <v>21</v>
      </c>
      <c r="B6043" t="s">
        <v>4410</v>
      </c>
    </row>
    <row r="6044" spans="1:15" x14ac:dyDescent="0.15">
      <c r="A6044" t="s">
        <v>21</v>
      </c>
      <c r="B6044">
        <v>1001204</v>
      </c>
      <c r="C6044">
        <v>352388</v>
      </c>
      <c r="F6044" s="7">
        <v>1</v>
      </c>
      <c r="G6044" s="7">
        <v>190</v>
      </c>
      <c r="H6044" s="8">
        <v>37</v>
      </c>
      <c r="J6044" t="s">
        <v>23</v>
      </c>
      <c r="K6044" s="7">
        <v>1926</v>
      </c>
      <c r="L6044" s="9">
        <v>1</v>
      </c>
      <c r="M6044" t="s">
        <v>30</v>
      </c>
      <c r="N6044" t="s">
        <v>31</v>
      </c>
      <c r="O6044" s="27" t="str">
        <f>HYPERLINK("https://www.ncbi.nlm.nih.gov/nuccore/NZ_KB913030.1?report=graph&amp;from=258351&amp;to=258355", "TTA_codon")</f>
        <v>TTA_codon</v>
      </c>
    </row>
    <row r="6045" spans="1:15" x14ac:dyDescent="0.15">
      <c r="A6045" t="s">
        <v>21</v>
      </c>
      <c r="B6045">
        <v>1001204</v>
      </c>
      <c r="C6045">
        <v>356993</v>
      </c>
      <c r="F6045" s="7">
        <v>1</v>
      </c>
      <c r="G6045" s="7">
        <v>244</v>
      </c>
      <c r="H6045" s="8">
        <v>136</v>
      </c>
      <c r="J6045" t="s">
        <v>23</v>
      </c>
      <c r="K6045" s="7">
        <v>1977</v>
      </c>
      <c r="L6045" s="9">
        <v>1</v>
      </c>
      <c r="M6045" t="s">
        <v>162</v>
      </c>
      <c r="N6045" t="s">
        <v>163</v>
      </c>
      <c r="O6045" s="27" t="str">
        <f>HYPERLINK("https://www.ncbi.nlm.nih.gov/nuccore/NZ_CP010519.1?report=graph&amp;from=1165950&amp;to=1165954", "TTA_codon")</f>
        <v>TTA_codon</v>
      </c>
    </row>
    <row r="6046" spans="1:15" x14ac:dyDescent="0.15">
      <c r="A6046" t="s">
        <v>21</v>
      </c>
      <c r="B6046">
        <v>1001204</v>
      </c>
      <c r="C6046">
        <v>365551</v>
      </c>
      <c r="F6046" s="7">
        <v>1</v>
      </c>
      <c r="G6046" s="7">
        <v>172</v>
      </c>
      <c r="H6046" s="8">
        <v>154</v>
      </c>
      <c r="J6046" t="s">
        <v>23</v>
      </c>
      <c r="K6046" s="7">
        <v>1992</v>
      </c>
      <c r="L6046" s="9">
        <v>1</v>
      </c>
      <c r="M6046" t="s">
        <v>213</v>
      </c>
      <c r="N6046" t="s">
        <v>214</v>
      </c>
      <c r="O6046" s="27" t="str">
        <f>HYPERLINK("https://www.ncbi.nlm.nih.gov/nuccore/NZ_FNST01000002.1?report=graph&amp;from=1192119&amp;to=1192123", "TTA_codon")</f>
        <v>TTA_codon</v>
      </c>
    </row>
    <row r="6047" spans="1:15" x14ac:dyDescent="0.15">
      <c r="A6047" t="s">
        <v>21</v>
      </c>
      <c r="B6047" t="s">
        <v>4411</v>
      </c>
    </row>
    <row r="6048" spans="1:15" x14ac:dyDescent="0.15">
      <c r="A6048" t="s">
        <v>21</v>
      </c>
      <c r="B6048">
        <v>1000225</v>
      </c>
      <c r="C6048">
        <v>347508</v>
      </c>
      <c r="F6048" s="7">
        <v>1</v>
      </c>
      <c r="G6048" s="7">
        <v>301</v>
      </c>
      <c r="H6048" s="8">
        <v>301</v>
      </c>
      <c r="J6048" t="s">
        <v>23</v>
      </c>
      <c r="K6048" s="7">
        <v>963</v>
      </c>
      <c r="L6048" s="9">
        <v>-1</v>
      </c>
      <c r="M6048" t="s">
        <v>53</v>
      </c>
      <c r="N6048" t="s">
        <v>54</v>
      </c>
      <c r="O6048" s="27" t="str">
        <f>HYPERLINK("https://www.ncbi.nlm.nih.gov/nuccore/NC_003155.5?report=graph&amp;from=4601522&amp;to=4601526", "TTA_codon")</f>
        <v>TTA_codon</v>
      </c>
    </row>
    <row r="6049" spans="1:15" x14ac:dyDescent="0.15">
      <c r="A6049" t="s">
        <v>21</v>
      </c>
      <c r="B6049">
        <v>1000225</v>
      </c>
      <c r="C6049">
        <v>359377</v>
      </c>
      <c r="F6049" s="7">
        <v>1</v>
      </c>
      <c r="G6049" s="7">
        <v>214</v>
      </c>
      <c r="H6049" s="8">
        <v>214</v>
      </c>
      <c r="J6049" t="s">
        <v>23</v>
      </c>
      <c r="K6049" s="7">
        <v>993</v>
      </c>
      <c r="L6049" s="9">
        <v>-1</v>
      </c>
      <c r="M6049" t="s">
        <v>2134</v>
      </c>
      <c r="N6049" t="s">
        <v>89</v>
      </c>
      <c r="O6049" s="27" t="str">
        <f>HYPERLINK("https://www.ncbi.nlm.nih.gov/nuccore/NZ_LIRG01000125.1?report=graph&amp;from=6683&amp;to=6687", "TTA_codon")</f>
        <v>TTA_codon</v>
      </c>
    </row>
    <row r="6050" spans="1:15" x14ac:dyDescent="0.15">
      <c r="A6050" t="s">
        <v>21</v>
      </c>
      <c r="B6050" t="s">
        <v>4412</v>
      </c>
    </row>
    <row r="6051" spans="1:15" x14ac:dyDescent="0.15">
      <c r="A6051" t="s">
        <v>21</v>
      </c>
      <c r="B6051">
        <v>1000674</v>
      </c>
      <c r="C6051">
        <v>350771</v>
      </c>
      <c r="F6051" s="7">
        <v>1</v>
      </c>
      <c r="G6051" s="7">
        <v>1279</v>
      </c>
      <c r="H6051" s="8">
        <v>1267</v>
      </c>
      <c r="J6051" t="s">
        <v>23</v>
      </c>
      <c r="K6051" s="7">
        <v>1308</v>
      </c>
      <c r="L6051" s="9">
        <v>-1</v>
      </c>
      <c r="M6051" t="s">
        <v>4413</v>
      </c>
      <c r="N6051" t="s">
        <v>51</v>
      </c>
      <c r="O6051" s="27" t="str">
        <f>HYPERLINK("https://www.ncbi.nlm.nih.gov/nuccore/NZ_AEJB01000584.1?report=graph&amp;from=1462&amp;to=1466", "TTA_codon")</f>
        <v>TTA_codon</v>
      </c>
    </row>
    <row r="6052" spans="1:15" x14ac:dyDescent="0.15">
      <c r="A6052" t="s">
        <v>21</v>
      </c>
      <c r="B6052">
        <v>1000674</v>
      </c>
      <c r="C6052">
        <v>358826</v>
      </c>
      <c r="F6052" s="7">
        <v>1</v>
      </c>
      <c r="G6052" s="7">
        <v>1279</v>
      </c>
      <c r="H6052" s="8">
        <v>1171</v>
      </c>
      <c r="J6052" t="s">
        <v>23</v>
      </c>
      <c r="K6052" s="7">
        <v>1212</v>
      </c>
      <c r="L6052" s="9">
        <v>-1</v>
      </c>
      <c r="M6052" t="s">
        <v>1524</v>
      </c>
      <c r="N6052" t="s">
        <v>87</v>
      </c>
      <c r="O6052" s="27" t="str">
        <f>HYPERLINK("https://www.ncbi.nlm.nih.gov/nuccore/NZ_LIQS01000626.1?report=graph&amp;from=6169&amp;to=6173", "TTA_codon")</f>
        <v>TTA_codon</v>
      </c>
    </row>
    <row r="6053" spans="1:15" x14ac:dyDescent="0.15">
      <c r="A6053" t="s">
        <v>21</v>
      </c>
      <c r="B6053" t="s">
        <v>4414</v>
      </c>
    </row>
    <row r="6054" spans="1:15" x14ac:dyDescent="0.15">
      <c r="A6054" t="s">
        <v>21</v>
      </c>
      <c r="B6054">
        <v>1000379</v>
      </c>
      <c r="C6054">
        <v>348321</v>
      </c>
      <c r="F6054" s="7">
        <v>1</v>
      </c>
      <c r="G6054" s="7">
        <v>622</v>
      </c>
      <c r="H6054" s="8">
        <v>565</v>
      </c>
      <c r="J6054" t="s">
        <v>23</v>
      </c>
      <c r="K6054" s="7">
        <v>666</v>
      </c>
      <c r="L6054" s="9">
        <v>1</v>
      </c>
      <c r="M6054" t="s">
        <v>59</v>
      </c>
      <c r="N6054" t="s">
        <v>60</v>
      </c>
      <c r="O6054" s="27" t="str">
        <f>HYPERLINK("https://www.ncbi.nlm.nih.gov/nuccore/NC_016582.1?report=graph&amp;from=10704654&amp;to=10704658", "TTA_codon")</f>
        <v>TTA_codon</v>
      </c>
    </row>
    <row r="6055" spans="1:15" x14ac:dyDescent="0.15">
      <c r="A6055" t="s">
        <v>21</v>
      </c>
      <c r="B6055">
        <v>1000379</v>
      </c>
      <c r="C6055">
        <v>353811</v>
      </c>
      <c r="F6055" s="7">
        <v>1</v>
      </c>
      <c r="G6055" s="7">
        <v>505</v>
      </c>
      <c r="H6055" s="8">
        <v>400</v>
      </c>
      <c r="J6055" t="s">
        <v>23</v>
      </c>
      <c r="K6055" s="7">
        <v>618</v>
      </c>
      <c r="L6055" s="9">
        <v>1</v>
      </c>
      <c r="M6055" t="s">
        <v>552</v>
      </c>
      <c r="N6055" t="s">
        <v>246</v>
      </c>
      <c r="O6055" s="27" t="str">
        <f>HYPERLINK("https://www.ncbi.nlm.nih.gov/nuccore/NZ_JNYR01000017.1?report=graph&amp;from=118023&amp;to=118027", "TTA_codon")</f>
        <v>TTA_codon</v>
      </c>
    </row>
    <row r="6056" spans="1:15" x14ac:dyDescent="0.15">
      <c r="A6056" t="s">
        <v>21</v>
      </c>
      <c r="B6056" t="s">
        <v>4415</v>
      </c>
    </row>
    <row r="6057" spans="1:15" x14ac:dyDescent="0.15">
      <c r="A6057" t="s">
        <v>21</v>
      </c>
      <c r="B6057">
        <v>1000308</v>
      </c>
      <c r="C6057">
        <v>347953</v>
      </c>
      <c r="F6057" s="7">
        <v>1</v>
      </c>
      <c r="G6057" s="7">
        <v>154</v>
      </c>
      <c r="H6057" s="8">
        <v>58</v>
      </c>
      <c r="J6057" t="s">
        <v>23</v>
      </c>
      <c r="K6057" s="7">
        <v>2733</v>
      </c>
      <c r="L6057" s="9">
        <v>-1</v>
      </c>
      <c r="M6057" t="s">
        <v>57</v>
      </c>
      <c r="N6057" t="s">
        <v>58</v>
      </c>
      <c r="O6057" s="27" t="str">
        <f>HYPERLINK("https://www.ncbi.nlm.nih.gov/nuccore/NC_013929.1?report=graph&amp;from=525791&amp;to=525795", "TTA_codon")</f>
        <v>TTA_codon</v>
      </c>
    </row>
    <row r="6058" spans="1:15" x14ac:dyDescent="0.15">
      <c r="A6058" t="s">
        <v>21</v>
      </c>
      <c r="B6058">
        <v>1000308</v>
      </c>
      <c r="C6058">
        <v>350585</v>
      </c>
      <c r="F6058" s="7">
        <v>2</v>
      </c>
      <c r="G6058" s="7" t="s">
        <v>4416</v>
      </c>
      <c r="H6058" s="8" t="s">
        <v>4417</v>
      </c>
      <c r="J6058" t="s">
        <v>23</v>
      </c>
      <c r="K6058" s="7">
        <v>2799</v>
      </c>
      <c r="L6058" s="9">
        <v>-1</v>
      </c>
      <c r="M6058" t="s">
        <v>2784</v>
      </c>
      <c r="N6058" t="s">
        <v>134</v>
      </c>
      <c r="O6058" s="27" t="str">
        <f>HYPERLINK("https://www.ncbi.nlm.nih.gov/nuccore/NZ_AJSZ01000079.1?report=graph&amp;from=18596&amp;to=18753", "TTA_codon")</f>
        <v>TTA_codon</v>
      </c>
    </row>
    <row r="6059" spans="1:15" x14ac:dyDescent="0.15">
      <c r="A6059" t="s">
        <v>21</v>
      </c>
      <c r="B6059">
        <v>1000308</v>
      </c>
      <c r="C6059">
        <v>358102</v>
      </c>
      <c r="F6059" s="7">
        <v>1</v>
      </c>
      <c r="G6059" s="7">
        <v>265</v>
      </c>
      <c r="H6059" s="8">
        <v>166</v>
      </c>
      <c r="J6059" t="s">
        <v>23</v>
      </c>
      <c r="K6059" s="7">
        <v>2700</v>
      </c>
      <c r="L6059" s="9">
        <v>-1</v>
      </c>
      <c r="M6059" t="s">
        <v>4418</v>
      </c>
      <c r="N6059" t="s">
        <v>119</v>
      </c>
      <c r="O6059" s="27" t="str">
        <f>HYPERLINK("https://www.ncbi.nlm.nih.gov/nuccore/NZ_LIPP01000059.1?report=graph&amp;from=69761&amp;to=69765", "TTA_codon")</f>
        <v>TTA_codon</v>
      </c>
    </row>
    <row r="6060" spans="1:15" x14ac:dyDescent="0.15">
      <c r="A6060" t="s">
        <v>21</v>
      </c>
      <c r="B6060">
        <v>1000308</v>
      </c>
      <c r="C6060">
        <v>360070</v>
      </c>
      <c r="F6060" s="7">
        <v>1</v>
      </c>
      <c r="G6060" s="7">
        <v>334</v>
      </c>
      <c r="H6060" s="8">
        <v>256</v>
      </c>
      <c r="J6060" t="s">
        <v>23</v>
      </c>
      <c r="K6060" s="7">
        <v>2763</v>
      </c>
      <c r="L6060" s="9">
        <v>-1</v>
      </c>
      <c r="M6060" t="s">
        <v>1563</v>
      </c>
      <c r="N6060" t="s">
        <v>125</v>
      </c>
      <c r="O6060" s="27" t="str">
        <f>HYPERLINK("https://www.ncbi.nlm.nih.gov/nuccore/NZ_KQ948451.1?report=graph&amp;from=176366&amp;to=176370", "TTA_codon")</f>
        <v>TTA_codon</v>
      </c>
    </row>
    <row r="6061" spans="1:15" x14ac:dyDescent="0.15">
      <c r="A6061" t="s">
        <v>21</v>
      </c>
      <c r="B6061">
        <v>1000308</v>
      </c>
      <c r="C6061">
        <v>361627</v>
      </c>
      <c r="F6061" s="7">
        <v>1</v>
      </c>
      <c r="G6061" s="7">
        <v>328</v>
      </c>
      <c r="H6061" s="8">
        <v>226</v>
      </c>
      <c r="J6061" t="s">
        <v>23</v>
      </c>
      <c r="K6061" s="7">
        <v>2790</v>
      </c>
      <c r="L6061" s="9">
        <v>-1</v>
      </c>
      <c r="M6061" t="s">
        <v>37</v>
      </c>
      <c r="N6061" t="s">
        <v>38</v>
      </c>
      <c r="O6061" s="27" t="str">
        <f>HYPERLINK("https://www.ncbi.nlm.nih.gov/nuccore/NZ_CP011533.1?report=graph&amp;from=713975&amp;to=713979", "TTA_codon")</f>
        <v>TTA_codon</v>
      </c>
    </row>
    <row r="6062" spans="1:15" x14ac:dyDescent="0.15">
      <c r="A6062" t="s">
        <v>21</v>
      </c>
      <c r="B6062" t="s">
        <v>4419</v>
      </c>
    </row>
    <row r="6063" spans="1:15" x14ac:dyDescent="0.15">
      <c r="A6063" t="s">
        <v>21</v>
      </c>
      <c r="B6063">
        <v>1000907</v>
      </c>
      <c r="C6063">
        <v>353042</v>
      </c>
      <c r="F6063" s="7">
        <v>1</v>
      </c>
      <c r="G6063" s="7">
        <v>265</v>
      </c>
      <c r="H6063" s="8">
        <v>118</v>
      </c>
      <c r="J6063" t="s">
        <v>23</v>
      </c>
      <c r="K6063" s="7">
        <v>1593</v>
      </c>
      <c r="L6063" s="9">
        <v>1</v>
      </c>
      <c r="M6063" t="s">
        <v>4420</v>
      </c>
      <c r="N6063" t="s">
        <v>306</v>
      </c>
      <c r="O6063" s="27" t="str">
        <f>HYPERLINK("https://www.ncbi.nlm.nih.gov/nuccore/NZ_KL571090.1?report=graph&amp;from=20572&amp;to=20576", "TTA_codon")</f>
        <v>TTA_codon</v>
      </c>
    </row>
    <row r="6064" spans="1:15" x14ac:dyDescent="0.15">
      <c r="A6064" t="s">
        <v>21</v>
      </c>
      <c r="B6064">
        <v>1000907</v>
      </c>
      <c r="C6064">
        <v>353629</v>
      </c>
      <c r="F6064" s="7">
        <v>1</v>
      </c>
      <c r="G6064" s="7">
        <v>199</v>
      </c>
      <c r="H6064" s="8">
        <v>199</v>
      </c>
      <c r="J6064" t="s">
        <v>23</v>
      </c>
      <c r="K6064" s="7">
        <v>1608</v>
      </c>
      <c r="L6064" s="9">
        <v>1</v>
      </c>
      <c r="M6064" t="s">
        <v>474</v>
      </c>
      <c r="N6064" t="s">
        <v>140</v>
      </c>
      <c r="O6064" s="27" t="str">
        <f>HYPERLINK("https://www.ncbi.nlm.nih.gov/nuccore/NZ_JNXG01000012.1?report=graph&amp;from=157440&amp;to=157444", "TTA_codon")</f>
        <v>TTA_codon</v>
      </c>
    </row>
    <row r="6065" spans="1:15" x14ac:dyDescent="0.15">
      <c r="A6065" t="s">
        <v>21</v>
      </c>
      <c r="B6065">
        <v>1000907</v>
      </c>
      <c r="C6065">
        <v>353937</v>
      </c>
      <c r="F6065" s="7">
        <v>1</v>
      </c>
      <c r="G6065" s="7">
        <v>265</v>
      </c>
      <c r="H6065" s="8">
        <v>118</v>
      </c>
      <c r="J6065" t="s">
        <v>23</v>
      </c>
      <c r="K6065" s="7">
        <v>1518</v>
      </c>
      <c r="L6065" s="9">
        <v>1</v>
      </c>
      <c r="M6065" t="s">
        <v>538</v>
      </c>
      <c r="N6065" t="s">
        <v>246</v>
      </c>
      <c r="O6065" s="27" t="str">
        <f>HYPERLINK("https://www.ncbi.nlm.nih.gov/nuccore/NZ_JNYR01000003.1?report=graph&amp;from=364458&amp;to=364462", "TTA_codon")</f>
        <v>TTA_codon</v>
      </c>
    </row>
    <row r="6066" spans="1:15" x14ac:dyDescent="0.15">
      <c r="A6066" t="s">
        <v>21</v>
      </c>
      <c r="B6066" t="s">
        <v>4421</v>
      </c>
    </row>
    <row r="6067" spans="1:15" x14ac:dyDescent="0.15">
      <c r="A6067" t="s">
        <v>21</v>
      </c>
      <c r="B6067">
        <v>1001105</v>
      </c>
      <c r="C6067">
        <v>328966</v>
      </c>
      <c r="F6067" s="7">
        <v>2</v>
      </c>
      <c r="G6067" s="7" t="s">
        <v>4422</v>
      </c>
      <c r="H6067" s="8" t="s">
        <v>4423</v>
      </c>
      <c r="J6067" t="s">
        <v>23</v>
      </c>
      <c r="K6067" s="7">
        <v>819</v>
      </c>
      <c r="L6067" s="9">
        <v>1</v>
      </c>
      <c r="M6067" t="s">
        <v>80</v>
      </c>
      <c r="N6067" t="s">
        <v>81</v>
      </c>
      <c r="O6067" s="27" t="str">
        <f>HYPERLINK("https://www.ncbi.nlm.nih.gov/nuccore/NZ_LN831790.1?report=graph&amp;from=7226680&amp;to=7227116", "TTA_codon")</f>
        <v>TTA_codon</v>
      </c>
    </row>
    <row r="6068" spans="1:15" x14ac:dyDescent="0.15">
      <c r="A6068" t="s">
        <v>21</v>
      </c>
      <c r="B6068">
        <v>1001105</v>
      </c>
      <c r="C6068">
        <v>355618</v>
      </c>
      <c r="F6068" s="7">
        <v>1</v>
      </c>
      <c r="G6068" s="7">
        <v>265</v>
      </c>
      <c r="H6068" s="8">
        <v>253</v>
      </c>
      <c r="J6068" t="s">
        <v>23</v>
      </c>
      <c r="K6068" s="7">
        <v>903</v>
      </c>
      <c r="L6068" s="9">
        <v>1</v>
      </c>
      <c r="M6068" t="s">
        <v>2909</v>
      </c>
      <c r="N6068" t="s">
        <v>278</v>
      </c>
      <c r="O6068" s="27" t="str">
        <f>HYPERLINK("https://www.ncbi.nlm.nih.gov/nuccore/NZ_JOID01000006.1?report=graph&amp;from=21798&amp;to=21802", "TTA_codon")</f>
        <v>TTA_codon</v>
      </c>
    </row>
    <row r="6069" spans="1:15" x14ac:dyDescent="0.15">
      <c r="A6069" t="s">
        <v>21</v>
      </c>
      <c r="B6069" t="s">
        <v>4424</v>
      </c>
    </row>
    <row r="6070" spans="1:15" x14ac:dyDescent="0.15">
      <c r="A6070" t="s">
        <v>21</v>
      </c>
      <c r="B6070">
        <v>1001442</v>
      </c>
      <c r="C6070">
        <v>363598</v>
      </c>
      <c r="F6070" s="7">
        <v>1</v>
      </c>
      <c r="G6070" s="7">
        <v>49</v>
      </c>
      <c r="H6070" s="8">
        <v>49</v>
      </c>
      <c r="J6070" t="s">
        <v>23</v>
      </c>
      <c r="K6070" s="7">
        <v>456</v>
      </c>
      <c r="L6070" s="9">
        <v>-1</v>
      </c>
      <c r="M6070" t="s">
        <v>101</v>
      </c>
      <c r="N6070" t="s">
        <v>102</v>
      </c>
      <c r="O6070" s="27" t="str">
        <f>HYPERLINK("https://www.ncbi.nlm.nih.gov/nuccore/NZ_CP019458.1?report=graph&amp;from=8682949&amp;to=8682953", "TTA_codon")</f>
        <v>TTA_codon</v>
      </c>
    </row>
    <row r="6071" spans="1:15" x14ac:dyDescent="0.15">
      <c r="A6071" t="s">
        <v>21</v>
      </c>
      <c r="B6071">
        <v>1001442</v>
      </c>
      <c r="C6071">
        <v>365568</v>
      </c>
      <c r="F6071" s="7">
        <v>1</v>
      </c>
      <c r="G6071" s="7">
        <v>49</v>
      </c>
      <c r="H6071" s="8">
        <v>49</v>
      </c>
      <c r="J6071" t="s">
        <v>23</v>
      </c>
      <c r="K6071" s="7">
        <v>450</v>
      </c>
      <c r="L6071" s="9">
        <v>-1</v>
      </c>
      <c r="M6071" t="s">
        <v>213</v>
      </c>
      <c r="N6071" t="s">
        <v>214</v>
      </c>
      <c r="O6071" s="27" t="str">
        <f>HYPERLINK("https://www.ncbi.nlm.nih.gov/nuccore/NZ_FNST01000002.1?report=graph&amp;from=6093664&amp;to=6093668", "TTA_codon")</f>
        <v>TTA_codon</v>
      </c>
    </row>
    <row r="6072" spans="1:15" x14ac:dyDescent="0.15">
      <c r="A6072" t="s">
        <v>21</v>
      </c>
      <c r="B6072" t="s">
        <v>4425</v>
      </c>
    </row>
    <row r="6073" spans="1:15" x14ac:dyDescent="0.15">
      <c r="A6073" t="s">
        <v>21</v>
      </c>
      <c r="B6073">
        <v>1000927</v>
      </c>
      <c r="C6073">
        <v>353239</v>
      </c>
      <c r="F6073" s="7">
        <v>2</v>
      </c>
      <c r="G6073" s="7" t="s">
        <v>4426</v>
      </c>
      <c r="H6073" s="8" t="s">
        <v>4426</v>
      </c>
      <c r="J6073" t="s">
        <v>23</v>
      </c>
      <c r="K6073" s="7">
        <v>813</v>
      </c>
      <c r="L6073" s="9">
        <v>1</v>
      </c>
      <c r="M6073" t="s">
        <v>750</v>
      </c>
      <c r="N6073" t="s">
        <v>169</v>
      </c>
      <c r="O6073" s="27" t="str">
        <f>HYPERLINK("https://www.ncbi.nlm.nih.gov/nuccore/NZ_JNWJ01000001.1?report=graph&amp;from=101018&amp;to=101058", "TTA_codon")</f>
        <v>TTA_codon</v>
      </c>
    </row>
    <row r="6074" spans="1:15" x14ac:dyDescent="0.15">
      <c r="A6074" t="s">
        <v>21</v>
      </c>
      <c r="B6074">
        <v>1000927</v>
      </c>
      <c r="C6074">
        <v>354592</v>
      </c>
      <c r="F6074" s="7">
        <v>1</v>
      </c>
      <c r="G6074" s="7">
        <v>61</v>
      </c>
      <c r="H6074" s="8">
        <v>40</v>
      </c>
      <c r="J6074" t="s">
        <v>23</v>
      </c>
      <c r="K6074" s="7">
        <v>786</v>
      </c>
      <c r="L6074" s="9">
        <v>1</v>
      </c>
      <c r="M6074" t="s">
        <v>4427</v>
      </c>
      <c r="N6074" t="s">
        <v>272</v>
      </c>
      <c r="O6074" s="27" t="str">
        <f>HYPERLINK("https://www.ncbi.nlm.nih.gov/nuccore/NZ_JOEY01000051.1?report=graph&amp;from=33505&amp;to=33509", "TTA_codon")</f>
        <v>TTA_codon</v>
      </c>
    </row>
    <row r="6075" spans="1:15" x14ac:dyDescent="0.15">
      <c r="A6075" t="s">
        <v>21</v>
      </c>
      <c r="B6075">
        <v>1000927</v>
      </c>
      <c r="C6075">
        <v>357728</v>
      </c>
      <c r="F6075" s="7">
        <v>1</v>
      </c>
      <c r="G6075" s="7">
        <v>73</v>
      </c>
      <c r="H6075" s="8">
        <v>73</v>
      </c>
      <c r="J6075" t="s">
        <v>23</v>
      </c>
      <c r="K6075" s="7">
        <v>819</v>
      </c>
      <c r="L6075" s="9">
        <v>1</v>
      </c>
      <c r="M6075" t="s">
        <v>4428</v>
      </c>
      <c r="N6075" t="s">
        <v>83</v>
      </c>
      <c r="O6075" s="27" t="str">
        <f>HYPERLINK("https://www.ncbi.nlm.nih.gov/nuccore/NZ_DF968252.1?report=graph&amp;from=5134&amp;to=5138", "TTA_codon")</f>
        <v>TTA_codon</v>
      </c>
    </row>
    <row r="6076" spans="1:15" x14ac:dyDescent="0.15">
      <c r="A6076" t="s">
        <v>21</v>
      </c>
      <c r="B6076">
        <v>1000927</v>
      </c>
      <c r="C6076">
        <v>361156</v>
      </c>
      <c r="F6076" s="7">
        <v>1</v>
      </c>
      <c r="G6076" s="7">
        <v>82</v>
      </c>
      <c r="H6076" s="8">
        <v>82</v>
      </c>
      <c r="J6076" t="s">
        <v>23</v>
      </c>
      <c r="K6076" s="7">
        <v>816</v>
      </c>
      <c r="L6076" s="9">
        <v>1</v>
      </c>
      <c r="M6076" t="s">
        <v>98</v>
      </c>
      <c r="N6076" t="s">
        <v>99</v>
      </c>
      <c r="O6076" s="27" t="str">
        <f>HYPERLINK("https://www.ncbi.nlm.nih.gov/nuccore/NZ_CP016438.1?report=graph&amp;from=2565257&amp;to=2565261", "TTA_codon")</f>
        <v>TTA_codon</v>
      </c>
    </row>
    <row r="6077" spans="1:15" x14ac:dyDescent="0.15">
      <c r="A6077" t="s">
        <v>21</v>
      </c>
      <c r="B6077" t="s">
        <v>4429</v>
      </c>
    </row>
    <row r="6078" spans="1:15" x14ac:dyDescent="0.15">
      <c r="A6078" t="s">
        <v>21</v>
      </c>
      <c r="B6078">
        <v>1000218</v>
      </c>
      <c r="C6078">
        <v>347429</v>
      </c>
      <c r="F6078" s="7">
        <v>1</v>
      </c>
      <c r="G6078" s="7">
        <v>37</v>
      </c>
      <c r="H6078" s="8">
        <v>37</v>
      </c>
      <c r="J6078" t="s">
        <v>23</v>
      </c>
      <c r="K6078" s="7">
        <v>1680</v>
      </c>
      <c r="L6078" s="9">
        <v>1</v>
      </c>
      <c r="M6078" t="s">
        <v>217</v>
      </c>
      <c r="N6078" t="s">
        <v>218</v>
      </c>
      <c r="O6078" s="27" t="str">
        <f>HYPERLINK("https://www.ncbi.nlm.nih.gov/nuccore/NC_021985.1?report=graph&amp;from=6709869&amp;to=6709873", "TTA_codon")</f>
        <v>TTA_codon</v>
      </c>
    </row>
    <row r="6079" spans="1:15" x14ac:dyDescent="0.15">
      <c r="A6079" t="s">
        <v>21</v>
      </c>
      <c r="B6079">
        <v>1000218</v>
      </c>
      <c r="C6079">
        <v>360549</v>
      </c>
      <c r="F6079" s="7">
        <v>1</v>
      </c>
      <c r="G6079" s="7">
        <v>37</v>
      </c>
      <c r="H6079" s="8">
        <v>37</v>
      </c>
      <c r="J6079" t="s">
        <v>23</v>
      </c>
      <c r="K6079" s="7">
        <v>1677</v>
      </c>
      <c r="L6079" s="9">
        <v>1</v>
      </c>
      <c r="M6079" t="s">
        <v>121</v>
      </c>
      <c r="N6079" t="s">
        <v>122</v>
      </c>
      <c r="O6079" s="27" t="str">
        <f>HYPERLINK("https://www.ncbi.nlm.nih.gov/nuccore/NZ_CP016279.1?report=graph&amp;from=3010363&amp;to=3010367", "TTA_codon")</f>
        <v>TTA_codon</v>
      </c>
    </row>
    <row r="6080" spans="1:15" x14ac:dyDescent="0.15">
      <c r="A6080" t="s">
        <v>21</v>
      </c>
      <c r="B6080" t="s">
        <v>4430</v>
      </c>
    </row>
    <row r="6081" spans="1:15" x14ac:dyDescent="0.15">
      <c r="A6081" t="s">
        <v>21</v>
      </c>
      <c r="B6081">
        <v>1001185</v>
      </c>
      <c r="C6081">
        <v>347677</v>
      </c>
      <c r="F6081" s="7">
        <v>2</v>
      </c>
      <c r="G6081" s="7" t="s">
        <v>4431</v>
      </c>
      <c r="H6081" s="8" t="s">
        <v>4432</v>
      </c>
      <c r="J6081" t="s">
        <v>23</v>
      </c>
      <c r="K6081" s="7">
        <v>702</v>
      </c>
      <c r="L6081" s="9">
        <v>1</v>
      </c>
      <c r="M6081" t="s">
        <v>55</v>
      </c>
      <c r="N6081" t="s">
        <v>56</v>
      </c>
      <c r="O6081" s="27" t="str">
        <f>HYPERLINK("https://www.ncbi.nlm.nih.gov/nuccore/NC_010572.1?report=graph&amp;from=701977&amp;to=702191", "TTA_codon")</f>
        <v>TTA_codon</v>
      </c>
    </row>
    <row r="6082" spans="1:15" x14ac:dyDescent="0.15">
      <c r="A6082" t="s">
        <v>21</v>
      </c>
      <c r="B6082">
        <v>1001185</v>
      </c>
      <c r="C6082">
        <v>356655</v>
      </c>
      <c r="F6082" s="7">
        <v>1</v>
      </c>
      <c r="G6082" s="7">
        <v>568</v>
      </c>
      <c r="H6082" s="8">
        <v>568</v>
      </c>
      <c r="J6082" t="s">
        <v>23</v>
      </c>
      <c r="K6082" s="7">
        <v>843</v>
      </c>
      <c r="L6082" s="9">
        <v>1</v>
      </c>
      <c r="M6082" t="s">
        <v>147</v>
      </c>
      <c r="N6082" t="s">
        <v>148</v>
      </c>
      <c r="O6082" s="27" t="str">
        <f>HYPERLINK("https://www.ncbi.nlm.nih.gov/nuccore/NZ_CP021080.1?report=graph&amp;from=599414&amp;to=599418", "TTA_codon")</f>
        <v>TTA_codon</v>
      </c>
    </row>
    <row r="6083" spans="1:15" x14ac:dyDescent="0.15">
      <c r="A6083" t="s">
        <v>21</v>
      </c>
      <c r="B6083" t="s">
        <v>4433</v>
      </c>
    </row>
    <row r="6084" spans="1:15" x14ac:dyDescent="0.15">
      <c r="A6084" t="s">
        <v>21</v>
      </c>
      <c r="B6084">
        <v>1000232</v>
      </c>
      <c r="C6084">
        <v>347598</v>
      </c>
      <c r="F6084" s="7">
        <v>2</v>
      </c>
      <c r="G6084" s="7" t="s">
        <v>4434</v>
      </c>
      <c r="H6084" s="8" t="s">
        <v>4435</v>
      </c>
      <c r="J6084" t="s">
        <v>23</v>
      </c>
      <c r="K6084" s="7">
        <v>2733</v>
      </c>
      <c r="L6084" s="9">
        <v>1</v>
      </c>
      <c r="M6084" t="s">
        <v>55</v>
      </c>
      <c r="N6084" t="s">
        <v>56</v>
      </c>
      <c r="O6084" s="27" t="str">
        <f>HYPERLINK("https://www.ncbi.nlm.nih.gov/nuccore/NC_010572.1?report=graph&amp;from=7286258&amp;to=7286328", "TTA_codon")</f>
        <v>TTA_codon</v>
      </c>
    </row>
    <row r="6085" spans="1:15" x14ac:dyDescent="0.15">
      <c r="A6085" t="s">
        <v>21</v>
      </c>
      <c r="B6085">
        <v>1000232</v>
      </c>
      <c r="C6085">
        <v>349909</v>
      </c>
      <c r="F6085" s="7">
        <v>2</v>
      </c>
      <c r="G6085" s="7" t="s">
        <v>4436</v>
      </c>
      <c r="H6085" s="8" t="s">
        <v>4437</v>
      </c>
      <c r="J6085" t="s">
        <v>23</v>
      </c>
      <c r="K6085" s="7">
        <v>2655</v>
      </c>
      <c r="L6085" s="9">
        <v>1</v>
      </c>
      <c r="M6085" t="s">
        <v>853</v>
      </c>
      <c r="N6085" t="s">
        <v>249</v>
      </c>
      <c r="O6085" s="27" t="str">
        <f>HYPERLINK("https://www.ncbi.nlm.nih.gov/nuccore/NZ_AHBF01000080.1?report=graph&amp;from=33778&amp;to=33962", "TTA_codon")</f>
        <v>TTA_codon</v>
      </c>
    </row>
    <row r="6086" spans="1:15" x14ac:dyDescent="0.15">
      <c r="A6086" t="s">
        <v>21</v>
      </c>
      <c r="B6086">
        <v>1000232</v>
      </c>
      <c r="C6086">
        <v>350471</v>
      </c>
      <c r="F6086" s="7">
        <v>1</v>
      </c>
      <c r="G6086" s="7">
        <v>553</v>
      </c>
      <c r="H6086" s="8">
        <v>358</v>
      </c>
      <c r="J6086" t="s">
        <v>23</v>
      </c>
      <c r="K6086" s="7">
        <v>3054</v>
      </c>
      <c r="L6086" s="9">
        <v>1</v>
      </c>
      <c r="M6086" t="s">
        <v>4438</v>
      </c>
      <c r="N6086" t="s">
        <v>134</v>
      </c>
      <c r="O6086" s="27" t="str">
        <f>HYPERLINK("https://www.ncbi.nlm.nih.gov/nuccore/NZ_AJSZ01000013.1?report=graph&amp;from=1937&amp;to=1941", "TTA_codon")</f>
        <v>TTA_codon</v>
      </c>
    </row>
    <row r="6087" spans="1:15" x14ac:dyDescent="0.15">
      <c r="A6087" t="s">
        <v>21</v>
      </c>
      <c r="B6087">
        <v>1000232</v>
      </c>
      <c r="C6087">
        <v>351483</v>
      </c>
      <c r="F6087" s="7">
        <v>1</v>
      </c>
      <c r="G6087" s="7">
        <v>427</v>
      </c>
      <c r="H6087" s="8">
        <v>409</v>
      </c>
      <c r="J6087" t="s">
        <v>23</v>
      </c>
      <c r="K6087" s="7">
        <v>3132</v>
      </c>
      <c r="L6087" s="9">
        <v>1</v>
      </c>
      <c r="M6087" t="s">
        <v>1531</v>
      </c>
      <c r="N6087" t="s">
        <v>138</v>
      </c>
      <c r="O6087" s="27" t="str">
        <f>HYPERLINK("https://www.ncbi.nlm.nih.gov/nuccore/NZ_KB889651.1?report=graph&amp;from=8564&amp;to=8568", "TTA_codon")</f>
        <v>TTA_codon</v>
      </c>
    </row>
    <row r="6088" spans="1:15" x14ac:dyDescent="0.15">
      <c r="A6088" t="s">
        <v>21</v>
      </c>
      <c r="B6088">
        <v>1000232</v>
      </c>
      <c r="C6088">
        <v>352278</v>
      </c>
      <c r="F6088" s="7">
        <v>1</v>
      </c>
      <c r="G6088" s="7">
        <v>523</v>
      </c>
      <c r="H6088" s="8">
        <v>82</v>
      </c>
      <c r="J6088" t="s">
        <v>23</v>
      </c>
      <c r="K6088" s="7">
        <v>2709</v>
      </c>
      <c r="L6088" s="9">
        <v>1</v>
      </c>
      <c r="M6088" t="s">
        <v>3813</v>
      </c>
      <c r="N6088" t="s">
        <v>72</v>
      </c>
      <c r="O6088" s="27" t="str">
        <f>HYPERLINK("https://www.ncbi.nlm.nih.gov/nuccore/NZ_KB905817.1?report=graph&amp;from=289089&amp;to=289093", "TTA_codon")</f>
        <v>TTA_codon</v>
      </c>
    </row>
    <row r="6089" spans="1:15" x14ac:dyDescent="0.15">
      <c r="A6089" t="s">
        <v>21</v>
      </c>
      <c r="B6089">
        <v>1000232</v>
      </c>
      <c r="C6089">
        <v>364534</v>
      </c>
      <c r="F6089" s="7">
        <v>1</v>
      </c>
      <c r="G6089" s="7">
        <v>616</v>
      </c>
      <c r="H6089" s="8">
        <v>211</v>
      </c>
      <c r="J6089" t="s">
        <v>23</v>
      </c>
      <c r="K6089" s="7">
        <v>2793</v>
      </c>
      <c r="L6089" s="9">
        <v>1</v>
      </c>
      <c r="M6089" t="s">
        <v>4439</v>
      </c>
      <c r="N6089" t="s">
        <v>108</v>
      </c>
      <c r="O6089" s="27" t="str">
        <f>HYPERLINK("https://www.ncbi.nlm.nih.gov/nuccore/NZ_MUMD01000471.1?report=graph&amp;from=3195&amp;to=3199", "TTA_codon")</f>
        <v>TTA_codon</v>
      </c>
    </row>
    <row r="6090" spans="1:15" x14ac:dyDescent="0.15">
      <c r="A6090" t="s">
        <v>21</v>
      </c>
      <c r="B6090">
        <v>1000232</v>
      </c>
      <c r="C6090">
        <v>364793</v>
      </c>
      <c r="F6090" s="7">
        <v>1</v>
      </c>
      <c r="G6090" s="7">
        <v>586</v>
      </c>
      <c r="H6090" s="8">
        <v>184</v>
      </c>
      <c r="J6090" t="s">
        <v>23</v>
      </c>
      <c r="K6090" s="7">
        <v>2856</v>
      </c>
      <c r="L6090" s="9">
        <v>1</v>
      </c>
      <c r="M6090" t="s">
        <v>126</v>
      </c>
      <c r="N6090" t="s">
        <v>127</v>
      </c>
      <c r="O6090" s="27" t="str">
        <f>HYPERLINK("https://www.ncbi.nlm.nih.gov/nuccore/NZ_CP021748.1?report=graph&amp;from=8269879&amp;to=8269883", "TTA_codon")</f>
        <v>TTA_codon</v>
      </c>
    </row>
    <row r="6091" spans="1:15" x14ac:dyDescent="0.15">
      <c r="A6091" t="s">
        <v>21</v>
      </c>
      <c r="B6091">
        <v>1000232</v>
      </c>
      <c r="C6091">
        <v>366750</v>
      </c>
      <c r="F6091" s="7">
        <v>1</v>
      </c>
      <c r="G6091" s="7">
        <v>679</v>
      </c>
      <c r="H6091" s="8">
        <v>280</v>
      </c>
      <c r="J6091" t="s">
        <v>23</v>
      </c>
      <c r="K6091" s="7">
        <v>2880</v>
      </c>
      <c r="L6091" s="9">
        <v>1</v>
      </c>
      <c r="M6091" t="s">
        <v>4440</v>
      </c>
      <c r="N6091" t="s">
        <v>209</v>
      </c>
      <c r="O6091" s="27" t="str">
        <f>HYPERLINK("https://www.ncbi.nlm.nih.gov/nuccore/NZ_FZOF01000011.1?report=graph&amp;from=182083&amp;to=182087", "TTA_codon")</f>
        <v>TTA_codon</v>
      </c>
    </row>
    <row r="6092" spans="1:15" x14ac:dyDescent="0.15">
      <c r="A6092" t="s">
        <v>21</v>
      </c>
      <c r="B6092" t="s">
        <v>4441</v>
      </c>
    </row>
    <row r="6093" spans="1:15" x14ac:dyDescent="0.15">
      <c r="A6093" t="s">
        <v>21</v>
      </c>
      <c r="B6093">
        <v>1000398</v>
      </c>
      <c r="C6093">
        <v>348480</v>
      </c>
      <c r="F6093" s="7">
        <v>1</v>
      </c>
      <c r="G6093" s="7">
        <v>37</v>
      </c>
      <c r="H6093" s="8">
        <v>37</v>
      </c>
      <c r="J6093" t="s">
        <v>23</v>
      </c>
      <c r="K6093" s="7">
        <v>351</v>
      </c>
      <c r="L6093" s="9">
        <v>1</v>
      </c>
      <c r="M6093" t="s">
        <v>61</v>
      </c>
      <c r="N6093" t="s">
        <v>62</v>
      </c>
      <c r="O6093" s="27" t="str">
        <f>HYPERLINK("https://www.ncbi.nlm.nih.gov/nuccore/NZ_DS999641.1?report=graph&amp;from=3818337&amp;to=3818341", "TTA_codon")</f>
        <v>TTA_codon</v>
      </c>
    </row>
    <row r="6094" spans="1:15" x14ac:dyDescent="0.15">
      <c r="A6094" t="s">
        <v>21</v>
      </c>
      <c r="B6094">
        <v>1000398</v>
      </c>
      <c r="C6094">
        <v>354266</v>
      </c>
      <c r="F6094" s="7">
        <v>1</v>
      </c>
      <c r="G6094" s="7">
        <v>37</v>
      </c>
      <c r="H6094" s="8">
        <v>37</v>
      </c>
      <c r="J6094" t="s">
        <v>23</v>
      </c>
      <c r="K6094" s="7">
        <v>351</v>
      </c>
      <c r="L6094" s="9">
        <v>1</v>
      </c>
      <c r="M6094" t="s">
        <v>894</v>
      </c>
      <c r="N6094" t="s">
        <v>142</v>
      </c>
      <c r="O6094" s="27" t="str">
        <f>HYPERLINK("https://www.ncbi.nlm.nih.gov/nuccore/NZ_JOEI01000019.1?report=graph&amp;from=45265&amp;to=45269", "TTA_codon")</f>
        <v>TTA_codon</v>
      </c>
    </row>
    <row r="6095" spans="1:15" x14ac:dyDescent="0.15">
      <c r="A6095" t="s">
        <v>21</v>
      </c>
      <c r="B6095" t="s">
        <v>4442</v>
      </c>
    </row>
    <row r="6096" spans="1:15" x14ac:dyDescent="0.15">
      <c r="A6096" t="s">
        <v>21</v>
      </c>
      <c r="B6096">
        <v>1000922</v>
      </c>
      <c r="C6096">
        <v>353171</v>
      </c>
      <c r="F6096" s="7">
        <v>2</v>
      </c>
      <c r="G6096" s="7" t="s">
        <v>4443</v>
      </c>
      <c r="H6096" s="8" t="s">
        <v>4444</v>
      </c>
      <c r="J6096" t="s">
        <v>23</v>
      </c>
      <c r="K6096" s="7">
        <v>1206</v>
      </c>
      <c r="L6096" s="9">
        <v>-1</v>
      </c>
      <c r="M6096" t="s">
        <v>4445</v>
      </c>
      <c r="N6096" t="s">
        <v>169</v>
      </c>
      <c r="O6096" s="27" t="str">
        <f>HYPERLINK("https://www.ncbi.nlm.nih.gov/nuccore/NZ_JNWJ01000062.1?report=graph&amp;from=703&amp;to=728", "TTA_codon")</f>
        <v>TTA_codon</v>
      </c>
    </row>
    <row r="6097" spans="1:15" x14ac:dyDescent="0.15">
      <c r="A6097" t="s">
        <v>21</v>
      </c>
      <c r="B6097">
        <v>1000922</v>
      </c>
      <c r="C6097">
        <v>353596</v>
      </c>
      <c r="F6097" s="7">
        <v>1</v>
      </c>
      <c r="G6097" s="7">
        <v>619</v>
      </c>
      <c r="H6097" s="8">
        <v>598</v>
      </c>
      <c r="J6097" t="s">
        <v>23</v>
      </c>
      <c r="K6097" s="7">
        <v>1830</v>
      </c>
      <c r="L6097" s="9">
        <v>-1</v>
      </c>
      <c r="M6097" t="s">
        <v>1519</v>
      </c>
      <c r="N6097" t="s">
        <v>140</v>
      </c>
      <c r="O6097" s="27" t="str">
        <f>HYPERLINK("https://www.ncbi.nlm.nih.gov/nuccore/NZ_JNXG01000018.1?report=graph&amp;from=264100&amp;to=264104", "TTA_codon")</f>
        <v>TTA_codon</v>
      </c>
    </row>
    <row r="6098" spans="1:15" x14ac:dyDescent="0.15">
      <c r="A6098" t="s">
        <v>195</v>
      </c>
      <c r="B6098" t="s">
        <v>4446</v>
      </c>
    </row>
    <row r="6099" spans="1:15" x14ac:dyDescent="0.15">
      <c r="A6099" t="s">
        <v>195</v>
      </c>
      <c r="B6099">
        <v>1000104</v>
      </c>
      <c r="C6099">
        <v>346680</v>
      </c>
      <c r="F6099" s="7">
        <v>1</v>
      </c>
      <c r="G6099" s="7">
        <v>337</v>
      </c>
      <c r="H6099" s="8">
        <v>190</v>
      </c>
      <c r="J6099" t="s">
        <v>23</v>
      </c>
      <c r="K6099" s="7">
        <v>1350</v>
      </c>
      <c r="L6099" s="9">
        <v>1</v>
      </c>
      <c r="M6099" t="s">
        <v>4447</v>
      </c>
      <c r="N6099" t="s">
        <v>87</v>
      </c>
      <c r="O6099" s="27" t="str">
        <f>HYPERLINK("https://www.ncbi.nlm.nih.gov/nuccore/NZ_LIQS01000500.1?report=graph&amp;from=358&amp;to=362", "TTA_codon")</f>
        <v>TTA_codon</v>
      </c>
    </row>
    <row r="6100" spans="1:15" x14ac:dyDescent="0.15">
      <c r="A6100" t="s">
        <v>21</v>
      </c>
      <c r="B6100">
        <v>1000104</v>
      </c>
      <c r="C6100">
        <v>364118</v>
      </c>
      <c r="F6100" s="7">
        <v>1</v>
      </c>
      <c r="G6100" s="7">
        <v>259</v>
      </c>
      <c r="H6100" s="8">
        <v>259</v>
      </c>
      <c r="J6100" t="s">
        <v>23</v>
      </c>
      <c r="K6100" s="7">
        <v>1605</v>
      </c>
      <c r="L6100" s="9">
        <v>1</v>
      </c>
      <c r="M6100" t="s">
        <v>254</v>
      </c>
      <c r="N6100" t="s">
        <v>255</v>
      </c>
      <c r="O6100" s="27" t="str">
        <f>HYPERLINK("https://www.ncbi.nlm.nih.gov/nuccore/NZ_CP018047.1?report=graph&amp;from=4728834&amp;to=4728838", "TTA_codon")</f>
        <v>TTA_codon</v>
      </c>
    </row>
    <row r="6101" spans="1:15" x14ac:dyDescent="0.15">
      <c r="A6101" t="s">
        <v>21</v>
      </c>
      <c r="B6101" t="s">
        <v>4448</v>
      </c>
    </row>
    <row r="6102" spans="1:15" x14ac:dyDescent="0.15">
      <c r="A6102" t="s">
        <v>21</v>
      </c>
      <c r="B6102">
        <v>1000487</v>
      </c>
      <c r="C6102">
        <v>349224</v>
      </c>
      <c r="F6102" s="7">
        <v>2</v>
      </c>
      <c r="G6102" s="7" t="s">
        <v>4449</v>
      </c>
      <c r="H6102" s="8" t="s">
        <v>4450</v>
      </c>
      <c r="J6102" t="s">
        <v>23</v>
      </c>
      <c r="K6102" s="7">
        <v>3009</v>
      </c>
      <c r="L6102" s="9">
        <v>1</v>
      </c>
      <c r="M6102" t="s">
        <v>211</v>
      </c>
      <c r="N6102" t="s">
        <v>212</v>
      </c>
      <c r="O6102" s="27" t="str">
        <f>HYPERLINK("https://www.ncbi.nlm.nih.gov/nuccore/NZ_GG657754.1?report=graph&amp;from=8883494&amp;to=8884116", "TTA_codon")</f>
        <v>TTA_codon</v>
      </c>
    </row>
    <row r="6103" spans="1:15" x14ac:dyDescent="0.15">
      <c r="A6103" t="s">
        <v>21</v>
      </c>
      <c r="B6103">
        <v>1000487</v>
      </c>
      <c r="C6103">
        <v>353411</v>
      </c>
      <c r="F6103" s="7">
        <v>1</v>
      </c>
      <c r="G6103" s="7">
        <v>64</v>
      </c>
      <c r="H6103" s="8">
        <v>64</v>
      </c>
      <c r="J6103" t="s">
        <v>23</v>
      </c>
      <c r="K6103" s="7">
        <v>3030</v>
      </c>
      <c r="L6103" s="9">
        <v>1</v>
      </c>
      <c r="M6103" t="s">
        <v>4451</v>
      </c>
      <c r="N6103" t="s">
        <v>169</v>
      </c>
      <c r="O6103" s="27" t="str">
        <f>HYPERLINK("https://www.ncbi.nlm.nih.gov/nuccore/NZ_JNWJ01000075.1?report=graph&amp;from=28863&amp;to=28867", "TTA_codon")</f>
        <v>TTA_codon</v>
      </c>
    </row>
    <row r="6104" spans="1:15" x14ac:dyDescent="0.15">
      <c r="A6104" t="s">
        <v>21</v>
      </c>
      <c r="B6104">
        <v>1000487</v>
      </c>
      <c r="C6104">
        <v>364904</v>
      </c>
      <c r="F6104" s="7">
        <v>1</v>
      </c>
      <c r="G6104" s="7">
        <v>61</v>
      </c>
      <c r="H6104" s="8">
        <v>43</v>
      </c>
      <c r="J6104" t="s">
        <v>23</v>
      </c>
      <c r="K6104" s="7">
        <v>3039</v>
      </c>
      <c r="L6104" s="9">
        <v>1</v>
      </c>
      <c r="M6104" t="s">
        <v>126</v>
      </c>
      <c r="N6104" t="s">
        <v>127</v>
      </c>
      <c r="O6104" s="27" t="str">
        <f>HYPERLINK("https://www.ncbi.nlm.nih.gov/nuccore/NZ_CP021748.1?report=graph&amp;from=9285537&amp;to=9285541", "TTA_codon")</f>
        <v>TTA_codon</v>
      </c>
    </row>
    <row r="6105" spans="1:15" x14ac:dyDescent="0.15">
      <c r="A6105" t="s">
        <v>21</v>
      </c>
      <c r="B6105" t="s">
        <v>4452</v>
      </c>
    </row>
    <row r="6106" spans="1:15" x14ac:dyDescent="0.15">
      <c r="A6106" t="s">
        <v>21</v>
      </c>
      <c r="B6106">
        <v>1001058</v>
      </c>
      <c r="C6106">
        <v>354911</v>
      </c>
      <c r="F6106" s="7">
        <v>1</v>
      </c>
      <c r="G6106" s="7">
        <v>736</v>
      </c>
      <c r="H6106" s="8">
        <v>478</v>
      </c>
      <c r="J6106" t="s">
        <v>23</v>
      </c>
      <c r="K6106" s="7">
        <v>987</v>
      </c>
      <c r="L6106" s="9">
        <v>1</v>
      </c>
      <c r="M6106" t="s">
        <v>362</v>
      </c>
      <c r="N6106" t="s">
        <v>25</v>
      </c>
      <c r="O6106" s="27" t="str">
        <f>HYPERLINK("https://www.ncbi.nlm.nih.gov/nuccore/NZ_JOFU01000001.1?report=graph&amp;from=94858&amp;to=94862", "TTA_codon")</f>
        <v>TTA_codon</v>
      </c>
    </row>
    <row r="6107" spans="1:15" x14ac:dyDescent="0.15">
      <c r="A6107" t="s">
        <v>21</v>
      </c>
      <c r="B6107">
        <v>1001058</v>
      </c>
      <c r="C6107">
        <v>355751</v>
      </c>
      <c r="F6107" s="7">
        <v>1</v>
      </c>
      <c r="G6107" s="7">
        <v>628</v>
      </c>
      <c r="H6107" s="8">
        <v>613</v>
      </c>
      <c r="J6107" t="s">
        <v>23</v>
      </c>
      <c r="K6107" s="7">
        <v>1218</v>
      </c>
      <c r="L6107" s="9">
        <v>1</v>
      </c>
      <c r="M6107" t="s">
        <v>1265</v>
      </c>
      <c r="N6107" t="s">
        <v>278</v>
      </c>
      <c r="O6107" s="27" t="str">
        <f>HYPERLINK("https://www.ncbi.nlm.nih.gov/nuccore/NZ_JOID01000008.1?report=graph&amp;from=109394&amp;to=109398", "TTA_codon")</f>
        <v>TTA_codon</v>
      </c>
    </row>
    <row r="6108" spans="1:15" x14ac:dyDescent="0.15">
      <c r="A6108" t="s">
        <v>21</v>
      </c>
      <c r="B6108">
        <v>1001058</v>
      </c>
      <c r="C6108">
        <v>356709</v>
      </c>
      <c r="F6108" s="7">
        <v>1</v>
      </c>
      <c r="G6108" s="7">
        <v>529</v>
      </c>
      <c r="H6108" s="8">
        <v>349</v>
      </c>
      <c r="J6108" t="s">
        <v>23</v>
      </c>
      <c r="K6108" s="7">
        <v>984</v>
      </c>
      <c r="L6108" s="9">
        <v>1</v>
      </c>
      <c r="M6108" t="s">
        <v>147</v>
      </c>
      <c r="N6108" t="s">
        <v>148</v>
      </c>
      <c r="O6108" s="27" t="str">
        <f>HYPERLINK("https://www.ncbi.nlm.nih.gov/nuccore/NZ_CP021080.1?report=graph&amp;from=3436986&amp;to=3436990", "TTA_codon")</f>
        <v>TTA_codon</v>
      </c>
    </row>
    <row r="6109" spans="1:15" x14ac:dyDescent="0.15">
      <c r="A6109" t="s">
        <v>21</v>
      </c>
      <c r="B6109">
        <v>1001058</v>
      </c>
      <c r="C6109">
        <v>359761</v>
      </c>
      <c r="F6109" s="7">
        <v>1</v>
      </c>
      <c r="G6109" s="7">
        <v>661</v>
      </c>
      <c r="H6109" s="8">
        <v>451</v>
      </c>
      <c r="J6109" t="s">
        <v>23</v>
      </c>
      <c r="K6109" s="7">
        <v>1029</v>
      </c>
      <c r="L6109" s="9">
        <v>1</v>
      </c>
      <c r="M6109" t="s">
        <v>838</v>
      </c>
      <c r="N6109" t="s">
        <v>651</v>
      </c>
      <c r="O6109" s="27" t="str">
        <f>HYPERLINK("https://www.ncbi.nlm.nih.gov/nuccore/NZ_LN929895.1?report=graph&amp;from=135829&amp;to=135833", "TTA_codon")</f>
        <v>TTA_codon</v>
      </c>
    </row>
    <row r="6110" spans="1:15" x14ac:dyDescent="0.15">
      <c r="A6110" t="s">
        <v>21</v>
      </c>
      <c r="B6110">
        <v>1001058</v>
      </c>
      <c r="C6110">
        <v>364249</v>
      </c>
      <c r="F6110" s="7">
        <v>1</v>
      </c>
      <c r="G6110" s="7">
        <v>736</v>
      </c>
      <c r="H6110" s="8">
        <v>565</v>
      </c>
      <c r="J6110" t="s">
        <v>23</v>
      </c>
      <c r="K6110" s="7">
        <v>1080</v>
      </c>
      <c r="L6110" s="9">
        <v>1</v>
      </c>
      <c r="M6110" t="s">
        <v>254</v>
      </c>
      <c r="N6110" t="s">
        <v>255</v>
      </c>
      <c r="O6110" s="27" t="str">
        <f>HYPERLINK("https://www.ncbi.nlm.nih.gov/nuccore/NZ_CP018047.1?report=graph&amp;from=3846873&amp;to=3846877", "TTA_codon")</f>
        <v>TTA_codon</v>
      </c>
    </row>
    <row r="6111" spans="1:15" x14ac:dyDescent="0.15">
      <c r="A6111" t="s">
        <v>21</v>
      </c>
      <c r="B6111">
        <v>1001058</v>
      </c>
      <c r="C6111">
        <v>365492</v>
      </c>
      <c r="F6111" s="7">
        <v>1</v>
      </c>
      <c r="G6111" s="7">
        <v>529</v>
      </c>
      <c r="H6111" s="8">
        <v>388</v>
      </c>
      <c r="J6111" t="s">
        <v>23</v>
      </c>
      <c r="K6111" s="7">
        <v>1011</v>
      </c>
      <c r="L6111" s="9">
        <v>1</v>
      </c>
      <c r="M6111" t="s">
        <v>44</v>
      </c>
      <c r="N6111" t="s">
        <v>45</v>
      </c>
      <c r="O6111" s="27" t="str">
        <f>HYPERLINK("https://www.ncbi.nlm.nih.gov/nuccore/NZ_FNIE01000002.1?report=graph&amp;from=112205&amp;to=112209", "TTA_codon")</f>
        <v>TTA_codon</v>
      </c>
    </row>
    <row r="6112" spans="1:15" x14ac:dyDescent="0.15">
      <c r="A6112" t="s">
        <v>21</v>
      </c>
      <c r="B6112">
        <v>1001058</v>
      </c>
      <c r="C6112">
        <v>366669</v>
      </c>
      <c r="F6112" s="7">
        <v>1</v>
      </c>
      <c r="G6112" s="7">
        <v>382</v>
      </c>
      <c r="H6112" s="8">
        <v>244</v>
      </c>
      <c r="J6112" t="s">
        <v>23</v>
      </c>
      <c r="K6112" s="7">
        <v>1020</v>
      </c>
      <c r="L6112" s="9">
        <v>1</v>
      </c>
      <c r="M6112" t="s">
        <v>1004</v>
      </c>
      <c r="N6112" t="s">
        <v>180</v>
      </c>
      <c r="O6112" s="27" t="str">
        <f>HYPERLINK("https://www.ncbi.nlm.nih.gov/nuccore/NZ_FRBI01000005.1?report=graph&amp;from=99395&amp;to=99399", "TTA_codon")</f>
        <v>TTA_codon</v>
      </c>
    </row>
    <row r="6113" spans="1:15" x14ac:dyDescent="0.15">
      <c r="A6113" t="s">
        <v>21</v>
      </c>
      <c r="B6113" t="s">
        <v>4453</v>
      </c>
    </row>
    <row r="6114" spans="1:15" x14ac:dyDescent="0.15">
      <c r="A6114" t="s">
        <v>21</v>
      </c>
      <c r="B6114">
        <v>1000716</v>
      </c>
      <c r="C6114">
        <v>351113</v>
      </c>
      <c r="F6114" s="7">
        <v>1</v>
      </c>
      <c r="G6114" s="7">
        <v>391</v>
      </c>
      <c r="H6114" s="8">
        <v>304</v>
      </c>
      <c r="J6114" t="s">
        <v>23</v>
      </c>
      <c r="K6114" s="7">
        <v>864</v>
      </c>
      <c r="L6114" s="9">
        <v>-1</v>
      </c>
      <c r="M6114" t="s">
        <v>4454</v>
      </c>
      <c r="N6114" t="s">
        <v>136</v>
      </c>
      <c r="O6114" s="27" t="str">
        <f>HYPERLINK("https://www.ncbi.nlm.nih.gov/nuccore/NZ_AORZ01000024.1?report=graph&amp;from=26255&amp;to=26259", "TTA_codon")</f>
        <v>TTA_codon</v>
      </c>
    </row>
    <row r="6115" spans="1:15" x14ac:dyDescent="0.15">
      <c r="A6115" t="s">
        <v>21</v>
      </c>
      <c r="B6115">
        <v>1000716</v>
      </c>
      <c r="C6115">
        <v>365084</v>
      </c>
      <c r="F6115" s="7">
        <v>1</v>
      </c>
      <c r="G6115" s="7">
        <v>379</v>
      </c>
      <c r="H6115" s="8">
        <v>379</v>
      </c>
      <c r="J6115" t="s">
        <v>23</v>
      </c>
      <c r="K6115" s="7">
        <v>954</v>
      </c>
      <c r="L6115" s="9">
        <v>-1</v>
      </c>
      <c r="M6115" t="s">
        <v>111</v>
      </c>
      <c r="N6115" t="s">
        <v>112</v>
      </c>
      <c r="O6115" s="27" t="str">
        <f>HYPERLINK("https://www.ncbi.nlm.nih.gov/nuccore/NZ_CP021744.1?report=graph&amp;from=2373574&amp;to=2373578", "TTA_codon")</f>
        <v>TTA_codon</v>
      </c>
    </row>
    <row r="6116" spans="1:15" x14ac:dyDescent="0.15">
      <c r="A6116" t="s">
        <v>21</v>
      </c>
      <c r="B6116" t="s">
        <v>4455</v>
      </c>
    </row>
    <row r="6117" spans="1:15" x14ac:dyDescent="0.15">
      <c r="A6117" t="s">
        <v>21</v>
      </c>
      <c r="B6117">
        <v>1000750</v>
      </c>
      <c r="C6117">
        <v>351443</v>
      </c>
      <c r="F6117" s="7">
        <v>1</v>
      </c>
      <c r="G6117" s="7">
        <v>64</v>
      </c>
      <c r="H6117" s="8">
        <v>64</v>
      </c>
      <c r="J6117" t="s">
        <v>23</v>
      </c>
      <c r="K6117" s="7">
        <v>573</v>
      </c>
      <c r="L6117" s="9">
        <v>-1</v>
      </c>
      <c r="M6117" t="s">
        <v>65</v>
      </c>
      <c r="N6117" t="s">
        <v>66</v>
      </c>
      <c r="O6117" s="27" t="str">
        <f>HYPERLINK("https://www.ncbi.nlm.nih.gov/nuccore/NC_020504.1?report=graph&amp;from=8819595&amp;to=8819599", "TTA_codon")</f>
        <v>TTA_codon</v>
      </c>
    </row>
    <row r="6118" spans="1:15" x14ac:dyDescent="0.15">
      <c r="A6118" t="s">
        <v>21</v>
      </c>
      <c r="B6118">
        <v>1000750</v>
      </c>
      <c r="C6118">
        <v>355750</v>
      </c>
      <c r="F6118" s="7">
        <v>2</v>
      </c>
      <c r="G6118" s="7" t="s">
        <v>4456</v>
      </c>
      <c r="H6118" s="8" t="s">
        <v>4457</v>
      </c>
      <c r="J6118" t="s">
        <v>23</v>
      </c>
      <c r="K6118" s="7">
        <v>555</v>
      </c>
      <c r="L6118" s="9">
        <v>-1</v>
      </c>
      <c r="M6118" t="s">
        <v>4018</v>
      </c>
      <c r="N6118" t="s">
        <v>278</v>
      </c>
      <c r="O6118" s="27" t="str">
        <f>HYPERLINK("https://www.ncbi.nlm.nih.gov/nuccore/NZ_JOID01000044.1?report=graph&amp;from=10912&amp;to=11234", "TTA_codon")</f>
        <v>TTA_codon</v>
      </c>
    </row>
    <row r="6119" spans="1:15" x14ac:dyDescent="0.15">
      <c r="A6119" t="s">
        <v>21</v>
      </c>
      <c r="B6119" t="s">
        <v>4458</v>
      </c>
    </row>
    <row r="6120" spans="1:15" x14ac:dyDescent="0.15">
      <c r="A6120" t="s">
        <v>21</v>
      </c>
      <c r="B6120">
        <v>1001304</v>
      </c>
      <c r="C6120">
        <v>359252</v>
      </c>
      <c r="F6120" s="7">
        <v>1</v>
      </c>
      <c r="G6120" s="7">
        <v>109</v>
      </c>
      <c r="H6120" s="8">
        <v>106</v>
      </c>
      <c r="J6120" t="s">
        <v>23</v>
      </c>
      <c r="K6120" s="7">
        <v>531</v>
      </c>
      <c r="L6120" s="9">
        <v>-1</v>
      </c>
      <c r="M6120" t="s">
        <v>3056</v>
      </c>
      <c r="N6120" t="s">
        <v>451</v>
      </c>
      <c r="O6120" s="27" t="str">
        <f>HYPERLINK("https://www.ncbi.nlm.nih.gov/nuccore/NZ_LIQZ01000146.1?report=graph&amp;from=34174&amp;to=34178", "TTA_codon")</f>
        <v>TTA_codon</v>
      </c>
    </row>
    <row r="6121" spans="1:15" x14ac:dyDescent="0.15">
      <c r="A6121" t="s">
        <v>21</v>
      </c>
      <c r="B6121">
        <v>1001304</v>
      </c>
      <c r="C6121">
        <v>362974</v>
      </c>
      <c r="F6121" s="7">
        <v>1</v>
      </c>
      <c r="G6121" s="7">
        <v>52</v>
      </c>
      <c r="H6121" s="8">
        <v>49</v>
      </c>
      <c r="J6121" t="s">
        <v>23</v>
      </c>
      <c r="K6121" s="7">
        <v>516</v>
      </c>
      <c r="L6121" s="9">
        <v>-1</v>
      </c>
      <c r="M6121" t="s">
        <v>1831</v>
      </c>
      <c r="N6121" t="s">
        <v>156</v>
      </c>
      <c r="O6121" s="27" t="str">
        <f>HYPERLINK("https://www.ncbi.nlm.nih.gov/nuccore/NZ_LJGW01000383.1?report=graph&amp;from=543&amp;to=547", "TTA_codon")</f>
        <v>TTA_codon</v>
      </c>
    </row>
    <row r="6122" spans="1:15" x14ac:dyDescent="0.15">
      <c r="A6122" t="s">
        <v>21</v>
      </c>
      <c r="B6122">
        <v>1001304</v>
      </c>
      <c r="C6122">
        <v>366717</v>
      </c>
      <c r="F6122" s="7">
        <v>1</v>
      </c>
      <c r="G6122" s="7">
        <v>79</v>
      </c>
      <c r="H6122" s="8">
        <v>79</v>
      </c>
      <c r="J6122" t="s">
        <v>23</v>
      </c>
      <c r="K6122" s="7">
        <v>522</v>
      </c>
      <c r="L6122" s="9">
        <v>-1</v>
      </c>
      <c r="M6122" t="s">
        <v>1007</v>
      </c>
      <c r="N6122" t="s">
        <v>180</v>
      </c>
      <c r="O6122" s="27" t="str">
        <f>HYPERLINK("https://www.ncbi.nlm.nih.gov/nuccore/NZ_FRBI01000003.1?report=graph&amp;from=79896&amp;to=79900", "TTA_codon")</f>
        <v>TTA_codon</v>
      </c>
    </row>
    <row r="6123" spans="1:15" x14ac:dyDescent="0.15">
      <c r="A6123" t="s">
        <v>21</v>
      </c>
      <c r="B6123" t="s">
        <v>4459</v>
      </c>
    </row>
    <row r="6124" spans="1:15" x14ac:dyDescent="0.15">
      <c r="A6124" t="s">
        <v>21</v>
      </c>
      <c r="B6124">
        <v>1000393</v>
      </c>
      <c r="C6124">
        <v>348426</v>
      </c>
      <c r="F6124" s="7">
        <v>1</v>
      </c>
      <c r="G6124" s="7">
        <v>613</v>
      </c>
      <c r="H6124" s="8">
        <v>610</v>
      </c>
      <c r="J6124" t="s">
        <v>23</v>
      </c>
      <c r="K6124" s="7">
        <v>2448</v>
      </c>
      <c r="L6124" s="9">
        <v>-1</v>
      </c>
      <c r="M6124" t="s">
        <v>59</v>
      </c>
      <c r="N6124" t="s">
        <v>60</v>
      </c>
      <c r="O6124" s="27" t="str">
        <f>HYPERLINK("https://www.ncbi.nlm.nih.gov/nuccore/NC_016582.1?report=graph&amp;from=10847025&amp;to=10847029", "TTA_codon")</f>
        <v>TTA_codon</v>
      </c>
    </row>
    <row r="6125" spans="1:15" x14ac:dyDescent="0.15">
      <c r="A6125" t="s">
        <v>21</v>
      </c>
      <c r="B6125">
        <v>1000393</v>
      </c>
      <c r="C6125">
        <v>366824</v>
      </c>
      <c r="F6125" s="7">
        <v>2</v>
      </c>
      <c r="G6125" s="7" t="s">
        <v>4460</v>
      </c>
      <c r="H6125" s="8" t="s">
        <v>4461</v>
      </c>
      <c r="J6125" t="s">
        <v>23</v>
      </c>
      <c r="K6125" s="7">
        <v>2406</v>
      </c>
      <c r="L6125" s="9">
        <v>-1</v>
      </c>
      <c r="M6125" t="s">
        <v>4462</v>
      </c>
      <c r="N6125" t="s">
        <v>209</v>
      </c>
      <c r="O6125" s="27" t="str">
        <f>HYPERLINK("https://www.ncbi.nlm.nih.gov/nuccore/NZ_FZOF01000026.1?report=graph&amp;from=83855&amp;to=84282", "TTA_codon")</f>
        <v>TTA_codon</v>
      </c>
    </row>
    <row r="6126" spans="1:15" x14ac:dyDescent="0.15">
      <c r="A6126" t="s">
        <v>195</v>
      </c>
      <c r="B6126" t="s">
        <v>4463</v>
      </c>
    </row>
    <row r="6127" spans="1:15" x14ac:dyDescent="0.15">
      <c r="A6127" t="s">
        <v>195</v>
      </c>
      <c r="B6127">
        <v>1001486</v>
      </c>
      <c r="C6127">
        <v>346209</v>
      </c>
      <c r="F6127" s="7">
        <v>1</v>
      </c>
      <c r="G6127" s="7">
        <v>94</v>
      </c>
      <c r="H6127" s="8">
        <v>43</v>
      </c>
      <c r="J6127" t="s">
        <v>23</v>
      </c>
      <c r="K6127" s="7">
        <v>1263</v>
      </c>
      <c r="L6127" s="9">
        <v>-1</v>
      </c>
      <c r="M6127" t="s">
        <v>65</v>
      </c>
      <c r="N6127" t="s">
        <v>66</v>
      </c>
      <c r="O6127" s="27" t="str">
        <f>HYPERLINK("https://www.ncbi.nlm.nih.gov/nuccore/NC_020504.1?report=graph&amp;from=44693&amp;to=44697", "TTA_codon")</f>
        <v>TTA_codon</v>
      </c>
    </row>
    <row r="6128" spans="1:15" x14ac:dyDescent="0.15">
      <c r="A6128" t="s">
        <v>195</v>
      </c>
      <c r="B6128">
        <v>1001486</v>
      </c>
      <c r="C6128">
        <v>346575</v>
      </c>
      <c r="F6128" s="7">
        <v>1</v>
      </c>
      <c r="G6128" s="7">
        <v>154</v>
      </c>
      <c r="H6128" s="8">
        <v>103</v>
      </c>
      <c r="J6128" t="s">
        <v>23</v>
      </c>
      <c r="K6128" s="7">
        <v>1194</v>
      </c>
      <c r="L6128" s="9">
        <v>-1</v>
      </c>
      <c r="M6128" t="s">
        <v>2600</v>
      </c>
      <c r="N6128" t="s">
        <v>206</v>
      </c>
      <c r="O6128" s="27" t="str">
        <f>HYPERLINK("https://www.ncbi.nlm.nih.gov/nuccore/NZ_CP010408.1?report=graph&amp;from=65722&amp;to=65726", "TTA_codon")</f>
        <v>TTA_codon</v>
      </c>
    </row>
    <row r="6129" spans="1:15" x14ac:dyDescent="0.15">
      <c r="A6129" t="s">
        <v>21</v>
      </c>
      <c r="B6129">
        <v>1001486</v>
      </c>
      <c r="C6129">
        <v>349747</v>
      </c>
      <c r="F6129" s="7">
        <v>1</v>
      </c>
      <c r="G6129" s="7">
        <v>160</v>
      </c>
      <c r="H6129" s="8">
        <v>97</v>
      </c>
      <c r="J6129" t="s">
        <v>23</v>
      </c>
      <c r="K6129" s="7">
        <v>1140</v>
      </c>
      <c r="L6129" s="9">
        <v>-1</v>
      </c>
      <c r="M6129" t="s">
        <v>265</v>
      </c>
      <c r="N6129" t="s">
        <v>266</v>
      </c>
      <c r="O6129" s="27" t="str">
        <f>HYPERLINK("https://www.ncbi.nlm.nih.gov/nuccore/NC_017586.1?report=graph&amp;from=6239291&amp;to=6239295", "TTA_codon")</f>
        <v>TTA_codon</v>
      </c>
    </row>
    <row r="6130" spans="1:15" x14ac:dyDescent="0.15">
      <c r="A6130" t="s">
        <v>21</v>
      </c>
      <c r="B6130">
        <v>1001486</v>
      </c>
      <c r="C6130">
        <v>360047</v>
      </c>
      <c r="F6130" s="7">
        <v>1</v>
      </c>
      <c r="G6130" s="7">
        <v>94</v>
      </c>
      <c r="H6130" s="8">
        <v>43</v>
      </c>
      <c r="J6130" t="s">
        <v>23</v>
      </c>
      <c r="K6130" s="7">
        <v>1263</v>
      </c>
      <c r="L6130" s="9">
        <v>-1</v>
      </c>
      <c r="M6130" t="s">
        <v>1563</v>
      </c>
      <c r="N6130" t="s">
        <v>125</v>
      </c>
      <c r="O6130" s="27" t="str">
        <f>HYPERLINK("https://www.ncbi.nlm.nih.gov/nuccore/NZ_KQ948451.1?report=graph&amp;from=6545&amp;to=6549", "TTA_codon")</f>
        <v>TTA_codon</v>
      </c>
    </row>
    <row r="6131" spans="1:15" x14ac:dyDescent="0.15">
      <c r="A6131" t="s">
        <v>21</v>
      </c>
      <c r="B6131">
        <v>1001486</v>
      </c>
      <c r="C6131">
        <v>360366</v>
      </c>
      <c r="F6131" s="7">
        <v>1</v>
      </c>
      <c r="G6131" s="7">
        <v>121</v>
      </c>
      <c r="H6131" s="8">
        <v>106</v>
      </c>
      <c r="J6131" t="s">
        <v>23</v>
      </c>
      <c r="K6131" s="7">
        <v>1179</v>
      </c>
      <c r="L6131" s="9">
        <v>-1</v>
      </c>
      <c r="M6131" t="s">
        <v>121</v>
      </c>
      <c r="N6131" t="s">
        <v>122</v>
      </c>
      <c r="O6131" s="27" t="str">
        <f>HYPERLINK("https://www.ncbi.nlm.nih.gov/nuccore/NZ_CP016279.1?report=graph&amp;from=2590215&amp;to=2590219", "TTA_codon")</f>
        <v>TTA_codon</v>
      </c>
    </row>
    <row r="6132" spans="1:15" x14ac:dyDescent="0.15">
      <c r="A6132" t="s">
        <v>21</v>
      </c>
      <c r="B6132">
        <v>1001486</v>
      </c>
      <c r="C6132">
        <v>362443</v>
      </c>
      <c r="F6132" s="7">
        <v>1</v>
      </c>
      <c r="G6132" s="7">
        <v>247</v>
      </c>
      <c r="H6132" s="8">
        <v>229</v>
      </c>
      <c r="J6132" t="s">
        <v>23</v>
      </c>
      <c r="K6132" s="7">
        <v>1176</v>
      </c>
      <c r="L6132" s="9">
        <v>-1</v>
      </c>
      <c r="M6132" t="s">
        <v>32</v>
      </c>
      <c r="N6132" t="s">
        <v>33</v>
      </c>
      <c r="O6132" s="27" t="str">
        <f>HYPERLINK("https://www.ncbi.nlm.nih.gov/nuccore/NZ_CP017248.1?report=graph&amp;from=2742136&amp;to=2742140", "TTA_codon")</f>
        <v>TTA_codon</v>
      </c>
    </row>
    <row r="6133" spans="1:15" x14ac:dyDescent="0.15">
      <c r="A6133" t="s">
        <v>21</v>
      </c>
      <c r="B6133">
        <v>1001486</v>
      </c>
      <c r="C6133">
        <v>364294</v>
      </c>
      <c r="F6133" s="7">
        <v>1</v>
      </c>
      <c r="G6133" s="7">
        <v>121</v>
      </c>
      <c r="H6133" s="8">
        <v>85</v>
      </c>
      <c r="J6133" t="s">
        <v>23</v>
      </c>
      <c r="K6133" s="7">
        <v>1278</v>
      </c>
      <c r="L6133" s="9">
        <v>-1</v>
      </c>
      <c r="M6133" t="s">
        <v>105</v>
      </c>
      <c r="N6133" t="s">
        <v>106</v>
      </c>
      <c r="O6133" s="27" t="str">
        <f>HYPERLINK("https://www.ncbi.nlm.nih.gov/nuccore/NZ_CP020042.1?report=graph&amp;from=1499635&amp;to=1499639", "TTA_codon")</f>
        <v>TTA_codon</v>
      </c>
    </row>
    <row r="6134" spans="1:15" x14ac:dyDescent="0.15">
      <c r="A6134" t="s">
        <v>21</v>
      </c>
      <c r="B6134">
        <v>1001486</v>
      </c>
      <c r="C6134">
        <v>364670</v>
      </c>
      <c r="F6134" s="7">
        <v>1</v>
      </c>
      <c r="G6134" s="7">
        <v>217</v>
      </c>
      <c r="H6134" s="8">
        <v>211</v>
      </c>
      <c r="J6134" t="s">
        <v>23</v>
      </c>
      <c r="K6134" s="7">
        <v>1188</v>
      </c>
      <c r="L6134" s="9">
        <v>-1</v>
      </c>
      <c r="M6134" t="s">
        <v>4464</v>
      </c>
      <c r="N6134" t="s">
        <v>110</v>
      </c>
      <c r="O6134" s="27" t="str">
        <f>HYPERLINK("https://www.ncbi.nlm.nih.gov/nuccore/NZ_MUME01000263.1?report=graph&amp;from=5513&amp;to=5517", "TTA_codon")</f>
        <v>TTA_codon</v>
      </c>
    </row>
    <row r="6135" spans="1:15" x14ac:dyDescent="0.15">
      <c r="A6135" t="s">
        <v>21</v>
      </c>
      <c r="B6135">
        <v>1001486</v>
      </c>
      <c r="C6135">
        <v>364996</v>
      </c>
      <c r="F6135" s="7">
        <v>1</v>
      </c>
      <c r="G6135" s="7">
        <v>169</v>
      </c>
      <c r="H6135" s="8">
        <v>49</v>
      </c>
      <c r="J6135" t="s">
        <v>23</v>
      </c>
      <c r="K6135" s="7">
        <v>1098</v>
      </c>
      <c r="L6135" s="9">
        <v>-1</v>
      </c>
      <c r="M6135" t="s">
        <v>111</v>
      </c>
      <c r="N6135" t="s">
        <v>112</v>
      </c>
      <c r="O6135" s="27" t="str">
        <f>HYPERLINK("https://www.ncbi.nlm.nih.gov/nuccore/NZ_CP021744.1?report=graph&amp;from=2048190&amp;to=2048194", "TTA_codon")</f>
        <v>TTA_codon</v>
      </c>
    </row>
    <row r="6136" spans="1:15" x14ac:dyDescent="0.15">
      <c r="A6136" t="s">
        <v>21</v>
      </c>
      <c r="B6136">
        <v>1001486</v>
      </c>
      <c r="C6136">
        <v>365925</v>
      </c>
      <c r="F6136" s="7">
        <v>1</v>
      </c>
      <c r="G6136" s="7">
        <v>88</v>
      </c>
      <c r="H6136" s="8">
        <v>37</v>
      </c>
      <c r="J6136" t="s">
        <v>23</v>
      </c>
      <c r="K6136" s="7">
        <v>1260</v>
      </c>
      <c r="L6136" s="9">
        <v>-1</v>
      </c>
      <c r="M6136" t="s">
        <v>2775</v>
      </c>
      <c r="N6136" t="s">
        <v>115</v>
      </c>
      <c r="O6136" s="27" t="str">
        <f>HYPERLINK("https://www.ncbi.nlm.nih.gov/nuccore/NZ_FODD01000058.1?report=graph&amp;from=2087&amp;to=2091", "TTA_codon")</f>
        <v>TTA_codon</v>
      </c>
    </row>
    <row r="6137" spans="1:15" x14ac:dyDescent="0.15">
      <c r="A6137" t="s">
        <v>21</v>
      </c>
      <c r="B6137" t="s">
        <v>4465</v>
      </c>
    </row>
    <row r="6138" spans="1:15" x14ac:dyDescent="0.15">
      <c r="A6138" t="s">
        <v>21</v>
      </c>
      <c r="B6138">
        <v>1000566</v>
      </c>
      <c r="C6138">
        <v>349934</v>
      </c>
      <c r="F6138" s="7">
        <v>2</v>
      </c>
      <c r="G6138" s="7" t="s">
        <v>4466</v>
      </c>
      <c r="H6138" s="8" t="s">
        <v>4467</v>
      </c>
      <c r="J6138" t="s">
        <v>23</v>
      </c>
      <c r="K6138" s="7">
        <v>1203</v>
      </c>
      <c r="L6138" s="9">
        <v>-1</v>
      </c>
      <c r="M6138" t="s">
        <v>1491</v>
      </c>
      <c r="N6138" t="s">
        <v>249</v>
      </c>
      <c r="O6138" s="27" t="str">
        <f>HYPERLINK("https://www.ncbi.nlm.nih.gov/nuccore/NZ_AHBF01000017.1?report=graph&amp;from=96173&amp;to=96528", "TTA_codon")</f>
        <v>TTA_codon</v>
      </c>
    </row>
    <row r="6139" spans="1:15" x14ac:dyDescent="0.15">
      <c r="A6139" t="s">
        <v>21</v>
      </c>
      <c r="B6139">
        <v>1000566</v>
      </c>
      <c r="C6139">
        <v>352981</v>
      </c>
      <c r="F6139" s="7">
        <v>1</v>
      </c>
      <c r="G6139" s="7">
        <v>565</v>
      </c>
      <c r="H6139" s="8">
        <v>526</v>
      </c>
      <c r="J6139" t="s">
        <v>23</v>
      </c>
      <c r="K6139" s="7">
        <v>1293</v>
      </c>
      <c r="L6139" s="9">
        <v>-1</v>
      </c>
      <c r="M6139" t="s">
        <v>4468</v>
      </c>
      <c r="N6139" t="s">
        <v>306</v>
      </c>
      <c r="O6139" s="27" t="str">
        <f>HYPERLINK("https://www.ncbi.nlm.nih.gov/nuccore/NZ_KL571142.1?report=graph&amp;from=25428&amp;to=25432", "TTA_codon")</f>
        <v>TTA_codon</v>
      </c>
    </row>
    <row r="6140" spans="1:15" x14ac:dyDescent="0.15">
      <c r="A6140" t="s">
        <v>21</v>
      </c>
      <c r="B6140">
        <v>1000566</v>
      </c>
      <c r="C6140">
        <v>353817</v>
      </c>
      <c r="F6140" s="7">
        <v>2</v>
      </c>
      <c r="G6140" s="7" t="s">
        <v>4469</v>
      </c>
      <c r="H6140" s="8" t="s">
        <v>4470</v>
      </c>
      <c r="J6140" t="s">
        <v>23</v>
      </c>
      <c r="K6140" s="7">
        <v>1275</v>
      </c>
      <c r="L6140" s="9">
        <v>-1</v>
      </c>
      <c r="M6140" t="s">
        <v>2418</v>
      </c>
      <c r="N6140" t="s">
        <v>246</v>
      </c>
      <c r="O6140" s="27" t="str">
        <f>HYPERLINK("https://www.ncbi.nlm.nih.gov/nuccore/NZ_JNYR01000002.1?report=graph&amp;from=493711&amp;to=493718", "TTA_codon")</f>
        <v>TTA_codon</v>
      </c>
    </row>
    <row r="6141" spans="1:15" x14ac:dyDescent="0.15">
      <c r="A6141" t="s">
        <v>21</v>
      </c>
      <c r="B6141">
        <v>1000566</v>
      </c>
      <c r="C6141">
        <v>354159</v>
      </c>
      <c r="F6141" s="7">
        <v>1</v>
      </c>
      <c r="G6141" s="7">
        <v>277</v>
      </c>
      <c r="H6141" s="8">
        <v>235</v>
      </c>
      <c r="J6141" t="s">
        <v>23</v>
      </c>
      <c r="K6141" s="7">
        <v>1224</v>
      </c>
      <c r="L6141" s="9">
        <v>-1</v>
      </c>
      <c r="M6141" t="s">
        <v>4471</v>
      </c>
      <c r="N6141" t="s">
        <v>361</v>
      </c>
      <c r="O6141" s="27" t="str">
        <f>HYPERLINK("https://www.ncbi.nlm.nih.gov/nuccore/NZ_JODY01000022.1?report=graph&amp;from=146139&amp;to=146143", "TTA_codon")</f>
        <v>TTA_codon</v>
      </c>
    </row>
    <row r="6142" spans="1:15" x14ac:dyDescent="0.15">
      <c r="A6142" t="s">
        <v>21</v>
      </c>
      <c r="B6142">
        <v>1000566</v>
      </c>
      <c r="C6142">
        <v>358676</v>
      </c>
      <c r="F6142" s="7">
        <v>1</v>
      </c>
      <c r="G6142" s="7">
        <v>328</v>
      </c>
      <c r="H6142" s="8">
        <v>313</v>
      </c>
      <c r="J6142" t="s">
        <v>23</v>
      </c>
      <c r="K6142" s="7">
        <v>1311</v>
      </c>
      <c r="L6142" s="9">
        <v>-1</v>
      </c>
      <c r="M6142" t="s">
        <v>4472</v>
      </c>
      <c r="N6142" t="s">
        <v>757</v>
      </c>
      <c r="O6142" s="27" t="str">
        <f>HYPERLINK("https://www.ncbi.nlm.nih.gov/nuccore/NZ_LIQR01000206.1?report=graph&amp;from=12602&amp;to=12606", "TTA_codon")</f>
        <v>TTA_codon</v>
      </c>
    </row>
    <row r="6143" spans="1:15" x14ac:dyDescent="0.15">
      <c r="A6143" t="s">
        <v>21</v>
      </c>
      <c r="B6143">
        <v>1000566</v>
      </c>
      <c r="C6143">
        <v>363784</v>
      </c>
      <c r="F6143" s="7">
        <v>1</v>
      </c>
      <c r="G6143" s="7">
        <v>484</v>
      </c>
      <c r="H6143" s="8">
        <v>427</v>
      </c>
      <c r="J6143" t="s">
        <v>23</v>
      </c>
      <c r="K6143" s="7">
        <v>1275</v>
      </c>
      <c r="L6143" s="9">
        <v>-1</v>
      </c>
      <c r="M6143" t="s">
        <v>101</v>
      </c>
      <c r="N6143" t="s">
        <v>102</v>
      </c>
      <c r="O6143" s="27" t="str">
        <f>HYPERLINK("https://www.ncbi.nlm.nih.gov/nuccore/NZ_CP019458.1?report=graph&amp;from=8865888&amp;to=8865892", "TTA_codon")</f>
        <v>TTA_codon</v>
      </c>
    </row>
    <row r="6144" spans="1:15" x14ac:dyDescent="0.15">
      <c r="A6144" t="s">
        <v>21</v>
      </c>
      <c r="B6144" t="s">
        <v>4473</v>
      </c>
    </row>
    <row r="6145" spans="1:15" x14ac:dyDescent="0.15">
      <c r="A6145" t="s">
        <v>21</v>
      </c>
      <c r="B6145">
        <v>1001279</v>
      </c>
      <c r="C6145">
        <v>350869</v>
      </c>
      <c r="F6145" s="7">
        <v>1</v>
      </c>
      <c r="G6145" s="7">
        <v>505</v>
      </c>
      <c r="H6145" s="8">
        <v>412</v>
      </c>
      <c r="J6145" t="s">
        <v>23</v>
      </c>
      <c r="K6145" s="7">
        <v>1035</v>
      </c>
      <c r="L6145" s="9">
        <v>-1</v>
      </c>
      <c r="M6145" t="s">
        <v>4474</v>
      </c>
      <c r="N6145" t="s">
        <v>51</v>
      </c>
      <c r="O6145" s="27" t="str">
        <f>HYPERLINK("https://www.ncbi.nlm.nih.gov/nuccore/NZ_AEJB01000401.1?report=graph&amp;from=8913&amp;to=8917", "TTA_codon")</f>
        <v>TTA_codon</v>
      </c>
    </row>
    <row r="6146" spans="1:15" x14ac:dyDescent="0.15">
      <c r="A6146" t="s">
        <v>21</v>
      </c>
      <c r="B6146">
        <v>1001279</v>
      </c>
      <c r="C6146">
        <v>351382</v>
      </c>
      <c r="F6146" s="7">
        <v>1</v>
      </c>
      <c r="G6146" s="7">
        <v>37</v>
      </c>
      <c r="H6146" s="8">
        <v>37</v>
      </c>
      <c r="J6146" t="s">
        <v>23</v>
      </c>
      <c r="K6146" s="7">
        <v>978</v>
      </c>
      <c r="L6146" s="9">
        <v>-1</v>
      </c>
      <c r="M6146" t="s">
        <v>65</v>
      </c>
      <c r="N6146" t="s">
        <v>66</v>
      </c>
      <c r="O6146" s="27" t="str">
        <f>HYPERLINK("https://www.ncbi.nlm.nih.gov/nuccore/NC_020504.1?report=graph&amp;from=6661636&amp;to=6661640", "TTA_codon")</f>
        <v>TTA_codon</v>
      </c>
    </row>
    <row r="6147" spans="1:15" x14ac:dyDescent="0.15">
      <c r="A6147" t="s">
        <v>21</v>
      </c>
      <c r="B6147">
        <v>1001279</v>
      </c>
      <c r="C6147">
        <v>351938</v>
      </c>
      <c r="F6147" s="7">
        <v>1</v>
      </c>
      <c r="G6147" s="7">
        <v>403</v>
      </c>
      <c r="H6147" s="8">
        <v>322</v>
      </c>
      <c r="J6147" t="s">
        <v>23</v>
      </c>
      <c r="K6147" s="7">
        <v>1035</v>
      </c>
      <c r="L6147" s="9">
        <v>-1</v>
      </c>
      <c r="M6147" t="s">
        <v>4475</v>
      </c>
      <c r="N6147" t="s">
        <v>68</v>
      </c>
      <c r="O6147" s="27" t="str">
        <f>HYPERLINK("https://www.ncbi.nlm.nih.gov/nuccore/NZ_BARG01000088.1?report=graph&amp;from=67470&amp;to=67474", "TTA_codon")</f>
        <v>TTA_codon</v>
      </c>
    </row>
    <row r="6148" spans="1:15" x14ac:dyDescent="0.15">
      <c r="A6148" t="s">
        <v>21</v>
      </c>
      <c r="B6148">
        <v>1001279</v>
      </c>
      <c r="C6148">
        <v>351949</v>
      </c>
      <c r="F6148" s="7">
        <v>2</v>
      </c>
      <c r="G6148" s="7" t="s">
        <v>4476</v>
      </c>
      <c r="H6148" s="8" t="s">
        <v>4477</v>
      </c>
      <c r="J6148" t="s">
        <v>23</v>
      </c>
      <c r="K6148" s="7">
        <v>981</v>
      </c>
      <c r="L6148" s="9">
        <v>-1</v>
      </c>
      <c r="M6148" t="s">
        <v>4478</v>
      </c>
      <c r="N6148" t="s">
        <v>68</v>
      </c>
      <c r="O6148" s="27" t="str">
        <f>HYPERLINK("https://www.ncbi.nlm.nih.gov/nuccore/NZ_BARG01000128.1?report=graph&amp;from=24915&amp;to=25324", "TTA_codon")</f>
        <v>TTA_codon</v>
      </c>
    </row>
    <row r="6149" spans="1:15" x14ac:dyDescent="0.15">
      <c r="A6149" t="s">
        <v>21</v>
      </c>
      <c r="B6149">
        <v>1001279</v>
      </c>
      <c r="C6149">
        <v>353658</v>
      </c>
      <c r="F6149" s="7">
        <v>1</v>
      </c>
      <c r="G6149" s="7">
        <v>100</v>
      </c>
      <c r="H6149" s="8">
        <v>97</v>
      </c>
      <c r="J6149" t="s">
        <v>23</v>
      </c>
      <c r="K6149" s="7">
        <v>990</v>
      </c>
      <c r="L6149" s="9">
        <v>-1</v>
      </c>
      <c r="M6149" t="s">
        <v>1519</v>
      </c>
      <c r="N6149" t="s">
        <v>140</v>
      </c>
      <c r="O6149" s="27" t="str">
        <f>HYPERLINK("https://www.ncbi.nlm.nih.gov/nuccore/NZ_JNXG01000018.1?report=graph&amp;from=361864&amp;to=361868", "TTA_codon")</f>
        <v>TTA_codon</v>
      </c>
    </row>
    <row r="6150" spans="1:15" x14ac:dyDescent="0.15">
      <c r="A6150" t="s">
        <v>21</v>
      </c>
      <c r="B6150">
        <v>1001279</v>
      </c>
      <c r="C6150">
        <v>355185</v>
      </c>
      <c r="F6150" s="7">
        <v>4</v>
      </c>
      <c r="G6150" s="7" t="s">
        <v>4479</v>
      </c>
      <c r="H6150" s="8" t="s">
        <v>4480</v>
      </c>
      <c r="J6150" t="s">
        <v>23</v>
      </c>
      <c r="K6150" s="7">
        <v>1134</v>
      </c>
      <c r="L6150" s="9">
        <v>-1</v>
      </c>
      <c r="M6150" t="s">
        <v>702</v>
      </c>
      <c r="N6150" t="s">
        <v>433</v>
      </c>
      <c r="O6150" s="27" t="str">
        <f>HYPERLINK("https://www.ncbi.nlm.nih.gov/nuccore/NZ_JOBF01000003.1?report=graph&amp;from=457589&amp;to=457764", "TTA_codon")</f>
        <v>TTA_codon</v>
      </c>
    </row>
    <row r="6151" spans="1:15" x14ac:dyDescent="0.15">
      <c r="A6151" t="s">
        <v>21</v>
      </c>
      <c r="B6151">
        <v>1001279</v>
      </c>
      <c r="C6151">
        <v>355210</v>
      </c>
      <c r="F6151" s="7">
        <v>1</v>
      </c>
      <c r="G6151" s="7">
        <v>520</v>
      </c>
      <c r="H6151" s="8">
        <v>430</v>
      </c>
      <c r="J6151" t="s">
        <v>23</v>
      </c>
      <c r="K6151" s="7">
        <v>1032</v>
      </c>
      <c r="L6151" s="9">
        <v>-1</v>
      </c>
      <c r="M6151" t="s">
        <v>4481</v>
      </c>
      <c r="N6151" t="s">
        <v>433</v>
      </c>
      <c r="O6151" s="27" t="str">
        <f>HYPERLINK("https://www.ncbi.nlm.nih.gov/nuccore/NZ_JOBF01000010.1?report=graph&amp;from=76286&amp;to=76290", "TTA_codon")</f>
        <v>TTA_codon</v>
      </c>
    </row>
    <row r="6152" spans="1:15" x14ac:dyDescent="0.15">
      <c r="A6152" t="s">
        <v>21</v>
      </c>
      <c r="B6152">
        <v>1001279</v>
      </c>
      <c r="C6152">
        <v>355771</v>
      </c>
      <c r="F6152" s="7">
        <v>1</v>
      </c>
      <c r="G6152" s="7">
        <v>205</v>
      </c>
      <c r="H6152" s="8">
        <v>199</v>
      </c>
      <c r="J6152" t="s">
        <v>23</v>
      </c>
      <c r="K6152" s="7">
        <v>981</v>
      </c>
      <c r="L6152" s="9">
        <v>-1</v>
      </c>
      <c r="M6152" t="s">
        <v>2473</v>
      </c>
      <c r="N6152" t="s">
        <v>278</v>
      </c>
      <c r="O6152" s="27" t="str">
        <f>HYPERLINK("https://www.ncbi.nlm.nih.gov/nuccore/NZ_JOID01000011.1?report=graph&amp;from=150643&amp;to=150647", "TTA_codon")</f>
        <v>TTA_codon</v>
      </c>
    </row>
    <row r="6153" spans="1:15" x14ac:dyDescent="0.15">
      <c r="A6153" t="s">
        <v>21</v>
      </c>
      <c r="B6153">
        <v>1001279</v>
      </c>
      <c r="C6153">
        <v>357344</v>
      </c>
      <c r="F6153" s="7">
        <v>1</v>
      </c>
      <c r="G6153" s="7">
        <v>163</v>
      </c>
      <c r="H6153" s="8">
        <v>157</v>
      </c>
      <c r="J6153" t="s">
        <v>23</v>
      </c>
      <c r="K6153" s="7">
        <v>969</v>
      </c>
      <c r="L6153" s="9">
        <v>-1</v>
      </c>
      <c r="M6153" t="s">
        <v>250</v>
      </c>
      <c r="N6153" t="s">
        <v>251</v>
      </c>
      <c r="O6153" s="27" t="str">
        <f>HYPERLINK("https://www.ncbi.nlm.nih.gov/nuccore/NZ_CP009922.2?report=graph&amp;from=1554090&amp;to=1554094", "TTA_codon")</f>
        <v>TTA_codon</v>
      </c>
    </row>
    <row r="6154" spans="1:15" x14ac:dyDescent="0.15">
      <c r="A6154" t="s">
        <v>21</v>
      </c>
      <c r="B6154">
        <v>1001279</v>
      </c>
      <c r="C6154">
        <v>358511</v>
      </c>
      <c r="F6154" s="7">
        <v>1</v>
      </c>
      <c r="G6154" s="7">
        <v>754</v>
      </c>
      <c r="H6154" s="8">
        <v>607</v>
      </c>
      <c r="J6154" t="s">
        <v>23</v>
      </c>
      <c r="K6154" s="7">
        <v>996</v>
      </c>
      <c r="L6154" s="9">
        <v>-1</v>
      </c>
      <c r="M6154" t="s">
        <v>4482</v>
      </c>
      <c r="N6154" t="s">
        <v>85</v>
      </c>
      <c r="O6154" s="27" t="str">
        <f>HYPERLINK("https://www.ncbi.nlm.nih.gov/nuccore/NZ_LIQX01000127.1?report=graph&amp;from=4605&amp;to=4609", "TTA_codon")</f>
        <v>TTA_codon</v>
      </c>
    </row>
    <row r="6155" spans="1:15" x14ac:dyDescent="0.15">
      <c r="A6155" t="s">
        <v>21</v>
      </c>
      <c r="B6155">
        <v>1001279</v>
      </c>
      <c r="C6155">
        <v>361129</v>
      </c>
      <c r="F6155" s="7">
        <v>1</v>
      </c>
      <c r="G6155" s="7">
        <v>436</v>
      </c>
      <c r="H6155" s="8">
        <v>271</v>
      </c>
      <c r="J6155" t="s">
        <v>23</v>
      </c>
      <c r="K6155" s="7">
        <v>930</v>
      </c>
      <c r="L6155" s="9">
        <v>-1</v>
      </c>
      <c r="M6155" t="s">
        <v>98</v>
      </c>
      <c r="N6155" t="s">
        <v>99</v>
      </c>
      <c r="O6155" s="27" t="str">
        <f>HYPERLINK("https://www.ncbi.nlm.nih.gov/nuccore/NZ_CP016438.1?report=graph&amp;from=9773061&amp;to=9773065", "TTA_codon")</f>
        <v>TTA_codon</v>
      </c>
    </row>
    <row r="6156" spans="1:15" x14ac:dyDescent="0.15">
      <c r="A6156" t="s">
        <v>21</v>
      </c>
      <c r="B6156">
        <v>1001279</v>
      </c>
      <c r="C6156">
        <v>361366</v>
      </c>
      <c r="F6156" s="7">
        <v>1</v>
      </c>
      <c r="G6156" s="7">
        <v>1108</v>
      </c>
      <c r="H6156" s="8">
        <v>841</v>
      </c>
      <c r="J6156" t="s">
        <v>23</v>
      </c>
      <c r="K6156" s="7">
        <v>1065</v>
      </c>
      <c r="L6156" s="9">
        <v>-1</v>
      </c>
      <c r="M6156" t="s">
        <v>286</v>
      </c>
      <c r="N6156" t="s">
        <v>201</v>
      </c>
      <c r="O6156" s="27" t="str">
        <f>HYPERLINK("https://www.ncbi.nlm.nih.gov/nuccore/NZ_CP016560.1?report=graph&amp;from=18964&amp;to=18968", "TTA_codon")</f>
        <v>TTA_codon</v>
      </c>
    </row>
    <row r="6157" spans="1:15" x14ac:dyDescent="0.15">
      <c r="A6157" t="s">
        <v>21</v>
      </c>
      <c r="B6157">
        <v>1001279</v>
      </c>
      <c r="C6157">
        <v>362071</v>
      </c>
      <c r="F6157" s="7">
        <v>1</v>
      </c>
      <c r="G6157" s="7">
        <v>355</v>
      </c>
      <c r="H6157" s="8">
        <v>256</v>
      </c>
      <c r="J6157" t="s">
        <v>23</v>
      </c>
      <c r="K6157" s="7">
        <v>1035</v>
      </c>
      <c r="L6157" s="9">
        <v>-1</v>
      </c>
      <c r="M6157" t="s">
        <v>465</v>
      </c>
      <c r="N6157" t="s">
        <v>187</v>
      </c>
      <c r="O6157" s="27" t="str">
        <f>HYPERLINK("https://www.ncbi.nlm.nih.gov/nuccore/NZ_MAXF01000023.1?report=graph&amp;from=66793&amp;to=66797", "TTA_codon")</f>
        <v>TTA_codon</v>
      </c>
    </row>
    <row r="6158" spans="1:15" x14ac:dyDescent="0.15">
      <c r="A6158" t="s">
        <v>21</v>
      </c>
      <c r="B6158">
        <v>1001279</v>
      </c>
      <c r="C6158">
        <v>362877</v>
      </c>
      <c r="F6158" s="7">
        <v>1</v>
      </c>
      <c r="G6158" s="7">
        <v>637</v>
      </c>
      <c r="H6158" s="8">
        <v>496</v>
      </c>
      <c r="J6158" t="s">
        <v>23</v>
      </c>
      <c r="K6158" s="7">
        <v>1020</v>
      </c>
      <c r="L6158" s="9">
        <v>-1</v>
      </c>
      <c r="M6158" t="s">
        <v>4483</v>
      </c>
      <c r="N6158" t="s">
        <v>156</v>
      </c>
      <c r="O6158" s="27" t="str">
        <f>HYPERLINK("https://www.ncbi.nlm.nih.gov/nuccore/NZ_LJGW01000064.1?report=graph&amp;from=2292&amp;to=2296", "TTA_codon")</f>
        <v>TTA_codon</v>
      </c>
    </row>
    <row r="6159" spans="1:15" x14ac:dyDescent="0.15">
      <c r="A6159" t="s">
        <v>21</v>
      </c>
      <c r="B6159">
        <v>1001279</v>
      </c>
      <c r="C6159">
        <v>363735</v>
      </c>
      <c r="F6159" s="7">
        <v>1</v>
      </c>
      <c r="G6159" s="7">
        <v>85</v>
      </c>
      <c r="H6159" s="8">
        <v>37</v>
      </c>
      <c r="J6159" t="s">
        <v>23</v>
      </c>
      <c r="K6159" s="7">
        <v>1071</v>
      </c>
      <c r="L6159" s="9">
        <v>-1</v>
      </c>
      <c r="M6159" t="s">
        <v>101</v>
      </c>
      <c r="N6159" t="s">
        <v>102</v>
      </c>
      <c r="O6159" s="27" t="str">
        <f>HYPERLINK("https://www.ncbi.nlm.nih.gov/nuccore/NZ_CP019458.1?report=graph&amp;from=3998435&amp;to=3998439", "TTA_codon")</f>
        <v>TTA_codon</v>
      </c>
    </row>
    <row r="6160" spans="1:15" x14ac:dyDescent="0.15">
      <c r="A6160" t="s">
        <v>21</v>
      </c>
      <c r="B6160">
        <v>1001279</v>
      </c>
      <c r="C6160">
        <v>364303</v>
      </c>
      <c r="F6160" s="7">
        <v>1</v>
      </c>
      <c r="G6160" s="7">
        <v>100</v>
      </c>
      <c r="H6160" s="8">
        <v>97</v>
      </c>
      <c r="J6160" t="s">
        <v>23</v>
      </c>
      <c r="K6160" s="7">
        <v>1014</v>
      </c>
      <c r="L6160" s="9">
        <v>-1</v>
      </c>
      <c r="M6160" t="s">
        <v>105</v>
      </c>
      <c r="N6160" t="s">
        <v>106</v>
      </c>
      <c r="O6160" s="27" t="str">
        <f>HYPERLINK("https://www.ncbi.nlm.nih.gov/nuccore/NZ_CP020042.1?report=graph&amp;from=2651443&amp;to=2651447", "TTA_codon")</f>
        <v>TTA_codon</v>
      </c>
    </row>
    <row r="6161" spans="1:15" x14ac:dyDescent="0.15">
      <c r="A6161" t="s">
        <v>21</v>
      </c>
      <c r="B6161">
        <v>1001279</v>
      </c>
      <c r="C6161">
        <v>365780</v>
      </c>
      <c r="F6161" s="7">
        <v>2</v>
      </c>
      <c r="G6161" s="7" t="s">
        <v>4484</v>
      </c>
      <c r="H6161" s="8" t="s">
        <v>4485</v>
      </c>
      <c r="J6161" t="s">
        <v>23</v>
      </c>
      <c r="K6161" s="7">
        <v>1089</v>
      </c>
      <c r="L6161" s="9">
        <v>-1</v>
      </c>
      <c r="M6161" t="s">
        <v>213</v>
      </c>
      <c r="N6161" t="s">
        <v>214</v>
      </c>
      <c r="O6161" s="27" t="str">
        <f>HYPERLINK("https://www.ncbi.nlm.nih.gov/nuccore/NZ_FNST01000002.1?report=graph&amp;from=1591080&amp;to=1591399", "TTA_codon")</f>
        <v>TTA_codon</v>
      </c>
    </row>
    <row r="6162" spans="1:15" x14ac:dyDescent="0.15">
      <c r="A6162" t="s">
        <v>21</v>
      </c>
      <c r="B6162">
        <v>1001279</v>
      </c>
      <c r="C6162">
        <v>365823</v>
      </c>
      <c r="F6162" s="7">
        <v>2</v>
      </c>
      <c r="G6162" s="7" t="s">
        <v>4486</v>
      </c>
      <c r="H6162" s="8" t="s">
        <v>4487</v>
      </c>
      <c r="J6162" t="s">
        <v>23</v>
      </c>
      <c r="K6162" s="7">
        <v>1005</v>
      </c>
      <c r="L6162" s="9">
        <v>-1</v>
      </c>
      <c r="M6162" t="s">
        <v>213</v>
      </c>
      <c r="N6162" t="s">
        <v>214</v>
      </c>
      <c r="O6162" s="27" t="str">
        <f>HYPERLINK("https://www.ncbi.nlm.nih.gov/nuccore/NZ_FNST01000002.1?report=graph&amp;from=8257740&amp;to=8258227", "TTA_codon")</f>
        <v>TTA_codon</v>
      </c>
    </row>
    <row r="6163" spans="1:15" x14ac:dyDescent="0.15">
      <c r="A6163" t="s">
        <v>21</v>
      </c>
      <c r="B6163" t="s">
        <v>4488</v>
      </c>
    </row>
    <row r="6164" spans="1:15" x14ac:dyDescent="0.15">
      <c r="A6164" t="s">
        <v>21</v>
      </c>
      <c r="B6164">
        <v>1001524</v>
      </c>
      <c r="C6164">
        <v>366566</v>
      </c>
      <c r="F6164" s="7">
        <v>3</v>
      </c>
      <c r="G6164" s="7" t="s">
        <v>4489</v>
      </c>
      <c r="H6164" s="8" t="s">
        <v>4490</v>
      </c>
      <c r="J6164" t="s">
        <v>23</v>
      </c>
      <c r="K6164" s="7">
        <v>3000</v>
      </c>
      <c r="L6164" s="9">
        <v>-1</v>
      </c>
      <c r="M6164" t="s">
        <v>4491</v>
      </c>
      <c r="N6164" t="s">
        <v>180</v>
      </c>
      <c r="O6164" s="27" t="str">
        <f>HYPERLINK("https://www.ncbi.nlm.nih.gov/nuccore/NZ_FRBI01000015.1?report=graph&amp;from=89196&amp;to=92044", "TTA_codon")</f>
        <v>TTA_codon</v>
      </c>
    </row>
    <row r="6165" spans="1:15" x14ac:dyDescent="0.15">
      <c r="A6165" t="s">
        <v>21</v>
      </c>
      <c r="B6165">
        <v>1001524</v>
      </c>
      <c r="C6165">
        <v>366640</v>
      </c>
      <c r="F6165" s="7">
        <v>1</v>
      </c>
      <c r="G6165" s="7">
        <v>307</v>
      </c>
      <c r="H6165" s="8">
        <v>253</v>
      </c>
      <c r="J6165" t="s">
        <v>23</v>
      </c>
      <c r="K6165" s="7">
        <v>2757</v>
      </c>
      <c r="L6165" s="9">
        <v>-1</v>
      </c>
      <c r="M6165" t="s">
        <v>350</v>
      </c>
      <c r="N6165" t="s">
        <v>180</v>
      </c>
      <c r="O6165" s="27" t="str">
        <f>HYPERLINK("https://www.ncbi.nlm.nih.gov/nuccore/NZ_FRBI01000008.1?report=graph&amp;from=50509&amp;to=50513", "TTA_codon")</f>
        <v>TTA_codon</v>
      </c>
    </row>
    <row r="6166" spans="1:15" x14ac:dyDescent="0.15">
      <c r="A6166" t="s">
        <v>21</v>
      </c>
      <c r="B6166" t="s">
        <v>4492</v>
      </c>
    </row>
    <row r="6167" spans="1:15" x14ac:dyDescent="0.15">
      <c r="A6167" t="s">
        <v>21</v>
      </c>
      <c r="B6167">
        <v>1000774</v>
      </c>
      <c r="C6167">
        <v>351770</v>
      </c>
      <c r="F6167" s="7">
        <v>1</v>
      </c>
      <c r="G6167" s="7">
        <v>340</v>
      </c>
      <c r="H6167" s="8">
        <v>340</v>
      </c>
      <c r="J6167" t="s">
        <v>23</v>
      </c>
      <c r="K6167" s="7">
        <v>1113</v>
      </c>
      <c r="L6167" s="9">
        <v>1</v>
      </c>
      <c r="M6167" t="s">
        <v>4172</v>
      </c>
      <c r="N6167" t="s">
        <v>68</v>
      </c>
      <c r="O6167" s="27" t="str">
        <f>HYPERLINK("https://www.ncbi.nlm.nih.gov/nuccore/NZ_BARG01000024.1?report=graph&amp;from=165391&amp;to=165395", "TTA_codon")</f>
        <v>TTA_codon</v>
      </c>
    </row>
    <row r="6168" spans="1:15" x14ac:dyDescent="0.15">
      <c r="A6168" t="s">
        <v>21</v>
      </c>
      <c r="B6168">
        <v>1000774</v>
      </c>
      <c r="C6168">
        <v>365211</v>
      </c>
      <c r="F6168" s="7">
        <v>1</v>
      </c>
      <c r="G6168" s="7">
        <v>379</v>
      </c>
      <c r="H6168" s="8">
        <v>361</v>
      </c>
      <c r="J6168" t="s">
        <v>23</v>
      </c>
      <c r="K6168" s="7">
        <v>1083</v>
      </c>
      <c r="L6168" s="9">
        <v>1</v>
      </c>
      <c r="M6168" t="s">
        <v>1277</v>
      </c>
      <c r="N6168" t="s">
        <v>347</v>
      </c>
      <c r="O6168" s="27" t="str">
        <f>HYPERLINK("https://www.ncbi.nlm.nih.gov/nuccore/NZ_FNFF01000001.1?report=graph&amp;from=987200&amp;to=987204", "TTA_codon")</f>
        <v>TTA_codon</v>
      </c>
    </row>
    <row r="6169" spans="1:15" x14ac:dyDescent="0.15">
      <c r="A6169" t="s">
        <v>21</v>
      </c>
      <c r="B6169" t="s">
        <v>4493</v>
      </c>
    </row>
    <row r="6170" spans="1:15" x14ac:dyDescent="0.15">
      <c r="A6170" t="s">
        <v>21</v>
      </c>
      <c r="B6170">
        <v>1000887</v>
      </c>
      <c r="C6170">
        <v>352807</v>
      </c>
      <c r="F6170" s="7">
        <v>1</v>
      </c>
      <c r="G6170" s="7">
        <v>1372</v>
      </c>
      <c r="H6170" s="8">
        <v>1339</v>
      </c>
      <c r="J6170" t="s">
        <v>23</v>
      </c>
      <c r="K6170" s="7">
        <v>2370</v>
      </c>
      <c r="L6170" s="9">
        <v>1</v>
      </c>
      <c r="M6170" t="s">
        <v>472</v>
      </c>
      <c r="N6170" t="s">
        <v>473</v>
      </c>
      <c r="O6170" s="27" t="str">
        <f>HYPERLINK("https://www.ncbi.nlm.nih.gov/nuccore/NZ_ASHX02000001.1?report=graph&amp;from=5997869&amp;to=5997873", "TTA_codon")</f>
        <v>TTA_codon</v>
      </c>
    </row>
    <row r="6171" spans="1:15" x14ac:dyDescent="0.15">
      <c r="A6171" t="s">
        <v>21</v>
      </c>
      <c r="B6171">
        <v>1000887</v>
      </c>
      <c r="C6171">
        <v>354714</v>
      </c>
      <c r="F6171" s="7">
        <v>1</v>
      </c>
      <c r="G6171" s="7">
        <v>1438</v>
      </c>
      <c r="H6171" s="8">
        <v>1417</v>
      </c>
      <c r="J6171" t="s">
        <v>23</v>
      </c>
      <c r="K6171" s="7">
        <v>2316</v>
      </c>
      <c r="L6171" s="9">
        <v>1</v>
      </c>
      <c r="M6171" t="s">
        <v>865</v>
      </c>
      <c r="N6171" t="s">
        <v>272</v>
      </c>
      <c r="O6171" s="27" t="str">
        <f>HYPERLINK("https://www.ncbi.nlm.nih.gov/nuccore/NZ_JOEY01000002.1?report=graph&amp;from=95668&amp;to=95672", "TTA_codon")</f>
        <v>TTA_codon</v>
      </c>
    </row>
    <row r="6172" spans="1:15" x14ac:dyDescent="0.15">
      <c r="A6172" t="s">
        <v>21</v>
      </c>
      <c r="B6172" t="s">
        <v>4494</v>
      </c>
    </row>
    <row r="6173" spans="1:15" x14ac:dyDescent="0.15">
      <c r="A6173" t="s">
        <v>21</v>
      </c>
      <c r="B6173">
        <v>1000277</v>
      </c>
      <c r="C6173">
        <v>347787</v>
      </c>
      <c r="F6173" s="7">
        <v>1</v>
      </c>
      <c r="G6173" s="7">
        <v>748</v>
      </c>
      <c r="H6173" s="8">
        <v>109</v>
      </c>
      <c r="J6173" t="s">
        <v>23</v>
      </c>
      <c r="K6173" s="7">
        <v>843</v>
      </c>
      <c r="L6173" s="9">
        <v>1</v>
      </c>
      <c r="M6173" t="s">
        <v>57</v>
      </c>
      <c r="N6173" t="s">
        <v>58</v>
      </c>
      <c r="O6173" s="27" t="str">
        <f>HYPERLINK("https://www.ncbi.nlm.nih.gov/nuccore/NC_013929.1?report=graph&amp;from=5719604&amp;to=5719608", "TTA_codon")</f>
        <v>TTA_codon</v>
      </c>
    </row>
    <row r="6174" spans="1:15" x14ac:dyDescent="0.15">
      <c r="A6174" t="s">
        <v>21</v>
      </c>
      <c r="B6174">
        <v>1000277</v>
      </c>
      <c r="C6174">
        <v>348515</v>
      </c>
      <c r="F6174" s="7">
        <v>1</v>
      </c>
      <c r="G6174" s="7">
        <v>748</v>
      </c>
      <c r="H6174" s="8">
        <v>247</v>
      </c>
      <c r="J6174" t="s">
        <v>23</v>
      </c>
      <c r="K6174" s="7">
        <v>984</v>
      </c>
      <c r="L6174" s="9">
        <v>1</v>
      </c>
      <c r="M6174" t="s">
        <v>61</v>
      </c>
      <c r="N6174" t="s">
        <v>62</v>
      </c>
      <c r="O6174" s="27" t="str">
        <f>HYPERLINK("https://www.ncbi.nlm.nih.gov/nuccore/NZ_DS999641.1?report=graph&amp;from=4421037&amp;to=4421041", "TTA_codon")</f>
        <v>TTA_codon</v>
      </c>
    </row>
    <row r="6175" spans="1:15" x14ac:dyDescent="0.15">
      <c r="A6175" t="s">
        <v>21</v>
      </c>
      <c r="B6175">
        <v>1000277</v>
      </c>
      <c r="C6175">
        <v>349322</v>
      </c>
      <c r="F6175" s="7">
        <v>1</v>
      </c>
      <c r="G6175" s="7">
        <v>748</v>
      </c>
      <c r="H6175" s="8">
        <v>307</v>
      </c>
      <c r="J6175" t="s">
        <v>23</v>
      </c>
      <c r="K6175" s="7">
        <v>1044</v>
      </c>
      <c r="L6175" s="9">
        <v>1</v>
      </c>
      <c r="M6175" t="s">
        <v>458</v>
      </c>
      <c r="N6175" t="s">
        <v>315</v>
      </c>
      <c r="O6175" s="27" t="str">
        <f>HYPERLINK("https://www.ncbi.nlm.nih.gov/nuccore/NC_003888.3?report=graph&amp;from=4812192&amp;to=4812196", "TTA_codon")</f>
        <v>TTA_codon</v>
      </c>
    </row>
    <row r="6176" spans="1:15" x14ac:dyDescent="0.15">
      <c r="A6176" t="s">
        <v>21</v>
      </c>
      <c r="B6176">
        <v>1000277</v>
      </c>
      <c r="C6176">
        <v>349474</v>
      </c>
      <c r="F6176" s="7">
        <v>1</v>
      </c>
      <c r="G6176" s="7">
        <v>748</v>
      </c>
      <c r="H6176" s="8">
        <v>115</v>
      </c>
      <c r="J6176" t="s">
        <v>23</v>
      </c>
      <c r="K6176" s="7">
        <v>861</v>
      </c>
      <c r="L6176" s="9">
        <v>1</v>
      </c>
      <c r="M6176" t="s">
        <v>2465</v>
      </c>
      <c r="N6176" t="s">
        <v>64</v>
      </c>
      <c r="O6176" s="27" t="str">
        <f>HYPERLINK("https://www.ncbi.nlm.nih.gov/nuccore/NZ_AEYX01000045.1?report=graph&amp;from=335708&amp;to=335712", "TTA_codon")</f>
        <v>TTA_codon</v>
      </c>
    </row>
    <row r="6177" spans="1:15" x14ac:dyDescent="0.15">
      <c r="A6177" t="s">
        <v>21</v>
      </c>
      <c r="B6177">
        <v>1000277</v>
      </c>
      <c r="C6177">
        <v>349603</v>
      </c>
      <c r="F6177" s="7">
        <v>1</v>
      </c>
      <c r="G6177" s="7">
        <v>748</v>
      </c>
      <c r="H6177" s="8">
        <v>244</v>
      </c>
      <c r="J6177" t="s">
        <v>23</v>
      </c>
      <c r="K6177" s="7">
        <v>981</v>
      </c>
      <c r="L6177" s="9">
        <v>1</v>
      </c>
      <c r="M6177" t="s">
        <v>4495</v>
      </c>
      <c r="N6177" t="s">
        <v>335</v>
      </c>
      <c r="O6177" s="27" t="str">
        <f>HYPERLINK("https://www.ncbi.nlm.nih.gov/nuccore/NZ_AGBF01000253.1?report=graph&amp;from=4949&amp;to=4953", "TTA_codon")</f>
        <v>TTA_codon</v>
      </c>
    </row>
    <row r="6178" spans="1:15" x14ac:dyDescent="0.15">
      <c r="A6178" t="s">
        <v>21</v>
      </c>
      <c r="B6178">
        <v>1000277</v>
      </c>
      <c r="C6178">
        <v>349965</v>
      </c>
      <c r="F6178" s="7">
        <v>1</v>
      </c>
      <c r="G6178" s="7">
        <v>748</v>
      </c>
      <c r="H6178" s="8">
        <v>571</v>
      </c>
      <c r="J6178" t="s">
        <v>23</v>
      </c>
      <c r="K6178" s="7">
        <v>1308</v>
      </c>
      <c r="L6178" s="9">
        <v>1</v>
      </c>
      <c r="M6178" t="s">
        <v>4496</v>
      </c>
      <c r="N6178" t="s">
        <v>249</v>
      </c>
      <c r="O6178" s="27" t="str">
        <f>HYPERLINK("https://www.ncbi.nlm.nih.gov/nuccore/NZ_AHBF01000090.1?report=graph&amp;from=18342&amp;to=18346", "TTA_codon")</f>
        <v>TTA_codon</v>
      </c>
    </row>
    <row r="6179" spans="1:15" x14ac:dyDescent="0.15">
      <c r="A6179" t="s">
        <v>21</v>
      </c>
      <c r="B6179">
        <v>1000277</v>
      </c>
      <c r="C6179">
        <v>350751</v>
      </c>
      <c r="F6179" s="7">
        <v>1</v>
      </c>
      <c r="G6179" s="7">
        <v>748</v>
      </c>
      <c r="H6179" s="8">
        <v>130</v>
      </c>
      <c r="J6179" t="s">
        <v>23</v>
      </c>
      <c r="K6179" s="7">
        <v>867</v>
      </c>
      <c r="L6179" s="9">
        <v>1</v>
      </c>
      <c r="M6179" t="s">
        <v>4497</v>
      </c>
      <c r="N6179" t="s">
        <v>51</v>
      </c>
      <c r="O6179" s="27" t="str">
        <f>HYPERLINK("https://www.ncbi.nlm.nih.gov/nuccore/NZ_AEJB01000320.1?report=graph&amp;from=41580&amp;to=41584", "TTA_codon")</f>
        <v>TTA_codon</v>
      </c>
    </row>
    <row r="6180" spans="1:15" x14ac:dyDescent="0.15">
      <c r="A6180" t="s">
        <v>21</v>
      </c>
      <c r="B6180">
        <v>1000277</v>
      </c>
      <c r="C6180">
        <v>351218</v>
      </c>
      <c r="F6180" s="7">
        <v>1</v>
      </c>
      <c r="G6180" s="7">
        <v>748</v>
      </c>
      <c r="H6180" s="8">
        <v>148</v>
      </c>
      <c r="J6180" t="s">
        <v>23</v>
      </c>
      <c r="K6180" s="7">
        <v>885</v>
      </c>
      <c r="L6180" s="9">
        <v>1</v>
      </c>
      <c r="M6180" t="s">
        <v>65</v>
      </c>
      <c r="N6180" t="s">
        <v>66</v>
      </c>
      <c r="O6180" s="27" t="str">
        <f>HYPERLINK("https://www.ncbi.nlm.nih.gov/nuccore/NC_020504.1?report=graph&amp;from=5517948&amp;to=5517952", "TTA_codon")</f>
        <v>TTA_codon</v>
      </c>
    </row>
    <row r="6181" spans="1:15" x14ac:dyDescent="0.15">
      <c r="A6181" t="s">
        <v>21</v>
      </c>
      <c r="B6181">
        <v>1000277</v>
      </c>
      <c r="C6181">
        <v>353200</v>
      </c>
      <c r="F6181" s="7">
        <v>1</v>
      </c>
      <c r="G6181" s="7">
        <v>748</v>
      </c>
      <c r="H6181" s="8">
        <v>109</v>
      </c>
      <c r="J6181" t="s">
        <v>23</v>
      </c>
      <c r="K6181" s="7">
        <v>855</v>
      </c>
      <c r="L6181" s="9">
        <v>1</v>
      </c>
      <c r="M6181" t="s">
        <v>4498</v>
      </c>
      <c r="N6181" t="s">
        <v>169</v>
      </c>
      <c r="O6181" s="27" t="str">
        <f>HYPERLINK("https://www.ncbi.nlm.nih.gov/nuccore/NZ_JNWJ01000020.1?report=graph&amp;from=30450&amp;to=30454", "TTA_codon")</f>
        <v>TTA_codon</v>
      </c>
    </row>
    <row r="6182" spans="1:15" x14ac:dyDescent="0.15">
      <c r="A6182" t="s">
        <v>21</v>
      </c>
      <c r="B6182">
        <v>1000277</v>
      </c>
      <c r="C6182">
        <v>353572</v>
      </c>
      <c r="F6182" s="7">
        <v>1</v>
      </c>
      <c r="G6182" s="7">
        <v>745</v>
      </c>
      <c r="H6182" s="8">
        <v>109</v>
      </c>
      <c r="J6182" t="s">
        <v>23</v>
      </c>
      <c r="K6182" s="7">
        <v>879</v>
      </c>
      <c r="L6182" s="9">
        <v>1</v>
      </c>
      <c r="M6182" t="s">
        <v>1019</v>
      </c>
      <c r="N6182" t="s">
        <v>140</v>
      </c>
      <c r="O6182" s="27" t="str">
        <f>HYPERLINK("https://www.ncbi.nlm.nih.gov/nuccore/NZ_JNXG01000002.1?report=graph&amp;from=291870&amp;to=291874", "TTA_codon")</f>
        <v>TTA_codon</v>
      </c>
    </row>
    <row r="6183" spans="1:15" x14ac:dyDescent="0.15">
      <c r="A6183" t="s">
        <v>21</v>
      </c>
      <c r="B6183">
        <v>1000277</v>
      </c>
      <c r="C6183">
        <v>355796</v>
      </c>
      <c r="F6183" s="7">
        <v>1</v>
      </c>
      <c r="G6183" s="7">
        <v>748</v>
      </c>
      <c r="H6183" s="8">
        <v>121</v>
      </c>
      <c r="J6183" t="s">
        <v>23</v>
      </c>
      <c r="K6183" s="7">
        <v>858</v>
      </c>
      <c r="L6183" s="9">
        <v>1</v>
      </c>
      <c r="M6183" t="s">
        <v>4499</v>
      </c>
      <c r="N6183" t="s">
        <v>75</v>
      </c>
      <c r="O6183" s="27" t="str">
        <f>HYPERLINK("https://www.ncbi.nlm.nih.gov/nuccore/NZ_JOII01000031.1?report=graph&amp;from=72743&amp;to=72747", "TTA_codon")</f>
        <v>TTA_codon</v>
      </c>
    </row>
    <row r="6184" spans="1:15" x14ac:dyDescent="0.15">
      <c r="A6184" t="s">
        <v>21</v>
      </c>
      <c r="B6184">
        <v>1000277</v>
      </c>
      <c r="C6184">
        <v>356174</v>
      </c>
      <c r="F6184" s="7">
        <v>1</v>
      </c>
      <c r="G6184" s="7">
        <v>748</v>
      </c>
      <c r="H6184" s="8">
        <v>148</v>
      </c>
      <c r="J6184" t="s">
        <v>23</v>
      </c>
      <c r="K6184" s="7">
        <v>885</v>
      </c>
      <c r="L6184" s="9">
        <v>1</v>
      </c>
      <c r="M6184" t="s">
        <v>612</v>
      </c>
      <c r="N6184" t="s">
        <v>77</v>
      </c>
      <c r="O6184" s="27" t="str">
        <f>HYPERLINK("https://www.ncbi.nlm.nih.gov/nuccore/NZ_JNXD01000007.1?report=graph&amp;from=152665&amp;to=152669", "TTA_codon")</f>
        <v>TTA_codon</v>
      </c>
    </row>
    <row r="6185" spans="1:15" x14ac:dyDescent="0.15">
      <c r="A6185" t="s">
        <v>21</v>
      </c>
      <c r="B6185">
        <v>1000277</v>
      </c>
      <c r="C6185">
        <v>356364</v>
      </c>
      <c r="F6185" s="7">
        <v>1</v>
      </c>
      <c r="G6185" s="7">
        <v>745</v>
      </c>
      <c r="H6185" s="8">
        <v>109</v>
      </c>
      <c r="J6185" t="s">
        <v>23</v>
      </c>
      <c r="K6185" s="7">
        <v>879</v>
      </c>
      <c r="L6185" s="9">
        <v>1</v>
      </c>
      <c r="M6185" t="s">
        <v>3225</v>
      </c>
      <c r="N6185" t="s">
        <v>354</v>
      </c>
      <c r="O6185" s="27" t="str">
        <f>HYPERLINK("https://www.ncbi.nlm.nih.gov/nuccore/NZ_JQJU01000016.1?report=graph&amp;from=39595&amp;to=39599", "TTA_codon")</f>
        <v>TTA_codon</v>
      </c>
    </row>
    <row r="6186" spans="1:15" x14ac:dyDescent="0.15">
      <c r="A6186" t="s">
        <v>21</v>
      </c>
      <c r="B6186">
        <v>1000277</v>
      </c>
      <c r="C6186">
        <v>356651</v>
      </c>
      <c r="F6186" s="7">
        <v>1</v>
      </c>
      <c r="G6186" s="7">
        <v>748</v>
      </c>
      <c r="H6186" s="8">
        <v>109</v>
      </c>
      <c r="J6186" t="s">
        <v>23</v>
      </c>
      <c r="K6186" s="7">
        <v>846</v>
      </c>
      <c r="L6186" s="9">
        <v>1</v>
      </c>
      <c r="M6186" t="s">
        <v>147</v>
      </c>
      <c r="N6186" t="s">
        <v>148</v>
      </c>
      <c r="O6186" s="27" t="str">
        <f>HYPERLINK("https://www.ncbi.nlm.nih.gov/nuccore/NZ_CP021080.1?report=graph&amp;from=4122588&amp;to=4122592", "TTA_codon")</f>
        <v>TTA_codon</v>
      </c>
    </row>
    <row r="6187" spans="1:15" x14ac:dyDescent="0.15">
      <c r="A6187" t="s">
        <v>21</v>
      </c>
      <c r="B6187">
        <v>1000277</v>
      </c>
      <c r="C6187">
        <v>356853</v>
      </c>
      <c r="F6187" s="7">
        <v>1</v>
      </c>
      <c r="G6187" s="7">
        <v>748</v>
      </c>
      <c r="H6187" s="8">
        <v>109</v>
      </c>
      <c r="J6187" t="s">
        <v>23</v>
      </c>
      <c r="K6187" s="7">
        <v>846</v>
      </c>
      <c r="L6187" s="9">
        <v>1</v>
      </c>
      <c r="M6187" t="s">
        <v>78</v>
      </c>
      <c r="N6187" t="s">
        <v>79</v>
      </c>
      <c r="O6187" s="27" t="str">
        <f>HYPERLINK("https://www.ncbi.nlm.nih.gov/nuccore/NZ_CP009313.1?report=graph&amp;from=3333601&amp;to=3333605", "TTA_codon")</f>
        <v>TTA_codon</v>
      </c>
    </row>
    <row r="6188" spans="1:15" x14ac:dyDescent="0.15">
      <c r="A6188" t="s">
        <v>21</v>
      </c>
      <c r="B6188">
        <v>1000277</v>
      </c>
      <c r="C6188">
        <v>357139</v>
      </c>
      <c r="F6188" s="7">
        <v>1</v>
      </c>
      <c r="G6188" s="7">
        <v>745</v>
      </c>
      <c r="H6188" s="8">
        <v>241</v>
      </c>
      <c r="J6188" t="s">
        <v>23</v>
      </c>
      <c r="K6188" s="7">
        <v>981</v>
      </c>
      <c r="L6188" s="9">
        <v>1</v>
      </c>
      <c r="M6188" t="s">
        <v>205</v>
      </c>
      <c r="N6188" t="s">
        <v>206</v>
      </c>
      <c r="O6188" s="27" t="str">
        <f>HYPERLINK("https://www.ncbi.nlm.nih.gov/nuccore/NZ_CP010407.1?report=graph&amp;from=4861174&amp;to=4861178", "TTA_codon")</f>
        <v>TTA_codon</v>
      </c>
    </row>
    <row r="6189" spans="1:15" x14ac:dyDescent="0.15">
      <c r="A6189" t="s">
        <v>21</v>
      </c>
      <c r="B6189">
        <v>1000277</v>
      </c>
      <c r="C6189">
        <v>357392</v>
      </c>
      <c r="F6189" s="7">
        <v>1</v>
      </c>
      <c r="G6189" s="7">
        <v>748</v>
      </c>
      <c r="H6189" s="8">
        <v>139</v>
      </c>
      <c r="J6189" t="s">
        <v>23</v>
      </c>
      <c r="K6189" s="7">
        <v>876</v>
      </c>
      <c r="L6189" s="9">
        <v>1</v>
      </c>
      <c r="M6189" t="s">
        <v>80</v>
      </c>
      <c r="N6189" t="s">
        <v>81</v>
      </c>
      <c r="O6189" s="27" t="str">
        <f>HYPERLINK("https://www.ncbi.nlm.nih.gov/nuccore/NZ_LN831790.1?report=graph&amp;from=4689860&amp;to=4689864", "TTA_codon")</f>
        <v>TTA_codon</v>
      </c>
    </row>
    <row r="6190" spans="1:15" x14ac:dyDescent="0.15">
      <c r="A6190" t="s">
        <v>21</v>
      </c>
      <c r="B6190">
        <v>1000277</v>
      </c>
      <c r="C6190">
        <v>357942</v>
      </c>
      <c r="F6190" s="7">
        <v>1</v>
      </c>
      <c r="G6190" s="7">
        <v>745</v>
      </c>
      <c r="H6190" s="8">
        <v>109</v>
      </c>
      <c r="J6190" t="s">
        <v>23</v>
      </c>
      <c r="K6190" s="7">
        <v>849</v>
      </c>
      <c r="L6190" s="9">
        <v>1</v>
      </c>
      <c r="M6190" t="s">
        <v>261</v>
      </c>
      <c r="N6190" t="s">
        <v>262</v>
      </c>
      <c r="O6190" s="27" t="str">
        <f>HYPERLINK("https://www.ncbi.nlm.nih.gov/nuccore/NZ_CP011340.1?report=graph&amp;from=4902563&amp;to=4902567", "TTA_codon")</f>
        <v>TTA_codon</v>
      </c>
    </row>
    <row r="6191" spans="1:15" x14ac:dyDescent="0.15">
      <c r="A6191" t="s">
        <v>21</v>
      </c>
      <c r="B6191">
        <v>1000277</v>
      </c>
      <c r="C6191">
        <v>358808</v>
      </c>
      <c r="F6191" s="7">
        <v>1</v>
      </c>
      <c r="G6191" s="7">
        <v>748</v>
      </c>
      <c r="H6191" s="8">
        <v>217</v>
      </c>
      <c r="J6191" t="s">
        <v>23</v>
      </c>
      <c r="K6191" s="7">
        <v>954</v>
      </c>
      <c r="L6191" s="9">
        <v>1</v>
      </c>
      <c r="M6191" t="s">
        <v>4500</v>
      </c>
      <c r="N6191" t="s">
        <v>87</v>
      </c>
      <c r="O6191" s="27" t="str">
        <f>HYPERLINK("https://www.ncbi.nlm.nih.gov/nuccore/NZ_LIQS01000271.1?report=graph&amp;from=4218&amp;to=4222", "TTA_codon")</f>
        <v>TTA_codon</v>
      </c>
    </row>
    <row r="6192" spans="1:15" x14ac:dyDescent="0.15">
      <c r="A6192" t="s">
        <v>21</v>
      </c>
      <c r="B6192">
        <v>1000277</v>
      </c>
      <c r="C6192">
        <v>359457</v>
      </c>
      <c r="F6192" s="7">
        <v>1</v>
      </c>
      <c r="G6192" s="7">
        <v>745</v>
      </c>
      <c r="H6192" s="8">
        <v>235</v>
      </c>
      <c r="J6192" t="s">
        <v>23</v>
      </c>
      <c r="K6192" s="7">
        <v>975</v>
      </c>
      <c r="L6192" s="9">
        <v>1</v>
      </c>
      <c r="M6192" t="s">
        <v>151</v>
      </c>
      <c r="N6192" t="s">
        <v>152</v>
      </c>
      <c r="O6192" s="27" t="str">
        <f>HYPERLINK("https://www.ncbi.nlm.nih.gov/nuccore/NZ_CP013129.1?report=graph&amp;from=5104539&amp;to=5104543", "TTA_codon")</f>
        <v>TTA_codon</v>
      </c>
    </row>
    <row r="6193" spans="1:15" x14ac:dyDescent="0.15">
      <c r="A6193" t="s">
        <v>21</v>
      </c>
      <c r="B6193">
        <v>1000277</v>
      </c>
      <c r="C6193">
        <v>360914</v>
      </c>
      <c r="F6193" s="7">
        <v>1</v>
      </c>
      <c r="G6193" s="7">
        <v>748</v>
      </c>
      <c r="H6193" s="8">
        <v>109</v>
      </c>
      <c r="J6193" t="s">
        <v>23</v>
      </c>
      <c r="K6193" s="7">
        <v>846</v>
      </c>
      <c r="L6193" s="9">
        <v>1</v>
      </c>
      <c r="M6193" t="s">
        <v>4501</v>
      </c>
      <c r="N6193" t="s">
        <v>97</v>
      </c>
      <c r="O6193" s="27" t="str">
        <f>HYPERLINK("https://www.ncbi.nlm.nih.gov/nuccore/NZ_LOHS01000095.1?report=graph&amp;from=35635&amp;to=35639", "TTA_codon")</f>
        <v>TTA_codon</v>
      </c>
    </row>
    <row r="6194" spans="1:15" x14ac:dyDescent="0.15">
      <c r="A6194" t="s">
        <v>21</v>
      </c>
      <c r="B6194">
        <v>1000277</v>
      </c>
      <c r="C6194">
        <v>362453</v>
      </c>
      <c r="F6194" s="7">
        <v>1</v>
      </c>
      <c r="G6194" s="7">
        <v>748</v>
      </c>
      <c r="H6194" s="8">
        <v>136</v>
      </c>
      <c r="J6194" t="s">
        <v>23</v>
      </c>
      <c r="K6194" s="7">
        <v>882</v>
      </c>
      <c r="L6194" s="9">
        <v>1</v>
      </c>
      <c r="M6194" t="s">
        <v>32</v>
      </c>
      <c r="N6194" t="s">
        <v>33</v>
      </c>
      <c r="O6194" s="27" t="str">
        <f>HYPERLINK("https://www.ncbi.nlm.nih.gov/nuccore/NZ_CP017248.1?report=graph&amp;from=5552123&amp;to=5552127", "TTA_codon")</f>
        <v>TTA_codon</v>
      </c>
    </row>
    <row r="6195" spans="1:15" x14ac:dyDescent="0.15">
      <c r="A6195" t="s">
        <v>21</v>
      </c>
      <c r="B6195">
        <v>1000277</v>
      </c>
      <c r="C6195">
        <v>363259</v>
      </c>
      <c r="F6195" s="7">
        <v>1</v>
      </c>
      <c r="G6195" s="7">
        <v>748</v>
      </c>
      <c r="H6195" s="8">
        <v>244</v>
      </c>
      <c r="J6195" t="s">
        <v>23</v>
      </c>
      <c r="K6195" s="7">
        <v>981</v>
      </c>
      <c r="L6195" s="9">
        <v>1</v>
      </c>
      <c r="M6195" t="s">
        <v>4502</v>
      </c>
      <c r="N6195" t="s">
        <v>28</v>
      </c>
      <c r="O6195" s="27" t="str">
        <f>HYPERLINK("https://www.ncbi.nlm.nih.gov/nuccore/NZ_JUJA01000032.1?report=graph&amp;from=64866&amp;to=64870", "TTA_codon")</f>
        <v>TTA_codon</v>
      </c>
    </row>
    <row r="6196" spans="1:15" x14ac:dyDescent="0.15">
      <c r="A6196" t="s">
        <v>21</v>
      </c>
      <c r="B6196">
        <v>1000277</v>
      </c>
      <c r="C6196">
        <v>364368</v>
      </c>
      <c r="F6196" s="7">
        <v>1</v>
      </c>
      <c r="G6196" s="7">
        <v>748</v>
      </c>
      <c r="H6196" s="8">
        <v>58</v>
      </c>
      <c r="J6196" t="s">
        <v>23</v>
      </c>
      <c r="K6196" s="7">
        <v>963</v>
      </c>
      <c r="L6196" s="9">
        <v>1</v>
      </c>
      <c r="M6196" t="s">
        <v>105</v>
      </c>
      <c r="N6196" t="s">
        <v>106</v>
      </c>
      <c r="O6196" s="27" t="str">
        <f>HYPERLINK("https://www.ncbi.nlm.nih.gov/nuccore/NZ_CP020042.1?report=graph&amp;from=4393901&amp;to=4393905", "TTA_codon")</f>
        <v>TTA_codon</v>
      </c>
    </row>
    <row r="6197" spans="1:15" x14ac:dyDescent="0.15">
      <c r="A6197" t="s">
        <v>21</v>
      </c>
      <c r="B6197">
        <v>1000277</v>
      </c>
      <c r="C6197">
        <v>364549</v>
      </c>
      <c r="F6197" s="7">
        <v>1</v>
      </c>
      <c r="G6197" s="7">
        <v>748</v>
      </c>
      <c r="H6197" s="8">
        <v>127</v>
      </c>
      <c r="J6197" t="s">
        <v>23</v>
      </c>
      <c r="K6197" s="7">
        <v>864</v>
      </c>
      <c r="L6197" s="9">
        <v>1</v>
      </c>
      <c r="M6197" t="s">
        <v>4503</v>
      </c>
      <c r="N6197" t="s">
        <v>108</v>
      </c>
      <c r="O6197" s="27" t="str">
        <f>HYPERLINK("https://www.ncbi.nlm.nih.gov/nuccore/NZ_MUMD01000007.1?report=graph&amp;from=10933&amp;to=10937", "TTA_codon")</f>
        <v>TTA_codon</v>
      </c>
    </row>
    <row r="6198" spans="1:15" x14ac:dyDescent="0.15">
      <c r="A6198" t="s">
        <v>21</v>
      </c>
      <c r="B6198">
        <v>1000277</v>
      </c>
      <c r="C6198">
        <v>364826</v>
      </c>
      <c r="F6198" s="7">
        <v>1</v>
      </c>
      <c r="G6198" s="7">
        <v>748</v>
      </c>
      <c r="H6198" s="8">
        <v>112</v>
      </c>
      <c r="J6198" t="s">
        <v>23</v>
      </c>
      <c r="K6198" s="7">
        <v>852</v>
      </c>
      <c r="L6198" s="9">
        <v>1</v>
      </c>
      <c r="M6198" t="s">
        <v>126</v>
      </c>
      <c r="N6198" t="s">
        <v>127</v>
      </c>
      <c r="O6198" s="27" t="str">
        <f>HYPERLINK("https://www.ncbi.nlm.nih.gov/nuccore/NZ_CP021748.1?report=graph&amp;from=4130250&amp;to=4130254", "TTA_codon")</f>
        <v>TTA_codon</v>
      </c>
    </row>
    <row r="6199" spans="1:15" x14ac:dyDescent="0.15">
      <c r="A6199" t="s">
        <v>21</v>
      </c>
      <c r="B6199">
        <v>1000277</v>
      </c>
      <c r="C6199">
        <v>365330</v>
      </c>
      <c r="F6199" s="7">
        <v>1</v>
      </c>
      <c r="G6199" s="7">
        <v>745</v>
      </c>
      <c r="H6199" s="8">
        <v>109</v>
      </c>
      <c r="J6199" t="s">
        <v>23</v>
      </c>
      <c r="K6199" s="7">
        <v>861</v>
      </c>
      <c r="L6199" s="9">
        <v>1</v>
      </c>
      <c r="M6199" t="s">
        <v>3488</v>
      </c>
      <c r="N6199" t="s">
        <v>129</v>
      </c>
      <c r="O6199" s="27" t="str">
        <f>HYPERLINK("https://www.ncbi.nlm.nih.gov/nuccore/NZ_FNHI01000015.1?report=graph&amp;from=87309&amp;to=87313", "TTA_codon")</f>
        <v>TTA_codon</v>
      </c>
    </row>
    <row r="6200" spans="1:15" x14ac:dyDescent="0.15">
      <c r="A6200" t="s">
        <v>21</v>
      </c>
      <c r="B6200">
        <v>1000277</v>
      </c>
      <c r="C6200">
        <v>366181</v>
      </c>
      <c r="F6200" s="7">
        <v>1</v>
      </c>
      <c r="G6200" s="7">
        <v>748</v>
      </c>
      <c r="H6200" s="8">
        <v>181</v>
      </c>
      <c r="J6200" t="s">
        <v>23</v>
      </c>
      <c r="K6200" s="7">
        <v>924</v>
      </c>
      <c r="L6200" s="9">
        <v>1</v>
      </c>
      <c r="M6200" t="s">
        <v>1096</v>
      </c>
      <c r="N6200" t="s">
        <v>178</v>
      </c>
      <c r="O6200" s="27" t="str">
        <f>HYPERLINK("https://www.ncbi.nlm.nih.gov/nuccore/NZ_FOGO01000014.1?report=graph&amp;from=97955&amp;to=97959", "TTA_codon")</f>
        <v>TTA_codon</v>
      </c>
    </row>
    <row r="6201" spans="1:15" x14ac:dyDescent="0.15">
      <c r="A6201" t="s">
        <v>21</v>
      </c>
      <c r="B6201" t="s">
        <v>4504</v>
      </c>
    </row>
    <row r="6202" spans="1:15" x14ac:dyDescent="0.15">
      <c r="A6202" t="s">
        <v>21</v>
      </c>
      <c r="B6202">
        <v>1000620</v>
      </c>
      <c r="C6202">
        <v>350365</v>
      </c>
      <c r="F6202" s="7">
        <v>1</v>
      </c>
      <c r="G6202" s="7">
        <v>301</v>
      </c>
      <c r="H6202" s="8">
        <v>301</v>
      </c>
      <c r="J6202" t="s">
        <v>23</v>
      </c>
      <c r="K6202" s="7">
        <v>375</v>
      </c>
      <c r="L6202" s="9">
        <v>-1</v>
      </c>
      <c r="M6202" t="s">
        <v>35</v>
      </c>
      <c r="N6202" t="s">
        <v>36</v>
      </c>
      <c r="O6202" s="27" t="str">
        <f>HYPERLINK("https://www.ncbi.nlm.nih.gov/nuccore/NZ_JH725387.1?report=graph&amp;from=4105914&amp;to=4105918", "TTA_codon")</f>
        <v>TTA_codon</v>
      </c>
    </row>
    <row r="6203" spans="1:15" x14ac:dyDescent="0.15">
      <c r="A6203" t="s">
        <v>21</v>
      </c>
      <c r="B6203">
        <v>1000620</v>
      </c>
      <c r="C6203">
        <v>362338</v>
      </c>
      <c r="F6203" s="7">
        <v>1</v>
      </c>
      <c r="G6203" s="7">
        <v>301</v>
      </c>
      <c r="H6203" s="8">
        <v>298</v>
      </c>
      <c r="J6203" t="s">
        <v>23</v>
      </c>
      <c r="K6203" s="7">
        <v>372</v>
      </c>
      <c r="L6203" s="9">
        <v>-1</v>
      </c>
      <c r="M6203" t="s">
        <v>39</v>
      </c>
      <c r="N6203" t="s">
        <v>40</v>
      </c>
      <c r="O6203" s="27" t="str">
        <f>HYPERLINK("https://www.ncbi.nlm.nih.gov/nuccore/NZ_CP017157.1?report=graph&amp;from=927208&amp;to=927212", "TTA_codon")</f>
        <v>TTA_codon</v>
      </c>
    </row>
    <row r="6204" spans="1:15" x14ac:dyDescent="0.15">
      <c r="A6204" t="s">
        <v>21</v>
      </c>
      <c r="B6204" t="s">
        <v>4505</v>
      </c>
    </row>
    <row r="6205" spans="1:15" x14ac:dyDescent="0.15">
      <c r="A6205" t="s">
        <v>21</v>
      </c>
      <c r="B6205">
        <v>1001282</v>
      </c>
      <c r="C6205">
        <v>357931</v>
      </c>
      <c r="F6205" s="7">
        <v>1</v>
      </c>
      <c r="G6205" s="7">
        <v>184</v>
      </c>
      <c r="H6205" s="8">
        <v>166</v>
      </c>
      <c r="J6205" t="s">
        <v>23</v>
      </c>
      <c r="K6205" s="7">
        <v>774</v>
      </c>
      <c r="L6205" s="9">
        <v>-1</v>
      </c>
      <c r="M6205" t="s">
        <v>261</v>
      </c>
      <c r="N6205" t="s">
        <v>262</v>
      </c>
      <c r="O6205" s="27" t="str">
        <f>HYPERLINK("https://www.ncbi.nlm.nih.gov/nuccore/NZ_CP011340.1?report=graph&amp;from=4109973&amp;to=4109977", "TTA_codon")</f>
        <v>TTA_codon</v>
      </c>
    </row>
    <row r="6206" spans="1:15" x14ac:dyDescent="0.15">
      <c r="A6206" t="s">
        <v>21</v>
      </c>
      <c r="B6206">
        <v>1001282</v>
      </c>
      <c r="C6206">
        <v>358562</v>
      </c>
      <c r="F6206" s="7">
        <v>2</v>
      </c>
      <c r="G6206" s="7" t="s">
        <v>4506</v>
      </c>
      <c r="H6206" s="8" t="s">
        <v>4506</v>
      </c>
      <c r="J6206" t="s">
        <v>23</v>
      </c>
      <c r="K6206" s="7">
        <v>789</v>
      </c>
      <c r="L6206" s="9">
        <v>-1</v>
      </c>
      <c r="M6206" t="s">
        <v>4507</v>
      </c>
      <c r="N6206" t="s">
        <v>299</v>
      </c>
      <c r="O6206" s="27" t="str">
        <f>HYPERLINK("https://www.ncbi.nlm.nih.gov/nuccore/NZ_LIQY01000280.1?report=graph&amp;from=14921&amp;to=14976", "TTA_codon")</f>
        <v>TTA_codon</v>
      </c>
    </row>
    <row r="6207" spans="1:15" x14ac:dyDescent="0.15">
      <c r="A6207" t="s">
        <v>21</v>
      </c>
      <c r="B6207" t="s">
        <v>4508</v>
      </c>
    </row>
    <row r="6208" spans="1:15" x14ac:dyDescent="0.15">
      <c r="A6208" t="s">
        <v>21</v>
      </c>
      <c r="B6208">
        <v>1000459</v>
      </c>
      <c r="C6208">
        <v>348846</v>
      </c>
      <c r="F6208" s="7">
        <v>1</v>
      </c>
      <c r="G6208" s="7">
        <v>271</v>
      </c>
      <c r="H6208" s="8">
        <v>262</v>
      </c>
      <c r="J6208" t="s">
        <v>23</v>
      </c>
      <c r="K6208" s="7">
        <v>1977</v>
      </c>
      <c r="L6208" s="9">
        <v>-1</v>
      </c>
      <c r="M6208" t="s">
        <v>211</v>
      </c>
      <c r="N6208" t="s">
        <v>212</v>
      </c>
      <c r="O6208" s="27" t="str">
        <f>HYPERLINK("https://www.ncbi.nlm.nih.gov/nuccore/NZ_GG657754.1?report=graph&amp;from=2367676&amp;to=2367680", "TTA_codon")</f>
        <v>TTA_codon</v>
      </c>
    </row>
    <row r="6209" spans="1:15" x14ac:dyDescent="0.15">
      <c r="A6209" t="s">
        <v>21</v>
      </c>
      <c r="B6209">
        <v>1000459</v>
      </c>
      <c r="C6209">
        <v>350404</v>
      </c>
      <c r="F6209" s="7">
        <v>1</v>
      </c>
      <c r="G6209" s="7">
        <v>412</v>
      </c>
      <c r="H6209" s="8">
        <v>412</v>
      </c>
      <c r="J6209" t="s">
        <v>23</v>
      </c>
      <c r="K6209" s="7">
        <v>1836</v>
      </c>
      <c r="L6209" s="9">
        <v>-1</v>
      </c>
      <c r="M6209" t="s">
        <v>1224</v>
      </c>
      <c r="N6209" t="s">
        <v>36</v>
      </c>
      <c r="O6209" s="27" t="str">
        <f>HYPERLINK("https://www.ncbi.nlm.nih.gov/nuccore/NZ_JH725389.1?report=graph&amp;from=666300&amp;to=666304", "TTA_codon")</f>
        <v>TTA_codon</v>
      </c>
    </row>
    <row r="6210" spans="1:15" x14ac:dyDescent="0.15">
      <c r="A6210" t="s">
        <v>21</v>
      </c>
      <c r="B6210">
        <v>1000459</v>
      </c>
      <c r="C6210">
        <v>361845</v>
      </c>
      <c r="F6210" s="7">
        <v>2</v>
      </c>
      <c r="G6210" s="7" t="s">
        <v>4509</v>
      </c>
      <c r="H6210" s="8" t="s">
        <v>4510</v>
      </c>
      <c r="J6210" t="s">
        <v>23</v>
      </c>
      <c r="K6210" s="7">
        <v>1812</v>
      </c>
      <c r="L6210" s="9">
        <v>-1</v>
      </c>
      <c r="M6210" t="s">
        <v>37</v>
      </c>
      <c r="N6210" t="s">
        <v>38</v>
      </c>
      <c r="O6210" s="27" t="str">
        <f>HYPERLINK("https://www.ncbi.nlm.nih.gov/nuccore/NZ_CP011533.1?report=graph&amp;from=6513502&amp;to=6514670", "TTA_codon")</f>
        <v>TTA_codon</v>
      </c>
    </row>
    <row r="6211" spans="1:15" x14ac:dyDescent="0.15">
      <c r="A6211" t="s">
        <v>195</v>
      </c>
      <c r="B6211" t="s">
        <v>4511</v>
      </c>
    </row>
    <row r="6212" spans="1:15" x14ac:dyDescent="0.15">
      <c r="A6212" t="s">
        <v>195</v>
      </c>
      <c r="B6212">
        <v>1000151</v>
      </c>
      <c r="C6212">
        <v>347128</v>
      </c>
      <c r="F6212" s="7">
        <v>2</v>
      </c>
      <c r="G6212" s="7" t="s">
        <v>4512</v>
      </c>
      <c r="H6212" s="8" t="s">
        <v>4513</v>
      </c>
      <c r="J6212" t="s">
        <v>23</v>
      </c>
      <c r="K6212" s="7">
        <v>585</v>
      </c>
      <c r="L6212" s="9">
        <v>1</v>
      </c>
      <c r="M6212" t="s">
        <v>213</v>
      </c>
      <c r="N6212" t="s">
        <v>214</v>
      </c>
      <c r="O6212" s="27" t="str">
        <f>HYPERLINK("https://www.ncbi.nlm.nih.gov/nuccore/NZ_FNST01000002.1?report=graph&amp;from=1593386&amp;to=1593771", "TTA_codon")</f>
        <v>TTA_codon</v>
      </c>
    </row>
    <row r="6213" spans="1:15" x14ac:dyDescent="0.15">
      <c r="A6213" t="s">
        <v>21</v>
      </c>
      <c r="B6213">
        <v>1000151</v>
      </c>
      <c r="C6213">
        <v>363750</v>
      </c>
      <c r="F6213" s="7">
        <v>1</v>
      </c>
      <c r="G6213" s="7">
        <v>64</v>
      </c>
      <c r="H6213" s="8">
        <v>55</v>
      </c>
      <c r="J6213" t="s">
        <v>23</v>
      </c>
      <c r="K6213" s="7">
        <v>582</v>
      </c>
      <c r="L6213" s="9">
        <v>1</v>
      </c>
      <c r="M6213" t="s">
        <v>101</v>
      </c>
      <c r="N6213" t="s">
        <v>102</v>
      </c>
      <c r="O6213" s="27" t="str">
        <f>HYPERLINK("https://www.ncbi.nlm.nih.gov/nuccore/NZ_CP019458.1?report=graph&amp;from=4534115&amp;to=4534119", "TTA_codon")</f>
        <v>TTA_codon</v>
      </c>
    </row>
    <row r="6214" spans="1:15" x14ac:dyDescent="0.15">
      <c r="A6214" t="s">
        <v>21</v>
      </c>
      <c r="B6214">
        <v>1000151</v>
      </c>
      <c r="C6214">
        <v>363829</v>
      </c>
      <c r="F6214" s="7">
        <v>1</v>
      </c>
      <c r="G6214" s="7">
        <v>64</v>
      </c>
      <c r="H6214" s="8">
        <v>55</v>
      </c>
      <c r="J6214" t="s">
        <v>23</v>
      </c>
      <c r="K6214" s="7">
        <v>576</v>
      </c>
      <c r="L6214" s="9">
        <v>1</v>
      </c>
      <c r="M6214" t="s">
        <v>101</v>
      </c>
      <c r="N6214" t="s">
        <v>102</v>
      </c>
      <c r="O6214" s="27" t="str">
        <f>HYPERLINK("https://www.ncbi.nlm.nih.gov/nuccore/NZ_CP019458.1?report=graph&amp;from=7003812&amp;to=7003816", "TTA_codon")</f>
        <v>TTA_codon</v>
      </c>
    </row>
    <row r="6215" spans="1:15" x14ac:dyDescent="0.15">
      <c r="A6215" t="s">
        <v>21</v>
      </c>
      <c r="B6215">
        <v>1000151</v>
      </c>
      <c r="C6215">
        <v>363830</v>
      </c>
      <c r="F6215" s="7">
        <v>1</v>
      </c>
      <c r="G6215" s="7">
        <v>64</v>
      </c>
      <c r="H6215" s="8">
        <v>55</v>
      </c>
      <c r="J6215" t="s">
        <v>23</v>
      </c>
      <c r="K6215" s="7">
        <v>576</v>
      </c>
      <c r="L6215" s="9">
        <v>1</v>
      </c>
      <c r="M6215" t="s">
        <v>101</v>
      </c>
      <c r="N6215" t="s">
        <v>102</v>
      </c>
      <c r="O6215" s="27" t="str">
        <f>HYPERLINK("https://www.ncbi.nlm.nih.gov/nuccore/NZ_CP019458.1?report=graph&amp;from=6620706&amp;to=6620710", "TTA_codon")</f>
        <v>TTA_codon</v>
      </c>
    </row>
    <row r="6216" spans="1:15" x14ac:dyDescent="0.15">
      <c r="A6216" t="s">
        <v>21</v>
      </c>
      <c r="B6216">
        <v>1000151</v>
      </c>
      <c r="C6216">
        <v>363881</v>
      </c>
      <c r="F6216" s="7">
        <v>1</v>
      </c>
      <c r="G6216" s="7">
        <v>64</v>
      </c>
      <c r="H6216" s="8">
        <v>64</v>
      </c>
      <c r="J6216" t="s">
        <v>23</v>
      </c>
      <c r="K6216" s="7">
        <v>591</v>
      </c>
      <c r="L6216" s="9">
        <v>1</v>
      </c>
      <c r="M6216" t="s">
        <v>101</v>
      </c>
      <c r="N6216" t="s">
        <v>102</v>
      </c>
      <c r="O6216" s="27" t="str">
        <f>HYPERLINK("https://www.ncbi.nlm.nih.gov/nuccore/NZ_CP019458.1?report=graph&amp;from=8140906&amp;to=8140910", "TTA_codon")</f>
        <v>TTA_codon</v>
      </c>
    </row>
    <row r="6217" spans="1:15" x14ac:dyDescent="0.15">
      <c r="A6217" t="s">
        <v>21</v>
      </c>
      <c r="B6217" t="s">
        <v>4514</v>
      </c>
    </row>
    <row r="6218" spans="1:15" x14ac:dyDescent="0.15">
      <c r="A6218" t="s">
        <v>21</v>
      </c>
      <c r="B6218">
        <v>1000788</v>
      </c>
      <c r="C6218">
        <v>351870</v>
      </c>
      <c r="F6218" s="7">
        <v>1</v>
      </c>
      <c r="G6218" s="7">
        <v>625</v>
      </c>
      <c r="H6218" s="8">
        <v>625</v>
      </c>
      <c r="J6218" t="s">
        <v>23</v>
      </c>
      <c r="K6218" s="7">
        <v>741</v>
      </c>
      <c r="L6218" s="9">
        <v>1</v>
      </c>
      <c r="M6218" t="s">
        <v>4515</v>
      </c>
      <c r="N6218" t="s">
        <v>68</v>
      </c>
      <c r="O6218" s="27" t="str">
        <f>HYPERLINK("https://www.ncbi.nlm.nih.gov/nuccore/NZ_BARG01000058.1?report=graph&amp;from=35054&amp;to=35058", "TTA_codon")</f>
        <v>TTA_codon</v>
      </c>
    </row>
    <row r="6219" spans="1:15" x14ac:dyDescent="0.15">
      <c r="A6219" t="s">
        <v>21</v>
      </c>
      <c r="B6219">
        <v>1000788</v>
      </c>
      <c r="C6219">
        <v>359588</v>
      </c>
      <c r="F6219" s="7">
        <v>1</v>
      </c>
      <c r="G6219" s="7">
        <v>625</v>
      </c>
      <c r="H6219" s="8">
        <v>592</v>
      </c>
      <c r="J6219" t="s">
        <v>23</v>
      </c>
      <c r="K6219" s="7">
        <v>672</v>
      </c>
      <c r="L6219" s="9">
        <v>1</v>
      </c>
      <c r="M6219" t="s">
        <v>151</v>
      </c>
      <c r="N6219" t="s">
        <v>152</v>
      </c>
      <c r="O6219" s="27" t="str">
        <f>HYPERLINK("https://www.ncbi.nlm.nih.gov/nuccore/NZ_CP013129.1?report=graph&amp;from=7404344&amp;to=7404348", "TTA_codon")</f>
        <v>TTA_codon</v>
      </c>
    </row>
    <row r="6220" spans="1:15" x14ac:dyDescent="0.15">
      <c r="A6220" t="s">
        <v>21</v>
      </c>
      <c r="B6220" t="s">
        <v>4516</v>
      </c>
    </row>
    <row r="6221" spans="1:15" x14ac:dyDescent="0.15">
      <c r="A6221" t="s">
        <v>21</v>
      </c>
      <c r="B6221">
        <v>1001421</v>
      </c>
      <c r="C6221">
        <v>360580</v>
      </c>
      <c r="F6221" s="7">
        <v>1</v>
      </c>
      <c r="G6221" s="7">
        <v>76</v>
      </c>
      <c r="H6221" s="8">
        <v>76</v>
      </c>
      <c r="J6221" t="s">
        <v>23</v>
      </c>
      <c r="K6221" s="7">
        <v>297</v>
      </c>
      <c r="L6221" s="9">
        <v>1</v>
      </c>
      <c r="M6221" t="s">
        <v>121</v>
      </c>
      <c r="N6221" t="s">
        <v>122</v>
      </c>
      <c r="O6221" s="27" t="str">
        <f>HYPERLINK("https://www.ncbi.nlm.nih.gov/nuccore/NZ_CP016279.1?report=graph&amp;from=9431030&amp;to=9431034", "TTA_codon")</f>
        <v>TTA_codon</v>
      </c>
    </row>
    <row r="6222" spans="1:15" x14ac:dyDescent="0.15">
      <c r="A6222" t="s">
        <v>21</v>
      </c>
      <c r="B6222">
        <v>1001421</v>
      </c>
      <c r="C6222">
        <v>362511</v>
      </c>
      <c r="F6222" s="7">
        <v>1</v>
      </c>
      <c r="G6222" s="7">
        <v>76</v>
      </c>
      <c r="H6222" s="8">
        <v>76</v>
      </c>
      <c r="J6222" t="s">
        <v>23</v>
      </c>
      <c r="K6222" s="7">
        <v>297</v>
      </c>
      <c r="L6222" s="9">
        <v>1</v>
      </c>
      <c r="M6222" t="s">
        <v>32</v>
      </c>
      <c r="N6222" t="s">
        <v>33</v>
      </c>
      <c r="O6222" s="27" t="str">
        <f>HYPERLINK("https://www.ncbi.nlm.nih.gov/nuccore/NZ_CP017248.1?report=graph&amp;from=6389195&amp;to=6389199", "TTA_codon")</f>
        <v>TTA_codon</v>
      </c>
    </row>
    <row r="6223" spans="1:15" x14ac:dyDescent="0.15">
      <c r="A6223" t="s">
        <v>21</v>
      </c>
      <c r="B6223" t="s">
        <v>4517</v>
      </c>
    </row>
    <row r="6224" spans="1:15" x14ac:dyDescent="0.15">
      <c r="A6224" t="s">
        <v>21</v>
      </c>
      <c r="B6224">
        <v>1000553</v>
      </c>
      <c r="C6224">
        <v>349788</v>
      </c>
      <c r="F6224" s="7">
        <v>1</v>
      </c>
      <c r="G6224" s="7">
        <v>79</v>
      </c>
      <c r="H6224" s="8">
        <v>64</v>
      </c>
      <c r="J6224" t="s">
        <v>23</v>
      </c>
      <c r="K6224" s="7">
        <v>6192</v>
      </c>
      <c r="L6224" s="9">
        <v>1</v>
      </c>
      <c r="M6224" t="s">
        <v>420</v>
      </c>
      <c r="N6224" t="s">
        <v>266</v>
      </c>
      <c r="O6224" s="27" t="str">
        <f>HYPERLINK("https://www.ncbi.nlm.nih.gov/nuccore/NC_017585.1?report=graph&amp;from=1436025&amp;to=1436029", "TTA_codon")</f>
        <v>TTA_codon</v>
      </c>
    </row>
    <row r="6225" spans="1:15" x14ac:dyDescent="0.15">
      <c r="A6225" t="s">
        <v>21</v>
      </c>
      <c r="B6225">
        <v>1000553</v>
      </c>
      <c r="C6225">
        <v>353802</v>
      </c>
      <c r="F6225" s="7">
        <v>1</v>
      </c>
      <c r="G6225" s="7">
        <v>73</v>
      </c>
      <c r="H6225" s="8">
        <v>73</v>
      </c>
      <c r="J6225" t="s">
        <v>23</v>
      </c>
      <c r="K6225" s="7">
        <v>5568</v>
      </c>
      <c r="L6225" s="9">
        <v>1</v>
      </c>
      <c r="M6225" t="s">
        <v>1988</v>
      </c>
      <c r="N6225" t="s">
        <v>246</v>
      </c>
      <c r="O6225" s="27" t="str">
        <f>HYPERLINK("https://www.ncbi.nlm.nih.gov/nuccore/NZ_JNYR01000039.1?report=graph&amp;from=70444&amp;to=70448", "TTA_codon")</f>
        <v>TTA_codon</v>
      </c>
    </row>
    <row r="6226" spans="1:15" x14ac:dyDescent="0.15">
      <c r="A6226" t="s">
        <v>21</v>
      </c>
      <c r="B6226">
        <v>1000553</v>
      </c>
      <c r="C6226">
        <v>361647</v>
      </c>
      <c r="F6226" s="7">
        <v>1</v>
      </c>
      <c r="G6226" s="7">
        <v>73</v>
      </c>
      <c r="H6226" s="8">
        <v>58</v>
      </c>
      <c r="J6226" t="s">
        <v>23</v>
      </c>
      <c r="K6226" s="7">
        <v>5550</v>
      </c>
      <c r="L6226" s="9">
        <v>1</v>
      </c>
      <c r="M6226" t="s">
        <v>37</v>
      </c>
      <c r="N6226" t="s">
        <v>38</v>
      </c>
      <c r="O6226" s="27" t="str">
        <f>HYPERLINK("https://www.ncbi.nlm.nih.gov/nuccore/NZ_CP011533.1?report=graph&amp;from=380842&amp;to=380846", "TTA_codon")</f>
        <v>TTA_codon</v>
      </c>
    </row>
    <row r="6227" spans="1:15" x14ac:dyDescent="0.15">
      <c r="A6227" t="s">
        <v>21</v>
      </c>
      <c r="B6227">
        <v>1000553</v>
      </c>
      <c r="C6227">
        <v>366618</v>
      </c>
      <c r="F6227" s="7">
        <v>1</v>
      </c>
      <c r="G6227" s="7">
        <v>91</v>
      </c>
      <c r="H6227" s="8">
        <v>73</v>
      </c>
      <c r="J6227" t="s">
        <v>23</v>
      </c>
      <c r="K6227" s="7">
        <v>5817</v>
      </c>
      <c r="L6227" s="9">
        <v>1</v>
      </c>
      <c r="M6227" t="s">
        <v>350</v>
      </c>
      <c r="N6227" t="s">
        <v>180</v>
      </c>
      <c r="O6227" s="27" t="str">
        <f>HYPERLINK("https://www.ncbi.nlm.nih.gov/nuccore/NZ_FRBI01000008.1?report=graph&amp;from=215825&amp;to=215829", "TTA_codon")</f>
        <v>TTA_codon</v>
      </c>
    </row>
    <row r="6228" spans="1:15" x14ac:dyDescent="0.15">
      <c r="A6228" t="s">
        <v>21</v>
      </c>
      <c r="B6228" t="s">
        <v>4518</v>
      </c>
    </row>
    <row r="6229" spans="1:15" x14ac:dyDescent="0.15">
      <c r="A6229" t="s">
        <v>21</v>
      </c>
      <c r="B6229">
        <v>1000435</v>
      </c>
      <c r="C6229">
        <v>347338</v>
      </c>
      <c r="F6229" s="7">
        <v>1</v>
      </c>
      <c r="G6229" s="7">
        <v>229</v>
      </c>
      <c r="H6229" s="8">
        <v>172</v>
      </c>
      <c r="J6229" t="s">
        <v>23</v>
      </c>
      <c r="K6229" s="7">
        <v>846</v>
      </c>
      <c r="L6229" s="9">
        <v>1</v>
      </c>
      <c r="M6229" t="s">
        <v>217</v>
      </c>
      <c r="N6229" t="s">
        <v>218</v>
      </c>
      <c r="O6229" s="27" t="str">
        <f>HYPERLINK("https://www.ncbi.nlm.nih.gov/nuccore/NC_021985.1?report=graph&amp;from=1553387&amp;to=1553391", "TTA_codon")</f>
        <v>TTA_codon</v>
      </c>
    </row>
    <row r="6230" spans="1:15" x14ac:dyDescent="0.15">
      <c r="A6230" t="s">
        <v>21</v>
      </c>
      <c r="B6230">
        <v>1000435</v>
      </c>
      <c r="C6230">
        <v>347994</v>
      </c>
      <c r="F6230" s="7">
        <v>1</v>
      </c>
      <c r="G6230" s="7">
        <v>100</v>
      </c>
      <c r="H6230" s="8">
        <v>55</v>
      </c>
      <c r="J6230" t="s">
        <v>23</v>
      </c>
      <c r="K6230" s="7">
        <v>855</v>
      </c>
      <c r="L6230" s="9">
        <v>1</v>
      </c>
      <c r="M6230" t="s">
        <v>59</v>
      </c>
      <c r="N6230" t="s">
        <v>60</v>
      </c>
      <c r="O6230" s="27" t="str">
        <f>HYPERLINK("https://www.ncbi.nlm.nih.gov/nuccore/NC_016582.1?report=graph&amp;from=6952802&amp;to=6952806", "TTA_codon")</f>
        <v>TTA_codon</v>
      </c>
    </row>
    <row r="6231" spans="1:15" x14ac:dyDescent="0.15">
      <c r="A6231" t="s">
        <v>21</v>
      </c>
      <c r="B6231">
        <v>1000435</v>
      </c>
      <c r="C6231">
        <v>348715</v>
      </c>
      <c r="F6231" s="7">
        <v>2</v>
      </c>
      <c r="G6231" s="7" t="s">
        <v>4519</v>
      </c>
      <c r="H6231" s="8" t="s">
        <v>4520</v>
      </c>
      <c r="J6231" t="s">
        <v>23</v>
      </c>
      <c r="K6231" s="7">
        <v>855</v>
      </c>
      <c r="L6231" s="9">
        <v>1</v>
      </c>
      <c r="M6231" t="s">
        <v>211</v>
      </c>
      <c r="N6231" t="s">
        <v>212</v>
      </c>
      <c r="O6231" s="27" t="str">
        <f>HYPERLINK("https://www.ncbi.nlm.nih.gov/nuccore/NZ_GG657754.1?report=graph&amp;from=1088045&amp;to=1088118", "TTA_codon")</f>
        <v>TTA_codon</v>
      </c>
    </row>
    <row r="6232" spans="1:15" x14ac:dyDescent="0.15">
      <c r="A6232" t="s">
        <v>21</v>
      </c>
      <c r="B6232">
        <v>1000435</v>
      </c>
      <c r="C6232">
        <v>348716</v>
      </c>
      <c r="F6232" s="7">
        <v>1</v>
      </c>
      <c r="G6232" s="7">
        <v>76</v>
      </c>
      <c r="H6232" s="8">
        <v>40</v>
      </c>
      <c r="J6232" t="s">
        <v>23</v>
      </c>
      <c r="K6232" s="7">
        <v>852</v>
      </c>
      <c r="L6232" s="9">
        <v>1</v>
      </c>
      <c r="M6232" t="s">
        <v>211</v>
      </c>
      <c r="N6232" t="s">
        <v>212</v>
      </c>
      <c r="O6232" s="27" t="str">
        <f>HYPERLINK("https://www.ncbi.nlm.nih.gov/nuccore/NZ_GG657754.1?report=graph&amp;from=1033307&amp;to=1033311", "TTA_codon")</f>
        <v>TTA_codon</v>
      </c>
    </row>
    <row r="6233" spans="1:15" x14ac:dyDescent="0.15">
      <c r="A6233" t="s">
        <v>21</v>
      </c>
      <c r="B6233">
        <v>1000435</v>
      </c>
      <c r="C6233">
        <v>348717</v>
      </c>
      <c r="F6233" s="7">
        <v>1</v>
      </c>
      <c r="G6233" s="7">
        <v>400</v>
      </c>
      <c r="H6233" s="8">
        <v>274</v>
      </c>
      <c r="J6233" t="s">
        <v>23</v>
      </c>
      <c r="K6233" s="7">
        <v>804</v>
      </c>
      <c r="L6233" s="9">
        <v>1</v>
      </c>
      <c r="M6233" t="s">
        <v>211</v>
      </c>
      <c r="N6233" t="s">
        <v>212</v>
      </c>
      <c r="O6233" s="27" t="str">
        <f>HYPERLINK("https://www.ncbi.nlm.nih.gov/nuccore/NZ_GG657754.1?report=graph&amp;from=4914146&amp;to=4914150", "TTA_codon")</f>
        <v>TTA_codon</v>
      </c>
    </row>
    <row r="6234" spans="1:15" x14ac:dyDescent="0.15">
      <c r="A6234" t="s">
        <v>21</v>
      </c>
      <c r="B6234">
        <v>1000435</v>
      </c>
      <c r="C6234">
        <v>349299</v>
      </c>
      <c r="F6234" s="7">
        <v>1</v>
      </c>
      <c r="G6234" s="7">
        <v>229</v>
      </c>
      <c r="H6234" s="8">
        <v>172</v>
      </c>
      <c r="J6234" t="s">
        <v>23</v>
      </c>
      <c r="K6234" s="7">
        <v>846</v>
      </c>
      <c r="L6234" s="9">
        <v>1</v>
      </c>
      <c r="M6234" t="s">
        <v>458</v>
      </c>
      <c r="N6234" t="s">
        <v>315</v>
      </c>
      <c r="O6234" s="27" t="str">
        <f>HYPERLINK("https://www.ncbi.nlm.nih.gov/nuccore/NC_003888.3?report=graph&amp;from=1314025&amp;to=1314029", "TTA_codon")</f>
        <v>TTA_codon</v>
      </c>
    </row>
    <row r="6235" spans="1:15" x14ac:dyDescent="0.15">
      <c r="A6235" t="s">
        <v>21</v>
      </c>
      <c r="B6235">
        <v>1000435</v>
      </c>
      <c r="C6235">
        <v>349581</v>
      </c>
      <c r="F6235" s="7">
        <v>1</v>
      </c>
      <c r="G6235" s="7">
        <v>229</v>
      </c>
      <c r="H6235" s="8">
        <v>172</v>
      </c>
      <c r="J6235" t="s">
        <v>23</v>
      </c>
      <c r="K6235" s="7">
        <v>846</v>
      </c>
      <c r="L6235" s="9">
        <v>1</v>
      </c>
      <c r="M6235" t="s">
        <v>4521</v>
      </c>
      <c r="N6235" t="s">
        <v>335</v>
      </c>
      <c r="O6235" s="27" t="str">
        <f>HYPERLINK("https://www.ncbi.nlm.nih.gov/nuccore/NZ_AGBF01000338.1?report=graph&amp;from=916&amp;to=920", "TTA_codon")</f>
        <v>TTA_codon</v>
      </c>
    </row>
    <row r="6236" spans="1:15" x14ac:dyDescent="0.15">
      <c r="A6236" t="s">
        <v>21</v>
      </c>
      <c r="B6236">
        <v>1000435</v>
      </c>
      <c r="C6236">
        <v>349923</v>
      </c>
      <c r="F6236" s="7">
        <v>1</v>
      </c>
      <c r="G6236" s="7">
        <v>109</v>
      </c>
      <c r="H6236" s="8">
        <v>55</v>
      </c>
      <c r="J6236" t="s">
        <v>23</v>
      </c>
      <c r="K6236" s="7">
        <v>846</v>
      </c>
      <c r="L6236" s="9">
        <v>1</v>
      </c>
      <c r="M6236" t="s">
        <v>4522</v>
      </c>
      <c r="N6236" t="s">
        <v>249</v>
      </c>
      <c r="O6236" s="27" t="str">
        <f>HYPERLINK("https://www.ncbi.nlm.nih.gov/nuccore/NZ_AHBF01000057.1?report=graph&amp;from=122269&amp;to=122273", "TTA_codon")</f>
        <v>TTA_codon</v>
      </c>
    </row>
    <row r="6237" spans="1:15" x14ac:dyDescent="0.15">
      <c r="A6237" t="s">
        <v>21</v>
      </c>
      <c r="B6237">
        <v>1000435</v>
      </c>
      <c r="C6237">
        <v>350720</v>
      </c>
      <c r="F6237" s="7">
        <v>1</v>
      </c>
      <c r="G6237" s="7">
        <v>229</v>
      </c>
      <c r="H6237" s="8">
        <v>172</v>
      </c>
      <c r="J6237" t="s">
        <v>23</v>
      </c>
      <c r="K6237" s="7">
        <v>843</v>
      </c>
      <c r="L6237" s="9">
        <v>1</v>
      </c>
      <c r="M6237" t="s">
        <v>4523</v>
      </c>
      <c r="N6237" t="s">
        <v>51</v>
      </c>
      <c r="O6237" s="27" t="str">
        <f>HYPERLINK("https://www.ncbi.nlm.nih.gov/nuccore/NZ_AEJB01000460.1?report=graph&amp;from=927&amp;to=931", "TTA_codon")</f>
        <v>TTA_codon</v>
      </c>
    </row>
    <row r="6238" spans="1:15" x14ac:dyDescent="0.15">
      <c r="A6238" t="s">
        <v>21</v>
      </c>
      <c r="B6238">
        <v>1000435</v>
      </c>
      <c r="C6238">
        <v>351752</v>
      </c>
      <c r="F6238" s="7">
        <v>1</v>
      </c>
      <c r="G6238" s="7">
        <v>229</v>
      </c>
      <c r="H6238" s="8">
        <v>172</v>
      </c>
      <c r="J6238" t="s">
        <v>23</v>
      </c>
      <c r="K6238" s="7">
        <v>855</v>
      </c>
      <c r="L6238" s="9">
        <v>1</v>
      </c>
      <c r="M6238" t="s">
        <v>4524</v>
      </c>
      <c r="N6238" t="s">
        <v>68</v>
      </c>
      <c r="O6238" s="27" t="str">
        <f>HYPERLINK("https://www.ncbi.nlm.nih.gov/nuccore/NZ_BARG01000045.1?report=graph&amp;from=125517&amp;to=125521", "TTA_codon")</f>
        <v>TTA_codon</v>
      </c>
    </row>
    <row r="6239" spans="1:15" x14ac:dyDescent="0.15">
      <c r="A6239" t="s">
        <v>21</v>
      </c>
      <c r="B6239">
        <v>1000435</v>
      </c>
      <c r="C6239">
        <v>352559</v>
      </c>
      <c r="F6239" s="7">
        <v>3</v>
      </c>
      <c r="G6239" s="7" t="s">
        <v>4525</v>
      </c>
      <c r="H6239" s="8" t="s">
        <v>4526</v>
      </c>
      <c r="J6239" t="s">
        <v>23</v>
      </c>
      <c r="K6239" s="7">
        <v>846</v>
      </c>
      <c r="L6239" s="9">
        <v>1</v>
      </c>
      <c r="M6239" t="s">
        <v>4527</v>
      </c>
      <c r="N6239" t="s">
        <v>436</v>
      </c>
      <c r="O6239" s="27" t="str">
        <f>HYPERLINK("https://www.ncbi.nlm.nih.gov/nuccore/NZ_AUBE01000036.1?report=graph&amp;from=12696&amp;to=12742", "TTA_codon")</f>
        <v>TTA_codon</v>
      </c>
    </row>
    <row r="6240" spans="1:15" x14ac:dyDescent="0.15">
      <c r="A6240" t="s">
        <v>21</v>
      </c>
      <c r="B6240">
        <v>1000435</v>
      </c>
      <c r="C6240">
        <v>354281</v>
      </c>
      <c r="F6240" s="7">
        <v>1</v>
      </c>
      <c r="G6240" s="7">
        <v>235</v>
      </c>
      <c r="H6240" s="8">
        <v>187</v>
      </c>
      <c r="J6240" t="s">
        <v>23</v>
      </c>
      <c r="K6240" s="7">
        <v>849</v>
      </c>
      <c r="L6240" s="9">
        <v>1</v>
      </c>
      <c r="M6240" t="s">
        <v>193</v>
      </c>
      <c r="N6240" t="s">
        <v>142</v>
      </c>
      <c r="O6240" s="27" t="str">
        <f>HYPERLINK("https://www.ncbi.nlm.nih.gov/nuccore/NZ_JOEI01000011.1?report=graph&amp;from=90999&amp;to=91003", "TTA_codon")</f>
        <v>TTA_codon</v>
      </c>
    </row>
    <row r="6241" spans="1:15" x14ac:dyDescent="0.15">
      <c r="A6241" t="s">
        <v>21</v>
      </c>
      <c r="B6241">
        <v>1000435</v>
      </c>
      <c r="C6241">
        <v>354530</v>
      </c>
      <c r="F6241" s="7">
        <v>1</v>
      </c>
      <c r="G6241" s="7">
        <v>229</v>
      </c>
      <c r="H6241" s="8">
        <v>172</v>
      </c>
      <c r="J6241" t="s">
        <v>23</v>
      </c>
      <c r="K6241" s="7">
        <v>846</v>
      </c>
      <c r="L6241" s="9">
        <v>1</v>
      </c>
      <c r="M6241" t="s">
        <v>415</v>
      </c>
      <c r="N6241" t="s">
        <v>272</v>
      </c>
      <c r="O6241" s="27" t="str">
        <f>HYPERLINK("https://www.ncbi.nlm.nih.gov/nuccore/NZ_JOEY01000041.1?report=graph&amp;from=79878&amp;to=79882", "TTA_codon")</f>
        <v>TTA_codon</v>
      </c>
    </row>
    <row r="6242" spans="1:15" x14ac:dyDescent="0.15">
      <c r="A6242" t="s">
        <v>21</v>
      </c>
      <c r="B6242">
        <v>1000435</v>
      </c>
      <c r="C6242">
        <v>355258</v>
      </c>
      <c r="F6242" s="7">
        <v>1</v>
      </c>
      <c r="G6242" s="7">
        <v>100</v>
      </c>
      <c r="H6242" s="8">
        <v>61</v>
      </c>
      <c r="J6242" t="s">
        <v>23</v>
      </c>
      <c r="K6242" s="7">
        <v>852</v>
      </c>
      <c r="L6242" s="9">
        <v>1</v>
      </c>
      <c r="M6242" t="s">
        <v>4528</v>
      </c>
      <c r="N6242" t="s">
        <v>295</v>
      </c>
      <c r="O6242" s="27" t="str">
        <f>HYPERLINK("https://www.ncbi.nlm.nih.gov/nuccore/NZ_JODL01000023.1?report=graph&amp;from=60271&amp;to=60275", "TTA_codon")</f>
        <v>TTA_codon</v>
      </c>
    </row>
    <row r="6243" spans="1:15" x14ac:dyDescent="0.15">
      <c r="A6243" t="s">
        <v>21</v>
      </c>
      <c r="B6243">
        <v>1000435</v>
      </c>
      <c r="C6243">
        <v>355381</v>
      </c>
      <c r="F6243" s="7">
        <v>1</v>
      </c>
      <c r="G6243" s="7">
        <v>421</v>
      </c>
      <c r="H6243" s="8">
        <v>358</v>
      </c>
      <c r="J6243" t="s">
        <v>23</v>
      </c>
      <c r="K6243" s="7">
        <v>864</v>
      </c>
      <c r="L6243" s="9">
        <v>1</v>
      </c>
      <c r="M6243" t="s">
        <v>809</v>
      </c>
      <c r="N6243" t="s">
        <v>198</v>
      </c>
      <c r="O6243" s="27" t="str">
        <f>HYPERLINK("https://www.ncbi.nlm.nih.gov/nuccore/NZ_JOFL01000001.1?report=graph&amp;from=368867&amp;to=368871", "TTA_codon")</f>
        <v>TTA_codon</v>
      </c>
    </row>
    <row r="6244" spans="1:15" x14ac:dyDescent="0.15">
      <c r="A6244" t="s">
        <v>21</v>
      </c>
      <c r="B6244">
        <v>1000435</v>
      </c>
      <c r="C6244">
        <v>356006</v>
      </c>
      <c r="F6244" s="7">
        <v>1</v>
      </c>
      <c r="G6244" s="7">
        <v>100</v>
      </c>
      <c r="H6244" s="8">
        <v>46</v>
      </c>
      <c r="J6244" t="s">
        <v>23</v>
      </c>
      <c r="K6244" s="7">
        <v>846</v>
      </c>
      <c r="L6244" s="9">
        <v>1</v>
      </c>
      <c r="M6244" t="s">
        <v>3572</v>
      </c>
      <c r="N6244" t="s">
        <v>146</v>
      </c>
      <c r="O6244" s="27" t="str">
        <f>HYPERLINK("https://www.ncbi.nlm.nih.gov/nuccore/NZ_JOFH01000001.1?report=graph&amp;from=511683&amp;to=511687", "TTA_codon")</f>
        <v>TTA_codon</v>
      </c>
    </row>
    <row r="6245" spans="1:15" x14ac:dyDescent="0.15">
      <c r="A6245" t="s">
        <v>21</v>
      </c>
      <c r="B6245">
        <v>1000435</v>
      </c>
      <c r="C6245">
        <v>356341</v>
      </c>
      <c r="F6245" s="7">
        <v>1</v>
      </c>
      <c r="G6245" s="7">
        <v>265</v>
      </c>
      <c r="H6245" s="8">
        <v>208</v>
      </c>
      <c r="J6245" t="s">
        <v>23</v>
      </c>
      <c r="K6245" s="7">
        <v>843</v>
      </c>
      <c r="L6245" s="9">
        <v>1</v>
      </c>
      <c r="M6245" t="s">
        <v>1435</v>
      </c>
      <c r="N6245" t="s">
        <v>354</v>
      </c>
      <c r="O6245" s="27" t="str">
        <f>HYPERLINK("https://www.ncbi.nlm.nih.gov/nuccore/NZ_JQJU01000005.1?report=graph&amp;from=154855&amp;to=154859", "TTA_codon")</f>
        <v>TTA_codon</v>
      </c>
    </row>
    <row r="6246" spans="1:15" x14ac:dyDescent="0.15">
      <c r="A6246" t="s">
        <v>21</v>
      </c>
      <c r="B6246">
        <v>1000435</v>
      </c>
      <c r="C6246">
        <v>356497</v>
      </c>
      <c r="F6246" s="7">
        <v>1</v>
      </c>
      <c r="G6246" s="7">
        <v>229</v>
      </c>
      <c r="H6246" s="8">
        <v>172</v>
      </c>
      <c r="J6246" t="s">
        <v>23</v>
      </c>
      <c r="K6246" s="7">
        <v>846</v>
      </c>
      <c r="L6246" s="9">
        <v>1</v>
      </c>
      <c r="M6246" t="s">
        <v>508</v>
      </c>
      <c r="N6246" t="s">
        <v>509</v>
      </c>
      <c r="O6246" s="27" t="str">
        <f>HYPERLINK("https://www.ncbi.nlm.nih.gov/nuccore/NZ_CP009438.1?report=graph&amp;from=1153417&amp;to=1153421", "TTA_codon")</f>
        <v>TTA_codon</v>
      </c>
    </row>
    <row r="6247" spans="1:15" x14ac:dyDescent="0.15">
      <c r="A6247" t="s">
        <v>21</v>
      </c>
      <c r="B6247">
        <v>1000435</v>
      </c>
      <c r="C6247">
        <v>356630</v>
      </c>
      <c r="F6247" s="7">
        <v>1</v>
      </c>
      <c r="G6247" s="7">
        <v>721</v>
      </c>
      <c r="H6247" s="8">
        <v>604</v>
      </c>
      <c r="J6247" t="s">
        <v>23</v>
      </c>
      <c r="K6247" s="7">
        <v>846</v>
      </c>
      <c r="L6247" s="9">
        <v>1</v>
      </c>
      <c r="M6247" t="s">
        <v>147</v>
      </c>
      <c r="N6247" t="s">
        <v>148</v>
      </c>
      <c r="O6247" s="27" t="str">
        <f>HYPERLINK("https://www.ncbi.nlm.nih.gov/nuccore/NZ_CP021080.1?report=graph&amp;from=555278&amp;to=555282", "TTA_codon")</f>
        <v>TTA_codon</v>
      </c>
    </row>
    <row r="6248" spans="1:15" x14ac:dyDescent="0.15">
      <c r="A6248" t="s">
        <v>21</v>
      </c>
      <c r="B6248">
        <v>1000435</v>
      </c>
      <c r="C6248">
        <v>356833</v>
      </c>
      <c r="F6248" s="7">
        <v>1</v>
      </c>
      <c r="G6248" s="7">
        <v>691</v>
      </c>
      <c r="H6248" s="8">
        <v>577</v>
      </c>
      <c r="J6248" t="s">
        <v>23</v>
      </c>
      <c r="K6248" s="7">
        <v>846</v>
      </c>
      <c r="L6248" s="9">
        <v>1</v>
      </c>
      <c r="M6248" t="s">
        <v>78</v>
      </c>
      <c r="N6248" t="s">
        <v>79</v>
      </c>
      <c r="O6248" s="27" t="str">
        <f>HYPERLINK("https://www.ncbi.nlm.nih.gov/nuccore/NZ_CP009313.1?report=graph&amp;from=1240730&amp;to=1240734", "TTA_codon")</f>
        <v>TTA_codon</v>
      </c>
    </row>
    <row r="6249" spans="1:15" x14ac:dyDescent="0.15">
      <c r="A6249" t="s">
        <v>21</v>
      </c>
      <c r="B6249">
        <v>1000435</v>
      </c>
      <c r="C6249">
        <v>358067</v>
      </c>
      <c r="F6249" s="7">
        <v>1</v>
      </c>
      <c r="G6249" s="7">
        <v>274</v>
      </c>
      <c r="H6249" s="8">
        <v>217</v>
      </c>
      <c r="J6249" t="s">
        <v>23</v>
      </c>
      <c r="K6249" s="7">
        <v>843</v>
      </c>
      <c r="L6249" s="9">
        <v>1</v>
      </c>
      <c r="M6249" t="s">
        <v>4529</v>
      </c>
      <c r="N6249" t="s">
        <v>119</v>
      </c>
      <c r="O6249" s="27" t="str">
        <f>HYPERLINK("https://www.ncbi.nlm.nih.gov/nuccore/NZ_LIPP01000147.1?report=graph&amp;from=18598&amp;to=18602", "TTA_codon")</f>
        <v>TTA_codon</v>
      </c>
    </row>
    <row r="6250" spans="1:15" x14ac:dyDescent="0.15">
      <c r="A6250" t="s">
        <v>21</v>
      </c>
      <c r="B6250">
        <v>1000435</v>
      </c>
      <c r="C6250">
        <v>358331</v>
      </c>
      <c r="F6250" s="7">
        <v>2</v>
      </c>
      <c r="G6250" s="7" t="s">
        <v>4530</v>
      </c>
      <c r="H6250" s="8" t="s">
        <v>4531</v>
      </c>
      <c r="J6250" t="s">
        <v>23</v>
      </c>
      <c r="K6250" s="7">
        <v>807</v>
      </c>
      <c r="L6250" s="9">
        <v>1</v>
      </c>
      <c r="M6250" t="s">
        <v>1826</v>
      </c>
      <c r="N6250" t="s">
        <v>85</v>
      </c>
      <c r="O6250" s="27" t="str">
        <f>HYPERLINK("https://www.ncbi.nlm.nih.gov/nuccore/NZ_LIQX01000428.1?report=graph&amp;from=1747&amp;to=2144", "TTA_codon")</f>
        <v>TTA_codon</v>
      </c>
    </row>
    <row r="6251" spans="1:15" x14ac:dyDescent="0.15">
      <c r="A6251" t="s">
        <v>21</v>
      </c>
      <c r="B6251">
        <v>1000435</v>
      </c>
      <c r="C6251">
        <v>359022</v>
      </c>
      <c r="F6251" s="7">
        <v>1</v>
      </c>
      <c r="G6251" s="7">
        <v>616</v>
      </c>
      <c r="H6251" s="8">
        <v>520</v>
      </c>
      <c r="J6251" t="s">
        <v>23</v>
      </c>
      <c r="K6251" s="7">
        <v>858</v>
      </c>
      <c r="L6251" s="9">
        <v>1</v>
      </c>
      <c r="M6251" t="s">
        <v>4532</v>
      </c>
      <c r="N6251" t="s">
        <v>451</v>
      </c>
      <c r="O6251" s="27" t="str">
        <f>HYPERLINK("https://www.ncbi.nlm.nih.gov/nuccore/NZ_LIQZ01000161.1?report=graph&amp;from=12489&amp;to=12493", "TTA_codon")</f>
        <v>TTA_codon</v>
      </c>
    </row>
    <row r="6252" spans="1:15" x14ac:dyDescent="0.15">
      <c r="A6252" t="s">
        <v>21</v>
      </c>
      <c r="B6252">
        <v>1000435</v>
      </c>
      <c r="C6252">
        <v>359625</v>
      </c>
      <c r="F6252" s="7">
        <v>1</v>
      </c>
      <c r="G6252" s="7">
        <v>421</v>
      </c>
      <c r="H6252" s="8">
        <v>334</v>
      </c>
      <c r="J6252" t="s">
        <v>23</v>
      </c>
      <c r="K6252" s="7">
        <v>855</v>
      </c>
      <c r="L6252" s="9">
        <v>1</v>
      </c>
      <c r="M6252" t="s">
        <v>3584</v>
      </c>
      <c r="N6252" t="s">
        <v>651</v>
      </c>
      <c r="O6252" s="27" t="str">
        <f>HYPERLINK("https://www.ncbi.nlm.nih.gov/nuccore/NZ_LN929769.1?report=graph&amp;from=103694&amp;to=103698", "TTA_codon")</f>
        <v>TTA_codon</v>
      </c>
    </row>
    <row r="6253" spans="1:15" x14ac:dyDescent="0.15">
      <c r="A6253" t="s">
        <v>21</v>
      </c>
      <c r="B6253">
        <v>1000435</v>
      </c>
      <c r="C6253">
        <v>359808</v>
      </c>
      <c r="F6253" s="7">
        <v>1</v>
      </c>
      <c r="G6253" s="7">
        <v>565</v>
      </c>
      <c r="H6253" s="8">
        <v>505</v>
      </c>
      <c r="J6253" t="s">
        <v>23</v>
      </c>
      <c r="K6253" s="7">
        <v>891</v>
      </c>
      <c r="L6253" s="9">
        <v>1</v>
      </c>
      <c r="M6253" t="s">
        <v>3198</v>
      </c>
      <c r="N6253" t="s">
        <v>91</v>
      </c>
      <c r="O6253" s="27" t="str">
        <f>HYPERLINK("https://www.ncbi.nlm.nih.gov/nuccore/NZ_KQ948325.1?report=graph&amp;from=34787&amp;to=34791", "TTA_codon")</f>
        <v>TTA_codon</v>
      </c>
    </row>
    <row r="6254" spans="1:15" x14ac:dyDescent="0.15">
      <c r="A6254" t="s">
        <v>21</v>
      </c>
      <c r="B6254">
        <v>1000435</v>
      </c>
      <c r="C6254">
        <v>360026</v>
      </c>
      <c r="F6254" s="7">
        <v>2</v>
      </c>
      <c r="G6254" s="7" t="s">
        <v>4533</v>
      </c>
      <c r="H6254" s="8" t="s">
        <v>4534</v>
      </c>
      <c r="J6254" t="s">
        <v>23</v>
      </c>
      <c r="K6254" s="7">
        <v>843</v>
      </c>
      <c r="L6254" s="9">
        <v>1</v>
      </c>
      <c r="M6254" t="s">
        <v>630</v>
      </c>
      <c r="N6254" t="s">
        <v>125</v>
      </c>
      <c r="O6254" s="27" t="str">
        <f>HYPERLINK("https://www.ncbi.nlm.nih.gov/nuccore/NZ_KQ948468.1?report=graph&amp;from=85923&amp;to=86251", "TTA_codon")</f>
        <v>TTA_codon</v>
      </c>
    </row>
    <row r="6255" spans="1:15" x14ac:dyDescent="0.15">
      <c r="A6255" t="s">
        <v>21</v>
      </c>
      <c r="B6255">
        <v>1000435</v>
      </c>
      <c r="C6255">
        <v>360346</v>
      </c>
      <c r="F6255" s="7">
        <v>1</v>
      </c>
      <c r="G6255" s="7">
        <v>229</v>
      </c>
      <c r="H6255" s="8">
        <v>172</v>
      </c>
      <c r="J6255" t="s">
        <v>23</v>
      </c>
      <c r="K6255" s="7">
        <v>846</v>
      </c>
      <c r="L6255" s="9">
        <v>1</v>
      </c>
      <c r="M6255" t="s">
        <v>121</v>
      </c>
      <c r="N6255" t="s">
        <v>122</v>
      </c>
      <c r="O6255" s="27" t="str">
        <f>HYPERLINK("https://www.ncbi.nlm.nih.gov/nuccore/NZ_CP016279.1?report=graph&amp;from=7391310&amp;to=7391314", "TTA_codon")</f>
        <v>TTA_codon</v>
      </c>
    </row>
    <row r="6256" spans="1:15" x14ac:dyDescent="0.15">
      <c r="A6256" t="s">
        <v>21</v>
      </c>
      <c r="B6256">
        <v>1000435</v>
      </c>
      <c r="C6256">
        <v>361081</v>
      </c>
      <c r="F6256" s="7">
        <v>2</v>
      </c>
      <c r="G6256" s="7" t="s">
        <v>4535</v>
      </c>
      <c r="H6256" s="8" t="s">
        <v>4536</v>
      </c>
      <c r="J6256" t="s">
        <v>23</v>
      </c>
      <c r="K6256" s="7">
        <v>846</v>
      </c>
      <c r="L6256" s="9">
        <v>1</v>
      </c>
      <c r="M6256" t="s">
        <v>98</v>
      </c>
      <c r="N6256" t="s">
        <v>99</v>
      </c>
      <c r="O6256" s="27" t="str">
        <f>HYPERLINK("https://www.ncbi.nlm.nih.gov/nuccore/NZ_CP016438.1?report=graph&amp;from=1734475&amp;to=1735151", "TTA_codon")</f>
        <v>TTA_codon</v>
      </c>
    </row>
    <row r="6257" spans="1:15" x14ac:dyDescent="0.15">
      <c r="A6257" t="s">
        <v>21</v>
      </c>
      <c r="B6257">
        <v>1000435</v>
      </c>
      <c r="C6257">
        <v>361339</v>
      </c>
      <c r="F6257" s="7">
        <v>1</v>
      </c>
      <c r="G6257" s="7">
        <v>100</v>
      </c>
      <c r="H6257" s="8">
        <v>61</v>
      </c>
      <c r="J6257" t="s">
        <v>23</v>
      </c>
      <c r="K6257" s="7">
        <v>870</v>
      </c>
      <c r="L6257" s="9">
        <v>1</v>
      </c>
      <c r="M6257" t="s">
        <v>200</v>
      </c>
      <c r="N6257" t="s">
        <v>201</v>
      </c>
      <c r="O6257" s="27" t="str">
        <f>HYPERLINK("https://www.ncbi.nlm.nih.gov/nuccore/NZ_CP016559.1?report=graph&amp;from=5073823&amp;to=5073827", "TTA_codon")</f>
        <v>TTA_codon</v>
      </c>
    </row>
    <row r="6258" spans="1:15" x14ac:dyDescent="0.15">
      <c r="A6258" t="s">
        <v>21</v>
      </c>
      <c r="B6258">
        <v>1000435</v>
      </c>
      <c r="C6258">
        <v>363914</v>
      </c>
      <c r="F6258" s="7">
        <v>1</v>
      </c>
      <c r="G6258" s="7">
        <v>232</v>
      </c>
      <c r="H6258" s="8">
        <v>175</v>
      </c>
      <c r="J6258" t="s">
        <v>23</v>
      </c>
      <c r="K6258" s="7">
        <v>858</v>
      </c>
      <c r="L6258" s="9">
        <v>1</v>
      </c>
      <c r="M6258" t="s">
        <v>2454</v>
      </c>
      <c r="N6258" t="s">
        <v>104</v>
      </c>
      <c r="O6258" s="27" t="str">
        <f>HYPERLINK("https://www.ncbi.nlm.nih.gov/nuccore/NZ_MVFC01000015.1?report=graph&amp;from=79197&amp;to=79201", "TTA_codon")</f>
        <v>TTA_codon</v>
      </c>
    </row>
    <row r="6259" spans="1:15" x14ac:dyDescent="0.15">
      <c r="A6259" t="s">
        <v>21</v>
      </c>
      <c r="B6259">
        <v>1000435</v>
      </c>
      <c r="C6259">
        <v>364276</v>
      </c>
      <c r="F6259" s="7">
        <v>1</v>
      </c>
      <c r="G6259" s="7">
        <v>616</v>
      </c>
      <c r="H6259" s="8">
        <v>499</v>
      </c>
      <c r="J6259" t="s">
        <v>23</v>
      </c>
      <c r="K6259" s="7">
        <v>909</v>
      </c>
      <c r="L6259" s="9">
        <v>1</v>
      </c>
      <c r="M6259" t="s">
        <v>105</v>
      </c>
      <c r="N6259" t="s">
        <v>106</v>
      </c>
      <c r="O6259" s="27" t="str">
        <f>HYPERLINK("https://www.ncbi.nlm.nih.gov/nuccore/NZ_CP020042.1?report=graph&amp;from=4275697&amp;to=4275701", "TTA_codon")</f>
        <v>TTA_codon</v>
      </c>
    </row>
    <row r="6260" spans="1:15" x14ac:dyDescent="0.15">
      <c r="A6260" t="s">
        <v>21</v>
      </c>
      <c r="B6260">
        <v>1000435</v>
      </c>
      <c r="C6260">
        <v>364651</v>
      </c>
      <c r="F6260" s="7">
        <v>1</v>
      </c>
      <c r="G6260" s="7">
        <v>109</v>
      </c>
      <c r="H6260" s="8">
        <v>64</v>
      </c>
      <c r="J6260" t="s">
        <v>23</v>
      </c>
      <c r="K6260" s="7">
        <v>852</v>
      </c>
      <c r="L6260" s="9">
        <v>1</v>
      </c>
      <c r="M6260" t="s">
        <v>4537</v>
      </c>
      <c r="N6260" t="s">
        <v>110</v>
      </c>
      <c r="O6260" s="27" t="str">
        <f>HYPERLINK("https://www.ncbi.nlm.nih.gov/nuccore/NZ_MUME01000168.1?report=graph&amp;from=8148&amp;to=8152", "TTA_codon")</f>
        <v>TTA_codon</v>
      </c>
    </row>
    <row r="6261" spans="1:15" x14ac:dyDescent="0.15">
      <c r="A6261" t="s">
        <v>21</v>
      </c>
      <c r="B6261">
        <v>1000435</v>
      </c>
      <c r="C6261">
        <v>364804</v>
      </c>
      <c r="F6261" s="7">
        <v>2</v>
      </c>
      <c r="G6261" s="7" t="s">
        <v>4538</v>
      </c>
      <c r="H6261" s="8" t="s">
        <v>4539</v>
      </c>
      <c r="J6261" t="s">
        <v>23</v>
      </c>
      <c r="K6261" s="7">
        <v>846</v>
      </c>
      <c r="L6261" s="9">
        <v>1</v>
      </c>
      <c r="M6261" t="s">
        <v>126</v>
      </c>
      <c r="N6261" t="s">
        <v>127</v>
      </c>
      <c r="O6261" s="27" t="str">
        <f>HYPERLINK("https://www.ncbi.nlm.nih.gov/nuccore/NZ_CP021748.1?report=graph&amp;from=1277042&amp;to=1277682", "TTA_codon")</f>
        <v>TTA_codon</v>
      </c>
    </row>
    <row r="6262" spans="1:15" x14ac:dyDescent="0.15">
      <c r="A6262" t="s">
        <v>21</v>
      </c>
      <c r="B6262">
        <v>1000435</v>
      </c>
      <c r="C6262">
        <v>365909</v>
      </c>
      <c r="F6262" s="7">
        <v>1</v>
      </c>
      <c r="G6262" s="7">
        <v>115</v>
      </c>
      <c r="H6262" s="8">
        <v>76</v>
      </c>
      <c r="J6262" t="s">
        <v>23</v>
      </c>
      <c r="K6262" s="7">
        <v>870</v>
      </c>
      <c r="L6262" s="9">
        <v>1</v>
      </c>
      <c r="M6262" t="s">
        <v>3370</v>
      </c>
      <c r="N6262" t="s">
        <v>115</v>
      </c>
      <c r="O6262" s="27" t="str">
        <f>HYPERLINK("https://www.ncbi.nlm.nih.gov/nuccore/NZ_FODD01000019.1?report=graph&amp;from=149577&amp;to=149581", "TTA_codon")</f>
        <v>TTA_codon</v>
      </c>
    </row>
    <row r="6263" spans="1:15" x14ac:dyDescent="0.15">
      <c r="A6263" t="s">
        <v>21</v>
      </c>
      <c r="B6263">
        <v>1000435</v>
      </c>
      <c r="C6263">
        <v>366068</v>
      </c>
      <c r="F6263" s="7">
        <v>1</v>
      </c>
      <c r="G6263" s="7">
        <v>229</v>
      </c>
      <c r="H6263" s="8">
        <v>181</v>
      </c>
      <c r="J6263" t="s">
        <v>23</v>
      </c>
      <c r="K6263" s="7">
        <v>846</v>
      </c>
      <c r="L6263" s="9">
        <v>1</v>
      </c>
      <c r="M6263" t="s">
        <v>4540</v>
      </c>
      <c r="N6263" t="s">
        <v>257</v>
      </c>
      <c r="O6263" s="27" t="str">
        <f>HYPERLINK("https://www.ncbi.nlm.nih.gov/nuccore/NZ_FOET01000006.1?report=graph&amp;from=74999&amp;to=75003", "TTA_codon")</f>
        <v>TTA_codon</v>
      </c>
    </row>
    <row r="6264" spans="1:15" x14ac:dyDescent="0.15">
      <c r="A6264" t="s">
        <v>21</v>
      </c>
      <c r="B6264" t="s">
        <v>4541</v>
      </c>
    </row>
    <row r="6265" spans="1:15" x14ac:dyDescent="0.15">
      <c r="A6265" t="s">
        <v>21</v>
      </c>
      <c r="B6265">
        <v>1000639</v>
      </c>
      <c r="C6265">
        <v>350490</v>
      </c>
      <c r="F6265" s="7">
        <v>1</v>
      </c>
      <c r="G6265" s="7">
        <v>172</v>
      </c>
      <c r="H6265" s="8">
        <v>172</v>
      </c>
      <c r="J6265" t="s">
        <v>23</v>
      </c>
      <c r="K6265" s="7">
        <v>2460</v>
      </c>
      <c r="L6265" s="9">
        <v>-1</v>
      </c>
      <c r="M6265" t="s">
        <v>4542</v>
      </c>
      <c r="N6265" t="s">
        <v>134</v>
      </c>
      <c r="O6265" s="27" t="str">
        <f>HYPERLINK("https://www.ncbi.nlm.nih.gov/nuccore/NZ_AJSZ01000158.1?report=graph&amp;from=7153&amp;to=7157", "TTA_codon")</f>
        <v>TTA_codon</v>
      </c>
    </row>
    <row r="6266" spans="1:15" x14ac:dyDescent="0.15">
      <c r="A6266" t="s">
        <v>21</v>
      </c>
      <c r="B6266">
        <v>1000639</v>
      </c>
      <c r="C6266">
        <v>365935</v>
      </c>
      <c r="F6266" s="7">
        <v>1</v>
      </c>
      <c r="G6266" s="7">
        <v>175</v>
      </c>
      <c r="H6266" s="8">
        <v>157</v>
      </c>
      <c r="J6266" t="s">
        <v>23</v>
      </c>
      <c r="K6266" s="7">
        <v>2580</v>
      </c>
      <c r="L6266" s="9">
        <v>-1</v>
      </c>
      <c r="M6266" t="s">
        <v>4543</v>
      </c>
      <c r="N6266" t="s">
        <v>115</v>
      </c>
      <c r="O6266" s="27" t="str">
        <f>HYPERLINK("https://www.ncbi.nlm.nih.gov/nuccore/NZ_FODD01000014.1?report=graph&amp;from=92958&amp;to=92962", "TTA_codon")</f>
        <v>TTA_codon</v>
      </c>
    </row>
    <row r="6267" spans="1:15" x14ac:dyDescent="0.15">
      <c r="A6267" t="s">
        <v>21</v>
      </c>
      <c r="B6267" t="s">
        <v>4544</v>
      </c>
    </row>
    <row r="6268" spans="1:15" x14ac:dyDescent="0.15">
      <c r="A6268" t="s">
        <v>21</v>
      </c>
      <c r="B6268">
        <v>1001330</v>
      </c>
      <c r="C6268">
        <v>360035</v>
      </c>
      <c r="F6268" s="7">
        <v>1</v>
      </c>
      <c r="G6268" s="7">
        <v>421</v>
      </c>
      <c r="H6268" s="8">
        <v>334</v>
      </c>
      <c r="J6268" t="s">
        <v>23</v>
      </c>
      <c r="K6268" s="7">
        <v>927</v>
      </c>
      <c r="L6268" s="9">
        <v>1</v>
      </c>
      <c r="M6268" t="s">
        <v>2358</v>
      </c>
      <c r="N6268" t="s">
        <v>125</v>
      </c>
      <c r="O6268" s="27" t="str">
        <f>HYPERLINK("https://www.ncbi.nlm.nih.gov/nuccore/NZ_KQ948480.1?report=graph&amp;from=20550&amp;to=20554", "TTA_codon")</f>
        <v>TTA_codon</v>
      </c>
    </row>
    <row r="6269" spans="1:15" x14ac:dyDescent="0.15">
      <c r="A6269" t="s">
        <v>21</v>
      </c>
      <c r="B6269">
        <v>1001330</v>
      </c>
      <c r="C6269">
        <v>364809</v>
      </c>
      <c r="F6269" s="7">
        <v>1</v>
      </c>
      <c r="G6269" s="7">
        <v>409</v>
      </c>
      <c r="H6269" s="8">
        <v>409</v>
      </c>
      <c r="J6269" t="s">
        <v>23</v>
      </c>
      <c r="K6269" s="7">
        <v>1302</v>
      </c>
      <c r="L6269" s="9">
        <v>1</v>
      </c>
      <c r="M6269" t="s">
        <v>126</v>
      </c>
      <c r="N6269" t="s">
        <v>127</v>
      </c>
      <c r="O6269" s="27" t="str">
        <f>HYPERLINK("https://www.ncbi.nlm.nih.gov/nuccore/NZ_CP021748.1?report=graph&amp;from=3391227&amp;to=3391231", "TTA_codon")</f>
        <v>TTA_codon</v>
      </c>
    </row>
    <row r="6270" spans="1:15" x14ac:dyDescent="0.15">
      <c r="A6270" t="s">
        <v>21</v>
      </c>
      <c r="B6270" t="s">
        <v>4545</v>
      </c>
    </row>
    <row r="6271" spans="1:15" x14ac:dyDescent="0.15">
      <c r="A6271" t="s">
        <v>21</v>
      </c>
      <c r="B6271">
        <v>1000960</v>
      </c>
      <c r="C6271">
        <v>353599</v>
      </c>
      <c r="F6271" s="7">
        <v>1</v>
      </c>
      <c r="G6271" s="7">
        <v>76</v>
      </c>
      <c r="H6271" s="8">
        <v>76</v>
      </c>
      <c r="J6271" t="s">
        <v>23</v>
      </c>
      <c r="K6271" s="7">
        <v>1413</v>
      </c>
      <c r="L6271" s="9">
        <v>-1</v>
      </c>
      <c r="M6271" t="s">
        <v>1019</v>
      </c>
      <c r="N6271" t="s">
        <v>140</v>
      </c>
      <c r="O6271" s="27" t="str">
        <f>HYPERLINK("https://www.ncbi.nlm.nih.gov/nuccore/NZ_JNXG01000002.1?report=graph&amp;from=1308970&amp;to=1308974", "TTA_codon")</f>
        <v>TTA_codon</v>
      </c>
    </row>
    <row r="6272" spans="1:15" x14ac:dyDescent="0.15">
      <c r="A6272" t="s">
        <v>21</v>
      </c>
      <c r="B6272">
        <v>1000960</v>
      </c>
      <c r="C6272">
        <v>357367</v>
      </c>
      <c r="F6272" s="7">
        <v>1</v>
      </c>
      <c r="G6272" s="7">
        <v>76</v>
      </c>
      <c r="H6272" s="8">
        <v>76</v>
      </c>
      <c r="J6272" t="s">
        <v>23</v>
      </c>
      <c r="K6272" s="7">
        <v>1443</v>
      </c>
      <c r="L6272" s="9">
        <v>-1</v>
      </c>
      <c r="M6272" t="s">
        <v>80</v>
      </c>
      <c r="N6272" t="s">
        <v>81</v>
      </c>
      <c r="O6272" s="27" t="str">
        <f>HYPERLINK("https://www.ncbi.nlm.nih.gov/nuccore/NZ_LN831790.1?report=graph&amp;from=1934250&amp;to=1934254", "TTA_codon")</f>
        <v>TTA_codon</v>
      </c>
    </row>
    <row r="6273" spans="1:15" x14ac:dyDescent="0.15">
      <c r="A6273" t="s">
        <v>195</v>
      </c>
      <c r="B6273" t="s">
        <v>4546</v>
      </c>
    </row>
    <row r="6274" spans="1:15" x14ac:dyDescent="0.15">
      <c r="A6274" t="s">
        <v>195</v>
      </c>
      <c r="B6274">
        <v>1000044</v>
      </c>
      <c r="C6274">
        <v>346216</v>
      </c>
      <c r="F6274" s="7">
        <v>1</v>
      </c>
      <c r="G6274" s="7">
        <v>76</v>
      </c>
      <c r="H6274" s="8">
        <v>76</v>
      </c>
      <c r="J6274" t="s">
        <v>23</v>
      </c>
      <c r="K6274" s="7">
        <v>1722</v>
      </c>
      <c r="L6274" s="9">
        <v>-1</v>
      </c>
      <c r="M6274" t="s">
        <v>65</v>
      </c>
      <c r="N6274" t="s">
        <v>66</v>
      </c>
      <c r="O6274" s="27" t="str">
        <f>HYPERLINK("https://www.ncbi.nlm.nih.gov/nuccore/NC_020504.1?report=graph&amp;from=1180671&amp;to=1180675", "TTA_codon")</f>
        <v>TTA_codon</v>
      </c>
    </row>
    <row r="6275" spans="1:15" x14ac:dyDescent="0.15">
      <c r="A6275" t="s">
        <v>21</v>
      </c>
      <c r="B6275">
        <v>1000044</v>
      </c>
      <c r="C6275">
        <v>353301</v>
      </c>
      <c r="F6275" s="7">
        <v>1</v>
      </c>
      <c r="G6275" s="7">
        <v>184</v>
      </c>
      <c r="H6275" s="8">
        <v>184</v>
      </c>
      <c r="J6275" t="s">
        <v>23</v>
      </c>
      <c r="K6275" s="7">
        <v>1671</v>
      </c>
      <c r="L6275" s="9">
        <v>-1</v>
      </c>
      <c r="M6275" t="s">
        <v>590</v>
      </c>
      <c r="N6275" t="s">
        <v>169</v>
      </c>
      <c r="O6275" s="27" t="str">
        <f>HYPERLINK("https://www.ncbi.nlm.nih.gov/nuccore/NZ_JNWJ01000005.1?report=graph&amp;from=98903&amp;to=98907", "TTA_codon")</f>
        <v>TTA_codon</v>
      </c>
    </row>
    <row r="6276" spans="1:15" x14ac:dyDescent="0.15">
      <c r="A6276" t="s">
        <v>21</v>
      </c>
      <c r="B6276">
        <v>1000044</v>
      </c>
      <c r="C6276">
        <v>354626</v>
      </c>
      <c r="F6276" s="7">
        <v>1</v>
      </c>
      <c r="G6276" s="7">
        <v>76</v>
      </c>
      <c r="H6276" s="8">
        <v>76</v>
      </c>
      <c r="J6276" t="s">
        <v>23</v>
      </c>
      <c r="K6276" s="7">
        <v>1716</v>
      </c>
      <c r="L6276" s="9">
        <v>-1</v>
      </c>
      <c r="M6276" t="s">
        <v>625</v>
      </c>
      <c r="N6276" t="s">
        <v>272</v>
      </c>
      <c r="O6276" s="27" t="str">
        <f>HYPERLINK("https://www.ncbi.nlm.nih.gov/nuccore/NZ_JOEY01000025.1?report=graph&amp;from=37162&amp;to=37166", "TTA_codon")</f>
        <v>TTA_codon</v>
      </c>
    </row>
    <row r="6277" spans="1:15" x14ac:dyDescent="0.15">
      <c r="A6277" t="s">
        <v>195</v>
      </c>
      <c r="B6277" t="s">
        <v>4547</v>
      </c>
    </row>
    <row r="6278" spans="1:15" x14ac:dyDescent="0.15">
      <c r="A6278" t="s">
        <v>195</v>
      </c>
      <c r="B6278">
        <v>1000031</v>
      </c>
      <c r="C6278">
        <v>346161</v>
      </c>
      <c r="F6278" s="7">
        <v>2</v>
      </c>
      <c r="G6278" s="7" t="s">
        <v>4548</v>
      </c>
      <c r="H6278" s="8" t="s">
        <v>4549</v>
      </c>
      <c r="J6278" t="s">
        <v>23</v>
      </c>
      <c r="K6278" s="7">
        <v>1083</v>
      </c>
      <c r="L6278" s="9">
        <v>1</v>
      </c>
      <c r="M6278" t="s">
        <v>35</v>
      </c>
      <c r="N6278" t="s">
        <v>36</v>
      </c>
      <c r="O6278" s="27" t="str">
        <f>HYPERLINK("https://www.ncbi.nlm.nih.gov/nuccore/NZ_JH725387.1?report=graph&amp;from=4680127&amp;to=4680611", "TTA_codon")</f>
        <v>TTA_codon</v>
      </c>
    </row>
    <row r="6279" spans="1:15" x14ac:dyDescent="0.15">
      <c r="A6279" t="s">
        <v>195</v>
      </c>
      <c r="B6279">
        <v>1000031</v>
      </c>
      <c r="C6279">
        <v>346178</v>
      </c>
      <c r="F6279" s="7">
        <v>2</v>
      </c>
      <c r="G6279" s="7" t="s">
        <v>4550</v>
      </c>
      <c r="H6279" s="8" t="s">
        <v>4551</v>
      </c>
      <c r="J6279" t="s">
        <v>23</v>
      </c>
      <c r="K6279" s="7">
        <v>768</v>
      </c>
      <c r="L6279" s="9">
        <v>1</v>
      </c>
      <c r="M6279" t="s">
        <v>4552</v>
      </c>
      <c r="N6279" t="s">
        <v>134</v>
      </c>
      <c r="O6279" s="27" t="str">
        <f>HYPERLINK("https://www.ncbi.nlm.nih.gov/nuccore/NZ_AJSZ01000671.1?report=graph&amp;from=217&amp;to=452", "TTA_codon")</f>
        <v>TTA_codon</v>
      </c>
    </row>
    <row r="6280" spans="1:15" x14ac:dyDescent="0.15">
      <c r="A6280" t="s">
        <v>195</v>
      </c>
      <c r="B6280">
        <v>1000031</v>
      </c>
      <c r="C6280">
        <v>346863</v>
      </c>
      <c r="F6280" s="7">
        <v>1</v>
      </c>
      <c r="G6280" s="7">
        <v>706</v>
      </c>
      <c r="H6280" s="8">
        <v>490</v>
      </c>
      <c r="J6280" t="s">
        <v>23</v>
      </c>
      <c r="K6280" s="7">
        <v>1173</v>
      </c>
      <c r="L6280" s="9">
        <v>1</v>
      </c>
      <c r="M6280" t="s">
        <v>37</v>
      </c>
      <c r="N6280" t="s">
        <v>38</v>
      </c>
      <c r="O6280" s="27" t="str">
        <f>HYPERLINK("https://www.ncbi.nlm.nih.gov/nuccore/NZ_CP011533.1?report=graph&amp;from=6208973&amp;to=6208977", "TTA_codon")</f>
        <v>TTA_codon</v>
      </c>
    </row>
    <row r="6281" spans="1:15" x14ac:dyDescent="0.15">
      <c r="A6281" t="s">
        <v>195</v>
      </c>
      <c r="B6281">
        <v>1000031</v>
      </c>
      <c r="C6281">
        <v>346882</v>
      </c>
      <c r="F6281" s="7">
        <v>1</v>
      </c>
      <c r="G6281" s="7">
        <v>676</v>
      </c>
      <c r="H6281" s="8">
        <v>403</v>
      </c>
      <c r="J6281" t="s">
        <v>23</v>
      </c>
      <c r="K6281" s="7">
        <v>1128</v>
      </c>
      <c r="L6281" s="9">
        <v>1</v>
      </c>
      <c r="M6281" t="s">
        <v>39</v>
      </c>
      <c r="N6281" t="s">
        <v>40</v>
      </c>
      <c r="O6281" s="27" t="str">
        <f>HYPERLINK("https://www.ncbi.nlm.nih.gov/nuccore/NZ_CP017157.1?report=graph&amp;from=1468294&amp;to=1468298", "TTA_codon")</f>
        <v>TTA_codon</v>
      </c>
    </row>
    <row r="6282" spans="1:15" x14ac:dyDescent="0.15">
      <c r="A6282" t="s">
        <v>21</v>
      </c>
      <c r="B6282">
        <v>1000031</v>
      </c>
      <c r="C6282">
        <v>352751</v>
      </c>
      <c r="F6282" s="7">
        <v>1</v>
      </c>
      <c r="G6282" s="7">
        <v>688</v>
      </c>
      <c r="H6282" s="8">
        <v>340</v>
      </c>
      <c r="J6282" t="s">
        <v>23</v>
      </c>
      <c r="K6282" s="7">
        <v>1041</v>
      </c>
      <c r="L6282" s="9">
        <v>1</v>
      </c>
      <c r="M6282" t="s">
        <v>472</v>
      </c>
      <c r="N6282" t="s">
        <v>473</v>
      </c>
      <c r="O6282" s="27" t="str">
        <f>HYPERLINK("https://www.ncbi.nlm.nih.gov/nuccore/NZ_ASHX02000001.1?report=graph&amp;from=4535814&amp;to=4535818", "TTA_codon")</f>
        <v>TTA_codon</v>
      </c>
    </row>
    <row r="6283" spans="1:15" x14ac:dyDescent="0.15">
      <c r="A6283" t="s">
        <v>21</v>
      </c>
      <c r="B6283">
        <v>1000031</v>
      </c>
      <c r="C6283">
        <v>364114</v>
      </c>
      <c r="F6283" s="7">
        <v>1</v>
      </c>
      <c r="G6283" s="7">
        <v>688</v>
      </c>
      <c r="H6283" s="8">
        <v>508</v>
      </c>
      <c r="J6283" t="s">
        <v>23</v>
      </c>
      <c r="K6283" s="7">
        <v>1170</v>
      </c>
      <c r="L6283" s="9">
        <v>1</v>
      </c>
      <c r="M6283" t="s">
        <v>254</v>
      </c>
      <c r="N6283" t="s">
        <v>255</v>
      </c>
      <c r="O6283" s="27" t="str">
        <f>HYPERLINK("https://www.ncbi.nlm.nih.gov/nuccore/NZ_CP018047.1?report=graph&amp;from=5567169&amp;to=5567173", "TTA_codon")</f>
        <v>TTA_codon</v>
      </c>
    </row>
    <row r="6284" spans="1:15" x14ac:dyDescent="0.15">
      <c r="A6284" t="s">
        <v>21</v>
      </c>
      <c r="B6284" t="s">
        <v>4553</v>
      </c>
    </row>
    <row r="6285" spans="1:15" x14ac:dyDescent="0.15">
      <c r="A6285" t="s">
        <v>21</v>
      </c>
      <c r="B6285">
        <v>1000362</v>
      </c>
      <c r="C6285">
        <v>348208</v>
      </c>
      <c r="F6285" s="7">
        <v>1</v>
      </c>
      <c r="G6285" s="7">
        <v>304</v>
      </c>
      <c r="H6285" s="8">
        <v>304</v>
      </c>
      <c r="J6285" t="s">
        <v>23</v>
      </c>
      <c r="K6285" s="7">
        <v>486</v>
      </c>
      <c r="L6285" s="9">
        <v>-1</v>
      </c>
      <c r="M6285" t="s">
        <v>59</v>
      </c>
      <c r="N6285" t="s">
        <v>60</v>
      </c>
      <c r="O6285" s="27" t="str">
        <f>HYPERLINK("https://www.ncbi.nlm.nih.gov/nuccore/NC_016582.1?report=graph&amp;from=3889708&amp;to=3889712", "TTA_codon")</f>
        <v>TTA_codon</v>
      </c>
    </row>
    <row r="6286" spans="1:15" x14ac:dyDescent="0.15">
      <c r="A6286" t="s">
        <v>21</v>
      </c>
      <c r="B6286">
        <v>1000362</v>
      </c>
      <c r="C6286">
        <v>348921</v>
      </c>
      <c r="F6286" s="7">
        <v>1</v>
      </c>
      <c r="G6286" s="7">
        <v>304</v>
      </c>
      <c r="H6286" s="8">
        <v>304</v>
      </c>
      <c r="J6286" t="s">
        <v>23</v>
      </c>
      <c r="K6286" s="7">
        <v>468</v>
      </c>
      <c r="L6286" s="9">
        <v>-1</v>
      </c>
      <c r="M6286" t="s">
        <v>211</v>
      </c>
      <c r="N6286" t="s">
        <v>212</v>
      </c>
      <c r="O6286" s="27" t="str">
        <f>HYPERLINK("https://www.ncbi.nlm.nih.gov/nuccore/NZ_GG657754.1?report=graph&amp;from=2755749&amp;to=2755753", "TTA_codon")</f>
        <v>TTA_codon</v>
      </c>
    </row>
    <row r="6287" spans="1:15" x14ac:dyDescent="0.15">
      <c r="A6287" t="s">
        <v>21</v>
      </c>
      <c r="B6287" t="s">
        <v>4554</v>
      </c>
    </row>
    <row r="6288" spans="1:15" x14ac:dyDescent="0.15">
      <c r="A6288" t="s">
        <v>21</v>
      </c>
      <c r="B6288">
        <v>1001309</v>
      </c>
      <c r="C6288">
        <v>359435</v>
      </c>
      <c r="F6288" s="7">
        <v>1</v>
      </c>
      <c r="G6288" s="7">
        <v>49</v>
      </c>
      <c r="H6288" s="8">
        <v>49</v>
      </c>
      <c r="J6288" t="s">
        <v>23</v>
      </c>
      <c r="K6288" s="7">
        <v>1152</v>
      </c>
      <c r="L6288" s="9">
        <v>1</v>
      </c>
      <c r="M6288" t="s">
        <v>151</v>
      </c>
      <c r="N6288" t="s">
        <v>152</v>
      </c>
      <c r="O6288" s="27" t="str">
        <f>HYPERLINK("https://www.ncbi.nlm.nih.gov/nuccore/NZ_CP013129.1?report=graph&amp;from=247346&amp;to=247350", "TTA_codon")</f>
        <v>TTA_codon</v>
      </c>
    </row>
    <row r="6289" spans="1:15" x14ac:dyDescent="0.15">
      <c r="A6289" t="s">
        <v>21</v>
      </c>
      <c r="B6289">
        <v>1001309</v>
      </c>
      <c r="C6289">
        <v>361547</v>
      </c>
      <c r="F6289" s="7">
        <v>1</v>
      </c>
      <c r="G6289" s="7">
        <v>37</v>
      </c>
      <c r="H6289" s="8">
        <v>37</v>
      </c>
      <c r="J6289" t="s">
        <v>23</v>
      </c>
      <c r="K6289" s="7">
        <v>1125</v>
      </c>
      <c r="L6289" s="9">
        <v>1</v>
      </c>
      <c r="M6289" t="s">
        <v>37</v>
      </c>
      <c r="N6289" t="s">
        <v>38</v>
      </c>
      <c r="O6289" s="27" t="str">
        <f>HYPERLINK("https://www.ncbi.nlm.nih.gov/nuccore/NZ_CP011533.1?report=graph&amp;from=8630137&amp;to=8630141", "TTA_codon")</f>
        <v>TTA_codon</v>
      </c>
    </row>
    <row r="6290" spans="1:15" x14ac:dyDescent="0.15">
      <c r="A6290" t="s">
        <v>21</v>
      </c>
      <c r="B6290">
        <v>1001309</v>
      </c>
      <c r="C6290">
        <v>362186</v>
      </c>
      <c r="F6290" s="7">
        <v>1</v>
      </c>
      <c r="G6290" s="7">
        <v>37</v>
      </c>
      <c r="H6290" s="8">
        <v>37</v>
      </c>
      <c r="J6290" t="s">
        <v>23</v>
      </c>
      <c r="K6290" s="7">
        <v>1125</v>
      </c>
      <c r="L6290" s="9">
        <v>1</v>
      </c>
      <c r="M6290" t="s">
        <v>39</v>
      </c>
      <c r="N6290" t="s">
        <v>40</v>
      </c>
      <c r="O6290" s="27" t="str">
        <f>HYPERLINK("https://www.ncbi.nlm.nih.gov/nuccore/NZ_CP017157.1?report=graph&amp;from=4311018&amp;to=4311022", "TTA_codon")</f>
        <v>TTA_codon</v>
      </c>
    </row>
    <row r="6291" spans="1:15" x14ac:dyDescent="0.15">
      <c r="A6291" t="s">
        <v>21</v>
      </c>
      <c r="B6291" t="s">
        <v>4555</v>
      </c>
    </row>
    <row r="6292" spans="1:15" x14ac:dyDescent="0.15">
      <c r="A6292" t="s">
        <v>21</v>
      </c>
      <c r="B6292">
        <v>1000631</v>
      </c>
      <c r="C6292">
        <v>350450</v>
      </c>
      <c r="F6292" s="7">
        <v>1</v>
      </c>
      <c r="G6292" s="7">
        <v>244</v>
      </c>
      <c r="H6292" s="8">
        <v>136</v>
      </c>
      <c r="J6292" t="s">
        <v>23</v>
      </c>
      <c r="K6292" s="7">
        <v>933</v>
      </c>
      <c r="L6292" s="9">
        <v>-1</v>
      </c>
      <c r="M6292" t="s">
        <v>1224</v>
      </c>
      <c r="N6292" t="s">
        <v>36</v>
      </c>
      <c r="O6292" s="27" t="str">
        <f>HYPERLINK("https://www.ncbi.nlm.nih.gov/nuccore/NZ_JH725389.1?report=graph&amp;from=605198&amp;to=605202", "TTA_codon")</f>
        <v>TTA_codon</v>
      </c>
    </row>
    <row r="6293" spans="1:15" x14ac:dyDescent="0.15">
      <c r="A6293" t="s">
        <v>21</v>
      </c>
      <c r="B6293">
        <v>1000631</v>
      </c>
      <c r="C6293">
        <v>354663</v>
      </c>
      <c r="F6293" s="7">
        <v>1</v>
      </c>
      <c r="G6293" s="7">
        <v>295</v>
      </c>
      <c r="H6293" s="8">
        <v>295</v>
      </c>
      <c r="J6293" t="s">
        <v>23</v>
      </c>
      <c r="K6293" s="7">
        <v>999</v>
      </c>
      <c r="L6293" s="9">
        <v>-1</v>
      </c>
      <c r="M6293" t="s">
        <v>4556</v>
      </c>
      <c r="N6293" t="s">
        <v>272</v>
      </c>
      <c r="O6293" s="27" t="str">
        <f>HYPERLINK("https://www.ncbi.nlm.nih.gov/nuccore/NZ_JOEY01000028.1?report=graph&amp;from=61962&amp;to=61966", "TTA_codon")</f>
        <v>TTA_codon</v>
      </c>
    </row>
    <row r="6294" spans="1:15" x14ac:dyDescent="0.15">
      <c r="A6294" t="s">
        <v>21</v>
      </c>
      <c r="B6294" t="s">
        <v>4557</v>
      </c>
    </row>
    <row r="6295" spans="1:15" x14ac:dyDescent="0.15">
      <c r="A6295" t="s">
        <v>21</v>
      </c>
      <c r="B6295">
        <v>1000301</v>
      </c>
      <c r="C6295">
        <v>347905</v>
      </c>
      <c r="F6295" s="7">
        <v>1</v>
      </c>
      <c r="G6295" s="7">
        <v>193</v>
      </c>
      <c r="H6295" s="8">
        <v>193</v>
      </c>
      <c r="J6295" t="s">
        <v>23</v>
      </c>
      <c r="K6295" s="7">
        <v>975</v>
      </c>
      <c r="L6295" s="9">
        <v>-1</v>
      </c>
      <c r="M6295" t="s">
        <v>57</v>
      </c>
      <c r="N6295" t="s">
        <v>58</v>
      </c>
      <c r="O6295" s="27" t="str">
        <f>HYPERLINK("https://www.ncbi.nlm.nih.gov/nuccore/NC_013929.1?report=graph&amp;from=4347614&amp;to=4347618", "TTA_codon")</f>
        <v>TTA_codon</v>
      </c>
    </row>
    <row r="6296" spans="1:15" x14ac:dyDescent="0.15">
      <c r="A6296" t="s">
        <v>21</v>
      </c>
      <c r="B6296">
        <v>1000301</v>
      </c>
      <c r="C6296">
        <v>360143</v>
      </c>
      <c r="F6296" s="7">
        <v>1</v>
      </c>
      <c r="G6296" s="7">
        <v>193</v>
      </c>
      <c r="H6296" s="8">
        <v>184</v>
      </c>
      <c r="J6296" t="s">
        <v>23</v>
      </c>
      <c r="K6296" s="7">
        <v>993</v>
      </c>
      <c r="L6296" s="9">
        <v>-1</v>
      </c>
      <c r="M6296" t="s">
        <v>4117</v>
      </c>
      <c r="N6296" t="s">
        <v>125</v>
      </c>
      <c r="O6296" s="27" t="str">
        <f>HYPERLINK("https://www.ncbi.nlm.nih.gov/nuccore/NZ_KQ948467.1?report=graph&amp;from=50351&amp;to=50355", "TTA_codon")</f>
        <v>TTA_codon</v>
      </c>
    </row>
    <row r="6297" spans="1:15" x14ac:dyDescent="0.15">
      <c r="A6297" t="s">
        <v>21</v>
      </c>
      <c r="B6297" t="s">
        <v>4558</v>
      </c>
    </row>
    <row r="6298" spans="1:15" x14ac:dyDescent="0.15">
      <c r="A6298" t="s">
        <v>21</v>
      </c>
      <c r="B6298">
        <v>1001386</v>
      </c>
      <c r="C6298">
        <v>361685</v>
      </c>
      <c r="F6298" s="7">
        <v>1</v>
      </c>
      <c r="G6298" s="7">
        <v>271</v>
      </c>
      <c r="H6298" s="8">
        <v>271</v>
      </c>
      <c r="J6298" t="s">
        <v>23</v>
      </c>
      <c r="K6298" s="7">
        <v>906</v>
      </c>
      <c r="L6298" s="9">
        <v>-1</v>
      </c>
      <c r="M6298" t="s">
        <v>37</v>
      </c>
      <c r="N6298" t="s">
        <v>38</v>
      </c>
      <c r="O6298" s="27" t="str">
        <f>HYPERLINK("https://www.ncbi.nlm.nih.gov/nuccore/NZ_CP011533.1?report=graph&amp;from=6685470&amp;to=6685474", "TTA_codon")</f>
        <v>TTA_codon</v>
      </c>
    </row>
    <row r="6299" spans="1:15" x14ac:dyDescent="0.15">
      <c r="A6299" t="s">
        <v>21</v>
      </c>
      <c r="B6299">
        <v>1001386</v>
      </c>
      <c r="C6299">
        <v>364378</v>
      </c>
      <c r="F6299" s="7">
        <v>1</v>
      </c>
      <c r="G6299" s="7">
        <v>187</v>
      </c>
      <c r="H6299" s="8">
        <v>136</v>
      </c>
      <c r="J6299" t="s">
        <v>23</v>
      </c>
      <c r="K6299" s="7">
        <v>855</v>
      </c>
      <c r="L6299" s="9">
        <v>-1</v>
      </c>
      <c r="M6299" t="s">
        <v>105</v>
      </c>
      <c r="N6299" t="s">
        <v>106</v>
      </c>
      <c r="O6299" s="27" t="str">
        <f>HYPERLINK("https://www.ncbi.nlm.nih.gov/nuccore/NZ_CP020042.1?report=graph&amp;from=7315627&amp;to=7315631", "TTA_codon")</f>
        <v>TTA_codon</v>
      </c>
    </row>
    <row r="6300" spans="1:15" x14ac:dyDescent="0.15">
      <c r="A6300" t="s">
        <v>21</v>
      </c>
      <c r="B6300" t="s">
        <v>4559</v>
      </c>
    </row>
    <row r="6301" spans="1:15" x14ac:dyDescent="0.15">
      <c r="A6301" t="s">
        <v>21</v>
      </c>
      <c r="B6301">
        <v>1000715</v>
      </c>
      <c r="C6301">
        <v>351099</v>
      </c>
      <c r="F6301" s="7">
        <v>1</v>
      </c>
      <c r="G6301" s="7">
        <v>343</v>
      </c>
      <c r="H6301" s="8">
        <v>340</v>
      </c>
      <c r="J6301" t="s">
        <v>23</v>
      </c>
      <c r="K6301" s="7">
        <v>1635</v>
      </c>
      <c r="L6301" s="9">
        <v>1</v>
      </c>
      <c r="M6301" t="s">
        <v>3436</v>
      </c>
      <c r="N6301" t="s">
        <v>136</v>
      </c>
      <c r="O6301" s="27" t="str">
        <f>HYPERLINK("https://www.ncbi.nlm.nih.gov/nuccore/NZ_AORZ01000122.1?report=graph&amp;from=2163&amp;to=2167", "TTA_codon")</f>
        <v>TTA_codon</v>
      </c>
    </row>
    <row r="6302" spans="1:15" x14ac:dyDescent="0.15">
      <c r="A6302" t="s">
        <v>21</v>
      </c>
      <c r="B6302">
        <v>1000715</v>
      </c>
      <c r="C6302">
        <v>351697</v>
      </c>
      <c r="F6302" s="7">
        <v>2</v>
      </c>
      <c r="G6302" s="7" t="s">
        <v>4560</v>
      </c>
      <c r="H6302" s="8" t="s">
        <v>1370</v>
      </c>
      <c r="J6302" t="s">
        <v>23</v>
      </c>
      <c r="K6302" s="7">
        <v>1677</v>
      </c>
      <c r="L6302" s="9">
        <v>1</v>
      </c>
      <c r="M6302" t="s">
        <v>4561</v>
      </c>
      <c r="N6302" t="s">
        <v>138</v>
      </c>
      <c r="O6302" s="27" t="str">
        <f>HYPERLINK("https://www.ncbi.nlm.nih.gov/nuccore/NZ_KB889684.1?report=graph&amp;from=46970&amp;to=46992", "TTA_codon")</f>
        <v>TTA_codon</v>
      </c>
    </row>
    <row r="6303" spans="1:15" x14ac:dyDescent="0.15">
      <c r="A6303" t="s">
        <v>21</v>
      </c>
      <c r="B6303" t="s">
        <v>4562</v>
      </c>
    </row>
    <row r="6304" spans="1:15" x14ac:dyDescent="0.15">
      <c r="A6304" t="s">
        <v>21</v>
      </c>
      <c r="B6304">
        <v>1000261</v>
      </c>
      <c r="C6304">
        <v>347716</v>
      </c>
      <c r="F6304" s="7">
        <v>1</v>
      </c>
      <c r="G6304" s="7">
        <v>385</v>
      </c>
      <c r="H6304" s="8">
        <v>322</v>
      </c>
      <c r="J6304" t="s">
        <v>23</v>
      </c>
      <c r="K6304" s="7">
        <v>1122</v>
      </c>
      <c r="L6304" s="9">
        <v>-1</v>
      </c>
      <c r="M6304" t="s">
        <v>55</v>
      </c>
      <c r="N6304" t="s">
        <v>56</v>
      </c>
      <c r="O6304" s="27" t="str">
        <f>HYPERLINK("https://www.ncbi.nlm.nih.gov/nuccore/NC_010572.1?report=graph&amp;from=8228908&amp;to=8228912", "TTA_codon")</f>
        <v>TTA_codon</v>
      </c>
    </row>
    <row r="6305" spans="1:15" x14ac:dyDescent="0.15">
      <c r="A6305" t="s">
        <v>21</v>
      </c>
      <c r="B6305">
        <v>1000261</v>
      </c>
      <c r="C6305">
        <v>347874</v>
      </c>
      <c r="F6305" s="7">
        <v>1</v>
      </c>
      <c r="G6305" s="7">
        <v>385</v>
      </c>
      <c r="H6305" s="8">
        <v>328</v>
      </c>
      <c r="J6305" t="s">
        <v>23</v>
      </c>
      <c r="K6305" s="7">
        <v>1128</v>
      </c>
      <c r="L6305" s="9">
        <v>-1</v>
      </c>
      <c r="M6305" t="s">
        <v>57</v>
      </c>
      <c r="N6305" t="s">
        <v>58</v>
      </c>
      <c r="O6305" s="27" t="str">
        <f>HYPERLINK("https://www.ncbi.nlm.nih.gov/nuccore/NC_013929.1?report=graph&amp;from=9497072&amp;to=9497076", "TTA_codon")</f>
        <v>TTA_codon</v>
      </c>
    </row>
    <row r="6306" spans="1:15" x14ac:dyDescent="0.15">
      <c r="A6306" t="s">
        <v>21</v>
      </c>
      <c r="B6306">
        <v>1000261</v>
      </c>
      <c r="C6306">
        <v>348584</v>
      </c>
      <c r="F6306" s="7">
        <v>2</v>
      </c>
      <c r="G6306" s="7" t="s">
        <v>4563</v>
      </c>
      <c r="H6306" s="8" t="s">
        <v>4564</v>
      </c>
      <c r="J6306" t="s">
        <v>23</v>
      </c>
      <c r="K6306" s="7">
        <v>1122</v>
      </c>
      <c r="L6306" s="9">
        <v>-1</v>
      </c>
      <c r="M6306" t="s">
        <v>61</v>
      </c>
      <c r="N6306" t="s">
        <v>62</v>
      </c>
      <c r="O6306" s="27" t="str">
        <f>HYPERLINK("https://www.ncbi.nlm.nih.gov/nuccore/NZ_DS999641.1?report=graph&amp;from=7024701&amp;to=7024834", "TTA_codon")</f>
        <v>TTA_codon</v>
      </c>
    </row>
    <row r="6307" spans="1:15" x14ac:dyDescent="0.15">
      <c r="A6307" t="s">
        <v>21</v>
      </c>
      <c r="B6307">
        <v>1000261</v>
      </c>
      <c r="C6307">
        <v>349438</v>
      </c>
      <c r="F6307" s="7">
        <v>1</v>
      </c>
      <c r="G6307" s="7">
        <v>385</v>
      </c>
      <c r="H6307" s="8">
        <v>223</v>
      </c>
      <c r="J6307" t="s">
        <v>23</v>
      </c>
      <c r="K6307" s="7">
        <v>1023</v>
      </c>
      <c r="L6307" s="9">
        <v>-1</v>
      </c>
      <c r="M6307" t="s">
        <v>458</v>
      </c>
      <c r="N6307" t="s">
        <v>315</v>
      </c>
      <c r="O6307" s="27" t="str">
        <f>HYPERLINK("https://www.ncbi.nlm.nih.gov/nuccore/NC_003888.3?report=graph&amp;from=8061508&amp;to=8061512", "TTA_codon")</f>
        <v>TTA_codon</v>
      </c>
    </row>
    <row r="6308" spans="1:15" x14ac:dyDescent="0.15">
      <c r="A6308" t="s">
        <v>21</v>
      </c>
      <c r="B6308">
        <v>1000261</v>
      </c>
      <c r="C6308">
        <v>349530</v>
      </c>
      <c r="F6308" s="7">
        <v>1</v>
      </c>
      <c r="G6308" s="7">
        <v>385</v>
      </c>
      <c r="H6308" s="8">
        <v>328</v>
      </c>
      <c r="J6308" t="s">
        <v>23</v>
      </c>
      <c r="K6308" s="7">
        <v>1113</v>
      </c>
      <c r="L6308" s="9">
        <v>-1</v>
      </c>
      <c r="M6308" t="s">
        <v>63</v>
      </c>
      <c r="N6308" t="s">
        <v>64</v>
      </c>
      <c r="O6308" s="27" t="str">
        <f>HYPERLINK("https://www.ncbi.nlm.nih.gov/nuccore/NZ_AEYX01000046.1?report=graph&amp;from=406605&amp;to=406609", "TTA_codon")</f>
        <v>TTA_codon</v>
      </c>
    </row>
    <row r="6309" spans="1:15" x14ac:dyDescent="0.15">
      <c r="A6309" t="s">
        <v>21</v>
      </c>
      <c r="B6309">
        <v>1000261</v>
      </c>
      <c r="C6309">
        <v>349724</v>
      </c>
      <c r="F6309" s="7">
        <v>1</v>
      </c>
      <c r="G6309" s="7">
        <v>385</v>
      </c>
      <c r="H6309" s="8">
        <v>328</v>
      </c>
      <c r="J6309" t="s">
        <v>23</v>
      </c>
      <c r="K6309" s="7">
        <v>1128</v>
      </c>
      <c r="L6309" s="9">
        <v>-1</v>
      </c>
      <c r="M6309" t="s">
        <v>4565</v>
      </c>
      <c r="N6309" t="s">
        <v>335</v>
      </c>
      <c r="O6309" s="27" t="str">
        <f>HYPERLINK("https://www.ncbi.nlm.nih.gov/nuccore/NZ_AGBF01000192.1?report=graph&amp;from=1483&amp;to=1487", "TTA_codon")</f>
        <v>TTA_codon</v>
      </c>
    </row>
    <row r="6310" spans="1:15" x14ac:dyDescent="0.15">
      <c r="A6310" t="s">
        <v>21</v>
      </c>
      <c r="B6310">
        <v>1000261</v>
      </c>
      <c r="C6310">
        <v>351409</v>
      </c>
      <c r="F6310" s="7">
        <v>1</v>
      </c>
      <c r="G6310" s="7">
        <v>385</v>
      </c>
      <c r="H6310" s="8">
        <v>325</v>
      </c>
      <c r="J6310" t="s">
        <v>23</v>
      </c>
      <c r="K6310" s="7">
        <v>1125</v>
      </c>
      <c r="L6310" s="9">
        <v>-1</v>
      </c>
      <c r="M6310" t="s">
        <v>65</v>
      </c>
      <c r="N6310" t="s">
        <v>66</v>
      </c>
      <c r="O6310" s="27" t="str">
        <f>HYPERLINK("https://www.ncbi.nlm.nih.gov/nuccore/NC_020504.1?report=graph&amp;from=9152784&amp;to=9152788", "TTA_codon")</f>
        <v>TTA_codon</v>
      </c>
    </row>
    <row r="6311" spans="1:15" x14ac:dyDescent="0.15">
      <c r="A6311" t="s">
        <v>21</v>
      </c>
      <c r="B6311">
        <v>1000261</v>
      </c>
      <c r="C6311">
        <v>351906</v>
      </c>
      <c r="F6311" s="7">
        <v>1</v>
      </c>
      <c r="G6311" s="7">
        <v>385</v>
      </c>
      <c r="H6311" s="8">
        <v>328</v>
      </c>
      <c r="J6311" t="s">
        <v>23</v>
      </c>
      <c r="K6311" s="7">
        <v>1128</v>
      </c>
      <c r="L6311" s="9">
        <v>-1</v>
      </c>
      <c r="M6311" t="s">
        <v>167</v>
      </c>
      <c r="N6311" t="s">
        <v>68</v>
      </c>
      <c r="O6311" s="27" t="str">
        <f>HYPERLINK("https://www.ncbi.nlm.nih.gov/nuccore/NZ_BARG01000031.1?report=graph&amp;from=185278&amp;to=185282", "TTA_codon")</f>
        <v>TTA_codon</v>
      </c>
    </row>
    <row r="6312" spans="1:15" x14ac:dyDescent="0.15">
      <c r="A6312" t="s">
        <v>21</v>
      </c>
      <c r="B6312">
        <v>1000261</v>
      </c>
      <c r="C6312">
        <v>352815</v>
      </c>
      <c r="F6312" s="7">
        <v>1</v>
      </c>
      <c r="G6312" s="7">
        <v>385</v>
      </c>
      <c r="H6312" s="8">
        <v>301</v>
      </c>
      <c r="J6312" t="s">
        <v>23</v>
      </c>
      <c r="K6312" s="7">
        <v>1101</v>
      </c>
      <c r="L6312" s="9">
        <v>-1</v>
      </c>
      <c r="M6312" t="s">
        <v>472</v>
      </c>
      <c r="N6312" t="s">
        <v>473</v>
      </c>
      <c r="O6312" s="27" t="str">
        <f>HYPERLINK("https://www.ncbi.nlm.nih.gov/nuccore/NZ_ASHX02000001.1?report=graph&amp;from=6269211&amp;to=6269215", "TTA_codon")</f>
        <v>TTA_codon</v>
      </c>
    </row>
    <row r="6313" spans="1:15" x14ac:dyDescent="0.15">
      <c r="A6313" t="s">
        <v>21</v>
      </c>
      <c r="B6313">
        <v>1000261</v>
      </c>
      <c r="C6313">
        <v>353373</v>
      </c>
      <c r="F6313" s="7">
        <v>1</v>
      </c>
      <c r="G6313" s="7">
        <v>385</v>
      </c>
      <c r="H6313" s="8">
        <v>352</v>
      </c>
      <c r="J6313" t="s">
        <v>23</v>
      </c>
      <c r="K6313" s="7">
        <v>1152</v>
      </c>
      <c r="L6313" s="9">
        <v>-1</v>
      </c>
      <c r="M6313" t="s">
        <v>168</v>
      </c>
      <c r="N6313" t="s">
        <v>169</v>
      </c>
      <c r="O6313" s="27" t="str">
        <f>HYPERLINK("https://www.ncbi.nlm.nih.gov/nuccore/NZ_JNWJ01000008.1?report=graph&amp;from=28245&amp;to=28249", "TTA_codon")</f>
        <v>TTA_codon</v>
      </c>
    </row>
    <row r="6314" spans="1:15" x14ac:dyDescent="0.15">
      <c r="A6314" t="s">
        <v>21</v>
      </c>
      <c r="B6314">
        <v>1000261</v>
      </c>
      <c r="C6314">
        <v>353678</v>
      </c>
      <c r="F6314" s="7">
        <v>1</v>
      </c>
      <c r="G6314" s="7">
        <v>385</v>
      </c>
      <c r="H6314" s="8">
        <v>322</v>
      </c>
      <c r="J6314" t="s">
        <v>23</v>
      </c>
      <c r="K6314" s="7">
        <v>1122</v>
      </c>
      <c r="L6314" s="9">
        <v>-1</v>
      </c>
      <c r="M6314" t="s">
        <v>1519</v>
      </c>
      <c r="N6314" t="s">
        <v>140</v>
      </c>
      <c r="O6314" s="27" t="str">
        <f>HYPERLINK("https://www.ncbi.nlm.nih.gov/nuccore/NZ_JNXG01000018.1?report=graph&amp;from=304008&amp;to=304012", "TTA_codon")</f>
        <v>TTA_codon</v>
      </c>
    </row>
    <row r="6315" spans="1:15" x14ac:dyDescent="0.15">
      <c r="A6315" t="s">
        <v>21</v>
      </c>
      <c r="B6315">
        <v>1000261</v>
      </c>
      <c r="C6315">
        <v>354229</v>
      </c>
      <c r="F6315" s="7">
        <v>1</v>
      </c>
      <c r="G6315" s="7">
        <v>385</v>
      </c>
      <c r="H6315" s="8">
        <v>328</v>
      </c>
      <c r="J6315" t="s">
        <v>23</v>
      </c>
      <c r="K6315" s="7">
        <v>1116</v>
      </c>
      <c r="L6315" s="9">
        <v>-1</v>
      </c>
      <c r="M6315" t="s">
        <v>4315</v>
      </c>
      <c r="N6315" t="s">
        <v>361</v>
      </c>
      <c r="O6315" s="27" t="str">
        <f>HYPERLINK("https://www.ncbi.nlm.nih.gov/nuccore/NZ_JODY01000001.1?report=graph&amp;from=504187&amp;to=504191", "TTA_codon")</f>
        <v>TTA_codon</v>
      </c>
    </row>
    <row r="6316" spans="1:15" x14ac:dyDescent="0.15">
      <c r="A6316" t="s">
        <v>21</v>
      </c>
      <c r="B6316">
        <v>1000261</v>
      </c>
      <c r="C6316">
        <v>355935</v>
      </c>
      <c r="F6316" s="7">
        <v>1</v>
      </c>
      <c r="G6316" s="7">
        <v>385</v>
      </c>
      <c r="H6316" s="8">
        <v>325</v>
      </c>
      <c r="J6316" t="s">
        <v>23</v>
      </c>
      <c r="K6316" s="7">
        <v>1110</v>
      </c>
      <c r="L6316" s="9">
        <v>-1</v>
      </c>
      <c r="M6316" t="s">
        <v>2118</v>
      </c>
      <c r="N6316" t="s">
        <v>384</v>
      </c>
      <c r="O6316" s="27" t="str">
        <f>HYPERLINK("https://www.ncbi.nlm.nih.gov/nuccore/NZ_JOAK01000003.1?report=graph&amp;from=310200&amp;to=310204", "TTA_codon")</f>
        <v>TTA_codon</v>
      </c>
    </row>
    <row r="6317" spans="1:15" x14ac:dyDescent="0.15">
      <c r="A6317" t="s">
        <v>21</v>
      </c>
      <c r="B6317">
        <v>1000261</v>
      </c>
      <c r="C6317">
        <v>356310</v>
      </c>
      <c r="F6317" s="7">
        <v>1</v>
      </c>
      <c r="G6317" s="7">
        <v>385</v>
      </c>
      <c r="H6317" s="8">
        <v>325</v>
      </c>
      <c r="J6317" t="s">
        <v>23</v>
      </c>
      <c r="K6317" s="7">
        <v>1125</v>
      </c>
      <c r="L6317" s="9">
        <v>-1</v>
      </c>
      <c r="M6317" t="s">
        <v>170</v>
      </c>
      <c r="N6317" t="s">
        <v>77</v>
      </c>
      <c r="O6317" s="27" t="str">
        <f>HYPERLINK("https://www.ncbi.nlm.nih.gov/nuccore/NZ_JNXD01000021.1?report=graph&amp;from=31431&amp;to=31435", "TTA_codon")</f>
        <v>TTA_codon</v>
      </c>
    </row>
    <row r="6318" spans="1:15" x14ac:dyDescent="0.15">
      <c r="A6318" t="s">
        <v>21</v>
      </c>
      <c r="B6318">
        <v>1000261</v>
      </c>
      <c r="C6318">
        <v>356466</v>
      </c>
      <c r="F6318" s="7">
        <v>1</v>
      </c>
      <c r="G6318" s="7">
        <v>385</v>
      </c>
      <c r="H6318" s="8">
        <v>322</v>
      </c>
      <c r="J6318" t="s">
        <v>23</v>
      </c>
      <c r="K6318" s="7">
        <v>1122</v>
      </c>
      <c r="L6318" s="9">
        <v>-1</v>
      </c>
      <c r="M6318" t="s">
        <v>4566</v>
      </c>
      <c r="N6318" t="s">
        <v>354</v>
      </c>
      <c r="O6318" s="27" t="str">
        <f>HYPERLINK("https://www.ncbi.nlm.nih.gov/nuccore/NZ_JQJU01000013.1?report=graph&amp;from=106043&amp;to=106047", "TTA_codon")</f>
        <v>TTA_codon</v>
      </c>
    </row>
    <row r="6319" spans="1:15" x14ac:dyDescent="0.15">
      <c r="A6319" t="s">
        <v>21</v>
      </c>
      <c r="B6319">
        <v>1000261</v>
      </c>
      <c r="C6319">
        <v>356985</v>
      </c>
      <c r="F6319" s="7">
        <v>1</v>
      </c>
      <c r="G6319" s="7">
        <v>385</v>
      </c>
      <c r="H6319" s="8">
        <v>160</v>
      </c>
      <c r="J6319" t="s">
        <v>23</v>
      </c>
      <c r="K6319" s="7">
        <v>960</v>
      </c>
      <c r="L6319" s="9">
        <v>-1</v>
      </c>
      <c r="M6319" t="s">
        <v>78</v>
      </c>
      <c r="N6319" t="s">
        <v>79</v>
      </c>
      <c r="O6319" s="27" t="str">
        <f>HYPERLINK("https://www.ncbi.nlm.nih.gov/nuccore/NZ_CP009313.1?report=graph&amp;from=7135073&amp;to=7135077", "TTA_codon")</f>
        <v>TTA_codon</v>
      </c>
    </row>
    <row r="6320" spans="1:15" x14ac:dyDescent="0.15">
      <c r="A6320" t="s">
        <v>21</v>
      </c>
      <c r="B6320">
        <v>1000261</v>
      </c>
      <c r="C6320">
        <v>357491</v>
      </c>
      <c r="F6320" s="7">
        <v>1</v>
      </c>
      <c r="G6320" s="7">
        <v>385</v>
      </c>
      <c r="H6320" s="8">
        <v>322</v>
      </c>
      <c r="J6320" t="s">
        <v>23</v>
      </c>
      <c r="K6320" s="7">
        <v>1122</v>
      </c>
      <c r="L6320" s="9">
        <v>-1</v>
      </c>
      <c r="M6320" t="s">
        <v>80</v>
      </c>
      <c r="N6320" t="s">
        <v>81</v>
      </c>
      <c r="O6320" s="27" t="str">
        <f>HYPERLINK("https://www.ncbi.nlm.nih.gov/nuccore/NZ_LN831790.1?report=graph&amp;from=7615633&amp;to=7615637", "TTA_codon")</f>
        <v>TTA_codon</v>
      </c>
    </row>
    <row r="6321" spans="1:15" x14ac:dyDescent="0.15">
      <c r="A6321" t="s">
        <v>21</v>
      </c>
      <c r="B6321">
        <v>1000261</v>
      </c>
      <c r="C6321">
        <v>357606</v>
      </c>
      <c r="F6321" s="7">
        <v>1</v>
      </c>
      <c r="G6321" s="7">
        <v>385</v>
      </c>
      <c r="H6321" s="8">
        <v>328</v>
      </c>
      <c r="J6321" t="s">
        <v>23</v>
      </c>
      <c r="K6321" s="7">
        <v>1092</v>
      </c>
      <c r="L6321" s="9">
        <v>-1</v>
      </c>
      <c r="M6321" t="s">
        <v>3295</v>
      </c>
      <c r="N6321" t="s">
        <v>378</v>
      </c>
      <c r="O6321" s="27" t="str">
        <f>HYPERLINK("https://www.ncbi.nlm.nih.gov/nuccore/NZ_LFXA01000007.1?report=graph&amp;from=239516&amp;to=239520", "TTA_codon")</f>
        <v>TTA_codon</v>
      </c>
    </row>
    <row r="6322" spans="1:15" x14ac:dyDescent="0.15">
      <c r="A6322" t="s">
        <v>21</v>
      </c>
      <c r="B6322">
        <v>1000261</v>
      </c>
      <c r="C6322">
        <v>357794</v>
      </c>
      <c r="F6322" s="7">
        <v>1</v>
      </c>
      <c r="G6322" s="7">
        <v>385</v>
      </c>
      <c r="H6322" s="8">
        <v>325</v>
      </c>
      <c r="J6322" t="s">
        <v>23</v>
      </c>
      <c r="K6322" s="7">
        <v>1125</v>
      </c>
      <c r="L6322" s="9">
        <v>-1</v>
      </c>
      <c r="M6322" t="s">
        <v>173</v>
      </c>
      <c r="N6322" t="s">
        <v>83</v>
      </c>
      <c r="O6322" s="27" t="str">
        <f>HYPERLINK("https://www.ncbi.nlm.nih.gov/nuccore/NZ_DF968216.1?report=graph&amp;from=49234&amp;to=49238", "TTA_codon")</f>
        <v>TTA_codon</v>
      </c>
    </row>
    <row r="6323" spans="1:15" x14ac:dyDescent="0.15">
      <c r="A6323" t="s">
        <v>21</v>
      </c>
      <c r="B6323">
        <v>1000261</v>
      </c>
      <c r="C6323">
        <v>358047</v>
      </c>
      <c r="F6323" s="7">
        <v>1</v>
      </c>
      <c r="G6323" s="7">
        <v>385</v>
      </c>
      <c r="H6323" s="8">
        <v>313</v>
      </c>
      <c r="J6323" t="s">
        <v>23</v>
      </c>
      <c r="K6323" s="7">
        <v>1113</v>
      </c>
      <c r="L6323" s="9">
        <v>-1</v>
      </c>
      <c r="M6323" t="s">
        <v>261</v>
      </c>
      <c r="N6323" t="s">
        <v>262</v>
      </c>
      <c r="O6323" s="27" t="str">
        <f>HYPERLINK("https://www.ncbi.nlm.nih.gov/nuccore/NZ_CP011340.1?report=graph&amp;from=8051090&amp;to=8051094", "TTA_codon")</f>
        <v>TTA_codon</v>
      </c>
    </row>
    <row r="6324" spans="1:15" x14ac:dyDescent="0.15">
      <c r="A6324" t="s">
        <v>21</v>
      </c>
      <c r="B6324">
        <v>1000261</v>
      </c>
      <c r="C6324">
        <v>358155</v>
      </c>
      <c r="F6324" s="7">
        <v>1</v>
      </c>
      <c r="G6324" s="7">
        <v>385</v>
      </c>
      <c r="H6324" s="8">
        <v>328</v>
      </c>
      <c r="J6324" t="s">
        <v>23</v>
      </c>
      <c r="K6324" s="7">
        <v>1128</v>
      </c>
      <c r="L6324" s="9">
        <v>-1</v>
      </c>
      <c r="M6324" t="s">
        <v>4567</v>
      </c>
      <c r="N6324" t="s">
        <v>119</v>
      </c>
      <c r="O6324" s="27" t="str">
        <f>HYPERLINK("https://www.ncbi.nlm.nih.gov/nuccore/NZ_LIPP01000267.1?report=graph&amp;from=7772&amp;to=7776", "TTA_codon")</f>
        <v>TTA_codon</v>
      </c>
    </row>
    <row r="6325" spans="1:15" x14ac:dyDescent="0.15">
      <c r="A6325" t="s">
        <v>21</v>
      </c>
      <c r="B6325">
        <v>1000261</v>
      </c>
      <c r="C6325">
        <v>358441</v>
      </c>
      <c r="F6325" s="7">
        <v>1</v>
      </c>
      <c r="G6325" s="7">
        <v>385</v>
      </c>
      <c r="H6325" s="8">
        <v>328</v>
      </c>
      <c r="J6325" t="s">
        <v>23</v>
      </c>
      <c r="K6325" s="7">
        <v>1128</v>
      </c>
      <c r="L6325" s="9">
        <v>-1</v>
      </c>
      <c r="M6325" t="s">
        <v>174</v>
      </c>
      <c r="N6325" t="s">
        <v>85</v>
      </c>
      <c r="O6325" s="27" t="str">
        <f>HYPERLINK("https://www.ncbi.nlm.nih.gov/nuccore/NZ_LIQX01000329.1?report=graph&amp;from=1772&amp;to=1776", "TTA_codon")</f>
        <v>TTA_codon</v>
      </c>
    </row>
    <row r="6326" spans="1:15" x14ac:dyDescent="0.15">
      <c r="A6326" t="s">
        <v>21</v>
      </c>
      <c r="B6326">
        <v>1000261</v>
      </c>
      <c r="C6326">
        <v>358964</v>
      </c>
      <c r="F6326" s="7">
        <v>1</v>
      </c>
      <c r="G6326" s="7">
        <v>385</v>
      </c>
      <c r="H6326" s="8">
        <v>325</v>
      </c>
      <c r="J6326" t="s">
        <v>23</v>
      </c>
      <c r="K6326" s="7">
        <v>1014</v>
      </c>
      <c r="L6326" s="9">
        <v>-1</v>
      </c>
      <c r="M6326" t="s">
        <v>175</v>
      </c>
      <c r="N6326" t="s">
        <v>87</v>
      </c>
      <c r="O6326" s="27" t="str">
        <f>HYPERLINK("https://www.ncbi.nlm.nih.gov/nuccore/NZ_LIQS01000721.1?report=graph&amp;from=699&amp;to=703", "TTA_codon")</f>
        <v>TTA_codon</v>
      </c>
    </row>
    <row r="6327" spans="1:15" x14ac:dyDescent="0.15">
      <c r="A6327" t="s">
        <v>21</v>
      </c>
      <c r="B6327">
        <v>1000261</v>
      </c>
      <c r="C6327">
        <v>360973</v>
      </c>
      <c r="F6327" s="7">
        <v>1</v>
      </c>
      <c r="G6327" s="7">
        <v>385</v>
      </c>
      <c r="H6327" s="8">
        <v>358</v>
      </c>
      <c r="J6327" t="s">
        <v>23</v>
      </c>
      <c r="K6327" s="7">
        <v>1158</v>
      </c>
      <c r="L6327" s="9">
        <v>-1</v>
      </c>
      <c r="M6327" t="s">
        <v>176</v>
      </c>
      <c r="N6327" t="s">
        <v>97</v>
      </c>
      <c r="O6327" s="27" t="str">
        <f>HYPERLINK("https://www.ncbi.nlm.nih.gov/nuccore/NZ_LOHS01000088.1?report=graph&amp;from=15755&amp;to=15759", "TTA_codon")</f>
        <v>TTA_codon</v>
      </c>
    </row>
    <row r="6328" spans="1:15" x14ac:dyDescent="0.15">
      <c r="A6328" t="s">
        <v>21</v>
      </c>
      <c r="B6328">
        <v>1000261</v>
      </c>
      <c r="C6328">
        <v>361690</v>
      </c>
      <c r="F6328" s="7">
        <v>1</v>
      </c>
      <c r="G6328" s="7">
        <v>385</v>
      </c>
      <c r="H6328" s="8">
        <v>331</v>
      </c>
      <c r="J6328" t="s">
        <v>23</v>
      </c>
      <c r="K6328" s="7">
        <v>1122</v>
      </c>
      <c r="L6328" s="9">
        <v>-1</v>
      </c>
      <c r="M6328" t="s">
        <v>37</v>
      </c>
      <c r="N6328" t="s">
        <v>38</v>
      </c>
      <c r="O6328" s="27" t="str">
        <f>HYPERLINK("https://www.ncbi.nlm.nih.gov/nuccore/NZ_CP011533.1?report=graph&amp;from=7700644&amp;to=7700648", "TTA_codon")</f>
        <v>TTA_codon</v>
      </c>
    </row>
    <row r="6329" spans="1:15" x14ac:dyDescent="0.15">
      <c r="A6329" t="s">
        <v>21</v>
      </c>
      <c r="B6329">
        <v>1000261</v>
      </c>
      <c r="C6329">
        <v>362343</v>
      </c>
      <c r="F6329" s="7">
        <v>1</v>
      </c>
      <c r="G6329" s="7">
        <v>385</v>
      </c>
      <c r="H6329" s="8">
        <v>331</v>
      </c>
      <c r="J6329" t="s">
        <v>23</v>
      </c>
      <c r="K6329" s="7">
        <v>1119</v>
      </c>
      <c r="L6329" s="9">
        <v>-1</v>
      </c>
      <c r="M6329" t="s">
        <v>39</v>
      </c>
      <c r="N6329" t="s">
        <v>40</v>
      </c>
      <c r="O6329" s="27" t="str">
        <f>HYPERLINK("https://www.ncbi.nlm.nih.gov/nuccore/NZ_CP017157.1?report=graph&amp;from=3128484&amp;to=3128488", "TTA_codon")</f>
        <v>TTA_codon</v>
      </c>
    </row>
    <row r="6330" spans="1:15" x14ac:dyDescent="0.15">
      <c r="A6330" t="s">
        <v>21</v>
      </c>
      <c r="B6330">
        <v>1000261</v>
      </c>
      <c r="C6330">
        <v>363987</v>
      </c>
      <c r="F6330" s="7">
        <v>1</v>
      </c>
      <c r="G6330" s="7">
        <v>385</v>
      </c>
      <c r="H6330" s="8">
        <v>322</v>
      </c>
      <c r="J6330" t="s">
        <v>23</v>
      </c>
      <c r="K6330" s="7">
        <v>1119</v>
      </c>
      <c r="L6330" s="9">
        <v>-1</v>
      </c>
      <c r="M6330" t="s">
        <v>1487</v>
      </c>
      <c r="N6330" t="s">
        <v>104</v>
      </c>
      <c r="O6330" s="27" t="str">
        <f>HYPERLINK("https://www.ncbi.nlm.nih.gov/nuccore/NZ_MVFC01000013.1?report=graph&amp;from=47618&amp;to=47622", "TTA_codon")</f>
        <v>TTA_codon</v>
      </c>
    </row>
    <row r="6331" spans="1:15" x14ac:dyDescent="0.15">
      <c r="A6331" t="s">
        <v>21</v>
      </c>
      <c r="B6331">
        <v>1000261</v>
      </c>
      <c r="C6331">
        <v>364586</v>
      </c>
      <c r="F6331" s="7">
        <v>1</v>
      </c>
      <c r="G6331" s="7">
        <v>385</v>
      </c>
      <c r="H6331" s="8">
        <v>328</v>
      </c>
      <c r="J6331" t="s">
        <v>23</v>
      </c>
      <c r="K6331" s="7">
        <v>1128</v>
      </c>
      <c r="L6331" s="9">
        <v>-1</v>
      </c>
      <c r="M6331" t="s">
        <v>3339</v>
      </c>
      <c r="N6331" t="s">
        <v>108</v>
      </c>
      <c r="O6331" s="27" t="str">
        <f>HYPERLINK("https://www.ncbi.nlm.nih.gov/nuccore/NZ_MUMD01000222.1?report=graph&amp;from=25838&amp;to=25842", "TTA_codon")</f>
        <v>TTA_codon</v>
      </c>
    </row>
    <row r="6332" spans="1:15" x14ac:dyDescent="0.15">
      <c r="A6332" t="s">
        <v>21</v>
      </c>
      <c r="B6332">
        <v>1000261</v>
      </c>
      <c r="C6332">
        <v>364774</v>
      </c>
      <c r="F6332" s="7">
        <v>2</v>
      </c>
      <c r="G6332" s="7" t="s">
        <v>4568</v>
      </c>
      <c r="H6332" s="8" t="s">
        <v>4569</v>
      </c>
      <c r="J6332" t="s">
        <v>23</v>
      </c>
      <c r="K6332" s="7">
        <v>984</v>
      </c>
      <c r="L6332" s="9">
        <v>-1</v>
      </c>
      <c r="M6332" t="s">
        <v>4570</v>
      </c>
      <c r="N6332" t="s">
        <v>110</v>
      </c>
      <c r="O6332" s="27" t="str">
        <f>HYPERLINK("https://www.ncbi.nlm.nih.gov/nuccore/NZ_MUME01000382.1?report=graph&amp;from=17948&amp;to=18081", "TTA_codon")</f>
        <v>TTA_codon</v>
      </c>
    </row>
    <row r="6333" spans="1:15" x14ac:dyDescent="0.15">
      <c r="A6333" t="s">
        <v>21</v>
      </c>
      <c r="B6333">
        <v>1000261</v>
      </c>
      <c r="C6333">
        <v>365168</v>
      </c>
      <c r="F6333" s="7">
        <v>1</v>
      </c>
      <c r="G6333" s="7">
        <v>385</v>
      </c>
      <c r="H6333" s="8">
        <v>325</v>
      </c>
      <c r="J6333" t="s">
        <v>23</v>
      </c>
      <c r="K6333" s="7">
        <v>1095</v>
      </c>
      <c r="L6333" s="9">
        <v>-1</v>
      </c>
      <c r="M6333" t="s">
        <v>111</v>
      </c>
      <c r="N6333" t="s">
        <v>112</v>
      </c>
      <c r="O6333" s="27" t="str">
        <f>HYPERLINK("https://www.ncbi.nlm.nih.gov/nuccore/NZ_CP021744.1?report=graph&amp;from=6730869&amp;to=6730873", "TTA_codon")</f>
        <v>TTA_codon</v>
      </c>
    </row>
    <row r="6334" spans="1:15" x14ac:dyDescent="0.15">
      <c r="A6334" t="s">
        <v>21</v>
      </c>
      <c r="B6334" t="s">
        <v>4571</v>
      </c>
    </row>
    <row r="6335" spans="1:15" x14ac:dyDescent="0.15">
      <c r="A6335" t="s">
        <v>21</v>
      </c>
      <c r="B6335">
        <v>1001352</v>
      </c>
      <c r="C6335">
        <v>360858</v>
      </c>
      <c r="F6335" s="7">
        <v>1</v>
      </c>
      <c r="G6335" s="7">
        <v>73</v>
      </c>
      <c r="H6335" s="8">
        <v>73</v>
      </c>
      <c r="J6335" t="s">
        <v>23</v>
      </c>
      <c r="K6335" s="7">
        <v>645</v>
      </c>
      <c r="L6335" s="9">
        <v>1</v>
      </c>
      <c r="M6335" t="s">
        <v>94</v>
      </c>
      <c r="N6335" t="s">
        <v>95</v>
      </c>
      <c r="O6335" s="27" t="str">
        <f>HYPERLINK("https://www.ncbi.nlm.nih.gov/nuccore/NZ_JYIJ01000019.1?report=graph&amp;from=521969&amp;to=521973", "TTA_codon")</f>
        <v>TTA_codon</v>
      </c>
    </row>
    <row r="6336" spans="1:15" x14ac:dyDescent="0.15">
      <c r="A6336" t="s">
        <v>21</v>
      </c>
      <c r="B6336">
        <v>1001352</v>
      </c>
      <c r="C6336">
        <v>365456</v>
      </c>
      <c r="F6336" s="7">
        <v>1</v>
      </c>
      <c r="G6336" s="7">
        <v>67</v>
      </c>
      <c r="H6336" s="8">
        <v>64</v>
      </c>
      <c r="J6336" t="s">
        <v>23</v>
      </c>
      <c r="K6336" s="7">
        <v>645</v>
      </c>
      <c r="L6336" s="9">
        <v>1</v>
      </c>
      <c r="M6336" t="s">
        <v>44</v>
      </c>
      <c r="N6336" t="s">
        <v>45</v>
      </c>
      <c r="O6336" s="27" t="str">
        <f>HYPERLINK("https://www.ncbi.nlm.nih.gov/nuccore/NZ_FNIE01000002.1?report=graph&amp;from=698961&amp;to=698965", "TTA_codon")</f>
        <v>TTA_codon</v>
      </c>
    </row>
    <row r="6337" spans="1:15" x14ac:dyDescent="0.15">
      <c r="A6337" t="s">
        <v>21</v>
      </c>
      <c r="B6337" t="s">
        <v>4572</v>
      </c>
    </row>
    <row r="6338" spans="1:15" x14ac:dyDescent="0.15">
      <c r="A6338" t="s">
        <v>21</v>
      </c>
      <c r="B6338">
        <v>1000266</v>
      </c>
      <c r="C6338">
        <v>347755</v>
      </c>
      <c r="F6338" s="7">
        <v>1</v>
      </c>
      <c r="G6338" s="7">
        <v>412</v>
      </c>
      <c r="H6338" s="8">
        <v>412</v>
      </c>
      <c r="J6338" t="s">
        <v>23</v>
      </c>
      <c r="K6338" s="7">
        <v>1533</v>
      </c>
      <c r="L6338" s="9">
        <v>1</v>
      </c>
      <c r="M6338" t="s">
        <v>57</v>
      </c>
      <c r="N6338" t="s">
        <v>58</v>
      </c>
      <c r="O6338" s="27" t="str">
        <f>HYPERLINK("https://www.ncbi.nlm.nih.gov/nuccore/NC_013929.1?report=graph&amp;from=8785855&amp;to=8785859", "TTA_codon")</f>
        <v>TTA_codon</v>
      </c>
    </row>
    <row r="6339" spans="1:15" x14ac:dyDescent="0.15">
      <c r="A6339" t="s">
        <v>21</v>
      </c>
      <c r="B6339">
        <v>1000266</v>
      </c>
      <c r="C6339">
        <v>361087</v>
      </c>
      <c r="F6339" s="7">
        <v>1</v>
      </c>
      <c r="G6339" s="7">
        <v>412</v>
      </c>
      <c r="H6339" s="8">
        <v>412</v>
      </c>
      <c r="J6339" t="s">
        <v>23</v>
      </c>
      <c r="K6339" s="7">
        <v>1497</v>
      </c>
      <c r="L6339" s="9">
        <v>1</v>
      </c>
      <c r="M6339" t="s">
        <v>98</v>
      </c>
      <c r="N6339" t="s">
        <v>99</v>
      </c>
      <c r="O6339" s="27" t="str">
        <f>HYPERLINK("https://www.ncbi.nlm.nih.gov/nuccore/NZ_CP016438.1?report=graph&amp;from=9996150&amp;to=9996154", "TTA_codon")</f>
        <v>TTA_codon</v>
      </c>
    </row>
    <row r="6340" spans="1:15" x14ac:dyDescent="0.15">
      <c r="A6340" t="s">
        <v>21</v>
      </c>
      <c r="B6340" t="s">
        <v>4573</v>
      </c>
    </row>
    <row r="6341" spans="1:15" x14ac:dyDescent="0.15">
      <c r="A6341" t="s">
        <v>21</v>
      </c>
      <c r="B6341">
        <v>1000295</v>
      </c>
      <c r="C6341">
        <v>347887</v>
      </c>
      <c r="F6341" s="7">
        <v>1</v>
      </c>
      <c r="G6341" s="7">
        <v>604</v>
      </c>
      <c r="H6341" s="8">
        <v>604</v>
      </c>
      <c r="J6341" t="s">
        <v>23</v>
      </c>
      <c r="K6341" s="7">
        <v>1338</v>
      </c>
      <c r="L6341" s="9">
        <v>-1</v>
      </c>
      <c r="M6341" t="s">
        <v>57</v>
      </c>
      <c r="N6341" t="s">
        <v>58</v>
      </c>
      <c r="O6341" s="27" t="str">
        <f>HYPERLINK("https://www.ncbi.nlm.nih.gov/nuccore/NC_013929.1?report=graph&amp;from=5005445&amp;to=5005449", "TTA_codon")</f>
        <v>TTA_codon</v>
      </c>
    </row>
    <row r="6342" spans="1:15" x14ac:dyDescent="0.15">
      <c r="A6342" t="s">
        <v>21</v>
      </c>
      <c r="B6342">
        <v>1000295</v>
      </c>
      <c r="C6342">
        <v>351333</v>
      </c>
      <c r="F6342" s="7">
        <v>1</v>
      </c>
      <c r="G6342" s="7">
        <v>586</v>
      </c>
      <c r="H6342" s="8">
        <v>577</v>
      </c>
      <c r="J6342" t="s">
        <v>23</v>
      </c>
      <c r="K6342" s="7">
        <v>1329</v>
      </c>
      <c r="L6342" s="9">
        <v>-1</v>
      </c>
      <c r="M6342" t="s">
        <v>65</v>
      </c>
      <c r="N6342" t="s">
        <v>66</v>
      </c>
      <c r="O6342" s="27" t="str">
        <f>HYPERLINK("https://www.ncbi.nlm.nih.gov/nuccore/NC_020504.1?report=graph&amp;from=4848153&amp;to=4848157", "TTA_codon")</f>
        <v>TTA_codon</v>
      </c>
    </row>
    <row r="6343" spans="1:15" x14ac:dyDescent="0.15">
      <c r="A6343" t="s">
        <v>21</v>
      </c>
      <c r="B6343" t="s">
        <v>4574</v>
      </c>
    </row>
    <row r="6344" spans="1:15" x14ac:dyDescent="0.15">
      <c r="A6344" t="s">
        <v>21</v>
      </c>
      <c r="B6344">
        <v>1000416</v>
      </c>
      <c r="C6344">
        <v>348612</v>
      </c>
      <c r="F6344" s="7">
        <v>1</v>
      </c>
      <c r="G6344" s="7">
        <v>406</v>
      </c>
      <c r="H6344" s="8">
        <v>406</v>
      </c>
      <c r="J6344" t="s">
        <v>23</v>
      </c>
      <c r="K6344" s="7">
        <v>1179</v>
      </c>
      <c r="L6344" s="9">
        <v>1</v>
      </c>
      <c r="M6344" t="s">
        <v>61</v>
      </c>
      <c r="N6344" t="s">
        <v>62</v>
      </c>
      <c r="O6344" s="27" t="str">
        <f>HYPERLINK("https://www.ncbi.nlm.nih.gov/nuccore/NZ_DS999641.1?report=graph&amp;from=8013692&amp;to=8013696", "TTA_codon")</f>
        <v>TTA_codon</v>
      </c>
    </row>
    <row r="6345" spans="1:15" x14ac:dyDescent="0.15">
      <c r="A6345" t="s">
        <v>21</v>
      </c>
      <c r="B6345">
        <v>1000416</v>
      </c>
      <c r="C6345">
        <v>359399</v>
      </c>
      <c r="F6345" s="7">
        <v>2</v>
      </c>
      <c r="G6345" s="7" t="s">
        <v>4575</v>
      </c>
      <c r="H6345" s="8" t="s">
        <v>4575</v>
      </c>
      <c r="J6345" t="s">
        <v>23</v>
      </c>
      <c r="K6345" s="7">
        <v>1179</v>
      </c>
      <c r="L6345" s="9">
        <v>1</v>
      </c>
      <c r="M6345" t="s">
        <v>4576</v>
      </c>
      <c r="N6345" t="s">
        <v>89</v>
      </c>
      <c r="O6345" s="27" t="str">
        <f>HYPERLINK("https://www.ncbi.nlm.nih.gov/nuccore/NZ_LIRG01000744.1?report=graph&amp;from=815&amp;to=915", "TTA_codon")</f>
        <v>TTA_codon</v>
      </c>
    </row>
    <row r="6346" spans="1:15" x14ac:dyDescent="0.15">
      <c r="A6346" t="s">
        <v>21</v>
      </c>
      <c r="B6346" t="s">
        <v>4577</v>
      </c>
    </row>
    <row r="6347" spans="1:15" x14ac:dyDescent="0.15">
      <c r="A6347" t="s">
        <v>21</v>
      </c>
      <c r="B6347">
        <v>1000283</v>
      </c>
      <c r="C6347">
        <v>347811</v>
      </c>
      <c r="F6347" s="7">
        <v>1</v>
      </c>
      <c r="G6347" s="7">
        <v>61</v>
      </c>
      <c r="H6347" s="8">
        <v>61</v>
      </c>
      <c r="J6347" t="s">
        <v>23</v>
      </c>
      <c r="K6347" s="7">
        <v>591</v>
      </c>
      <c r="L6347" s="9">
        <v>-1</v>
      </c>
      <c r="M6347" t="s">
        <v>57</v>
      </c>
      <c r="N6347" t="s">
        <v>58</v>
      </c>
      <c r="O6347" s="27" t="str">
        <f>HYPERLINK("https://www.ncbi.nlm.nih.gov/nuccore/NC_013929.1?report=graph&amp;from=185458&amp;to=185462", "TTA_codon")</f>
        <v>TTA_codon</v>
      </c>
    </row>
    <row r="6348" spans="1:15" x14ac:dyDescent="0.15">
      <c r="A6348" t="s">
        <v>21</v>
      </c>
      <c r="B6348">
        <v>1000283</v>
      </c>
      <c r="C6348">
        <v>356528</v>
      </c>
      <c r="F6348" s="7">
        <v>1</v>
      </c>
      <c r="G6348" s="7">
        <v>136</v>
      </c>
      <c r="H6348" s="8">
        <v>136</v>
      </c>
      <c r="J6348" t="s">
        <v>23</v>
      </c>
      <c r="K6348" s="7">
        <v>591</v>
      </c>
      <c r="L6348" s="9">
        <v>-1</v>
      </c>
      <c r="M6348" t="s">
        <v>508</v>
      </c>
      <c r="N6348" t="s">
        <v>509</v>
      </c>
      <c r="O6348" s="27" t="str">
        <f>HYPERLINK("https://www.ncbi.nlm.nih.gov/nuccore/NZ_CP009438.1?report=graph&amp;from=1073137&amp;to=1073141", "TTA_codon")</f>
        <v>TTA_codon</v>
      </c>
    </row>
    <row r="6349" spans="1:15" x14ac:dyDescent="0.15">
      <c r="A6349" t="s">
        <v>21</v>
      </c>
      <c r="B6349" t="s">
        <v>4578</v>
      </c>
    </row>
    <row r="6350" spans="1:15" x14ac:dyDescent="0.15">
      <c r="A6350" t="s">
        <v>21</v>
      </c>
      <c r="B6350">
        <v>1000542</v>
      </c>
      <c r="C6350">
        <v>349732</v>
      </c>
      <c r="F6350" s="7">
        <v>1</v>
      </c>
      <c r="G6350" s="7">
        <v>52</v>
      </c>
      <c r="H6350" s="8">
        <v>52</v>
      </c>
      <c r="J6350" t="s">
        <v>23</v>
      </c>
      <c r="K6350" s="7">
        <v>1209</v>
      </c>
      <c r="L6350" s="9">
        <v>-1</v>
      </c>
      <c r="M6350" t="s">
        <v>420</v>
      </c>
      <c r="N6350" t="s">
        <v>266</v>
      </c>
      <c r="O6350" s="27" t="str">
        <f>HYPERLINK("https://www.ncbi.nlm.nih.gov/nuccore/NC_017585.1?report=graph&amp;from=1269591&amp;to=1269595", "TTA_codon")</f>
        <v>TTA_codon</v>
      </c>
    </row>
    <row r="6351" spans="1:15" x14ac:dyDescent="0.15">
      <c r="A6351" t="s">
        <v>21</v>
      </c>
      <c r="B6351">
        <v>1000542</v>
      </c>
      <c r="C6351">
        <v>355257</v>
      </c>
      <c r="F6351" s="7">
        <v>1</v>
      </c>
      <c r="G6351" s="7">
        <v>121</v>
      </c>
      <c r="H6351" s="8">
        <v>112</v>
      </c>
      <c r="J6351" t="s">
        <v>23</v>
      </c>
      <c r="K6351" s="7">
        <v>1140</v>
      </c>
      <c r="L6351" s="9">
        <v>-1</v>
      </c>
      <c r="M6351" t="s">
        <v>294</v>
      </c>
      <c r="N6351" t="s">
        <v>295</v>
      </c>
      <c r="O6351" s="27" t="str">
        <f>HYPERLINK("https://www.ncbi.nlm.nih.gov/nuccore/NZ_JODL01000004.1?report=graph&amp;from=261020&amp;to=261024", "TTA_codon")</f>
        <v>TTA_codon</v>
      </c>
    </row>
    <row r="6352" spans="1:15" x14ac:dyDescent="0.15">
      <c r="A6352" t="s">
        <v>21</v>
      </c>
      <c r="B6352">
        <v>1000542</v>
      </c>
      <c r="C6352">
        <v>360024</v>
      </c>
      <c r="F6352" s="7">
        <v>1</v>
      </c>
      <c r="G6352" s="7">
        <v>100</v>
      </c>
      <c r="H6352" s="8">
        <v>100</v>
      </c>
      <c r="J6352" t="s">
        <v>23</v>
      </c>
      <c r="K6352" s="7">
        <v>1173</v>
      </c>
      <c r="L6352" s="9">
        <v>-1</v>
      </c>
      <c r="M6352" t="s">
        <v>1563</v>
      </c>
      <c r="N6352" t="s">
        <v>125</v>
      </c>
      <c r="O6352" s="27" t="str">
        <f>HYPERLINK("https://www.ncbi.nlm.nih.gov/nuccore/NZ_KQ948451.1?report=graph&amp;from=677418&amp;to=677422", "TTA_codon")</f>
        <v>TTA_codon</v>
      </c>
    </row>
    <row r="6353" spans="1:15" x14ac:dyDescent="0.15">
      <c r="A6353" t="s">
        <v>21</v>
      </c>
      <c r="B6353" t="s">
        <v>4579</v>
      </c>
    </row>
    <row r="6354" spans="1:15" x14ac:dyDescent="0.15">
      <c r="A6354" t="s">
        <v>21</v>
      </c>
      <c r="B6354">
        <v>1000508</v>
      </c>
      <c r="C6354">
        <v>349403</v>
      </c>
      <c r="F6354" s="7">
        <v>1</v>
      </c>
      <c r="G6354" s="7">
        <v>118</v>
      </c>
      <c r="H6354" s="8">
        <v>115</v>
      </c>
      <c r="J6354" t="s">
        <v>23</v>
      </c>
      <c r="K6354" s="7">
        <v>1023</v>
      </c>
      <c r="L6354" s="9">
        <v>1</v>
      </c>
      <c r="M6354" t="s">
        <v>458</v>
      </c>
      <c r="N6354" t="s">
        <v>315</v>
      </c>
      <c r="O6354" s="27" t="str">
        <f>HYPERLINK("https://www.ncbi.nlm.nih.gov/nuccore/NC_003888.3?report=graph&amp;from=4065601&amp;to=4065605", "TTA_codon")</f>
        <v>TTA_codon</v>
      </c>
    </row>
    <row r="6355" spans="1:15" x14ac:dyDescent="0.15">
      <c r="A6355" t="s">
        <v>21</v>
      </c>
      <c r="B6355">
        <v>1000508</v>
      </c>
      <c r="C6355">
        <v>356110</v>
      </c>
      <c r="F6355" s="7">
        <v>1</v>
      </c>
      <c r="G6355" s="7">
        <v>118</v>
      </c>
      <c r="H6355" s="8">
        <v>118</v>
      </c>
      <c r="J6355" t="s">
        <v>23</v>
      </c>
      <c r="K6355" s="7">
        <v>1026</v>
      </c>
      <c r="L6355" s="9">
        <v>1</v>
      </c>
      <c r="M6355" t="s">
        <v>4580</v>
      </c>
      <c r="N6355" t="s">
        <v>146</v>
      </c>
      <c r="O6355" s="27" t="str">
        <f>HYPERLINK("https://www.ncbi.nlm.nih.gov/nuccore/NZ_JOFH01000030.1?report=graph&amp;from=85784&amp;to=85788", "TTA_codon")</f>
        <v>TTA_codon</v>
      </c>
    </row>
    <row r="6356" spans="1:15" x14ac:dyDescent="0.15">
      <c r="A6356" t="s">
        <v>21</v>
      </c>
      <c r="B6356" t="s">
        <v>4581</v>
      </c>
    </row>
    <row r="6357" spans="1:15" x14ac:dyDescent="0.15">
      <c r="A6357" t="s">
        <v>21</v>
      </c>
      <c r="B6357">
        <v>1000981</v>
      </c>
      <c r="C6357">
        <v>353868</v>
      </c>
      <c r="F6357" s="7">
        <v>1</v>
      </c>
      <c r="G6357" s="7">
        <v>505</v>
      </c>
      <c r="H6357" s="8">
        <v>331</v>
      </c>
      <c r="J6357" t="s">
        <v>23</v>
      </c>
      <c r="K6357" s="7">
        <v>1221</v>
      </c>
      <c r="L6357" s="9">
        <v>1</v>
      </c>
      <c r="M6357" t="s">
        <v>431</v>
      </c>
      <c r="N6357" t="s">
        <v>246</v>
      </c>
      <c r="O6357" s="27" t="str">
        <f>HYPERLINK("https://www.ncbi.nlm.nih.gov/nuccore/NZ_JNYR01000007.1?report=graph&amp;from=44144&amp;to=44148", "TTA_codon")</f>
        <v>TTA_codon</v>
      </c>
    </row>
    <row r="6358" spans="1:15" x14ac:dyDescent="0.15">
      <c r="A6358" t="s">
        <v>21</v>
      </c>
      <c r="B6358">
        <v>1000981</v>
      </c>
      <c r="C6358">
        <v>366000</v>
      </c>
      <c r="F6358" s="7">
        <v>1</v>
      </c>
      <c r="G6358" s="7">
        <v>565</v>
      </c>
      <c r="H6358" s="8">
        <v>556</v>
      </c>
      <c r="J6358" t="s">
        <v>23</v>
      </c>
      <c r="K6358" s="7">
        <v>1341</v>
      </c>
      <c r="L6358" s="9">
        <v>1</v>
      </c>
      <c r="M6358" t="s">
        <v>2519</v>
      </c>
      <c r="N6358" t="s">
        <v>115</v>
      </c>
      <c r="O6358" s="27" t="str">
        <f>HYPERLINK("https://www.ncbi.nlm.nih.gov/nuccore/NZ_FODD01000028.1?report=graph&amp;from=63239&amp;to=63243", "TTA_codon")</f>
        <v>TTA_codon</v>
      </c>
    </row>
    <row r="6359" spans="1:15" x14ac:dyDescent="0.15">
      <c r="A6359" t="s">
        <v>21</v>
      </c>
      <c r="B6359" t="s">
        <v>4582</v>
      </c>
    </row>
    <row r="6360" spans="1:15" x14ac:dyDescent="0.15">
      <c r="A6360" t="s">
        <v>21</v>
      </c>
      <c r="B6360">
        <v>1000688</v>
      </c>
      <c r="C6360">
        <v>350916</v>
      </c>
      <c r="F6360" s="7">
        <v>2</v>
      </c>
      <c r="G6360" s="7" t="s">
        <v>4583</v>
      </c>
      <c r="H6360" s="8" t="s">
        <v>4584</v>
      </c>
      <c r="J6360" t="s">
        <v>23</v>
      </c>
      <c r="K6360" s="7">
        <v>3792</v>
      </c>
      <c r="L6360" s="9">
        <v>1</v>
      </c>
      <c r="M6360" t="s">
        <v>352</v>
      </c>
      <c r="N6360" t="s">
        <v>51</v>
      </c>
      <c r="O6360" s="27" t="str">
        <f>HYPERLINK("https://www.ncbi.nlm.nih.gov/nuccore/NZ_AEJB01000361.1?report=graph&amp;from=476409&amp;to=477577", "TTA_codon")</f>
        <v>TTA_codon</v>
      </c>
    </row>
    <row r="6361" spans="1:15" x14ac:dyDescent="0.15">
      <c r="A6361" t="s">
        <v>21</v>
      </c>
      <c r="B6361">
        <v>1000688</v>
      </c>
      <c r="C6361">
        <v>359887</v>
      </c>
      <c r="F6361" s="7">
        <v>1</v>
      </c>
      <c r="G6361" s="7">
        <v>2815</v>
      </c>
      <c r="H6361" s="8">
        <v>2758</v>
      </c>
      <c r="J6361" t="s">
        <v>23</v>
      </c>
      <c r="K6361" s="7">
        <v>4527</v>
      </c>
      <c r="L6361" s="9">
        <v>1</v>
      </c>
      <c r="M6361" t="s">
        <v>616</v>
      </c>
      <c r="N6361" t="s">
        <v>91</v>
      </c>
      <c r="O6361" s="27" t="str">
        <f>HYPERLINK("https://www.ncbi.nlm.nih.gov/nuccore/NZ_KQ948305.1?report=graph&amp;from=2972&amp;to=2976", "TTA_codon")</f>
        <v>TTA_codon</v>
      </c>
    </row>
    <row r="6362" spans="1:15" x14ac:dyDescent="0.15">
      <c r="A6362" t="s">
        <v>21</v>
      </c>
      <c r="B6362" t="s">
        <v>4585</v>
      </c>
    </row>
    <row r="6363" spans="1:15" x14ac:dyDescent="0.15">
      <c r="A6363" t="s">
        <v>21</v>
      </c>
      <c r="B6363">
        <v>1000675</v>
      </c>
      <c r="C6363">
        <v>350773</v>
      </c>
      <c r="F6363" s="7">
        <v>1</v>
      </c>
      <c r="G6363" s="7">
        <v>502</v>
      </c>
      <c r="H6363" s="8">
        <v>502</v>
      </c>
      <c r="J6363" t="s">
        <v>23</v>
      </c>
      <c r="K6363" s="7">
        <v>675</v>
      </c>
      <c r="L6363" s="9">
        <v>1</v>
      </c>
      <c r="M6363" t="s">
        <v>4586</v>
      </c>
      <c r="N6363" t="s">
        <v>51</v>
      </c>
      <c r="O6363" s="27" t="str">
        <f>HYPERLINK("https://www.ncbi.nlm.nih.gov/nuccore/NZ_AEJB01000291.1?report=graph&amp;from=8230&amp;to=8234", "TTA_codon")</f>
        <v>TTA_codon</v>
      </c>
    </row>
    <row r="6364" spans="1:15" x14ac:dyDescent="0.15">
      <c r="A6364" t="s">
        <v>21</v>
      </c>
      <c r="B6364">
        <v>1000675</v>
      </c>
      <c r="C6364">
        <v>358829</v>
      </c>
      <c r="F6364" s="7">
        <v>1</v>
      </c>
      <c r="G6364" s="7">
        <v>379</v>
      </c>
      <c r="H6364" s="8">
        <v>265</v>
      </c>
      <c r="J6364" t="s">
        <v>23</v>
      </c>
      <c r="K6364" s="7">
        <v>561</v>
      </c>
      <c r="L6364" s="9">
        <v>1</v>
      </c>
      <c r="M6364" t="s">
        <v>4587</v>
      </c>
      <c r="N6364" t="s">
        <v>87</v>
      </c>
      <c r="O6364" s="27" t="str">
        <f>HYPERLINK("https://www.ncbi.nlm.nih.gov/nuccore/NZ_LIQS01000434.1?report=graph&amp;from=1364&amp;to=1368", "TTA_codon")</f>
        <v>TTA_codon</v>
      </c>
    </row>
    <row r="6365" spans="1:15" x14ac:dyDescent="0.15">
      <c r="A6365" t="s">
        <v>21</v>
      </c>
      <c r="B6365" t="s">
        <v>4588</v>
      </c>
    </row>
    <row r="6366" spans="1:15" x14ac:dyDescent="0.15">
      <c r="A6366" t="s">
        <v>21</v>
      </c>
      <c r="B6366">
        <v>1000275</v>
      </c>
      <c r="C6366">
        <v>347783</v>
      </c>
      <c r="F6366" s="7">
        <v>1</v>
      </c>
      <c r="G6366" s="7">
        <v>511</v>
      </c>
      <c r="H6366" s="8">
        <v>403</v>
      </c>
      <c r="J6366" t="s">
        <v>23</v>
      </c>
      <c r="K6366" s="7">
        <v>1209</v>
      </c>
      <c r="L6366" s="9">
        <v>-1</v>
      </c>
      <c r="M6366" t="s">
        <v>57</v>
      </c>
      <c r="N6366" t="s">
        <v>58</v>
      </c>
      <c r="O6366" s="27" t="str">
        <f>HYPERLINK("https://www.ncbi.nlm.nih.gov/nuccore/NC_013929.1?report=graph&amp;from=7029552&amp;to=7029556", "TTA_codon")</f>
        <v>TTA_codon</v>
      </c>
    </row>
    <row r="6367" spans="1:15" x14ac:dyDescent="0.15">
      <c r="A6367" t="s">
        <v>21</v>
      </c>
      <c r="B6367">
        <v>1000275</v>
      </c>
      <c r="C6367">
        <v>347784</v>
      </c>
      <c r="F6367" s="7">
        <v>1</v>
      </c>
      <c r="G6367" s="7">
        <v>388</v>
      </c>
      <c r="H6367" s="8">
        <v>385</v>
      </c>
      <c r="J6367" t="s">
        <v>23</v>
      </c>
      <c r="K6367" s="7">
        <v>1236</v>
      </c>
      <c r="L6367" s="9">
        <v>-1</v>
      </c>
      <c r="M6367" t="s">
        <v>57</v>
      </c>
      <c r="N6367" t="s">
        <v>58</v>
      </c>
      <c r="O6367" s="27" t="str">
        <f>HYPERLINK("https://www.ncbi.nlm.nih.gov/nuccore/NC_013929.1?report=graph&amp;from=5237939&amp;to=5237943", "TTA_codon")</f>
        <v>TTA_codon</v>
      </c>
    </row>
    <row r="6368" spans="1:15" x14ac:dyDescent="0.15">
      <c r="A6368" t="s">
        <v>21</v>
      </c>
      <c r="B6368">
        <v>1000275</v>
      </c>
      <c r="C6368">
        <v>353571</v>
      </c>
      <c r="F6368" s="7">
        <v>1</v>
      </c>
      <c r="G6368" s="7">
        <v>436</v>
      </c>
      <c r="H6368" s="8">
        <v>334</v>
      </c>
      <c r="J6368" t="s">
        <v>23</v>
      </c>
      <c r="K6368" s="7">
        <v>1200</v>
      </c>
      <c r="L6368" s="9">
        <v>-1</v>
      </c>
      <c r="M6368" t="s">
        <v>4589</v>
      </c>
      <c r="N6368" t="s">
        <v>140</v>
      </c>
      <c r="O6368" s="27" t="str">
        <f>HYPERLINK("https://www.ncbi.nlm.nih.gov/nuccore/NZ_JNXG01000022.1?report=graph&amp;from=10384&amp;to=10388", "TTA_codon")</f>
        <v>TTA_codon</v>
      </c>
    </row>
    <row r="6369" spans="1:15" x14ac:dyDescent="0.15">
      <c r="A6369" t="s">
        <v>21</v>
      </c>
      <c r="B6369">
        <v>1000275</v>
      </c>
      <c r="C6369">
        <v>354556</v>
      </c>
      <c r="F6369" s="7">
        <v>2</v>
      </c>
      <c r="G6369" s="7" t="s">
        <v>4590</v>
      </c>
      <c r="H6369" s="8" t="s">
        <v>4590</v>
      </c>
      <c r="J6369" t="s">
        <v>23</v>
      </c>
      <c r="K6369" s="7">
        <v>1239</v>
      </c>
      <c r="L6369" s="9">
        <v>-1</v>
      </c>
      <c r="M6369" t="s">
        <v>1081</v>
      </c>
      <c r="N6369" t="s">
        <v>272</v>
      </c>
      <c r="O6369" s="27" t="str">
        <f>HYPERLINK("https://www.ncbi.nlm.nih.gov/nuccore/NZ_JOEY01000029.1?report=graph&amp;from=58627&amp;to=58862", "TTA_codon")</f>
        <v>TTA_codon</v>
      </c>
    </row>
    <row r="6370" spans="1:15" x14ac:dyDescent="0.15">
      <c r="A6370" t="s">
        <v>21</v>
      </c>
      <c r="B6370" t="s">
        <v>4591</v>
      </c>
    </row>
    <row r="6371" spans="1:15" x14ac:dyDescent="0.15">
      <c r="A6371" t="s">
        <v>21</v>
      </c>
      <c r="B6371">
        <v>1000743</v>
      </c>
      <c r="C6371">
        <v>351341</v>
      </c>
      <c r="F6371" s="7">
        <v>1</v>
      </c>
      <c r="G6371" s="7">
        <v>844</v>
      </c>
      <c r="H6371" s="8">
        <v>802</v>
      </c>
      <c r="J6371" t="s">
        <v>23</v>
      </c>
      <c r="K6371" s="7">
        <v>1230</v>
      </c>
      <c r="L6371" s="9">
        <v>-1</v>
      </c>
      <c r="M6371" t="s">
        <v>65</v>
      </c>
      <c r="N6371" t="s">
        <v>66</v>
      </c>
      <c r="O6371" s="27" t="str">
        <f>HYPERLINK("https://www.ncbi.nlm.nih.gov/nuccore/NC_020504.1?report=graph&amp;from=6454189&amp;to=6454193", "TTA_codon")</f>
        <v>TTA_codon</v>
      </c>
    </row>
    <row r="6372" spans="1:15" x14ac:dyDescent="0.15">
      <c r="A6372" t="s">
        <v>21</v>
      </c>
      <c r="B6372">
        <v>1000743</v>
      </c>
      <c r="C6372">
        <v>361201</v>
      </c>
      <c r="F6372" s="7">
        <v>1</v>
      </c>
      <c r="G6372" s="7">
        <v>727</v>
      </c>
      <c r="H6372" s="8">
        <v>670</v>
      </c>
      <c r="J6372" t="s">
        <v>23</v>
      </c>
      <c r="K6372" s="7">
        <v>1173</v>
      </c>
      <c r="L6372" s="9">
        <v>-1</v>
      </c>
      <c r="M6372" t="s">
        <v>98</v>
      </c>
      <c r="N6372" t="s">
        <v>99</v>
      </c>
      <c r="O6372" s="27" t="str">
        <f>HYPERLINK("https://www.ncbi.nlm.nih.gov/nuccore/NZ_CP016438.1?report=graph&amp;from=10236200&amp;to=10236204", "TTA_codon")</f>
        <v>TTA_codon</v>
      </c>
    </row>
    <row r="6373" spans="1:15" x14ac:dyDescent="0.15">
      <c r="A6373" t="s">
        <v>21</v>
      </c>
      <c r="B6373" t="s">
        <v>4592</v>
      </c>
    </row>
    <row r="6374" spans="1:15" x14ac:dyDescent="0.15">
      <c r="A6374" t="s">
        <v>21</v>
      </c>
      <c r="B6374">
        <v>1000272</v>
      </c>
      <c r="C6374">
        <v>347771</v>
      </c>
      <c r="F6374" s="7">
        <v>1</v>
      </c>
      <c r="G6374" s="7">
        <v>130</v>
      </c>
      <c r="H6374" s="8">
        <v>130</v>
      </c>
      <c r="J6374" t="s">
        <v>23</v>
      </c>
      <c r="K6374" s="7">
        <v>1401</v>
      </c>
      <c r="L6374" s="9">
        <v>-1</v>
      </c>
      <c r="M6374" t="s">
        <v>57</v>
      </c>
      <c r="N6374" t="s">
        <v>58</v>
      </c>
      <c r="O6374" s="27" t="str">
        <f>HYPERLINK("https://www.ncbi.nlm.nih.gov/nuccore/NC_013929.1?report=graph&amp;from=7741107&amp;to=7741111", "TTA_codon")</f>
        <v>TTA_codon</v>
      </c>
    </row>
    <row r="6375" spans="1:15" x14ac:dyDescent="0.15">
      <c r="A6375" t="s">
        <v>21</v>
      </c>
      <c r="B6375">
        <v>1000272</v>
      </c>
      <c r="C6375">
        <v>358355</v>
      </c>
      <c r="F6375" s="7">
        <v>1</v>
      </c>
      <c r="G6375" s="7">
        <v>130</v>
      </c>
      <c r="H6375" s="8">
        <v>118</v>
      </c>
      <c r="J6375" t="s">
        <v>23</v>
      </c>
      <c r="K6375" s="7">
        <v>1380</v>
      </c>
      <c r="L6375" s="9">
        <v>-1</v>
      </c>
      <c r="M6375" t="s">
        <v>4593</v>
      </c>
      <c r="N6375" t="s">
        <v>85</v>
      </c>
      <c r="O6375" s="27" t="str">
        <f>HYPERLINK("https://www.ncbi.nlm.nih.gov/nuccore/NZ_LIQX01000090.1?report=graph&amp;from=26351&amp;to=26355", "TTA_codon")</f>
        <v>TTA_codon</v>
      </c>
    </row>
    <row r="6376" spans="1:15" x14ac:dyDescent="0.15">
      <c r="A6376" t="s">
        <v>21</v>
      </c>
      <c r="B6376">
        <v>1000272</v>
      </c>
      <c r="C6376">
        <v>359039</v>
      </c>
      <c r="F6376" s="7">
        <v>1</v>
      </c>
      <c r="G6376" s="7">
        <v>130</v>
      </c>
      <c r="H6376" s="8">
        <v>91</v>
      </c>
      <c r="J6376" t="s">
        <v>23</v>
      </c>
      <c r="K6376" s="7">
        <v>1350</v>
      </c>
      <c r="L6376" s="9">
        <v>-1</v>
      </c>
      <c r="M6376" t="s">
        <v>4594</v>
      </c>
      <c r="N6376" t="s">
        <v>451</v>
      </c>
      <c r="O6376" s="27" t="str">
        <f>HYPERLINK("https://www.ncbi.nlm.nih.gov/nuccore/NZ_LIQZ01000466.1?report=graph&amp;from=6539&amp;to=6543", "TTA_codon")</f>
        <v>TTA_codon</v>
      </c>
    </row>
    <row r="6377" spans="1:15" x14ac:dyDescent="0.15">
      <c r="A6377" t="s">
        <v>21</v>
      </c>
      <c r="B6377">
        <v>1000272</v>
      </c>
      <c r="C6377">
        <v>361103</v>
      </c>
      <c r="F6377" s="7">
        <v>1</v>
      </c>
      <c r="G6377" s="7">
        <v>130</v>
      </c>
      <c r="H6377" s="8">
        <v>100</v>
      </c>
      <c r="J6377" t="s">
        <v>23</v>
      </c>
      <c r="K6377" s="7">
        <v>1476</v>
      </c>
      <c r="L6377" s="9">
        <v>-1</v>
      </c>
      <c r="M6377" t="s">
        <v>98</v>
      </c>
      <c r="N6377" t="s">
        <v>99</v>
      </c>
      <c r="O6377" s="27" t="str">
        <f>HYPERLINK("https://www.ncbi.nlm.nih.gov/nuccore/NZ_CP016438.1?report=graph&amp;from=5276504&amp;to=5276508", "TTA_codon")</f>
        <v>TTA_codon</v>
      </c>
    </row>
    <row r="6378" spans="1:15" x14ac:dyDescent="0.15">
      <c r="A6378" t="s">
        <v>21</v>
      </c>
      <c r="B6378" t="s">
        <v>4595</v>
      </c>
    </row>
    <row r="6379" spans="1:15" x14ac:dyDescent="0.15">
      <c r="A6379" t="s">
        <v>21</v>
      </c>
      <c r="B6379">
        <v>1000250</v>
      </c>
      <c r="C6379">
        <v>347648</v>
      </c>
      <c r="F6379" s="7">
        <v>1</v>
      </c>
      <c r="G6379" s="7">
        <v>463</v>
      </c>
      <c r="H6379" s="8">
        <v>421</v>
      </c>
      <c r="J6379" t="s">
        <v>23</v>
      </c>
      <c r="K6379" s="7">
        <v>591</v>
      </c>
      <c r="L6379" s="9">
        <v>1</v>
      </c>
      <c r="M6379" t="s">
        <v>55</v>
      </c>
      <c r="N6379" t="s">
        <v>56</v>
      </c>
      <c r="O6379" s="27" t="str">
        <f>HYPERLINK("https://www.ncbi.nlm.nih.gov/nuccore/NC_010572.1?report=graph&amp;from=2822531&amp;to=2822535", "TTA_codon")</f>
        <v>TTA_codon</v>
      </c>
    </row>
    <row r="6380" spans="1:15" x14ac:dyDescent="0.15">
      <c r="A6380" t="s">
        <v>21</v>
      </c>
      <c r="B6380">
        <v>1000250</v>
      </c>
      <c r="C6380">
        <v>350531</v>
      </c>
      <c r="F6380" s="7">
        <v>2</v>
      </c>
      <c r="G6380" s="7" t="s">
        <v>4596</v>
      </c>
      <c r="H6380" s="8" t="s">
        <v>4597</v>
      </c>
      <c r="J6380" t="s">
        <v>23</v>
      </c>
      <c r="K6380" s="7">
        <v>591</v>
      </c>
      <c r="L6380" s="9">
        <v>1</v>
      </c>
      <c r="M6380" t="s">
        <v>4598</v>
      </c>
      <c r="N6380" t="s">
        <v>134</v>
      </c>
      <c r="O6380" s="27" t="str">
        <f>HYPERLINK("https://www.ncbi.nlm.nih.gov/nuccore/NZ_AJSZ01000028.1?report=graph&amp;from=8961&amp;to=9199", "TTA_codon")</f>
        <v>TTA_codon</v>
      </c>
    </row>
    <row r="6381" spans="1:15" x14ac:dyDescent="0.15">
      <c r="A6381" t="s">
        <v>21</v>
      </c>
      <c r="B6381">
        <v>1000250</v>
      </c>
      <c r="C6381">
        <v>354601</v>
      </c>
      <c r="F6381" s="7">
        <v>2</v>
      </c>
      <c r="G6381" s="7" t="s">
        <v>4599</v>
      </c>
      <c r="H6381" s="8" t="s">
        <v>4600</v>
      </c>
      <c r="J6381" t="s">
        <v>23</v>
      </c>
      <c r="K6381" s="7">
        <v>594</v>
      </c>
      <c r="L6381" s="9">
        <v>1</v>
      </c>
      <c r="M6381" t="s">
        <v>4601</v>
      </c>
      <c r="N6381" t="s">
        <v>272</v>
      </c>
      <c r="O6381" s="27" t="str">
        <f>HYPERLINK("https://www.ncbi.nlm.nih.gov/nuccore/NZ_JOEY01000078.1?report=graph&amp;from=31549&amp;to=31988", "TTA_codon")</f>
        <v>TTA_codon</v>
      </c>
    </row>
    <row r="6382" spans="1:15" x14ac:dyDescent="0.15">
      <c r="A6382" t="s">
        <v>21</v>
      </c>
      <c r="B6382">
        <v>1000250</v>
      </c>
      <c r="C6382">
        <v>355090</v>
      </c>
      <c r="F6382" s="7">
        <v>1</v>
      </c>
      <c r="G6382" s="7">
        <v>478</v>
      </c>
      <c r="H6382" s="8">
        <v>406</v>
      </c>
      <c r="J6382" t="s">
        <v>23</v>
      </c>
      <c r="K6382" s="7">
        <v>561</v>
      </c>
      <c r="L6382" s="9">
        <v>1</v>
      </c>
      <c r="M6382" t="s">
        <v>702</v>
      </c>
      <c r="N6382" t="s">
        <v>433</v>
      </c>
      <c r="O6382" s="27" t="str">
        <f>HYPERLINK("https://www.ncbi.nlm.nih.gov/nuccore/NZ_JOBF01000003.1?report=graph&amp;from=264580&amp;to=264584", "TTA_codon")</f>
        <v>TTA_codon</v>
      </c>
    </row>
    <row r="6383" spans="1:15" x14ac:dyDescent="0.15">
      <c r="A6383" t="s">
        <v>21</v>
      </c>
      <c r="B6383">
        <v>1000250</v>
      </c>
      <c r="C6383">
        <v>355645</v>
      </c>
      <c r="F6383" s="7">
        <v>1</v>
      </c>
      <c r="G6383" s="7">
        <v>373</v>
      </c>
      <c r="H6383" s="8">
        <v>328</v>
      </c>
      <c r="J6383" t="s">
        <v>23</v>
      </c>
      <c r="K6383" s="7">
        <v>588</v>
      </c>
      <c r="L6383" s="9">
        <v>1</v>
      </c>
      <c r="M6383" t="s">
        <v>277</v>
      </c>
      <c r="N6383" t="s">
        <v>278</v>
      </c>
      <c r="O6383" s="27" t="str">
        <f>HYPERLINK("https://www.ncbi.nlm.nih.gov/nuccore/NZ_JOID01000016.1?report=graph&amp;from=87719&amp;to=87723", "TTA_codon")</f>
        <v>TTA_codon</v>
      </c>
    </row>
    <row r="6384" spans="1:15" x14ac:dyDescent="0.15">
      <c r="A6384" t="s">
        <v>21</v>
      </c>
      <c r="B6384">
        <v>1000250</v>
      </c>
      <c r="C6384">
        <v>356201</v>
      </c>
      <c r="F6384" s="7">
        <v>2</v>
      </c>
      <c r="G6384" s="7" t="s">
        <v>4602</v>
      </c>
      <c r="H6384" s="8" t="s">
        <v>4603</v>
      </c>
      <c r="J6384" t="s">
        <v>23</v>
      </c>
      <c r="K6384" s="7">
        <v>594</v>
      </c>
      <c r="L6384" s="9">
        <v>1</v>
      </c>
      <c r="M6384" t="s">
        <v>1259</v>
      </c>
      <c r="N6384" t="s">
        <v>77</v>
      </c>
      <c r="O6384" s="27" t="str">
        <f>HYPERLINK("https://www.ncbi.nlm.nih.gov/nuccore/NZ_JNXD01000003.1?report=graph&amp;from=311478&amp;to=311695", "TTA_codon")</f>
        <v>TTA_codon</v>
      </c>
    </row>
    <row r="6385" spans="1:15" x14ac:dyDescent="0.15">
      <c r="A6385" t="s">
        <v>21</v>
      </c>
      <c r="B6385">
        <v>1000250</v>
      </c>
      <c r="C6385">
        <v>357730</v>
      </c>
      <c r="F6385" s="7">
        <v>2</v>
      </c>
      <c r="G6385" s="7" t="s">
        <v>4602</v>
      </c>
      <c r="H6385" s="8" t="s">
        <v>4603</v>
      </c>
      <c r="J6385" t="s">
        <v>23</v>
      </c>
      <c r="K6385" s="7">
        <v>594</v>
      </c>
      <c r="L6385" s="9">
        <v>1</v>
      </c>
      <c r="M6385" t="s">
        <v>1260</v>
      </c>
      <c r="N6385" t="s">
        <v>83</v>
      </c>
      <c r="O6385" s="27" t="str">
        <f>HYPERLINK("https://www.ncbi.nlm.nih.gov/nuccore/NZ_DF968186.1?report=graph&amp;from=61841&amp;to=62058", "TTA_codon")</f>
        <v>TTA_codon</v>
      </c>
    </row>
    <row r="6386" spans="1:15" x14ac:dyDescent="0.15">
      <c r="A6386" t="s">
        <v>21</v>
      </c>
      <c r="B6386">
        <v>1000250</v>
      </c>
      <c r="C6386">
        <v>357958</v>
      </c>
      <c r="F6386" s="7">
        <v>1</v>
      </c>
      <c r="G6386" s="7">
        <v>373</v>
      </c>
      <c r="H6386" s="8">
        <v>313</v>
      </c>
      <c r="J6386" t="s">
        <v>23</v>
      </c>
      <c r="K6386" s="7">
        <v>573</v>
      </c>
      <c r="L6386" s="9">
        <v>1</v>
      </c>
      <c r="M6386" t="s">
        <v>261</v>
      </c>
      <c r="N6386" t="s">
        <v>262</v>
      </c>
      <c r="O6386" s="27" t="str">
        <f>HYPERLINK("https://www.ncbi.nlm.nih.gov/nuccore/NZ_CP011340.1?report=graph&amp;from=2842361&amp;to=2842365", "TTA_codon")</f>
        <v>TTA_codon</v>
      </c>
    </row>
    <row r="6387" spans="1:15" x14ac:dyDescent="0.15">
      <c r="A6387" t="s">
        <v>21</v>
      </c>
      <c r="B6387">
        <v>1000250</v>
      </c>
      <c r="C6387">
        <v>358389</v>
      </c>
      <c r="F6387" s="7">
        <v>1</v>
      </c>
      <c r="G6387" s="7">
        <v>487</v>
      </c>
      <c r="H6387" s="8">
        <v>445</v>
      </c>
      <c r="J6387" t="s">
        <v>23</v>
      </c>
      <c r="K6387" s="7">
        <v>591</v>
      </c>
      <c r="L6387" s="9">
        <v>1</v>
      </c>
      <c r="M6387" t="s">
        <v>4604</v>
      </c>
      <c r="N6387" t="s">
        <v>85</v>
      </c>
      <c r="O6387" s="27" t="str">
        <f>HYPERLINK("https://www.ncbi.nlm.nih.gov/nuccore/NZ_LIQX01000565.1?report=graph&amp;from=19410&amp;to=19414", "TTA_codon")</f>
        <v>TTA_codon</v>
      </c>
    </row>
    <row r="6388" spans="1:15" x14ac:dyDescent="0.15">
      <c r="A6388" t="s">
        <v>21</v>
      </c>
      <c r="B6388">
        <v>1000250</v>
      </c>
      <c r="C6388">
        <v>361174</v>
      </c>
      <c r="F6388" s="7">
        <v>1</v>
      </c>
      <c r="G6388" s="7">
        <v>487</v>
      </c>
      <c r="H6388" s="8">
        <v>448</v>
      </c>
      <c r="J6388" t="s">
        <v>23</v>
      </c>
      <c r="K6388" s="7">
        <v>594</v>
      </c>
      <c r="L6388" s="9">
        <v>1</v>
      </c>
      <c r="M6388" t="s">
        <v>98</v>
      </c>
      <c r="N6388" t="s">
        <v>99</v>
      </c>
      <c r="O6388" s="27" t="str">
        <f>HYPERLINK("https://www.ncbi.nlm.nih.gov/nuccore/NZ_CP016438.1?report=graph&amp;from=9267978&amp;to=9267982", "TTA_codon")</f>
        <v>TTA_codon</v>
      </c>
    </row>
    <row r="6389" spans="1:15" x14ac:dyDescent="0.15">
      <c r="A6389" t="s">
        <v>21</v>
      </c>
      <c r="B6389">
        <v>1000250</v>
      </c>
      <c r="C6389">
        <v>361385</v>
      </c>
      <c r="F6389" s="7">
        <v>1</v>
      </c>
      <c r="G6389" s="7">
        <v>244</v>
      </c>
      <c r="H6389" s="8">
        <v>202</v>
      </c>
      <c r="J6389" t="s">
        <v>23</v>
      </c>
      <c r="K6389" s="7">
        <v>591</v>
      </c>
      <c r="L6389" s="9">
        <v>1</v>
      </c>
      <c r="M6389" t="s">
        <v>200</v>
      </c>
      <c r="N6389" t="s">
        <v>201</v>
      </c>
      <c r="O6389" s="27" t="str">
        <f>HYPERLINK("https://www.ncbi.nlm.nih.gov/nuccore/NZ_CP016559.1?report=graph&amp;from=1067852&amp;to=1067856", "TTA_codon")</f>
        <v>TTA_codon</v>
      </c>
    </row>
    <row r="6390" spans="1:15" x14ac:dyDescent="0.15">
      <c r="A6390" t="s">
        <v>21</v>
      </c>
      <c r="B6390">
        <v>1000250</v>
      </c>
      <c r="C6390">
        <v>361964</v>
      </c>
      <c r="F6390" s="7">
        <v>1</v>
      </c>
      <c r="G6390" s="7">
        <v>208</v>
      </c>
      <c r="H6390" s="8">
        <v>199</v>
      </c>
      <c r="J6390" t="s">
        <v>23</v>
      </c>
      <c r="K6390" s="7">
        <v>606</v>
      </c>
      <c r="L6390" s="9">
        <v>1</v>
      </c>
      <c r="M6390" t="s">
        <v>727</v>
      </c>
      <c r="N6390" t="s">
        <v>187</v>
      </c>
      <c r="O6390" s="27" t="str">
        <f>HYPERLINK("https://www.ncbi.nlm.nih.gov/nuccore/NZ_MAXF01000020.1?report=graph&amp;from=147371&amp;to=147375", "TTA_codon")</f>
        <v>TTA_codon</v>
      </c>
    </row>
    <row r="6391" spans="1:15" x14ac:dyDescent="0.15">
      <c r="A6391" t="s">
        <v>21</v>
      </c>
      <c r="B6391">
        <v>1000250</v>
      </c>
      <c r="C6391">
        <v>362237</v>
      </c>
      <c r="F6391" s="7">
        <v>2</v>
      </c>
      <c r="G6391" s="7" t="s">
        <v>4605</v>
      </c>
      <c r="H6391" s="8" t="s">
        <v>4606</v>
      </c>
      <c r="J6391" t="s">
        <v>23</v>
      </c>
      <c r="K6391" s="7">
        <v>573</v>
      </c>
      <c r="L6391" s="9">
        <v>1</v>
      </c>
      <c r="M6391" t="s">
        <v>39</v>
      </c>
      <c r="N6391" t="s">
        <v>40</v>
      </c>
      <c r="O6391" s="27" t="str">
        <f>HYPERLINK("https://www.ncbi.nlm.nih.gov/nuccore/NZ_CP017157.1?report=graph&amp;from=3658245&amp;to=3658354", "TTA_codon")</f>
        <v>TTA_codon</v>
      </c>
    </row>
    <row r="6392" spans="1:15" x14ac:dyDescent="0.15">
      <c r="A6392" t="s">
        <v>21</v>
      </c>
      <c r="B6392">
        <v>1000250</v>
      </c>
      <c r="C6392">
        <v>363640</v>
      </c>
      <c r="F6392" s="7">
        <v>1</v>
      </c>
      <c r="G6392" s="7">
        <v>130</v>
      </c>
      <c r="H6392" s="8">
        <v>94</v>
      </c>
      <c r="J6392" t="s">
        <v>23</v>
      </c>
      <c r="K6392" s="7">
        <v>570</v>
      </c>
      <c r="L6392" s="9">
        <v>1</v>
      </c>
      <c r="M6392" t="s">
        <v>101</v>
      </c>
      <c r="N6392" t="s">
        <v>102</v>
      </c>
      <c r="O6392" s="27" t="str">
        <f>HYPERLINK("https://www.ncbi.nlm.nih.gov/nuccore/NZ_CP019458.1?report=graph&amp;from=3725524&amp;to=3725528", "TTA_codon")</f>
        <v>TTA_codon</v>
      </c>
    </row>
    <row r="6393" spans="1:15" x14ac:dyDescent="0.15">
      <c r="A6393" t="s">
        <v>21</v>
      </c>
      <c r="B6393">
        <v>1000250</v>
      </c>
      <c r="C6393">
        <v>364147</v>
      </c>
      <c r="F6393" s="7">
        <v>1</v>
      </c>
      <c r="G6393" s="7">
        <v>274</v>
      </c>
      <c r="H6393" s="8">
        <v>229</v>
      </c>
      <c r="J6393" t="s">
        <v>23</v>
      </c>
      <c r="K6393" s="7">
        <v>588</v>
      </c>
      <c r="L6393" s="9">
        <v>1</v>
      </c>
      <c r="M6393" t="s">
        <v>254</v>
      </c>
      <c r="N6393" t="s">
        <v>255</v>
      </c>
      <c r="O6393" s="27" t="str">
        <f>HYPERLINK("https://www.ncbi.nlm.nih.gov/nuccore/NZ_CP018047.1?report=graph&amp;from=705139&amp;to=705143", "TTA_codon")</f>
        <v>TTA_codon</v>
      </c>
    </row>
    <row r="6394" spans="1:15" x14ac:dyDescent="0.15">
      <c r="A6394" t="s">
        <v>21</v>
      </c>
      <c r="B6394">
        <v>1000250</v>
      </c>
      <c r="C6394">
        <v>364316</v>
      </c>
      <c r="F6394" s="7">
        <v>1</v>
      </c>
      <c r="G6394" s="7">
        <v>130</v>
      </c>
      <c r="H6394" s="8">
        <v>130</v>
      </c>
      <c r="J6394" t="s">
        <v>23</v>
      </c>
      <c r="K6394" s="7">
        <v>594</v>
      </c>
      <c r="L6394" s="9">
        <v>1</v>
      </c>
      <c r="M6394" t="s">
        <v>105</v>
      </c>
      <c r="N6394" t="s">
        <v>106</v>
      </c>
      <c r="O6394" s="27" t="str">
        <f>HYPERLINK("https://www.ncbi.nlm.nih.gov/nuccore/NZ_CP020042.1?report=graph&amp;from=7197038&amp;to=7197042", "TTA_codon")</f>
        <v>TTA_codon</v>
      </c>
    </row>
    <row r="6395" spans="1:15" x14ac:dyDescent="0.15">
      <c r="A6395" t="s">
        <v>21</v>
      </c>
      <c r="B6395" t="s">
        <v>4607</v>
      </c>
    </row>
    <row r="6396" spans="1:15" x14ac:dyDescent="0.15">
      <c r="A6396" t="s">
        <v>21</v>
      </c>
      <c r="B6396">
        <v>1000651</v>
      </c>
      <c r="C6396">
        <v>350561</v>
      </c>
      <c r="F6396" s="7">
        <v>1</v>
      </c>
      <c r="G6396" s="7">
        <v>76</v>
      </c>
      <c r="H6396" s="8">
        <v>76</v>
      </c>
      <c r="J6396" t="s">
        <v>23</v>
      </c>
      <c r="K6396" s="7">
        <v>981</v>
      </c>
      <c r="L6396" s="9">
        <v>1</v>
      </c>
      <c r="M6396" t="s">
        <v>4608</v>
      </c>
      <c r="N6396" t="s">
        <v>134</v>
      </c>
      <c r="O6396" s="27" t="str">
        <f>HYPERLINK("https://www.ncbi.nlm.nih.gov/nuccore/NZ_AJSZ01000105.1?report=graph&amp;from=542&amp;to=546", "TTA_codon")</f>
        <v>TTA_codon</v>
      </c>
    </row>
    <row r="6397" spans="1:15" x14ac:dyDescent="0.15">
      <c r="A6397" t="s">
        <v>21</v>
      </c>
      <c r="B6397">
        <v>1000651</v>
      </c>
      <c r="C6397">
        <v>353635</v>
      </c>
      <c r="F6397" s="7">
        <v>1</v>
      </c>
      <c r="G6397" s="7">
        <v>67</v>
      </c>
      <c r="H6397" s="8">
        <v>67</v>
      </c>
      <c r="J6397" t="s">
        <v>23</v>
      </c>
      <c r="K6397" s="7">
        <v>993</v>
      </c>
      <c r="L6397" s="9">
        <v>1</v>
      </c>
      <c r="M6397" t="s">
        <v>4609</v>
      </c>
      <c r="N6397" t="s">
        <v>140</v>
      </c>
      <c r="O6397" s="27" t="str">
        <f>HYPERLINK("https://www.ncbi.nlm.nih.gov/nuccore/NZ_JNXG01000011.1?report=graph&amp;from=101191&amp;to=101195", "TTA_codon")</f>
        <v>TTA_codon</v>
      </c>
    </row>
    <row r="6398" spans="1:15" x14ac:dyDescent="0.15">
      <c r="A6398" t="s">
        <v>21</v>
      </c>
      <c r="B6398">
        <v>1000651</v>
      </c>
      <c r="C6398">
        <v>358031</v>
      </c>
      <c r="F6398" s="7">
        <v>3</v>
      </c>
      <c r="G6398" s="7" t="s">
        <v>4610</v>
      </c>
      <c r="H6398" s="8" t="s">
        <v>4610</v>
      </c>
      <c r="J6398" t="s">
        <v>23</v>
      </c>
      <c r="K6398" s="7">
        <v>1011</v>
      </c>
      <c r="L6398" s="9">
        <v>1</v>
      </c>
      <c r="M6398" t="s">
        <v>261</v>
      </c>
      <c r="N6398" t="s">
        <v>262</v>
      </c>
      <c r="O6398" s="27" t="str">
        <f>HYPERLINK("https://www.ncbi.nlm.nih.gov/nuccore/NZ_CP011340.1?report=graph&amp;from=1023727&amp;to=1023923", "TTA_codon")</f>
        <v>TTA_codon</v>
      </c>
    </row>
    <row r="6399" spans="1:15" x14ac:dyDescent="0.15">
      <c r="A6399" t="s">
        <v>21</v>
      </c>
      <c r="B6399">
        <v>1000651</v>
      </c>
      <c r="C6399">
        <v>361512</v>
      </c>
      <c r="F6399" s="7">
        <v>1</v>
      </c>
      <c r="G6399" s="7">
        <v>76</v>
      </c>
      <c r="H6399" s="8">
        <v>76</v>
      </c>
      <c r="J6399" t="s">
        <v>23</v>
      </c>
      <c r="K6399" s="7">
        <v>981</v>
      </c>
      <c r="L6399" s="9">
        <v>1</v>
      </c>
      <c r="M6399" t="s">
        <v>200</v>
      </c>
      <c r="N6399" t="s">
        <v>201</v>
      </c>
      <c r="O6399" s="27" t="str">
        <f>HYPERLINK("https://www.ncbi.nlm.nih.gov/nuccore/NZ_CP016559.1?report=graph&amp;from=527135&amp;to=527139", "TTA_codon")</f>
        <v>TTA_codon</v>
      </c>
    </row>
    <row r="6400" spans="1:15" x14ac:dyDescent="0.15">
      <c r="A6400" t="s">
        <v>195</v>
      </c>
      <c r="B6400" t="s">
        <v>4611</v>
      </c>
    </row>
    <row r="6401" spans="1:15" x14ac:dyDescent="0.15">
      <c r="A6401" t="s">
        <v>195</v>
      </c>
      <c r="B6401">
        <v>1001068</v>
      </c>
      <c r="C6401">
        <v>346776</v>
      </c>
      <c r="F6401" s="7">
        <v>1</v>
      </c>
      <c r="G6401" s="7">
        <v>358</v>
      </c>
      <c r="H6401" s="8">
        <v>310</v>
      </c>
      <c r="J6401" t="s">
        <v>23</v>
      </c>
      <c r="K6401" s="7">
        <v>1983</v>
      </c>
      <c r="L6401" s="9">
        <v>-1</v>
      </c>
      <c r="M6401" t="s">
        <v>121</v>
      </c>
      <c r="N6401" t="s">
        <v>122</v>
      </c>
      <c r="O6401" s="27" t="str">
        <f>HYPERLINK("https://www.ncbi.nlm.nih.gov/nuccore/NZ_CP016279.1?report=graph&amp;from=4054642&amp;to=4054646", "TTA_codon")</f>
        <v>TTA_codon</v>
      </c>
    </row>
    <row r="6402" spans="1:15" x14ac:dyDescent="0.15">
      <c r="A6402" t="s">
        <v>21</v>
      </c>
      <c r="B6402">
        <v>1001068</v>
      </c>
      <c r="C6402">
        <v>350076</v>
      </c>
      <c r="F6402" s="7">
        <v>1</v>
      </c>
      <c r="G6402" s="7">
        <v>1168</v>
      </c>
      <c r="H6402" s="8">
        <v>826</v>
      </c>
      <c r="J6402" t="s">
        <v>23</v>
      </c>
      <c r="K6402" s="7">
        <v>1650</v>
      </c>
      <c r="L6402" s="9">
        <v>-1</v>
      </c>
      <c r="M6402" t="s">
        <v>1491</v>
      </c>
      <c r="N6402" t="s">
        <v>249</v>
      </c>
      <c r="O6402" s="27" t="str">
        <f>HYPERLINK("https://www.ncbi.nlm.nih.gov/nuccore/NZ_AHBF01000017.1?report=graph&amp;from=93311&amp;to=93315", "TTA_codon")</f>
        <v>TTA_codon</v>
      </c>
    </row>
    <row r="6403" spans="1:15" x14ac:dyDescent="0.15">
      <c r="A6403" t="s">
        <v>21</v>
      </c>
      <c r="B6403">
        <v>1001068</v>
      </c>
      <c r="C6403">
        <v>353080</v>
      </c>
      <c r="F6403" s="7">
        <v>2</v>
      </c>
      <c r="G6403" s="7" t="s">
        <v>4612</v>
      </c>
      <c r="H6403" s="8" t="s">
        <v>4613</v>
      </c>
      <c r="J6403" t="s">
        <v>23</v>
      </c>
      <c r="K6403" s="7">
        <v>1968</v>
      </c>
      <c r="L6403" s="9">
        <v>-1</v>
      </c>
      <c r="M6403" t="s">
        <v>4468</v>
      </c>
      <c r="N6403" t="s">
        <v>306</v>
      </c>
      <c r="O6403" s="27" t="str">
        <f>HYPERLINK("https://www.ncbi.nlm.nih.gov/nuccore/NZ_KL571142.1?report=graph&amp;from=22725&amp;to=23266", "TTA_codon")</f>
        <v>TTA_codon</v>
      </c>
    </row>
    <row r="6404" spans="1:15" x14ac:dyDescent="0.15">
      <c r="A6404" t="s">
        <v>21</v>
      </c>
      <c r="B6404">
        <v>1001068</v>
      </c>
      <c r="C6404">
        <v>355143</v>
      </c>
      <c r="F6404" s="7">
        <v>2</v>
      </c>
      <c r="G6404" s="7" t="s">
        <v>4614</v>
      </c>
      <c r="H6404" s="8" t="s">
        <v>4615</v>
      </c>
      <c r="J6404" t="s">
        <v>23</v>
      </c>
      <c r="K6404" s="7">
        <v>1947</v>
      </c>
      <c r="L6404" s="9">
        <v>-1</v>
      </c>
      <c r="M6404" t="s">
        <v>2654</v>
      </c>
      <c r="N6404" t="s">
        <v>433</v>
      </c>
      <c r="O6404" s="27" t="str">
        <f>HYPERLINK("https://www.ncbi.nlm.nih.gov/nuccore/NZ_JOBF01000001.1?report=graph&amp;from=298738&amp;to=298769", "TTA_codon")</f>
        <v>TTA_codon</v>
      </c>
    </row>
    <row r="6405" spans="1:15" x14ac:dyDescent="0.15">
      <c r="A6405" t="s">
        <v>21</v>
      </c>
      <c r="B6405">
        <v>1001068</v>
      </c>
      <c r="C6405">
        <v>357636</v>
      </c>
      <c r="F6405" s="7">
        <v>1</v>
      </c>
      <c r="G6405" s="7">
        <v>991</v>
      </c>
      <c r="H6405" s="8">
        <v>931</v>
      </c>
      <c r="J6405" t="s">
        <v>23</v>
      </c>
      <c r="K6405" s="7">
        <v>1935</v>
      </c>
      <c r="L6405" s="9">
        <v>-1</v>
      </c>
      <c r="M6405" t="s">
        <v>957</v>
      </c>
      <c r="N6405" t="s">
        <v>378</v>
      </c>
      <c r="O6405" s="27" t="str">
        <f>HYPERLINK("https://www.ncbi.nlm.nih.gov/nuccore/NZ_LFXA01000017.1?report=graph&amp;from=386935&amp;to=386939", "TTA_codon")</f>
        <v>TTA_codon</v>
      </c>
    </row>
    <row r="6406" spans="1:15" x14ac:dyDescent="0.15">
      <c r="A6406" t="s">
        <v>21</v>
      </c>
      <c r="B6406">
        <v>1001068</v>
      </c>
      <c r="C6406">
        <v>363740</v>
      </c>
      <c r="F6406" s="7">
        <v>2</v>
      </c>
      <c r="G6406" s="7" t="s">
        <v>4616</v>
      </c>
      <c r="H6406" s="8" t="s">
        <v>4617</v>
      </c>
      <c r="J6406" t="s">
        <v>23</v>
      </c>
      <c r="K6406" s="7">
        <v>1911</v>
      </c>
      <c r="L6406" s="9">
        <v>-1</v>
      </c>
      <c r="M6406" t="s">
        <v>101</v>
      </c>
      <c r="N6406" t="s">
        <v>102</v>
      </c>
      <c r="O6406" s="27" t="str">
        <f>HYPERLINK("https://www.ncbi.nlm.nih.gov/nuccore/NZ_CP019458.1?report=graph&amp;from=8863810&amp;to=8863823", "TTA_codon")</f>
        <v>TTA_codon</v>
      </c>
    </row>
    <row r="6407" spans="1:15" x14ac:dyDescent="0.15">
      <c r="A6407" t="s">
        <v>21</v>
      </c>
      <c r="B6407">
        <v>1001068</v>
      </c>
      <c r="C6407">
        <v>365829</v>
      </c>
      <c r="F6407" s="7">
        <v>1</v>
      </c>
      <c r="G6407" s="7">
        <v>739</v>
      </c>
      <c r="H6407" s="8">
        <v>691</v>
      </c>
      <c r="J6407" t="s">
        <v>23</v>
      </c>
      <c r="K6407" s="7">
        <v>1974</v>
      </c>
      <c r="L6407" s="9">
        <v>-1</v>
      </c>
      <c r="M6407" t="s">
        <v>213</v>
      </c>
      <c r="N6407" t="s">
        <v>214</v>
      </c>
      <c r="O6407" s="27" t="str">
        <f>HYPERLINK("https://www.ncbi.nlm.nih.gov/nuccore/NZ_FNST01000002.1?report=graph&amp;from=5859918&amp;to=5859922", "TTA_codon")</f>
        <v>TTA_codon</v>
      </c>
    </row>
    <row r="6408" spans="1:15" x14ac:dyDescent="0.15">
      <c r="A6408" t="s">
        <v>195</v>
      </c>
      <c r="B6408" t="s">
        <v>4618</v>
      </c>
    </row>
    <row r="6409" spans="1:15" x14ac:dyDescent="0.15">
      <c r="A6409" t="s">
        <v>195</v>
      </c>
      <c r="B6409">
        <v>1000111</v>
      </c>
      <c r="C6409">
        <v>346740</v>
      </c>
      <c r="F6409" s="7">
        <v>1</v>
      </c>
      <c r="G6409" s="7">
        <v>169</v>
      </c>
      <c r="H6409" s="8">
        <v>55</v>
      </c>
      <c r="J6409" t="s">
        <v>23</v>
      </c>
      <c r="K6409" s="7">
        <v>675</v>
      </c>
      <c r="L6409" s="9">
        <v>-1</v>
      </c>
      <c r="M6409" t="s">
        <v>616</v>
      </c>
      <c r="N6409" t="s">
        <v>91</v>
      </c>
      <c r="O6409" s="27" t="str">
        <f>HYPERLINK("https://www.ncbi.nlm.nih.gov/nuccore/NZ_KQ948305.1?report=graph&amp;from=502523&amp;to=502527", "TTA_codon")</f>
        <v>TTA_codon</v>
      </c>
    </row>
    <row r="6410" spans="1:15" x14ac:dyDescent="0.15">
      <c r="A6410" t="s">
        <v>21</v>
      </c>
      <c r="B6410">
        <v>1000111</v>
      </c>
      <c r="C6410">
        <v>357002</v>
      </c>
      <c r="F6410" s="7">
        <v>1</v>
      </c>
      <c r="G6410" s="7">
        <v>169</v>
      </c>
      <c r="H6410" s="8">
        <v>169</v>
      </c>
      <c r="J6410" t="s">
        <v>23</v>
      </c>
      <c r="K6410" s="7">
        <v>714</v>
      </c>
      <c r="L6410" s="9">
        <v>-1</v>
      </c>
      <c r="M6410" t="s">
        <v>162</v>
      </c>
      <c r="N6410" t="s">
        <v>163</v>
      </c>
      <c r="O6410" s="27" t="str">
        <f>HYPERLINK("https://www.ncbi.nlm.nih.gov/nuccore/NZ_CP010519.1?report=graph&amp;from=6860740&amp;to=6860744", "TTA_codon")</f>
        <v>TTA_codon</v>
      </c>
    </row>
    <row r="6411" spans="1:15" x14ac:dyDescent="0.15">
      <c r="A6411" t="s">
        <v>21</v>
      </c>
      <c r="B6411">
        <v>1000111</v>
      </c>
      <c r="C6411">
        <v>360901</v>
      </c>
      <c r="F6411" s="7">
        <v>1</v>
      </c>
      <c r="G6411" s="7">
        <v>169</v>
      </c>
      <c r="H6411" s="8">
        <v>55</v>
      </c>
      <c r="J6411" t="s">
        <v>23</v>
      </c>
      <c r="K6411" s="7">
        <v>555</v>
      </c>
      <c r="L6411" s="9">
        <v>-1</v>
      </c>
      <c r="M6411" t="s">
        <v>2003</v>
      </c>
      <c r="N6411" t="s">
        <v>97</v>
      </c>
      <c r="O6411" s="27" t="str">
        <f>HYPERLINK("https://www.ncbi.nlm.nih.gov/nuccore/NZ_LOHS01000027.1?report=graph&amp;from=39988&amp;to=39992", "TTA_codon")</f>
        <v>TTA_codon</v>
      </c>
    </row>
    <row r="6412" spans="1:15" x14ac:dyDescent="0.15">
      <c r="A6412" t="s">
        <v>195</v>
      </c>
      <c r="B6412" t="s">
        <v>4619</v>
      </c>
    </row>
    <row r="6413" spans="1:15" x14ac:dyDescent="0.15">
      <c r="A6413" t="s">
        <v>195</v>
      </c>
      <c r="B6413">
        <v>1000011</v>
      </c>
      <c r="C6413">
        <v>346025</v>
      </c>
      <c r="F6413" s="7">
        <v>1</v>
      </c>
      <c r="G6413" s="7">
        <v>265</v>
      </c>
      <c r="H6413" s="8">
        <v>265</v>
      </c>
      <c r="J6413" t="s">
        <v>23</v>
      </c>
      <c r="K6413" s="7">
        <v>360</v>
      </c>
      <c r="L6413" s="9">
        <v>1</v>
      </c>
      <c r="M6413" t="s">
        <v>55</v>
      </c>
      <c r="N6413" t="s">
        <v>56</v>
      </c>
      <c r="O6413" s="27" t="str">
        <f>HYPERLINK("https://www.ncbi.nlm.nih.gov/nuccore/NC_010572.1?report=graph&amp;from=4092645&amp;to=4092649", "TTA_codon")</f>
        <v>TTA_codon</v>
      </c>
    </row>
    <row r="6414" spans="1:15" x14ac:dyDescent="0.15">
      <c r="A6414" t="s">
        <v>21</v>
      </c>
      <c r="B6414">
        <v>1000011</v>
      </c>
      <c r="C6414">
        <v>349444</v>
      </c>
      <c r="F6414" s="7">
        <v>1</v>
      </c>
      <c r="G6414" s="7">
        <v>265</v>
      </c>
      <c r="H6414" s="8">
        <v>265</v>
      </c>
      <c r="J6414" t="s">
        <v>23</v>
      </c>
      <c r="K6414" s="7">
        <v>360</v>
      </c>
      <c r="L6414" s="9">
        <v>1</v>
      </c>
      <c r="M6414" t="s">
        <v>2465</v>
      </c>
      <c r="N6414" t="s">
        <v>64</v>
      </c>
      <c r="O6414" s="27" t="str">
        <f>HYPERLINK("https://www.ncbi.nlm.nih.gov/nuccore/NZ_AEYX01000045.1?report=graph&amp;from=168423&amp;to=168427", "TTA_codon")</f>
        <v>TTA_codon</v>
      </c>
    </row>
    <row r="6415" spans="1:15" x14ac:dyDescent="0.15">
      <c r="A6415" t="s">
        <v>21</v>
      </c>
      <c r="B6415">
        <v>1000011</v>
      </c>
      <c r="C6415">
        <v>355780</v>
      </c>
      <c r="F6415" s="7">
        <v>1</v>
      </c>
      <c r="G6415" s="7">
        <v>265</v>
      </c>
      <c r="H6415" s="8">
        <v>265</v>
      </c>
      <c r="J6415" t="s">
        <v>23</v>
      </c>
      <c r="K6415" s="7">
        <v>360</v>
      </c>
      <c r="L6415" s="9">
        <v>1</v>
      </c>
      <c r="M6415" t="s">
        <v>4620</v>
      </c>
      <c r="N6415" t="s">
        <v>75</v>
      </c>
      <c r="O6415" s="27" t="str">
        <f>HYPERLINK("https://www.ncbi.nlm.nih.gov/nuccore/NZ_JOII01000042.1?report=graph&amp;from=22606&amp;to=22610", "TTA_codon")</f>
        <v>TTA_codon</v>
      </c>
    </row>
    <row r="6416" spans="1:15" x14ac:dyDescent="0.15">
      <c r="A6416" t="s">
        <v>21</v>
      </c>
      <c r="B6416">
        <v>1000011</v>
      </c>
      <c r="C6416">
        <v>362405</v>
      </c>
      <c r="F6416" s="7">
        <v>1</v>
      </c>
      <c r="G6416" s="7">
        <v>265</v>
      </c>
      <c r="H6416" s="8">
        <v>265</v>
      </c>
      <c r="J6416" t="s">
        <v>23</v>
      </c>
      <c r="K6416" s="7">
        <v>360</v>
      </c>
      <c r="L6416" s="9">
        <v>1</v>
      </c>
      <c r="M6416" t="s">
        <v>32</v>
      </c>
      <c r="N6416" t="s">
        <v>33</v>
      </c>
      <c r="O6416" s="27" t="str">
        <f>HYPERLINK("https://www.ncbi.nlm.nih.gov/nuccore/NZ_CP017248.1?report=graph&amp;from=8551318&amp;to=8551322", "TTA_codon")</f>
        <v>TTA_codon</v>
      </c>
    </row>
    <row r="6417" spans="1:15" x14ac:dyDescent="0.15">
      <c r="A6417" t="s">
        <v>21</v>
      </c>
      <c r="B6417" t="s">
        <v>4621</v>
      </c>
    </row>
    <row r="6418" spans="1:15" x14ac:dyDescent="0.15">
      <c r="A6418" t="s">
        <v>21</v>
      </c>
      <c r="B6418">
        <v>1001400</v>
      </c>
      <c r="C6418">
        <v>362015</v>
      </c>
      <c r="F6418" s="7">
        <v>1</v>
      </c>
      <c r="G6418" s="7">
        <v>163</v>
      </c>
      <c r="H6418" s="8">
        <v>163</v>
      </c>
      <c r="J6418" t="s">
        <v>23</v>
      </c>
      <c r="K6418" s="7">
        <v>525</v>
      </c>
      <c r="L6418" s="9">
        <v>1</v>
      </c>
      <c r="M6418" t="s">
        <v>4622</v>
      </c>
      <c r="N6418" t="s">
        <v>187</v>
      </c>
      <c r="O6418" s="27" t="str">
        <f>HYPERLINK("https://www.ncbi.nlm.nih.gov/nuccore/NZ_MAXF01000055.1?report=graph&amp;from=55292&amp;to=55296", "TTA_codon")</f>
        <v>TTA_codon</v>
      </c>
    </row>
    <row r="6419" spans="1:15" x14ac:dyDescent="0.15">
      <c r="A6419" t="s">
        <v>21</v>
      </c>
      <c r="B6419">
        <v>1001400</v>
      </c>
      <c r="C6419">
        <v>365541</v>
      </c>
      <c r="F6419" s="7">
        <v>2</v>
      </c>
      <c r="G6419" s="7" t="s">
        <v>4623</v>
      </c>
      <c r="H6419" s="8" t="s">
        <v>4623</v>
      </c>
      <c r="J6419" t="s">
        <v>23</v>
      </c>
      <c r="K6419" s="7">
        <v>507</v>
      </c>
      <c r="L6419" s="9">
        <v>1</v>
      </c>
      <c r="M6419" t="s">
        <v>213</v>
      </c>
      <c r="N6419" t="s">
        <v>214</v>
      </c>
      <c r="O6419" s="27" t="str">
        <f>HYPERLINK("https://www.ncbi.nlm.nih.gov/nuccore/NZ_FNST01000002.1?report=graph&amp;from=3120209&amp;to=3120330", "TTA_codon")</f>
        <v>TTA_codon</v>
      </c>
    </row>
    <row r="6420" spans="1:15" x14ac:dyDescent="0.15">
      <c r="A6420" t="s">
        <v>195</v>
      </c>
      <c r="B6420" t="s">
        <v>4624</v>
      </c>
    </row>
    <row r="6421" spans="1:15" x14ac:dyDescent="0.15">
      <c r="A6421" t="s">
        <v>195</v>
      </c>
      <c r="B6421">
        <v>1000083</v>
      </c>
      <c r="C6421">
        <v>346503</v>
      </c>
      <c r="F6421" s="7">
        <v>1</v>
      </c>
      <c r="G6421" s="7">
        <v>1939</v>
      </c>
      <c r="H6421" s="8">
        <v>1063</v>
      </c>
      <c r="J6421" t="s">
        <v>23</v>
      </c>
      <c r="K6421" s="7">
        <v>2193</v>
      </c>
      <c r="L6421" s="9">
        <v>1</v>
      </c>
      <c r="M6421" t="s">
        <v>4625</v>
      </c>
      <c r="N6421" t="s">
        <v>354</v>
      </c>
      <c r="O6421" s="27" t="str">
        <f>HYPERLINK("https://www.ncbi.nlm.nih.gov/nuccore/NZ_JQJU01000024.1?report=graph&amp;from=57432&amp;to=57436", "TTA_codon")</f>
        <v>TTA_codon</v>
      </c>
    </row>
    <row r="6422" spans="1:15" x14ac:dyDescent="0.15">
      <c r="A6422" t="s">
        <v>21</v>
      </c>
      <c r="B6422">
        <v>1000083</v>
      </c>
      <c r="C6422">
        <v>350224</v>
      </c>
      <c r="F6422" s="7">
        <v>1</v>
      </c>
      <c r="G6422" s="7">
        <v>1993</v>
      </c>
      <c r="H6422" s="8">
        <v>1990</v>
      </c>
      <c r="J6422" t="s">
        <v>23</v>
      </c>
      <c r="K6422" s="7">
        <v>3396</v>
      </c>
      <c r="L6422" s="9">
        <v>1</v>
      </c>
      <c r="M6422" t="s">
        <v>35</v>
      </c>
      <c r="N6422" t="s">
        <v>36</v>
      </c>
      <c r="O6422" s="27" t="str">
        <f>HYPERLINK("https://www.ncbi.nlm.nih.gov/nuccore/NZ_JH725387.1?report=graph&amp;from=5032445&amp;to=5032449", "TTA_codon")</f>
        <v>TTA_codon</v>
      </c>
    </row>
    <row r="6423" spans="1:15" x14ac:dyDescent="0.15">
      <c r="A6423" t="s">
        <v>21</v>
      </c>
      <c r="B6423">
        <v>1000083</v>
      </c>
      <c r="C6423">
        <v>362170</v>
      </c>
      <c r="F6423" s="7">
        <v>1</v>
      </c>
      <c r="G6423" s="7">
        <v>1993</v>
      </c>
      <c r="H6423" s="8">
        <v>1927</v>
      </c>
      <c r="J6423" t="s">
        <v>23</v>
      </c>
      <c r="K6423" s="7">
        <v>3336</v>
      </c>
      <c r="L6423" s="9">
        <v>1</v>
      </c>
      <c r="M6423" t="s">
        <v>39</v>
      </c>
      <c r="N6423" t="s">
        <v>40</v>
      </c>
      <c r="O6423" s="27" t="str">
        <f>HYPERLINK("https://www.ncbi.nlm.nih.gov/nuccore/NZ_CP017157.1?report=graph&amp;from=1838975&amp;to=1838979", "TTA_codon")</f>
        <v>TTA_codon</v>
      </c>
    </row>
    <row r="6424" spans="1:15" x14ac:dyDescent="0.15">
      <c r="A6424" t="s">
        <v>21</v>
      </c>
      <c r="B6424" t="s">
        <v>4626</v>
      </c>
    </row>
    <row r="6425" spans="1:15" x14ac:dyDescent="0.15">
      <c r="A6425" t="s">
        <v>21</v>
      </c>
      <c r="B6425">
        <v>1000784</v>
      </c>
      <c r="C6425">
        <v>351841</v>
      </c>
      <c r="F6425" s="7">
        <v>1</v>
      </c>
      <c r="G6425" s="7">
        <v>529</v>
      </c>
      <c r="H6425" s="8">
        <v>529</v>
      </c>
      <c r="J6425" t="s">
        <v>23</v>
      </c>
      <c r="K6425" s="7">
        <v>636</v>
      </c>
      <c r="L6425" s="9">
        <v>-1</v>
      </c>
      <c r="M6425" t="s">
        <v>4627</v>
      </c>
      <c r="N6425" t="s">
        <v>68</v>
      </c>
      <c r="O6425" s="27" t="str">
        <f>HYPERLINK("https://www.ncbi.nlm.nih.gov/nuccore/NZ_BARG01000116.1?report=graph&amp;from=14061&amp;to=14065", "TTA_codon")</f>
        <v>TTA_codon</v>
      </c>
    </row>
    <row r="6426" spans="1:15" x14ac:dyDescent="0.15">
      <c r="A6426" t="s">
        <v>21</v>
      </c>
      <c r="B6426">
        <v>1000784</v>
      </c>
      <c r="C6426">
        <v>358854</v>
      </c>
      <c r="F6426" s="7">
        <v>1</v>
      </c>
      <c r="G6426" s="7">
        <v>529</v>
      </c>
      <c r="H6426" s="8">
        <v>520</v>
      </c>
      <c r="J6426" t="s">
        <v>23</v>
      </c>
      <c r="K6426" s="7">
        <v>636</v>
      </c>
      <c r="L6426" s="9">
        <v>-1</v>
      </c>
      <c r="M6426" t="s">
        <v>4628</v>
      </c>
      <c r="N6426" t="s">
        <v>87</v>
      </c>
      <c r="O6426" s="27" t="str">
        <f>HYPERLINK("https://www.ncbi.nlm.nih.gov/nuccore/NZ_LIQS01000343.1?report=graph&amp;from=14473&amp;to=14477", "TTA_codon")</f>
        <v>TTA_codon</v>
      </c>
    </row>
    <row r="6427" spans="1:15" x14ac:dyDescent="0.15">
      <c r="A6427" t="s">
        <v>21</v>
      </c>
      <c r="B6427" t="s">
        <v>4629</v>
      </c>
    </row>
    <row r="6428" spans="1:15" x14ac:dyDescent="0.15">
      <c r="A6428" t="s">
        <v>21</v>
      </c>
      <c r="B6428">
        <v>1001168</v>
      </c>
      <c r="C6428">
        <v>356434</v>
      </c>
      <c r="F6428" s="7">
        <v>1</v>
      </c>
      <c r="G6428" s="7">
        <v>616</v>
      </c>
      <c r="H6428" s="8">
        <v>592</v>
      </c>
      <c r="J6428" t="s">
        <v>23</v>
      </c>
      <c r="K6428" s="7">
        <v>771</v>
      </c>
      <c r="L6428" s="9">
        <v>-1</v>
      </c>
      <c r="M6428" t="s">
        <v>4308</v>
      </c>
      <c r="N6428" t="s">
        <v>354</v>
      </c>
      <c r="O6428" s="27" t="str">
        <f>HYPERLINK("https://www.ncbi.nlm.nih.gov/nuccore/NZ_JQJU01000012.1?report=graph&amp;from=53748&amp;to=53752", "TTA_codon")</f>
        <v>TTA_codon</v>
      </c>
    </row>
    <row r="6429" spans="1:15" x14ac:dyDescent="0.15">
      <c r="A6429" t="s">
        <v>21</v>
      </c>
      <c r="B6429">
        <v>1001168</v>
      </c>
      <c r="C6429">
        <v>359523</v>
      </c>
      <c r="F6429" s="7">
        <v>1</v>
      </c>
      <c r="G6429" s="7">
        <v>562</v>
      </c>
      <c r="H6429" s="8">
        <v>559</v>
      </c>
      <c r="J6429" t="s">
        <v>23</v>
      </c>
      <c r="K6429" s="7">
        <v>774</v>
      </c>
      <c r="L6429" s="9">
        <v>-1</v>
      </c>
      <c r="M6429" t="s">
        <v>151</v>
      </c>
      <c r="N6429" t="s">
        <v>152</v>
      </c>
      <c r="O6429" s="27" t="str">
        <f>HYPERLINK("https://www.ncbi.nlm.nih.gov/nuccore/NZ_CP013129.1?report=graph&amp;from=6840051&amp;to=6840055", "TTA_codon")</f>
        <v>TTA_codon</v>
      </c>
    </row>
    <row r="6430" spans="1:15" x14ac:dyDescent="0.15">
      <c r="A6430" t="s">
        <v>21</v>
      </c>
      <c r="B6430" t="s">
        <v>4630</v>
      </c>
    </row>
    <row r="6431" spans="1:15" x14ac:dyDescent="0.15">
      <c r="A6431" t="s">
        <v>21</v>
      </c>
      <c r="B6431">
        <v>1000747</v>
      </c>
      <c r="C6431">
        <v>351397</v>
      </c>
      <c r="F6431" s="7">
        <v>1</v>
      </c>
      <c r="G6431" s="7">
        <v>610</v>
      </c>
      <c r="H6431" s="8">
        <v>610</v>
      </c>
      <c r="J6431" t="s">
        <v>23</v>
      </c>
      <c r="K6431" s="7">
        <v>870</v>
      </c>
      <c r="L6431" s="9">
        <v>1</v>
      </c>
      <c r="M6431" t="s">
        <v>65</v>
      </c>
      <c r="N6431" t="s">
        <v>66</v>
      </c>
      <c r="O6431" s="27" t="str">
        <f>HYPERLINK("https://www.ncbi.nlm.nih.gov/nuccore/NC_020504.1?report=graph&amp;from=9426588&amp;to=9426592", "TTA_codon")</f>
        <v>TTA_codon</v>
      </c>
    </row>
    <row r="6432" spans="1:15" x14ac:dyDescent="0.15">
      <c r="A6432" t="s">
        <v>21</v>
      </c>
      <c r="B6432">
        <v>1000747</v>
      </c>
      <c r="C6432">
        <v>351478</v>
      </c>
      <c r="F6432" s="7">
        <v>1</v>
      </c>
      <c r="G6432" s="7">
        <v>610</v>
      </c>
      <c r="H6432" s="8">
        <v>610</v>
      </c>
      <c r="J6432" t="s">
        <v>23</v>
      </c>
      <c r="K6432" s="7">
        <v>870</v>
      </c>
      <c r="L6432" s="9">
        <v>1</v>
      </c>
      <c r="M6432" t="s">
        <v>667</v>
      </c>
      <c r="N6432" t="s">
        <v>66</v>
      </c>
      <c r="O6432" s="27" t="str">
        <f>HYPERLINK("https://www.ncbi.nlm.nih.gov/nuccore/NC_020545.1?report=graph&amp;from=60194&amp;to=60198", "TTA_codon")</f>
        <v>TTA_codon</v>
      </c>
    </row>
    <row r="6433" spans="1:15" x14ac:dyDescent="0.15">
      <c r="A6433" t="s">
        <v>21</v>
      </c>
      <c r="B6433" t="s">
        <v>4631</v>
      </c>
    </row>
    <row r="6434" spans="1:15" x14ac:dyDescent="0.15">
      <c r="A6434" t="s">
        <v>21</v>
      </c>
      <c r="B6434">
        <v>1000490</v>
      </c>
      <c r="C6434">
        <v>348285</v>
      </c>
      <c r="F6434" s="7">
        <v>1</v>
      </c>
      <c r="G6434" s="7">
        <v>52</v>
      </c>
      <c r="H6434" s="8">
        <v>49</v>
      </c>
      <c r="J6434" t="s">
        <v>23</v>
      </c>
      <c r="K6434" s="7">
        <v>699</v>
      </c>
      <c r="L6434" s="9">
        <v>-1</v>
      </c>
      <c r="M6434" t="s">
        <v>59</v>
      </c>
      <c r="N6434" t="s">
        <v>60</v>
      </c>
      <c r="O6434" s="27" t="str">
        <f>HYPERLINK("https://www.ncbi.nlm.nih.gov/nuccore/NC_016582.1?report=graph&amp;from=2899243&amp;to=2899247", "TTA_codon")</f>
        <v>TTA_codon</v>
      </c>
    </row>
    <row r="6435" spans="1:15" x14ac:dyDescent="0.15">
      <c r="A6435" t="s">
        <v>21</v>
      </c>
      <c r="B6435">
        <v>1000490</v>
      </c>
      <c r="C6435">
        <v>349273</v>
      </c>
      <c r="F6435" s="7">
        <v>1</v>
      </c>
      <c r="G6435" s="7">
        <v>58</v>
      </c>
      <c r="H6435" s="8">
        <v>58</v>
      </c>
      <c r="J6435" t="s">
        <v>23</v>
      </c>
      <c r="K6435" s="7">
        <v>732</v>
      </c>
      <c r="L6435" s="9">
        <v>-1</v>
      </c>
      <c r="M6435" t="s">
        <v>211</v>
      </c>
      <c r="N6435" t="s">
        <v>212</v>
      </c>
      <c r="O6435" s="27" t="str">
        <f>HYPERLINK("https://www.ncbi.nlm.nih.gov/nuccore/NZ_GG657754.1?report=graph&amp;from=900664&amp;to=900668", "TTA_codon")</f>
        <v>TTA_codon</v>
      </c>
    </row>
    <row r="6436" spans="1:15" x14ac:dyDescent="0.15">
      <c r="A6436" t="s">
        <v>21</v>
      </c>
      <c r="B6436" t="s">
        <v>4632</v>
      </c>
    </row>
    <row r="6437" spans="1:15" x14ac:dyDescent="0.15">
      <c r="A6437" t="s">
        <v>21</v>
      </c>
      <c r="B6437">
        <v>1000892</v>
      </c>
      <c r="C6437">
        <v>352873</v>
      </c>
      <c r="F6437" s="7">
        <v>1</v>
      </c>
      <c r="G6437" s="7">
        <v>418</v>
      </c>
      <c r="H6437" s="8">
        <v>418</v>
      </c>
      <c r="J6437" t="s">
        <v>23</v>
      </c>
      <c r="K6437" s="7">
        <v>1923</v>
      </c>
      <c r="L6437" s="9">
        <v>1</v>
      </c>
      <c r="M6437" t="s">
        <v>2417</v>
      </c>
      <c r="N6437" t="s">
        <v>306</v>
      </c>
      <c r="O6437" s="27" t="str">
        <f>HYPERLINK("https://www.ncbi.nlm.nih.gov/nuccore/NZ_KL571063.1?report=graph&amp;from=57837&amp;to=57841", "TTA_codon")</f>
        <v>TTA_codon</v>
      </c>
    </row>
    <row r="6438" spans="1:15" x14ac:dyDescent="0.15">
      <c r="A6438" t="s">
        <v>21</v>
      </c>
      <c r="B6438">
        <v>1000892</v>
      </c>
      <c r="C6438">
        <v>353734</v>
      </c>
      <c r="F6438" s="7">
        <v>1</v>
      </c>
      <c r="G6438" s="7">
        <v>418</v>
      </c>
      <c r="H6438" s="8">
        <v>334</v>
      </c>
      <c r="J6438" t="s">
        <v>23</v>
      </c>
      <c r="K6438" s="7">
        <v>1839</v>
      </c>
      <c r="L6438" s="9">
        <v>1</v>
      </c>
      <c r="M6438" t="s">
        <v>2418</v>
      </c>
      <c r="N6438" t="s">
        <v>246</v>
      </c>
      <c r="O6438" s="27" t="str">
        <f>HYPERLINK("https://www.ncbi.nlm.nih.gov/nuccore/NZ_JNYR01000002.1?report=graph&amp;from=81703&amp;to=81707", "TTA_codon")</f>
        <v>TTA_codon</v>
      </c>
    </row>
    <row r="6439" spans="1:15" x14ac:dyDescent="0.15">
      <c r="A6439" t="s">
        <v>21</v>
      </c>
      <c r="B6439" t="s">
        <v>4633</v>
      </c>
    </row>
    <row r="6440" spans="1:15" x14ac:dyDescent="0.15">
      <c r="A6440" t="s">
        <v>21</v>
      </c>
      <c r="B6440">
        <v>1000456</v>
      </c>
      <c r="C6440">
        <v>348820</v>
      </c>
      <c r="F6440" s="7">
        <v>1</v>
      </c>
      <c r="G6440" s="7">
        <v>439</v>
      </c>
      <c r="H6440" s="8">
        <v>397</v>
      </c>
      <c r="J6440" t="s">
        <v>23</v>
      </c>
      <c r="K6440" s="7">
        <v>1269</v>
      </c>
      <c r="L6440" s="9">
        <v>1</v>
      </c>
      <c r="M6440" t="s">
        <v>211</v>
      </c>
      <c r="N6440" t="s">
        <v>212</v>
      </c>
      <c r="O6440" s="27" t="str">
        <f>HYPERLINK("https://www.ncbi.nlm.nih.gov/nuccore/NZ_GG657754.1?report=graph&amp;from=2710640&amp;to=2710644", "TTA_codon")</f>
        <v>TTA_codon</v>
      </c>
    </row>
    <row r="6441" spans="1:15" x14ac:dyDescent="0.15">
      <c r="A6441" t="s">
        <v>21</v>
      </c>
      <c r="B6441">
        <v>1000456</v>
      </c>
      <c r="C6441">
        <v>351546</v>
      </c>
      <c r="F6441" s="7">
        <v>1</v>
      </c>
      <c r="G6441" s="7">
        <v>70</v>
      </c>
      <c r="H6441" s="8">
        <v>58</v>
      </c>
      <c r="J6441" t="s">
        <v>23</v>
      </c>
      <c r="K6441" s="7">
        <v>1281</v>
      </c>
      <c r="L6441" s="9">
        <v>1</v>
      </c>
      <c r="M6441" t="s">
        <v>2611</v>
      </c>
      <c r="N6441" t="s">
        <v>138</v>
      </c>
      <c r="O6441" s="27" t="str">
        <f>HYPERLINK("https://www.ncbi.nlm.nih.gov/nuccore/NZ_KB889741.1?report=graph&amp;from=185774&amp;to=185778", "TTA_codon")</f>
        <v>TTA_codon</v>
      </c>
    </row>
    <row r="6442" spans="1:15" x14ac:dyDescent="0.15">
      <c r="A6442" t="s">
        <v>21</v>
      </c>
      <c r="B6442">
        <v>1000456</v>
      </c>
      <c r="C6442">
        <v>364135</v>
      </c>
      <c r="F6442" s="7">
        <v>1</v>
      </c>
      <c r="G6442" s="7">
        <v>70</v>
      </c>
      <c r="H6442" s="8">
        <v>58</v>
      </c>
      <c r="J6442" t="s">
        <v>23</v>
      </c>
      <c r="K6442" s="7">
        <v>1281</v>
      </c>
      <c r="L6442" s="9">
        <v>1</v>
      </c>
      <c r="M6442" t="s">
        <v>254</v>
      </c>
      <c r="N6442" t="s">
        <v>255</v>
      </c>
      <c r="O6442" s="27" t="str">
        <f>HYPERLINK("https://www.ncbi.nlm.nih.gov/nuccore/NZ_CP018047.1?report=graph&amp;from=3578309&amp;to=3578313", "TTA_codon")</f>
        <v>TTA_codon</v>
      </c>
    </row>
    <row r="6443" spans="1:15" x14ac:dyDescent="0.15">
      <c r="A6443" t="s">
        <v>21</v>
      </c>
      <c r="B6443">
        <v>1000456</v>
      </c>
      <c r="C6443">
        <v>364690</v>
      </c>
      <c r="F6443" s="7">
        <v>2</v>
      </c>
      <c r="G6443" s="7" t="s">
        <v>4634</v>
      </c>
      <c r="H6443" s="8" t="s">
        <v>4635</v>
      </c>
      <c r="J6443" t="s">
        <v>23</v>
      </c>
      <c r="K6443" s="7">
        <v>1296</v>
      </c>
      <c r="L6443" s="9">
        <v>1</v>
      </c>
      <c r="M6443" t="s">
        <v>4636</v>
      </c>
      <c r="N6443" t="s">
        <v>110</v>
      </c>
      <c r="O6443" s="27" t="str">
        <f>HYPERLINK("https://www.ncbi.nlm.nih.gov/nuccore/NZ_MUME01000021.1?report=graph&amp;from=12565&amp;to=12896", "TTA_codon")</f>
        <v>TTA_codon</v>
      </c>
    </row>
    <row r="6444" spans="1:15" x14ac:dyDescent="0.15">
      <c r="A6444" t="s">
        <v>21</v>
      </c>
      <c r="B6444" t="s">
        <v>4637</v>
      </c>
    </row>
    <row r="6445" spans="1:15" x14ac:dyDescent="0.15">
      <c r="A6445" t="s">
        <v>21</v>
      </c>
      <c r="B6445">
        <v>1001406</v>
      </c>
      <c r="C6445">
        <v>362111</v>
      </c>
      <c r="F6445" s="7">
        <v>2</v>
      </c>
      <c r="G6445" s="7" t="s">
        <v>4638</v>
      </c>
      <c r="H6445" s="8" t="s">
        <v>4638</v>
      </c>
      <c r="J6445" t="s">
        <v>23</v>
      </c>
      <c r="K6445" s="7">
        <v>456</v>
      </c>
      <c r="L6445" s="9">
        <v>1</v>
      </c>
      <c r="M6445" t="s">
        <v>4270</v>
      </c>
      <c r="N6445" t="s">
        <v>187</v>
      </c>
      <c r="O6445" s="27" t="str">
        <f>HYPERLINK("https://www.ncbi.nlm.nih.gov/nuccore/NZ_MAXF01000155.1?report=graph&amp;from=2090&amp;to=2340", "TTA_codon")</f>
        <v>TTA_codon</v>
      </c>
    </row>
    <row r="6446" spans="1:15" x14ac:dyDescent="0.15">
      <c r="A6446" t="s">
        <v>21</v>
      </c>
      <c r="B6446">
        <v>1001406</v>
      </c>
      <c r="C6446">
        <v>362146</v>
      </c>
      <c r="F6446" s="7">
        <v>2</v>
      </c>
      <c r="G6446" s="7" t="s">
        <v>4638</v>
      </c>
      <c r="H6446" s="8" t="s">
        <v>4638</v>
      </c>
      <c r="J6446" t="s">
        <v>23</v>
      </c>
      <c r="K6446" s="7">
        <v>456</v>
      </c>
      <c r="L6446" s="9">
        <v>1</v>
      </c>
      <c r="M6446" t="s">
        <v>4271</v>
      </c>
      <c r="N6446" t="s">
        <v>187</v>
      </c>
      <c r="O6446" s="27" t="str">
        <f>HYPERLINK("https://www.ncbi.nlm.nih.gov/nuccore/NZ_MAXF01000251.1?report=graph&amp;from=258&amp;to=508", "TTA_codon")</f>
        <v>TTA_codon</v>
      </c>
    </row>
    <row r="6447" spans="1:15" x14ac:dyDescent="0.15">
      <c r="A6447" t="s">
        <v>21</v>
      </c>
      <c r="B6447" t="s">
        <v>4639</v>
      </c>
    </row>
    <row r="6448" spans="1:15" x14ac:dyDescent="0.15">
      <c r="A6448" t="s">
        <v>21</v>
      </c>
      <c r="B6448">
        <v>1001430</v>
      </c>
      <c r="C6448">
        <v>347229</v>
      </c>
      <c r="F6448" s="7">
        <v>1</v>
      </c>
      <c r="G6448" s="7">
        <v>484</v>
      </c>
      <c r="H6448" s="8">
        <v>340</v>
      </c>
      <c r="J6448" t="s">
        <v>23</v>
      </c>
      <c r="K6448" s="7">
        <v>690</v>
      </c>
      <c r="L6448" s="9">
        <v>-1</v>
      </c>
      <c r="M6448" t="s">
        <v>53</v>
      </c>
      <c r="N6448" t="s">
        <v>54</v>
      </c>
      <c r="O6448" s="27" t="str">
        <f>HYPERLINK("https://www.ncbi.nlm.nih.gov/nuccore/NC_003155.5?report=graph&amp;from=5107881&amp;to=5107885", "TTA_codon")</f>
        <v>TTA_codon</v>
      </c>
    </row>
    <row r="6449" spans="1:15" x14ac:dyDescent="0.15">
      <c r="A6449" t="s">
        <v>21</v>
      </c>
      <c r="B6449">
        <v>1001430</v>
      </c>
      <c r="C6449">
        <v>347747</v>
      </c>
      <c r="F6449" s="7">
        <v>1</v>
      </c>
      <c r="G6449" s="7">
        <v>472</v>
      </c>
      <c r="H6449" s="8">
        <v>331</v>
      </c>
      <c r="J6449" t="s">
        <v>23</v>
      </c>
      <c r="K6449" s="7">
        <v>678</v>
      </c>
      <c r="L6449" s="9">
        <v>-1</v>
      </c>
      <c r="M6449" t="s">
        <v>57</v>
      </c>
      <c r="N6449" t="s">
        <v>58</v>
      </c>
      <c r="O6449" s="27" t="str">
        <f>HYPERLINK("https://www.ncbi.nlm.nih.gov/nuccore/NC_013929.1?report=graph&amp;from=4761612&amp;to=4761616", "TTA_codon")</f>
        <v>TTA_codon</v>
      </c>
    </row>
    <row r="6450" spans="1:15" x14ac:dyDescent="0.15">
      <c r="A6450" t="s">
        <v>21</v>
      </c>
      <c r="B6450">
        <v>1001430</v>
      </c>
      <c r="C6450">
        <v>348695</v>
      </c>
      <c r="F6450" s="7">
        <v>1</v>
      </c>
      <c r="G6450" s="7">
        <v>493</v>
      </c>
      <c r="H6450" s="8">
        <v>454</v>
      </c>
      <c r="J6450" t="s">
        <v>23</v>
      </c>
      <c r="K6450" s="7">
        <v>792</v>
      </c>
      <c r="L6450" s="9">
        <v>-1</v>
      </c>
      <c r="M6450" t="s">
        <v>211</v>
      </c>
      <c r="N6450" t="s">
        <v>212</v>
      </c>
      <c r="O6450" s="27" t="str">
        <f>HYPERLINK("https://www.ncbi.nlm.nih.gov/nuccore/NZ_GG657754.1?report=graph&amp;from=1269367&amp;to=1269371", "TTA_codon")</f>
        <v>TTA_codon</v>
      </c>
    </row>
    <row r="6451" spans="1:15" x14ac:dyDescent="0.15">
      <c r="A6451" t="s">
        <v>21</v>
      </c>
      <c r="B6451">
        <v>1001430</v>
      </c>
      <c r="C6451">
        <v>348697</v>
      </c>
      <c r="F6451" s="7">
        <v>1</v>
      </c>
      <c r="G6451" s="7">
        <v>472</v>
      </c>
      <c r="H6451" s="8">
        <v>331</v>
      </c>
      <c r="J6451" t="s">
        <v>23</v>
      </c>
      <c r="K6451" s="7">
        <v>678</v>
      </c>
      <c r="L6451" s="9">
        <v>-1</v>
      </c>
      <c r="M6451" t="s">
        <v>211</v>
      </c>
      <c r="N6451" t="s">
        <v>212</v>
      </c>
      <c r="O6451" s="27" t="str">
        <f>HYPERLINK("https://www.ncbi.nlm.nih.gov/nuccore/NZ_GG657754.1?report=graph&amp;from=2319635&amp;to=2319639", "TTA_codon")</f>
        <v>TTA_codon</v>
      </c>
    </row>
    <row r="6452" spans="1:15" x14ac:dyDescent="0.15">
      <c r="A6452" t="s">
        <v>21</v>
      </c>
      <c r="B6452">
        <v>1001430</v>
      </c>
      <c r="C6452">
        <v>350707</v>
      </c>
      <c r="F6452" s="7">
        <v>1</v>
      </c>
      <c r="G6452" s="7">
        <v>346</v>
      </c>
      <c r="H6452" s="8">
        <v>211</v>
      </c>
      <c r="J6452" t="s">
        <v>23</v>
      </c>
      <c r="K6452" s="7">
        <v>711</v>
      </c>
      <c r="L6452" s="9">
        <v>-1</v>
      </c>
      <c r="M6452" t="s">
        <v>4640</v>
      </c>
      <c r="N6452" t="s">
        <v>51</v>
      </c>
      <c r="O6452" s="27" t="str">
        <f>HYPERLINK("https://www.ncbi.nlm.nih.gov/nuccore/NZ_AEJB01000221.1?report=graph&amp;from=2296&amp;to=2300", "TTA_codon")</f>
        <v>TTA_codon</v>
      </c>
    </row>
    <row r="6453" spans="1:15" x14ac:dyDescent="0.15">
      <c r="A6453" t="s">
        <v>21</v>
      </c>
      <c r="B6453">
        <v>1001430</v>
      </c>
      <c r="C6453">
        <v>351487</v>
      </c>
      <c r="F6453" s="7">
        <v>2</v>
      </c>
      <c r="G6453" s="7" t="s">
        <v>4641</v>
      </c>
      <c r="H6453" s="8" t="s">
        <v>4642</v>
      </c>
      <c r="J6453" t="s">
        <v>23</v>
      </c>
      <c r="K6453" s="7">
        <v>699</v>
      </c>
      <c r="L6453" s="9">
        <v>-1</v>
      </c>
      <c r="M6453" t="s">
        <v>4561</v>
      </c>
      <c r="N6453" t="s">
        <v>138</v>
      </c>
      <c r="O6453" s="27" t="str">
        <f>HYPERLINK("https://www.ncbi.nlm.nih.gov/nuccore/NZ_KB889684.1?report=graph&amp;from=38309&amp;to=38322", "TTA_codon")</f>
        <v>TTA_codon</v>
      </c>
    </row>
    <row r="6454" spans="1:15" x14ac:dyDescent="0.15">
      <c r="A6454" t="s">
        <v>21</v>
      </c>
      <c r="B6454">
        <v>1001430</v>
      </c>
      <c r="C6454">
        <v>363068</v>
      </c>
      <c r="F6454" s="7">
        <v>1</v>
      </c>
      <c r="G6454" s="7">
        <v>169</v>
      </c>
      <c r="H6454" s="8">
        <v>61</v>
      </c>
      <c r="J6454" t="s">
        <v>23</v>
      </c>
      <c r="K6454" s="7">
        <v>645</v>
      </c>
      <c r="L6454" s="9">
        <v>-1</v>
      </c>
      <c r="M6454" t="s">
        <v>1483</v>
      </c>
      <c r="N6454" t="s">
        <v>401</v>
      </c>
      <c r="O6454" s="27" t="str">
        <f>HYPERLINK("https://www.ncbi.nlm.nih.gov/nuccore/NZ_LFBV01000001.1?report=graph&amp;from=1890160&amp;to=1890164", "TTA_codon")</f>
        <v>TTA_codon</v>
      </c>
    </row>
    <row r="6455" spans="1:15" x14ac:dyDescent="0.15">
      <c r="A6455" t="s">
        <v>21</v>
      </c>
      <c r="B6455" t="s">
        <v>4643</v>
      </c>
    </row>
    <row r="6456" spans="1:15" x14ac:dyDescent="0.15">
      <c r="A6456" t="s">
        <v>21</v>
      </c>
      <c r="B6456">
        <v>1001174</v>
      </c>
      <c r="C6456">
        <v>356548</v>
      </c>
      <c r="F6456" s="7">
        <v>1</v>
      </c>
      <c r="G6456" s="7">
        <v>49</v>
      </c>
      <c r="H6456" s="8">
        <v>43</v>
      </c>
      <c r="J6456" t="s">
        <v>23</v>
      </c>
      <c r="K6456" s="7">
        <v>570</v>
      </c>
      <c r="L6456" s="9">
        <v>1</v>
      </c>
      <c r="M6456" t="s">
        <v>508</v>
      </c>
      <c r="N6456" t="s">
        <v>509</v>
      </c>
      <c r="O6456" s="27" t="str">
        <f>HYPERLINK("https://www.ncbi.nlm.nih.gov/nuccore/NZ_CP009438.1?report=graph&amp;from=6229326&amp;to=6229330", "TTA_codon")</f>
        <v>TTA_codon</v>
      </c>
    </row>
    <row r="6457" spans="1:15" x14ac:dyDescent="0.15">
      <c r="A6457" t="s">
        <v>21</v>
      </c>
      <c r="B6457">
        <v>1001174</v>
      </c>
      <c r="C6457">
        <v>364756</v>
      </c>
      <c r="F6457" s="7">
        <v>1</v>
      </c>
      <c r="G6457" s="7">
        <v>49</v>
      </c>
      <c r="H6457" s="8">
        <v>49</v>
      </c>
      <c r="J6457" t="s">
        <v>23</v>
      </c>
      <c r="K6457" s="7">
        <v>576</v>
      </c>
      <c r="L6457" s="9">
        <v>1</v>
      </c>
      <c r="M6457" t="s">
        <v>4644</v>
      </c>
      <c r="N6457" t="s">
        <v>110</v>
      </c>
      <c r="O6457" s="27" t="str">
        <f>HYPERLINK("https://www.ncbi.nlm.nih.gov/nuccore/NZ_MUME01000205.1?report=graph&amp;from=11722&amp;to=11726", "TTA_codon")</f>
        <v>TTA_codon</v>
      </c>
    </row>
    <row r="6458" spans="1:15" x14ac:dyDescent="0.15">
      <c r="A6458" t="s">
        <v>21</v>
      </c>
      <c r="B6458" t="s">
        <v>4645</v>
      </c>
    </row>
    <row r="6459" spans="1:15" x14ac:dyDescent="0.15">
      <c r="A6459" t="s">
        <v>21</v>
      </c>
      <c r="B6459">
        <v>1001340</v>
      </c>
      <c r="C6459">
        <v>348080</v>
      </c>
      <c r="F6459" s="7">
        <v>1</v>
      </c>
      <c r="G6459" s="7">
        <v>154</v>
      </c>
      <c r="H6459" s="8">
        <v>82</v>
      </c>
      <c r="J6459" t="s">
        <v>23</v>
      </c>
      <c r="K6459" s="7">
        <v>1797</v>
      </c>
      <c r="L6459" s="9">
        <v>-1</v>
      </c>
      <c r="M6459" t="s">
        <v>59</v>
      </c>
      <c r="N6459" t="s">
        <v>60</v>
      </c>
      <c r="O6459" s="27" t="str">
        <f>HYPERLINK("https://www.ncbi.nlm.nih.gov/nuccore/NC_016582.1?report=graph&amp;from=2897962&amp;to=2897966", "TTA_codon")</f>
        <v>TTA_codon</v>
      </c>
    </row>
    <row r="6460" spans="1:15" x14ac:dyDescent="0.15">
      <c r="A6460" t="s">
        <v>21</v>
      </c>
      <c r="B6460">
        <v>1001340</v>
      </c>
      <c r="C6460">
        <v>348081</v>
      </c>
      <c r="F6460" s="7">
        <v>1</v>
      </c>
      <c r="G6460" s="7">
        <v>367</v>
      </c>
      <c r="H6460" s="8">
        <v>364</v>
      </c>
      <c r="J6460" t="s">
        <v>23</v>
      </c>
      <c r="K6460" s="7">
        <v>1977</v>
      </c>
      <c r="L6460" s="9">
        <v>-1</v>
      </c>
      <c r="M6460" t="s">
        <v>59</v>
      </c>
      <c r="N6460" t="s">
        <v>60</v>
      </c>
      <c r="O6460" s="27" t="str">
        <f>HYPERLINK("https://www.ncbi.nlm.nih.gov/nuccore/NC_016582.1?report=graph&amp;from=917909&amp;to=917913", "TTA_codon")</f>
        <v>TTA_codon</v>
      </c>
    </row>
    <row r="6461" spans="1:15" x14ac:dyDescent="0.15">
      <c r="A6461" t="s">
        <v>21</v>
      </c>
      <c r="B6461">
        <v>1001340</v>
      </c>
      <c r="C6461">
        <v>351225</v>
      </c>
      <c r="F6461" s="7">
        <v>1</v>
      </c>
      <c r="G6461" s="7">
        <v>190</v>
      </c>
      <c r="H6461" s="8">
        <v>133</v>
      </c>
      <c r="J6461" t="s">
        <v>23</v>
      </c>
      <c r="K6461" s="7">
        <v>1752</v>
      </c>
      <c r="L6461" s="9">
        <v>-1</v>
      </c>
      <c r="M6461" t="s">
        <v>65</v>
      </c>
      <c r="N6461" t="s">
        <v>66</v>
      </c>
      <c r="O6461" s="27" t="str">
        <f>HYPERLINK("https://www.ncbi.nlm.nih.gov/nuccore/NC_020504.1?report=graph&amp;from=5400306&amp;to=5400310", "TTA_codon")</f>
        <v>TTA_codon</v>
      </c>
    </row>
    <row r="6462" spans="1:15" x14ac:dyDescent="0.15">
      <c r="A6462" t="s">
        <v>21</v>
      </c>
      <c r="B6462">
        <v>1001340</v>
      </c>
      <c r="C6462">
        <v>360068</v>
      </c>
      <c r="F6462" s="7">
        <v>2</v>
      </c>
      <c r="G6462" s="7" t="s">
        <v>4646</v>
      </c>
      <c r="H6462" s="8" t="s">
        <v>4647</v>
      </c>
      <c r="J6462" t="s">
        <v>23</v>
      </c>
      <c r="K6462" s="7">
        <v>1806</v>
      </c>
      <c r="L6462" s="9">
        <v>-1</v>
      </c>
      <c r="M6462" t="s">
        <v>2330</v>
      </c>
      <c r="N6462" t="s">
        <v>125</v>
      </c>
      <c r="O6462" s="27" t="str">
        <f>HYPERLINK("https://www.ncbi.nlm.nih.gov/nuccore/NZ_KQ948458.1?report=graph&amp;from=147094&amp;to=148580", "TTA_codon")</f>
        <v>TTA_codon</v>
      </c>
    </row>
    <row r="6463" spans="1:15" x14ac:dyDescent="0.15">
      <c r="A6463" t="s">
        <v>21</v>
      </c>
      <c r="B6463">
        <v>1001340</v>
      </c>
      <c r="C6463">
        <v>360385</v>
      </c>
      <c r="F6463" s="7">
        <v>2</v>
      </c>
      <c r="G6463" s="7" t="s">
        <v>4648</v>
      </c>
      <c r="H6463" s="8" t="s">
        <v>4649</v>
      </c>
      <c r="J6463" t="s">
        <v>23</v>
      </c>
      <c r="K6463" s="7">
        <v>1869</v>
      </c>
      <c r="L6463" s="9">
        <v>-1</v>
      </c>
      <c r="M6463" t="s">
        <v>121</v>
      </c>
      <c r="N6463" t="s">
        <v>122</v>
      </c>
      <c r="O6463" s="27" t="str">
        <f>HYPERLINK("https://www.ncbi.nlm.nih.gov/nuccore/NZ_CP016279.1?report=graph&amp;from=2013610&amp;to=2014178", "TTA_codon")</f>
        <v>TTA_codon</v>
      </c>
    </row>
    <row r="6464" spans="1:15" x14ac:dyDescent="0.15">
      <c r="A6464" t="s">
        <v>21</v>
      </c>
      <c r="B6464" t="s">
        <v>4650</v>
      </c>
    </row>
    <row r="6465" spans="1:15" x14ac:dyDescent="0.15">
      <c r="A6465" t="s">
        <v>21</v>
      </c>
      <c r="B6465">
        <v>1000233</v>
      </c>
      <c r="C6465">
        <v>347599</v>
      </c>
      <c r="F6465" s="7">
        <v>1</v>
      </c>
      <c r="G6465" s="7">
        <v>217</v>
      </c>
      <c r="H6465" s="8">
        <v>214</v>
      </c>
      <c r="J6465" t="s">
        <v>23</v>
      </c>
      <c r="K6465" s="7">
        <v>1383</v>
      </c>
      <c r="L6465" s="9">
        <v>-1</v>
      </c>
      <c r="M6465" t="s">
        <v>55</v>
      </c>
      <c r="N6465" t="s">
        <v>56</v>
      </c>
      <c r="O6465" s="27" t="str">
        <f>HYPERLINK("https://www.ncbi.nlm.nih.gov/nuccore/NC_010572.1?report=graph&amp;from=1926779&amp;to=1926783", "TTA_codon")</f>
        <v>TTA_codon</v>
      </c>
    </row>
    <row r="6466" spans="1:15" x14ac:dyDescent="0.15">
      <c r="A6466" t="s">
        <v>21</v>
      </c>
      <c r="B6466">
        <v>1000233</v>
      </c>
      <c r="C6466">
        <v>348545</v>
      </c>
      <c r="F6466" s="7">
        <v>1</v>
      </c>
      <c r="G6466" s="7">
        <v>64</v>
      </c>
      <c r="H6466" s="8">
        <v>61</v>
      </c>
      <c r="J6466" t="s">
        <v>23</v>
      </c>
      <c r="K6466" s="7">
        <v>1383</v>
      </c>
      <c r="L6466" s="9">
        <v>-1</v>
      </c>
      <c r="M6466" t="s">
        <v>61</v>
      </c>
      <c r="N6466" t="s">
        <v>62</v>
      </c>
      <c r="O6466" s="27" t="str">
        <f>HYPERLINK("https://www.ncbi.nlm.nih.gov/nuccore/NZ_DS999641.1?report=graph&amp;from=7911185&amp;to=7911189", "TTA_codon")</f>
        <v>TTA_codon</v>
      </c>
    </row>
    <row r="6467" spans="1:15" x14ac:dyDescent="0.15">
      <c r="A6467" t="s">
        <v>21</v>
      </c>
      <c r="B6467">
        <v>1000233</v>
      </c>
      <c r="C6467">
        <v>349492</v>
      </c>
      <c r="F6467" s="7">
        <v>1</v>
      </c>
      <c r="G6467" s="7">
        <v>175</v>
      </c>
      <c r="H6467" s="8">
        <v>172</v>
      </c>
      <c r="J6467" t="s">
        <v>23</v>
      </c>
      <c r="K6467" s="7">
        <v>1401</v>
      </c>
      <c r="L6467" s="9">
        <v>-1</v>
      </c>
      <c r="M6467" t="s">
        <v>4651</v>
      </c>
      <c r="N6467" t="s">
        <v>64</v>
      </c>
      <c r="O6467" s="27" t="str">
        <f>HYPERLINK("https://www.ncbi.nlm.nih.gov/nuccore/NZ_AEYX01000040.1?report=graph&amp;from=8001&amp;to=8005", "TTA_codon")</f>
        <v>TTA_codon</v>
      </c>
    </row>
    <row r="6468" spans="1:15" x14ac:dyDescent="0.15">
      <c r="A6468" t="s">
        <v>21</v>
      </c>
      <c r="B6468">
        <v>1000233</v>
      </c>
      <c r="C6468">
        <v>353285</v>
      </c>
      <c r="F6468" s="7">
        <v>1</v>
      </c>
      <c r="G6468" s="7">
        <v>160</v>
      </c>
      <c r="H6468" s="8">
        <v>157</v>
      </c>
      <c r="J6468" t="s">
        <v>23</v>
      </c>
      <c r="K6468" s="7">
        <v>1383</v>
      </c>
      <c r="L6468" s="9">
        <v>-1</v>
      </c>
      <c r="M6468" t="s">
        <v>1736</v>
      </c>
      <c r="N6468" t="s">
        <v>169</v>
      </c>
      <c r="O6468" s="27" t="str">
        <f>HYPERLINK("https://www.ncbi.nlm.nih.gov/nuccore/NZ_JNWJ01000007.1?report=graph&amp;from=171337&amp;to=171341", "TTA_codon")</f>
        <v>TTA_codon</v>
      </c>
    </row>
    <row r="6469" spans="1:15" x14ac:dyDescent="0.15">
      <c r="A6469" t="s">
        <v>21</v>
      </c>
      <c r="B6469">
        <v>1000233</v>
      </c>
      <c r="C6469">
        <v>358408</v>
      </c>
      <c r="F6469" s="7">
        <v>1</v>
      </c>
      <c r="G6469" s="7">
        <v>217</v>
      </c>
      <c r="H6469" s="8">
        <v>214</v>
      </c>
      <c r="J6469" t="s">
        <v>23</v>
      </c>
      <c r="K6469" s="7">
        <v>1380</v>
      </c>
      <c r="L6469" s="9">
        <v>-1</v>
      </c>
      <c r="M6469" t="s">
        <v>2967</v>
      </c>
      <c r="N6469" t="s">
        <v>85</v>
      </c>
      <c r="O6469" s="27" t="str">
        <f>HYPERLINK("https://www.ncbi.nlm.nih.gov/nuccore/NZ_LIQX01000086.1?report=graph&amp;from=4148&amp;to=4152", "TTA_codon")</f>
        <v>TTA_codon</v>
      </c>
    </row>
    <row r="6470" spans="1:15" x14ac:dyDescent="0.15">
      <c r="A6470" t="s">
        <v>21</v>
      </c>
      <c r="B6470">
        <v>1000233</v>
      </c>
      <c r="C6470">
        <v>362795</v>
      </c>
      <c r="F6470" s="7">
        <v>1</v>
      </c>
      <c r="G6470" s="7">
        <v>160</v>
      </c>
      <c r="H6470" s="8">
        <v>160</v>
      </c>
      <c r="J6470" t="s">
        <v>23</v>
      </c>
      <c r="K6470" s="7">
        <v>1386</v>
      </c>
      <c r="L6470" s="9">
        <v>-1</v>
      </c>
      <c r="M6470" t="s">
        <v>4652</v>
      </c>
      <c r="N6470" t="s">
        <v>156</v>
      </c>
      <c r="O6470" s="27" t="str">
        <f>HYPERLINK("https://www.ncbi.nlm.nih.gov/nuccore/NZ_LJGW01000352.1?report=graph&amp;from=9773&amp;to=9777", "TTA_codon")</f>
        <v>TTA_codon</v>
      </c>
    </row>
    <row r="6471" spans="1:15" x14ac:dyDescent="0.15">
      <c r="A6471" t="s">
        <v>21</v>
      </c>
      <c r="B6471">
        <v>1000233</v>
      </c>
      <c r="C6471">
        <v>363478</v>
      </c>
      <c r="F6471" s="7">
        <v>1</v>
      </c>
      <c r="G6471" s="7">
        <v>217</v>
      </c>
      <c r="H6471" s="8">
        <v>214</v>
      </c>
      <c r="J6471" t="s">
        <v>23</v>
      </c>
      <c r="K6471" s="7">
        <v>1383</v>
      </c>
      <c r="L6471" s="9">
        <v>-1</v>
      </c>
      <c r="M6471" t="s">
        <v>157</v>
      </c>
      <c r="N6471" t="s">
        <v>158</v>
      </c>
      <c r="O6471" s="27" t="str">
        <f>HYPERLINK("https://www.ncbi.nlm.nih.gov/nuccore/NZ_CP015588.1?report=graph&amp;from=7982549&amp;to=7982553", "TTA_codon")</f>
        <v>TTA_codon</v>
      </c>
    </row>
    <row r="6472" spans="1:15" x14ac:dyDescent="0.15">
      <c r="A6472" t="s">
        <v>21</v>
      </c>
      <c r="B6472">
        <v>1000233</v>
      </c>
      <c r="C6472">
        <v>364091</v>
      </c>
      <c r="F6472" s="7">
        <v>1</v>
      </c>
      <c r="G6472" s="7">
        <v>160</v>
      </c>
      <c r="H6472" s="8">
        <v>157</v>
      </c>
      <c r="J6472" t="s">
        <v>23</v>
      </c>
      <c r="K6472" s="7">
        <v>1383</v>
      </c>
      <c r="L6472" s="9">
        <v>-1</v>
      </c>
      <c r="M6472" t="s">
        <v>254</v>
      </c>
      <c r="N6472" t="s">
        <v>255</v>
      </c>
      <c r="O6472" s="27" t="str">
        <f>HYPERLINK("https://www.ncbi.nlm.nih.gov/nuccore/NZ_CP018047.1?report=graph&amp;from=3494384&amp;to=3494388", "TTA_codon")</f>
        <v>TTA_codon</v>
      </c>
    </row>
    <row r="6473" spans="1:15" x14ac:dyDescent="0.15">
      <c r="A6473" t="s">
        <v>21</v>
      </c>
      <c r="B6473" t="s">
        <v>4653</v>
      </c>
    </row>
    <row r="6474" spans="1:15" x14ac:dyDescent="0.15">
      <c r="A6474" t="s">
        <v>21</v>
      </c>
      <c r="B6474">
        <v>1000323</v>
      </c>
      <c r="C6474">
        <v>348030</v>
      </c>
      <c r="F6474" s="7">
        <v>1</v>
      </c>
      <c r="G6474" s="7">
        <v>358</v>
      </c>
      <c r="H6474" s="8">
        <v>358</v>
      </c>
      <c r="J6474" t="s">
        <v>23</v>
      </c>
      <c r="K6474" s="7">
        <v>1989</v>
      </c>
      <c r="L6474" s="9">
        <v>-1</v>
      </c>
      <c r="M6474" t="s">
        <v>59</v>
      </c>
      <c r="N6474" t="s">
        <v>60</v>
      </c>
      <c r="O6474" s="27" t="str">
        <f>HYPERLINK("https://www.ncbi.nlm.nih.gov/nuccore/NC_016582.1?report=graph&amp;from=6762426&amp;to=6762430", "TTA_codon")</f>
        <v>TTA_codon</v>
      </c>
    </row>
    <row r="6475" spans="1:15" x14ac:dyDescent="0.15">
      <c r="A6475" t="s">
        <v>21</v>
      </c>
      <c r="B6475">
        <v>1000323</v>
      </c>
      <c r="C6475">
        <v>361922</v>
      </c>
      <c r="F6475" s="7">
        <v>1</v>
      </c>
      <c r="G6475" s="7">
        <v>358</v>
      </c>
      <c r="H6475" s="8">
        <v>358</v>
      </c>
      <c r="J6475" t="s">
        <v>23</v>
      </c>
      <c r="K6475" s="7">
        <v>1752</v>
      </c>
      <c r="L6475" s="9">
        <v>-1</v>
      </c>
      <c r="M6475" t="s">
        <v>4654</v>
      </c>
      <c r="N6475" t="s">
        <v>187</v>
      </c>
      <c r="O6475" s="27" t="str">
        <f>HYPERLINK("https://www.ncbi.nlm.nih.gov/nuccore/NZ_MAXF01000068.1?report=graph&amp;from=28973&amp;to=28977", "TTA_codon")</f>
        <v>TTA_codon</v>
      </c>
    </row>
    <row r="6476" spans="1:15" x14ac:dyDescent="0.15">
      <c r="A6476" t="s">
        <v>21</v>
      </c>
      <c r="B6476" t="s">
        <v>4655</v>
      </c>
    </row>
    <row r="6477" spans="1:15" x14ac:dyDescent="0.15">
      <c r="A6477" t="s">
        <v>21</v>
      </c>
      <c r="B6477">
        <v>1000367</v>
      </c>
      <c r="C6477">
        <v>348228</v>
      </c>
      <c r="F6477" s="7">
        <v>1</v>
      </c>
      <c r="G6477" s="7">
        <v>211</v>
      </c>
      <c r="H6477" s="8">
        <v>205</v>
      </c>
      <c r="J6477" t="s">
        <v>23</v>
      </c>
      <c r="K6477" s="7">
        <v>1257</v>
      </c>
      <c r="L6477" s="9">
        <v>1</v>
      </c>
      <c r="M6477" t="s">
        <v>59</v>
      </c>
      <c r="N6477" t="s">
        <v>60</v>
      </c>
      <c r="O6477" s="27" t="str">
        <f>HYPERLINK("https://www.ncbi.nlm.nih.gov/nuccore/NC_016582.1?report=graph&amp;from=5724218&amp;to=5724222", "TTA_codon")</f>
        <v>TTA_codon</v>
      </c>
    </row>
    <row r="6478" spans="1:15" x14ac:dyDescent="0.15">
      <c r="A6478" t="s">
        <v>21</v>
      </c>
      <c r="B6478">
        <v>1000367</v>
      </c>
      <c r="C6478">
        <v>349640</v>
      </c>
      <c r="F6478" s="7">
        <v>1</v>
      </c>
      <c r="G6478" s="7">
        <v>211</v>
      </c>
      <c r="H6478" s="8">
        <v>205</v>
      </c>
      <c r="J6478" t="s">
        <v>23</v>
      </c>
      <c r="K6478" s="7">
        <v>1257</v>
      </c>
      <c r="L6478" s="9">
        <v>1</v>
      </c>
      <c r="M6478" t="s">
        <v>4656</v>
      </c>
      <c r="N6478" t="s">
        <v>335</v>
      </c>
      <c r="O6478" s="27" t="str">
        <f>HYPERLINK("https://www.ncbi.nlm.nih.gov/nuccore/NZ_AGBF01000245.1?report=graph&amp;from=934&amp;to=938", "TTA_codon")</f>
        <v>TTA_codon</v>
      </c>
    </row>
    <row r="6479" spans="1:15" x14ac:dyDescent="0.15">
      <c r="A6479" t="s">
        <v>21</v>
      </c>
      <c r="B6479">
        <v>1000367</v>
      </c>
      <c r="C6479">
        <v>353339</v>
      </c>
      <c r="F6479" s="7">
        <v>2</v>
      </c>
      <c r="G6479" s="7" t="s">
        <v>4657</v>
      </c>
      <c r="H6479" s="8" t="s">
        <v>4658</v>
      </c>
      <c r="J6479" t="s">
        <v>23</v>
      </c>
      <c r="K6479" s="7">
        <v>1248</v>
      </c>
      <c r="L6479" s="9">
        <v>1</v>
      </c>
      <c r="M6479" t="s">
        <v>4659</v>
      </c>
      <c r="N6479" t="s">
        <v>169</v>
      </c>
      <c r="O6479" s="27" t="str">
        <f>HYPERLINK("https://www.ncbi.nlm.nih.gov/nuccore/NZ_JNWJ01000011.1?report=graph&amp;from=100317&amp;to=100333", "TTA_codon")</f>
        <v>TTA_codon</v>
      </c>
    </row>
    <row r="6480" spans="1:15" x14ac:dyDescent="0.15">
      <c r="A6480" t="s">
        <v>21</v>
      </c>
      <c r="B6480">
        <v>1000367</v>
      </c>
      <c r="C6480">
        <v>356050</v>
      </c>
      <c r="F6480" s="7">
        <v>3</v>
      </c>
      <c r="G6480" s="7" t="s">
        <v>4660</v>
      </c>
      <c r="H6480" s="8" t="s">
        <v>4660</v>
      </c>
      <c r="J6480" t="s">
        <v>23</v>
      </c>
      <c r="K6480" s="7">
        <v>1245</v>
      </c>
      <c r="L6480" s="9">
        <v>1</v>
      </c>
      <c r="M6480" t="s">
        <v>4661</v>
      </c>
      <c r="N6480" t="s">
        <v>146</v>
      </c>
      <c r="O6480" s="27" t="str">
        <f>HYPERLINK("https://www.ncbi.nlm.nih.gov/nuccore/NZ_JOFH01000076.1?report=graph&amp;from=4059&amp;to=4495", "TTA_codon")</f>
        <v>TTA_codon</v>
      </c>
    </row>
    <row r="6481" spans="1:15" x14ac:dyDescent="0.15">
      <c r="A6481" t="s">
        <v>21</v>
      </c>
      <c r="B6481">
        <v>1000367</v>
      </c>
      <c r="C6481">
        <v>356377</v>
      </c>
      <c r="F6481" s="7">
        <v>1</v>
      </c>
      <c r="G6481" s="7">
        <v>211</v>
      </c>
      <c r="H6481" s="8">
        <v>202</v>
      </c>
      <c r="J6481" t="s">
        <v>23</v>
      </c>
      <c r="K6481" s="7">
        <v>1233</v>
      </c>
      <c r="L6481" s="9">
        <v>1</v>
      </c>
      <c r="M6481" t="s">
        <v>2192</v>
      </c>
      <c r="N6481" t="s">
        <v>354</v>
      </c>
      <c r="O6481" s="27" t="str">
        <f>HYPERLINK("https://www.ncbi.nlm.nih.gov/nuccore/NZ_JQJU01000049.1?report=graph&amp;from=30440&amp;to=30444", "TTA_codon")</f>
        <v>TTA_codon</v>
      </c>
    </row>
    <row r="6482" spans="1:15" x14ac:dyDescent="0.15">
      <c r="A6482" t="s">
        <v>21</v>
      </c>
      <c r="B6482">
        <v>1000367</v>
      </c>
      <c r="C6482">
        <v>359360</v>
      </c>
      <c r="F6482" s="7">
        <v>1</v>
      </c>
      <c r="G6482" s="7">
        <v>211</v>
      </c>
      <c r="H6482" s="8">
        <v>202</v>
      </c>
      <c r="J6482" t="s">
        <v>23</v>
      </c>
      <c r="K6482" s="7">
        <v>1251</v>
      </c>
      <c r="L6482" s="9">
        <v>1</v>
      </c>
      <c r="M6482" t="s">
        <v>4662</v>
      </c>
      <c r="N6482" t="s">
        <v>89</v>
      </c>
      <c r="O6482" s="27" t="str">
        <f>HYPERLINK("https://www.ncbi.nlm.nih.gov/nuccore/NZ_LIRG01000464.1?report=graph&amp;from=1901&amp;to=1905", "TTA_codon")</f>
        <v>TTA_codon</v>
      </c>
    </row>
    <row r="6483" spans="1:15" x14ac:dyDescent="0.15">
      <c r="A6483" t="s">
        <v>21</v>
      </c>
      <c r="B6483" t="s">
        <v>4663</v>
      </c>
    </row>
    <row r="6484" spans="1:15" x14ac:dyDescent="0.15">
      <c r="A6484" t="s">
        <v>21</v>
      </c>
      <c r="B6484">
        <v>1001229</v>
      </c>
      <c r="C6484">
        <v>352506</v>
      </c>
      <c r="F6484" s="7">
        <v>4</v>
      </c>
      <c r="G6484" s="7" t="s">
        <v>4664</v>
      </c>
      <c r="H6484" s="8" t="s">
        <v>4665</v>
      </c>
      <c r="J6484" t="s">
        <v>23</v>
      </c>
      <c r="K6484" s="7">
        <v>2913</v>
      </c>
      <c r="L6484" s="9">
        <v>1</v>
      </c>
      <c r="M6484" t="s">
        <v>30</v>
      </c>
      <c r="N6484" t="s">
        <v>31</v>
      </c>
      <c r="O6484" s="27" t="str">
        <f>HYPERLINK("https://www.ncbi.nlm.nih.gov/nuccore/NZ_KB913030.1?report=graph&amp;from=7255647&amp;to=7257079", "TTA_codon")</f>
        <v>TTA_codon</v>
      </c>
    </row>
    <row r="6485" spans="1:15" x14ac:dyDescent="0.15">
      <c r="A6485" t="s">
        <v>21</v>
      </c>
      <c r="B6485">
        <v>1001229</v>
      </c>
      <c r="C6485">
        <v>357333</v>
      </c>
      <c r="F6485" s="7">
        <v>1</v>
      </c>
      <c r="G6485" s="7">
        <v>307</v>
      </c>
      <c r="H6485" s="8">
        <v>298</v>
      </c>
      <c r="J6485" t="s">
        <v>23</v>
      </c>
      <c r="K6485" s="7">
        <v>2907</v>
      </c>
      <c r="L6485" s="9">
        <v>1</v>
      </c>
      <c r="M6485" t="s">
        <v>250</v>
      </c>
      <c r="N6485" t="s">
        <v>251</v>
      </c>
      <c r="O6485" s="27" t="str">
        <f>HYPERLINK("https://www.ncbi.nlm.nih.gov/nuccore/NZ_CP009922.2?report=graph&amp;from=4963746&amp;to=4963750", "TTA_codon")</f>
        <v>TTA_codon</v>
      </c>
    </row>
    <row r="6486" spans="1:15" x14ac:dyDescent="0.15">
      <c r="A6486" t="s">
        <v>21</v>
      </c>
      <c r="B6486" t="s">
        <v>4666</v>
      </c>
    </row>
    <row r="6487" spans="1:15" x14ac:dyDescent="0.15">
      <c r="A6487" t="s">
        <v>21</v>
      </c>
      <c r="B6487">
        <v>1000943</v>
      </c>
      <c r="C6487">
        <v>353436</v>
      </c>
      <c r="F6487" s="7">
        <v>1</v>
      </c>
      <c r="G6487" s="7">
        <v>76</v>
      </c>
      <c r="H6487" s="8">
        <v>76</v>
      </c>
      <c r="J6487" t="s">
        <v>23</v>
      </c>
      <c r="K6487" s="7">
        <v>1359</v>
      </c>
      <c r="L6487" s="9">
        <v>-1</v>
      </c>
      <c r="M6487" t="s">
        <v>750</v>
      </c>
      <c r="N6487" t="s">
        <v>169</v>
      </c>
      <c r="O6487" s="27" t="str">
        <f>HYPERLINK("https://www.ncbi.nlm.nih.gov/nuccore/NZ_JNWJ01000001.1?report=graph&amp;from=21103&amp;to=21107", "TTA_codon")</f>
        <v>TTA_codon</v>
      </c>
    </row>
    <row r="6488" spans="1:15" x14ac:dyDescent="0.15">
      <c r="A6488" t="s">
        <v>21</v>
      </c>
      <c r="B6488">
        <v>1000943</v>
      </c>
      <c r="C6488">
        <v>359370</v>
      </c>
      <c r="F6488" s="7">
        <v>1</v>
      </c>
      <c r="G6488" s="7">
        <v>124</v>
      </c>
      <c r="H6488" s="8">
        <v>64</v>
      </c>
      <c r="J6488" t="s">
        <v>23</v>
      </c>
      <c r="K6488" s="7">
        <v>1233</v>
      </c>
      <c r="L6488" s="9">
        <v>-1</v>
      </c>
      <c r="M6488" t="s">
        <v>2176</v>
      </c>
      <c r="N6488" t="s">
        <v>89</v>
      </c>
      <c r="O6488" s="27" t="str">
        <f>HYPERLINK("https://www.ncbi.nlm.nih.gov/nuccore/NZ_LIRG01000005.1?report=graph&amp;from=10033&amp;to=10037", "TTA_codon")</f>
        <v>TTA_codon</v>
      </c>
    </row>
    <row r="6489" spans="1:15" x14ac:dyDescent="0.15">
      <c r="A6489" t="s">
        <v>21</v>
      </c>
      <c r="B6489" t="s">
        <v>4667</v>
      </c>
    </row>
    <row r="6490" spans="1:15" x14ac:dyDescent="0.15">
      <c r="A6490" t="s">
        <v>21</v>
      </c>
      <c r="B6490">
        <v>1001504</v>
      </c>
      <c r="C6490">
        <v>347979</v>
      </c>
      <c r="F6490" s="7">
        <v>1</v>
      </c>
      <c r="G6490" s="7">
        <v>2410</v>
      </c>
      <c r="H6490" s="8">
        <v>2323</v>
      </c>
      <c r="J6490" t="s">
        <v>23</v>
      </c>
      <c r="K6490" s="7">
        <v>5646</v>
      </c>
      <c r="L6490" s="9">
        <v>1</v>
      </c>
      <c r="M6490" t="s">
        <v>59</v>
      </c>
      <c r="N6490" t="s">
        <v>60</v>
      </c>
      <c r="O6490" s="27" t="str">
        <f>HYPERLINK("https://www.ncbi.nlm.nih.gov/nuccore/NC_016582.1?report=graph&amp;from=1911908&amp;to=1911912", "TTA_codon")</f>
        <v>TTA_codon</v>
      </c>
    </row>
    <row r="6491" spans="1:15" x14ac:dyDescent="0.15">
      <c r="A6491" t="s">
        <v>21</v>
      </c>
      <c r="B6491">
        <v>1001504</v>
      </c>
      <c r="C6491">
        <v>350552</v>
      </c>
      <c r="F6491" s="7">
        <v>1</v>
      </c>
      <c r="G6491" s="7">
        <v>9064</v>
      </c>
      <c r="H6491" s="8">
        <v>7093</v>
      </c>
      <c r="J6491" t="s">
        <v>23</v>
      </c>
      <c r="K6491" s="7">
        <v>10803</v>
      </c>
      <c r="L6491" s="9">
        <v>1</v>
      </c>
      <c r="M6491" t="s">
        <v>1057</v>
      </c>
      <c r="N6491" t="s">
        <v>134</v>
      </c>
      <c r="O6491" s="27" t="str">
        <f>HYPERLINK("https://www.ncbi.nlm.nih.gov/nuccore/NZ_AJSZ01000908.1?report=graph&amp;from=72958&amp;to=72962", "TTA_codon")</f>
        <v>TTA_codon</v>
      </c>
    </row>
    <row r="6492" spans="1:15" x14ac:dyDescent="0.15">
      <c r="A6492" t="s">
        <v>21</v>
      </c>
      <c r="B6492">
        <v>1001504</v>
      </c>
      <c r="C6492">
        <v>356699</v>
      </c>
      <c r="F6492" s="7">
        <v>1</v>
      </c>
      <c r="G6492" s="7">
        <v>3088</v>
      </c>
      <c r="H6492" s="8">
        <v>2842</v>
      </c>
      <c r="J6492" t="s">
        <v>23</v>
      </c>
      <c r="K6492" s="7">
        <v>15936</v>
      </c>
      <c r="L6492" s="9">
        <v>1</v>
      </c>
      <c r="M6492" t="s">
        <v>147</v>
      </c>
      <c r="N6492" t="s">
        <v>148</v>
      </c>
      <c r="O6492" s="27" t="str">
        <f>HYPERLINK("https://www.ncbi.nlm.nih.gov/nuccore/NZ_CP021080.1?report=graph&amp;from=6652973&amp;to=6652977", "TTA_codon")</f>
        <v>TTA_codon</v>
      </c>
    </row>
    <row r="6493" spans="1:15" x14ac:dyDescent="0.15">
      <c r="A6493" t="s">
        <v>21</v>
      </c>
      <c r="B6493">
        <v>1001504</v>
      </c>
      <c r="C6493">
        <v>364157</v>
      </c>
      <c r="F6493" s="7">
        <v>2</v>
      </c>
      <c r="G6493" s="7" t="s">
        <v>4668</v>
      </c>
      <c r="H6493" s="8" t="s">
        <v>4669</v>
      </c>
      <c r="J6493" t="s">
        <v>23</v>
      </c>
      <c r="K6493" s="7">
        <v>3918</v>
      </c>
      <c r="L6493" s="9">
        <v>1</v>
      </c>
      <c r="M6493" t="s">
        <v>254</v>
      </c>
      <c r="N6493" t="s">
        <v>255</v>
      </c>
      <c r="O6493" s="27" t="str">
        <f>HYPERLINK("https://www.ncbi.nlm.nih.gov/nuccore/NZ_CP018047.1?report=graph&amp;from=53156&amp;to=53973", "TTA_codon")</f>
        <v>TTA_codon</v>
      </c>
    </row>
    <row r="6494" spans="1:15" x14ac:dyDescent="0.15">
      <c r="A6494" t="s">
        <v>21</v>
      </c>
      <c r="B6494">
        <v>1001504</v>
      </c>
      <c r="C6494">
        <v>365630</v>
      </c>
      <c r="F6494" s="7">
        <v>1</v>
      </c>
      <c r="G6494" s="7">
        <v>3133</v>
      </c>
      <c r="H6494" s="8">
        <v>2965</v>
      </c>
      <c r="J6494" t="s">
        <v>23</v>
      </c>
      <c r="K6494" s="7">
        <v>12105</v>
      </c>
      <c r="L6494" s="9">
        <v>1</v>
      </c>
      <c r="M6494" t="s">
        <v>213</v>
      </c>
      <c r="N6494" t="s">
        <v>214</v>
      </c>
      <c r="O6494" s="27" t="str">
        <f>HYPERLINK("https://www.ncbi.nlm.nih.gov/nuccore/NZ_FNST01000002.1?report=graph&amp;from=7394684&amp;to=7394688", "TTA_codon")</f>
        <v>TTA_codon</v>
      </c>
    </row>
    <row r="6495" spans="1:15" x14ac:dyDescent="0.15">
      <c r="A6495" t="s">
        <v>21</v>
      </c>
      <c r="B6495">
        <v>1001504</v>
      </c>
      <c r="C6495">
        <v>365632</v>
      </c>
      <c r="F6495" s="7">
        <v>1</v>
      </c>
      <c r="G6495" s="7">
        <v>2986</v>
      </c>
      <c r="H6495" s="8">
        <v>2818</v>
      </c>
      <c r="J6495" t="s">
        <v>23</v>
      </c>
      <c r="K6495" s="7">
        <v>12189</v>
      </c>
      <c r="L6495" s="9">
        <v>1</v>
      </c>
      <c r="M6495" t="s">
        <v>213</v>
      </c>
      <c r="N6495" t="s">
        <v>214</v>
      </c>
      <c r="O6495" s="27" t="str">
        <f>HYPERLINK("https://www.ncbi.nlm.nih.gov/nuccore/NZ_FNST01000002.1?report=graph&amp;from=7382292&amp;to=7382296", "TTA_codon")</f>
        <v>TTA_codon</v>
      </c>
    </row>
    <row r="6496" spans="1:15" x14ac:dyDescent="0.15">
      <c r="A6496" t="s">
        <v>21</v>
      </c>
      <c r="B6496">
        <v>1001504</v>
      </c>
      <c r="C6496">
        <v>366619</v>
      </c>
      <c r="F6496" s="7">
        <v>1</v>
      </c>
      <c r="G6496" s="7">
        <v>9586</v>
      </c>
      <c r="H6496" s="8">
        <v>5782</v>
      </c>
      <c r="J6496" t="s">
        <v>23</v>
      </c>
      <c r="K6496" s="7">
        <v>9651</v>
      </c>
      <c r="L6496" s="9">
        <v>1</v>
      </c>
      <c r="M6496" t="s">
        <v>350</v>
      </c>
      <c r="N6496" t="s">
        <v>180</v>
      </c>
      <c r="O6496" s="27" t="str">
        <f>HYPERLINK("https://www.ncbi.nlm.nih.gov/nuccore/NZ_FRBI01000008.1?report=graph&amp;from=211879&amp;to=211883", "TTA_codon")</f>
        <v>TTA_codon</v>
      </c>
    </row>
    <row r="6497" spans="1:15" x14ac:dyDescent="0.15">
      <c r="A6497" t="s">
        <v>21</v>
      </c>
      <c r="B6497" t="s">
        <v>4670</v>
      </c>
    </row>
    <row r="6498" spans="1:15" x14ac:dyDescent="0.15">
      <c r="A6498" t="s">
        <v>21</v>
      </c>
      <c r="B6498">
        <v>1000836</v>
      </c>
      <c r="C6498">
        <v>352408</v>
      </c>
      <c r="F6498" s="7">
        <v>1</v>
      </c>
      <c r="G6498" s="7">
        <v>403</v>
      </c>
      <c r="H6498" s="8">
        <v>343</v>
      </c>
      <c r="J6498" t="s">
        <v>23</v>
      </c>
      <c r="K6498" s="7">
        <v>1041</v>
      </c>
      <c r="L6498" s="9">
        <v>-1</v>
      </c>
      <c r="M6498" t="s">
        <v>30</v>
      </c>
      <c r="N6498" t="s">
        <v>31</v>
      </c>
      <c r="O6498" s="27" t="str">
        <f>HYPERLINK("https://www.ncbi.nlm.nih.gov/nuccore/NZ_KB913030.1?report=graph&amp;from=3832541&amp;to=3832545", "TTA_codon")</f>
        <v>TTA_codon</v>
      </c>
    </row>
    <row r="6499" spans="1:15" x14ac:dyDescent="0.15">
      <c r="A6499" t="s">
        <v>21</v>
      </c>
      <c r="B6499">
        <v>1000836</v>
      </c>
      <c r="C6499">
        <v>355065</v>
      </c>
      <c r="F6499" s="7">
        <v>1</v>
      </c>
      <c r="G6499" s="7">
        <v>274</v>
      </c>
      <c r="H6499" s="8">
        <v>250</v>
      </c>
      <c r="J6499" t="s">
        <v>23</v>
      </c>
      <c r="K6499" s="7">
        <v>1083</v>
      </c>
      <c r="L6499" s="9">
        <v>-1</v>
      </c>
      <c r="M6499" t="s">
        <v>2654</v>
      </c>
      <c r="N6499" t="s">
        <v>433</v>
      </c>
      <c r="O6499" s="27" t="str">
        <f>HYPERLINK("https://www.ncbi.nlm.nih.gov/nuccore/NZ_JOBF01000001.1?report=graph&amp;from=509588&amp;to=509592", "TTA_codon")</f>
        <v>TTA_codon</v>
      </c>
    </row>
    <row r="6500" spans="1:15" x14ac:dyDescent="0.15">
      <c r="A6500" t="s">
        <v>21</v>
      </c>
      <c r="B6500">
        <v>1000836</v>
      </c>
      <c r="C6500">
        <v>355873</v>
      </c>
      <c r="F6500" s="7">
        <v>1</v>
      </c>
      <c r="G6500" s="7">
        <v>172</v>
      </c>
      <c r="H6500" s="8">
        <v>118</v>
      </c>
      <c r="J6500" t="s">
        <v>23</v>
      </c>
      <c r="K6500" s="7">
        <v>1020</v>
      </c>
      <c r="L6500" s="9">
        <v>-1</v>
      </c>
      <c r="M6500" t="s">
        <v>4051</v>
      </c>
      <c r="N6500" t="s">
        <v>384</v>
      </c>
      <c r="O6500" s="27" t="str">
        <f>HYPERLINK("https://www.ncbi.nlm.nih.gov/nuccore/NZ_JOAK01000009.1?report=graph&amp;from=173439&amp;to=173443", "TTA_codon")</f>
        <v>TTA_codon</v>
      </c>
    </row>
    <row r="6501" spans="1:15" x14ac:dyDescent="0.15">
      <c r="A6501" t="s">
        <v>21</v>
      </c>
      <c r="B6501">
        <v>1000836</v>
      </c>
      <c r="C6501">
        <v>356169</v>
      </c>
      <c r="F6501" s="7">
        <v>1</v>
      </c>
      <c r="G6501" s="7">
        <v>151</v>
      </c>
      <c r="H6501" s="8">
        <v>118</v>
      </c>
      <c r="J6501" t="s">
        <v>23</v>
      </c>
      <c r="K6501" s="7">
        <v>1053</v>
      </c>
      <c r="L6501" s="9">
        <v>-1</v>
      </c>
      <c r="M6501" t="s">
        <v>1561</v>
      </c>
      <c r="N6501" t="s">
        <v>77</v>
      </c>
      <c r="O6501" s="27" t="str">
        <f>HYPERLINK("https://www.ncbi.nlm.nih.gov/nuccore/NZ_JNXD01000001.1?report=graph&amp;from=699201&amp;to=699205", "TTA_codon")</f>
        <v>TTA_codon</v>
      </c>
    </row>
    <row r="6502" spans="1:15" x14ac:dyDescent="0.15">
      <c r="A6502" t="s">
        <v>21</v>
      </c>
      <c r="B6502">
        <v>1000836</v>
      </c>
      <c r="C6502">
        <v>363601</v>
      </c>
      <c r="F6502" s="7">
        <v>1</v>
      </c>
      <c r="G6502" s="7">
        <v>130</v>
      </c>
      <c r="H6502" s="8">
        <v>130</v>
      </c>
      <c r="J6502" t="s">
        <v>23</v>
      </c>
      <c r="K6502" s="7">
        <v>1083</v>
      </c>
      <c r="L6502" s="9">
        <v>-1</v>
      </c>
      <c r="M6502" t="s">
        <v>101</v>
      </c>
      <c r="N6502" t="s">
        <v>102</v>
      </c>
      <c r="O6502" s="27" t="str">
        <f>HYPERLINK("https://www.ncbi.nlm.nih.gov/nuccore/NZ_CP019458.1?report=graph&amp;from=35458&amp;to=35462", "TTA_codon")</f>
        <v>TTA_codon</v>
      </c>
    </row>
    <row r="6503" spans="1:15" x14ac:dyDescent="0.15">
      <c r="A6503" t="s">
        <v>21</v>
      </c>
      <c r="B6503">
        <v>1000836</v>
      </c>
      <c r="C6503">
        <v>363927</v>
      </c>
      <c r="F6503" s="7">
        <v>1</v>
      </c>
      <c r="G6503" s="7">
        <v>550</v>
      </c>
      <c r="H6503" s="8">
        <v>502</v>
      </c>
      <c r="J6503" t="s">
        <v>23</v>
      </c>
      <c r="K6503" s="7">
        <v>1050</v>
      </c>
      <c r="L6503" s="9">
        <v>-1</v>
      </c>
      <c r="M6503" t="s">
        <v>3906</v>
      </c>
      <c r="N6503" t="s">
        <v>104</v>
      </c>
      <c r="O6503" s="27" t="str">
        <f>HYPERLINK("https://www.ncbi.nlm.nih.gov/nuccore/NZ_MVFC01000001.1?report=graph&amp;from=325449&amp;to=325453", "TTA_codon")</f>
        <v>TTA_codon</v>
      </c>
    </row>
    <row r="6504" spans="1:15" x14ac:dyDescent="0.15">
      <c r="A6504" t="s">
        <v>195</v>
      </c>
      <c r="B6504" t="s">
        <v>4671</v>
      </c>
    </row>
    <row r="6505" spans="1:15" x14ac:dyDescent="0.15">
      <c r="A6505" t="s">
        <v>195</v>
      </c>
      <c r="B6505">
        <v>1001031</v>
      </c>
      <c r="C6505">
        <v>346899</v>
      </c>
      <c r="F6505" s="7">
        <v>1</v>
      </c>
      <c r="G6505" s="7">
        <v>1369</v>
      </c>
      <c r="H6505" s="8">
        <v>1333</v>
      </c>
      <c r="J6505" t="s">
        <v>23</v>
      </c>
      <c r="K6505" s="7">
        <v>2622</v>
      </c>
      <c r="L6505" s="9">
        <v>1</v>
      </c>
      <c r="M6505" t="s">
        <v>32</v>
      </c>
      <c r="N6505" t="s">
        <v>33</v>
      </c>
      <c r="O6505" s="27" t="str">
        <f>HYPERLINK("https://www.ncbi.nlm.nih.gov/nuccore/NZ_CP017248.1?report=graph&amp;from=59706&amp;to=59710", "TTA_codon")</f>
        <v>TTA_codon</v>
      </c>
    </row>
    <row r="6506" spans="1:15" x14ac:dyDescent="0.15">
      <c r="A6506" t="s">
        <v>21</v>
      </c>
      <c r="B6506">
        <v>1001031</v>
      </c>
      <c r="C6506">
        <v>354617</v>
      </c>
      <c r="F6506" s="7">
        <v>1</v>
      </c>
      <c r="G6506" s="7">
        <v>1405</v>
      </c>
      <c r="H6506" s="8">
        <v>625</v>
      </c>
      <c r="J6506" t="s">
        <v>23</v>
      </c>
      <c r="K6506" s="7">
        <v>1677</v>
      </c>
      <c r="L6506" s="9">
        <v>1</v>
      </c>
      <c r="M6506" t="s">
        <v>624</v>
      </c>
      <c r="N6506" t="s">
        <v>272</v>
      </c>
      <c r="O6506" s="27" t="str">
        <f>HYPERLINK("https://www.ncbi.nlm.nih.gov/nuccore/NZ_JOEY01000005.1?report=graph&amp;from=154895&amp;to=154899", "TTA_codon")</f>
        <v>TTA_codon</v>
      </c>
    </row>
    <row r="6507" spans="1:15" x14ac:dyDescent="0.15">
      <c r="A6507" t="s">
        <v>21</v>
      </c>
      <c r="B6507" t="s">
        <v>4672</v>
      </c>
    </row>
    <row r="6508" spans="1:15" x14ac:dyDescent="0.15">
      <c r="A6508" t="s">
        <v>21</v>
      </c>
      <c r="B6508">
        <v>1001499</v>
      </c>
      <c r="C6508">
        <v>355189</v>
      </c>
      <c r="F6508" s="7">
        <v>1</v>
      </c>
      <c r="G6508" s="7">
        <v>43</v>
      </c>
      <c r="H6508" s="8">
        <v>43</v>
      </c>
      <c r="J6508" t="s">
        <v>23</v>
      </c>
      <c r="K6508" s="7">
        <v>2961</v>
      </c>
      <c r="L6508" s="9">
        <v>-1</v>
      </c>
      <c r="M6508" t="s">
        <v>4673</v>
      </c>
      <c r="N6508" t="s">
        <v>433</v>
      </c>
      <c r="O6508" s="27" t="str">
        <f>HYPERLINK("https://www.ncbi.nlm.nih.gov/nuccore/NZ_JOBF01000029.1?report=graph&amp;from=24317&amp;to=24321", "TTA_codon")</f>
        <v>TTA_codon</v>
      </c>
    </row>
    <row r="6509" spans="1:15" x14ac:dyDescent="0.15">
      <c r="A6509" t="s">
        <v>21</v>
      </c>
      <c r="B6509">
        <v>1001499</v>
      </c>
      <c r="C6509">
        <v>365271</v>
      </c>
      <c r="F6509" s="7">
        <v>1</v>
      </c>
      <c r="G6509" s="7">
        <v>55</v>
      </c>
      <c r="H6509" s="8">
        <v>55</v>
      </c>
      <c r="J6509" t="s">
        <v>23</v>
      </c>
      <c r="K6509" s="7">
        <v>2940</v>
      </c>
      <c r="L6509" s="9">
        <v>-1</v>
      </c>
      <c r="M6509" t="s">
        <v>4674</v>
      </c>
      <c r="N6509" t="s">
        <v>347</v>
      </c>
      <c r="O6509" s="27" t="str">
        <f>HYPERLINK("https://www.ncbi.nlm.nih.gov/nuccore/NZ_FNFF01000013.1?report=graph&amp;from=168568&amp;to=168572", "TTA_codon")</f>
        <v>TTA_codon</v>
      </c>
    </row>
    <row r="6510" spans="1:15" x14ac:dyDescent="0.15">
      <c r="A6510" t="s">
        <v>21</v>
      </c>
      <c r="B6510" t="s">
        <v>4675</v>
      </c>
    </row>
    <row r="6511" spans="1:15" x14ac:dyDescent="0.15">
      <c r="A6511" t="s">
        <v>21</v>
      </c>
      <c r="B6511">
        <v>1001453</v>
      </c>
      <c r="C6511">
        <v>363664</v>
      </c>
      <c r="F6511" s="7">
        <v>1</v>
      </c>
      <c r="G6511" s="7">
        <v>2221</v>
      </c>
      <c r="H6511" s="8">
        <v>1588</v>
      </c>
      <c r="J6511" t="s">
        <v>23</v>
      </c>
      <c r="K6511" s="7">
        <v>2226</v>
      </c>
      <c r="L6511" s="9">
        <v>-1</v>
      </c>
      <c r="M6511" t="s">
        <v>101</v>
      </c>
      <c r="N6511" t="s">
        <v>102</v>
      </c>
      <c r="O6511" s="27" t="str">
        <f>HYPERLINK("https://www.ncbi.nlm.nih.gov/nuccore/NZ_CP019458.1?report=graph&amp;from=4094946&amp;to=4094950", "TTA_codon")</f>
        <v>TTA_codon</v>
      </c>
    </row>
    <row r="6512" spans="1:15" x14ac:dyDescent="0.15">
      <c r="A6512" t="s">
        <v>21</v>
      </c>
      <c r="B6512">
        <v>1001453</v>
      </c>
      <c r="C6512">
        <v>365638</v>
      </c>
      <c r="F6512" s="7">
        <v>1</v>
      </c>
      <c r="G6512" s="7">
        <v>2221</v>
      </c>
      <c r="H6512" s="8">
        <v>2221</v>
      </c>
      <c r="J6512" t="s">
        <v>23</v>
      </c>
      <c r="K6512" s="7">
        <v>2775</v>
      </c>
      <c r="L6512" s="9">
        <v>-1</v>
      </c>
      <c r="M6512" t="s">
        <v>213</v>
      </c>
      <c r="N6512" t="s">
        <v>214</v>
      </c>
      <c r="O6512" s="27" t="str">
        <f>HYPERLINK("https://www.ncbi.nlm.nih.gov/nuccore/NZ_FNST01000002.1?report=graph&amp;from=1682846&amp;to=1682850", "TTA_codon")</f>
        <v>TTA_codon</v>
      </c>
    </row>
    <row r="6513" spans="1:15" x14ac:dyDescent="0.15">
      <c r="A6513" t="s">
        <v>21</v>
      </c>
      <c r="B6513" t="s">
        <v>4676</v>
      </c>
    </row>
    <row r="6514" spans="1:15" x14ac:dyDescent="0.15">
      <c r="A6514" t="s">
        <v>21</v>
      </c>
      <c r="B6514">
        <v>1001157</v>
      </c>
      <c r="C6514">
        <v>356300</v>
      </c>
      <c r="F6514" s="7">
        <v>1</v>
      </c>
      <c r="G6514" s="7">
        <v>52</v>
      </c>
      <c r="H6514" s="8">
        <v>52</v>
      </c>
      <c r="J6514" t="s">
        <v>23</v>
      </c>
      <c r="K6514" s="7">
        <v>489</v>
      </c>
      <c r="L6514" s="9">
        <v>-1</v>
      </c>
      <c r="M6514" t="s">
        <v>4677</v>
      </c>
      <c r="N6514" t="s">
        <v>77</v>
      </c>
      <c r="O6514" s="27" t="str">
        <f>HYPERLINK("https://www.ncbi.nlm.nih.gov/nuccore/NZ_JNXD01000048.1?report=graph&amp;from=1400&amp;to=1404", "TTA_codon")</f>
        <v>TTA_codon</v>
      </c>
    </row>
    <row r="6515" spans="1:15" x14ac:dyDescent="0.15">
      <c r="A6515" t="s">
        <v>21</v>
      </c>
      <c r="B6515">
        <v>1001157</v>
      </c>
      <c r="C6515">
        <v>357905</v>
      </c>
      <c r="F6515" s="7">
        <v>1</v>
      </c>
      <c r="G6515" s="7">
        <v>52</v>
      </c>
      <c r="H6515" s="8">
        <v>52</v>
      </c>
      <c r="J6515" t="s">
        <v>23</v>
      </c>
      <c r="K6515" s="7">
        <v>489</v>
      </c>
      <c r="L6515" s="9">
        <v>-1</v>
      </c>
      <c r="M6515" t="s">
        <v>1497</v>
      </c>
      <c r="N6515" t="s">
        <v>83</v>
      </c>
      <c r="O6515" s="27" t="str">
        <f>HYPERLINK("https://www.ncbi.nlm.nih.gov/nuccore/NZ_DF968243.1?report=graph&amp;from=9271&amp;to=9275", "TTA_codon")</f>
        <v>TTA_codon</v>
      </c>
    </row>
    <row r="6516" spans="1:15" x14ac:dyDescent="0.15">
      <c r="A6516" t="s">
        <v>21</v>
      </c>
      <c r="B6516" t="s">
        <v>4678</v>
      </c>
    </row>
    <row r="6517" spans="1:15" x14ac:dyDescent="0.15">
      <c r="A6517" t="s">
        <v>21</v>
      </c>
      <c r="B6517">
        <v>1000518</v>
      </c>
      <c r="C6517">
        <v>349486</v>
      </c>
      <c r="F6517" s="7">
        <v>1</v>
      </c>
      <c r="G6517" s="7">
        <v>214</v>
      </c>
      <c r="H6517" s="8">
        <v>214</v>
      </c>
      <c r="J6517" t="s">
        <v>23</v>
      </c>
      <c r="K6517" s="7">
        <v>1206</v>
      </c>
      <c r="L6517" s="9">
        <v>1</v>
      </c>
      <c r="M6517" t="s">
        <v>1566</v>
      </c>
      <c r="N6517" t="s">
        <v>64</v>
      </c>
      <c r="O6517" s="27" t="str">
        <f>HYPERLINK("https://www.ncbi.nlm.nih.gov/nuccore/NZ_AEYX01000035.1?report=graph&amp;from=650&amp;to=654", "TTA_codon")</f>
        <v>TTA_codon</v>
      </c>
    </row>
    <row r="6518" spans="1:15" x14ac:dyDescent="0.15">
      <c r="A6518" t="s">
        <v>21</v>
      </c>
      <c r="B6518">
        <v>1000518</v>
      </c>
      <c r="C6518">
        <v>357415</v>
      </c>
      <c r="F6518" s="7">
        <v>1</v>
      </c>
      <c r="G6518" s="7">
        <v>79</v>
      </c>
      <c r="H6518" s="8">
        <v>76</v>
      </c>
      <c r="J6518" t="s">
        <v>23</v>
      </c>
      <c r="K6518" s="7">
        <v>1227</v>
      </c>
      <c r="L6518" s="9">
        <v>1</v>
      </c>
      <c r="M6518" t="s">
        <v>80</v>
      </c>
      <c r="N6518" t="s">
        <v>81</v>
      </c>
      <c r="O6518" s="27" t="str">
        <f>HYPERLINK("https://www.ncbi.nlm.nih.gov/nuccore/NZ_LN831790.1?report=graph&amp;from=29556&amp;to=29560", "TTA_codon")</f>
        <v>TTA_codon</v>
      </c>
    </row>
    <row r="6519" spans="1:15" x14ac:dyDescent="0.15">
      <c r="A6519" t="s">
        <v>21</v>
      </c>
      <c r="B6519">
        <v>1000518</v>
      </c>
      <c r="C6519">
        <v>357416</v>
      </c>
      <c r="F6519" s="7">
        <v>1</v>
      </c>
      <c r="G6519" s="7">
        <v>79</v>
      </c>
      <c r="H6519" s="8">
        <v>76</v>
      </c>
      <c r="J6519" t="s">
        <v>23</v>
      </c>
      <c r="K6519" s="7">
        <v>1227</v>
      </c>
      <c r="L6519" s="9">
        <v>1</v>
      </c>
      <c r="M6519" t="s">
        <v>80</v>
      </c>
      <c r="N6519" t="s">
        <v>81</v>
      </c>
      <c r="O6519" s="27" t="str">
        <f>HYPERLINK("https://www.ncbi.nlm.nih.gov/nuccore/NZ_LN831790.1?report=graph&amp;from=1075851&amp;to=1075855", "TTA_codon")</f>
        <v>TTA_codon</v>
      </c>
    </row>
    <row r="6520" spans="1:15" x14ac:dyDescent="0.15">
      <c r="A6520" t="s">
        <v>21</v>
      </c>
      <c r="B6520">
        <v>1000518</v>
      </c>
      <c r="C6520">
        <v>364323</v>
      </c>
      <c r="F6520" s="7">
        <v>2</v>
      </c>
      <c r="G6520" s="7" t="s">
        <v>4679</v>
      </c>
      <c r="H6520" s="8" t="s">
        <v>4680</v>
      </c>
      <c r="J6520" t="s">
        <v>23</v>
      </c>
      <c r="K6520" s="7">
        <v>1227</v>
      </c>
      <c r="L6520" s="9">
        <v>1</v>
      </c>
      <c r="M6520" t="s">
        <v>105</v>
      </c>
      <c r="N6520" t="s">
        <v>106</v>
      </c>
      <c r="O6520" s="27" t="str">
        <f>HYPERLINK("https://www.ncbi.nlm.nih.gov/nuccore/NZ_CP020042.1?report=graph&amp;from=1348038&amp;to=1348570", "TTA_codon")</f>
        <v>TTA_codon</v>
      </c>
    </row>
    <row r="6521" spans="1:15" x14ac:dyDescent="0.15">
      <c r="A6521" t="s">
        <v>21</v>
      </c>
      <c r="B6521" t="s">
        <v>4681</v>
      </c>
    </row>
    <row r="6522" spans="1:15" x14ac:dyDescent="0.15">
      <c r="A6522" t="s">
        <v>21</v>
      </c>
      <c r="B6522">
        <v>1001020</v>
      </c>
      <c r="C6522">
        <v>354444</v>
      </c>
      <c r="F6522" s="7">
        <v>1</v>
      </c>
      <c r="G6522" s="7">
        <v>364</v>
      </c>
      <c r="H6522" s="8">
        <v>328</v>
      </c>
      <c r="J6522" t="s">
        <v>23</v>
      </c>
      <c r="K6522" s="7">
        <v>1065</v>
      </c>
      <c r="L6522" s="9">
        <v>-1</v>
      </c>
      <c r="M6522" t="s">
        <v>1857</v>
      </c>
      <c r="N6522" t="s">
        <v>142</v>
      </c>
      <c r="O6522" s="27" t="str">
        <f>HYPERLINK("https://www.ncbi.nlm.nih.gov/nuccore/NZ_JOEI01000005.1?report=graph&amp;from=70500&amp;to=70504", "TTA_codon")</f>
        <v>TTA_codon</v>
      </c>
    </row>
    <row r="6523" spans="1:15" x14ac:dyDescent="0.15">
      <c r="A6523" t="s">
        <v>21</v>
      </c>
      <c r="B6523">
        <v>1001020</v>
      </c>
      <c r="C6523">
        <v>366048</v>
      </c>
      <c r="F6523" s="7">
        <v>1</v>
      </c>
      <c r="G6523" s="7">
        <v>226</v>
      </c>
      <c r="H6523" s="8">
        <v>220</v>
      </c>
      <c r="J6523" t="s">
        <v>23</v>
      </c>
      <c r="K6523" s="7">
        <v>1128</v>
      </c>
      <c r="L6523" s="9">
        <v>-1</v>
      </c>
      <c r="M6523" t="s">
        <v>403</v>
      </c>
      <c r="N6523" t="s">
        <v>115</v>
      </c>
      <c r="O6523" s="27" t="str">
        <f>HYPERLINK("https://www.ncbi.nlm.nih.gov/nuccore/NZ_FODD01000024.1?report=graph&amp;from=83325&amp;to=83329", "TTA_codon")</f>
        <v>TTA_codon</v>
      </c>
    </row>
    <row r="6524" spans="1:15" x14ac:dyDescent="0.15">
      <c r="A6524" t="s">
        <v>21</v>
      </c>
      <c r="B6524">
        <v>1001020</v>
      </c>
      <c r="C6524">
        <v>366466</v>
      </c>
      <c r="F6524" s="7">
        <v>4</v>
      </c>
      <c r="G6524" s="7" t="s">
        <v>4682</v>
      </c>
      <c r="H6524" s="8" t="s">
        <v>4682</v>
      </c>
      <c r="J6524" t="s">
        <v>23</v>
      </c>
      <c r="K6524" s="7">
        <v>1113</v>
      </c>
      <c r="L6524" s="9">
        <v>-1</v>
      </c>
      <c r="M6524" t="s">
        <v>4683</v>
      </c>
      <c r="N6524" t="s">
        <v>375</v>
      </c>
      <c r="O6524" s="27" t="str">
        <f>HYPERLINK("https://www.ncbi.nlm.nih.gov/nuccore/NZ_FONG01000024.1?report=graph&amp;from=84040&amp;to=84296", "TTA_codon")</f>
        <v>TTA_codon</v>
      </c>
    </row>
    <row r="6525" spans="1:15" x14ac:dyDescent="0.15">
      <c r="A6525" t="s">
        <v>21</v>
      </c>
      <c r="B6525" t="s">
        <v>4684</v>
      </c>
    </row>
    <row r="6526" spans="1:15" x14ac:dyDescent="0.15">
      <c r="A6526" t="s">
        <v>21</v>
      </c>
      <c r="B6526">
        <v>1000880</v>
      </c>
      <c r="C6526">
        <v>352753</v>
      </c>
      <c r="F6526" s="7">
        <v>1</v>
      </c>
      <c r="G6526" s="7">
        <v>760</v>
      </c>
      <c r="H6526" s="8">
        <v>760</v>
      </c>
      <c r="J6526" t="s">
        <v>23</v>
      </c>
      <c r="K6526" s="7">
        <v>1101</v>
      </c>
      <c r="L6526" s="9">
        <v>-1</v>
      </c>
      <c r="M6526" t="s">
        <v>472</v>
      </c>
      <c r="N6526" t="s">
        <v>473</v>
      </c>
      <c r="O6526" s="27" t="str">
        <f>HYPERLINK("https://www.ncbi.nlm.nih.gov/nuccore/NZ_ASHX02000001.1?report=graph&amp;from=3300927&amp;to=3300931", "TTA_codon")</f>
        <v>TTA_codon</v>
      </c>
    </row>
    <row r="6527" spans="1:15" x14ac:dyDescent="0.15">
      <c r="A6527" t="s">
        <v>21</v>
      </c>
      <c r="B6527">
        <v>1000880</v>
      </c>
      <c r="C6527">
        <v>365426</v>
      </c>
      <c r="F6527" s="7">
        <v>2</v>
      </c>
      <c r="G6527" s="7" t="s">
        <v>4685</v>
      </c>
      <c r="H6527" s="8" t="s">
        <v>833</v>
      </c>
      <c r="J6527" t="s">
        <v>23</v>
      </c>
      <c r="K6527" s="7">
        <v>1092</v>
      </c>
      <c r="L6527" s="9">
        <v>-1</v>
      </c>
      <c r="M6527" t="s">
        <v>44</v>
      </c>
      <c r="N6527" t="s">
        <v>45</v>
      </c>
      <c r="O6527" s="27" t="str">
        <f>HYPERLINK("https://www.ncbi.nlm.nih.gov/nuccore/NZ_FNIE01000002.1?report=graph&amp;from=248547&amp;to=248641", "TTA_codon")</f>
        <v>TTA_codon</v>
      </c>
    </row>
    <row r="6528" spans="1:15" x14ac:dyDescent="0.15">
      <c r="A6528" t="s">
        <v>21</v>
      </c>
      <c r="B6528">
        <v>1000880</v>
      </c>
      <c r="C6528">
        <v>366378</v>
      </c>
      <c r="F6528" s="7">
        <v>1</v>
      </c>
      <c r="G6528" s="7">
        <v>760</v>
      </c>
      <c r="H6528" s="8">
        <v>742</v>
      </c>
      <c r="J6528" t="s">
        <v>23</v>
      </c>
      <c r="K6528" s="7">
        <v>1083</v>
      </c>
      <c r="L6528" s="9">
        <v>-1</v>
      </c>
      <c r="M6528" t="s">
        <v>999</v>
      </c>
      <c r="N6528" t="s">
        <v>375</v>
      </c>
      <c r="O6528" s="27" t="str">
        <f>HYPERLINK("https://www.ncbi.nlm.nih.gov/nuccore/NZ_FONG01000002.1?report=graph&amp;from=360676&amp;to=360680", "TTA_codon")</f>
        <v>TTA_codon</v>
      </c>
    </row>
    <row r="6529" spans="1:15" x14ac:dyDescent="0.15">
      <c r="A6529" t="s">
        <v>21</v>
      </c>
      <c r="B6529">
        <v>1000880</v>
      </c>
      <c r="C6529">
        <v>366557</v>
      </c>
      <c r="F6529" s="7">
        <v>1</v>
      </c>
      <c r="G6529" s="7">
        <v>760</v>
      </c>
      <c r="H6529" s="8">
        <v>745</v>
      </c>
      <c r="J6529" t="s">
        <v>23</v>
      </c>
      <c r="K6529" s="7">
        <v>1092</v>
      </c>
      <c r="L6529" s="9">
        <v>-1</v>
      </c>
      <c r="M6529" t="s">
        <v>1004</v>
      </c>
      <c r="N6529" t="s">
        <v>180</v>
      </c>
      <c r="O6529" s="27" t="str">
        <f>HYPERLINK("https://www.ncbi.nlm.nih.gov/nuccore/NZ_FRBI01000005.1?report=graph&amp;from=265425&amp;to=265429", "TTA_codon")</f>
        <v>TTA_codon</v>
      </c>
    </row>
    <row r="6530" spans="1:15" x14ac:dyDescent="0.15">
      <c r="A6530" t="s">
        <v>21</v>
      </c>
      <c r="B6530" t="s">
        <v>4686</v>
      </c>
    </row>
    <row r="6531" spans="1:15" x14ac:dyDescent="0.15">
      <c r="A6531" t="s">
        <v>21</v>
      </c>
      <c r="B6531">
        <v>1001493</v>
      </c>
      <c r="C6531">
        <v>364999</v>
      </c>
      <c r="F6531" s="7">
        <v>1</v>
      </c>
      <c r="G6531" s="7">
        <v>364</v>
      </c>
      <c r="H6531" s="8">
        <v>271</v>
      </c>
      <c r="J6531" t="s">
        <v>23</v>
      </c>
      <c r="K6531" s="7">
        <v>1410</v>
      </c>
      <c r="L6531" s="9">
        <v>-1</v>
      </c>
      <c r="M6531" t="s">
        <v>111</v>
      </c>
      <c r="N6531" t="s">
        <v>112</v>
      </c>
      <c r="O6531" s="27" t="str">
        <f>HYPERLINK("https://www.ncbi.nlm.nih.gov/nuccore/NZ_CP021744.1?report=graph&amp;from=7687927&amp;to=7687931", "TTA_codon")</f>
        <v>TTA_codon</v>
      </c>
    </row>
    <row r="6532" spans="1:15" x14ac:dyDescent="0.15">
      <c r="A6532" t="s">
        <v>21</v>
      </c>
      <c r="B6532">
        <v>1001493</v>
      </c>
      <c r="C6532">
        <v>366554</v>
      </c>
      <c r="F6532" s="7">
        <v>1</v>
      </c>
      <c r="G6532" s="7">
        <v>490</v>
      </c>
      <c r="H6532" s="8">
        <v>490</v>
      </c>
      <c r="J6532" t="s">
        <v>23</v>
      </c>
      <c r="K6532" s="7">
        <v>1512</v>
      </c>
      <c r="L6532" s="9">
        <v>-1</v>
      </c>
      <c r="M6532" t="s">
        <v>1007</v>
      </c>
      <c r="N6532" t="s">
        <v>180</v>
      </c>
      <c r="O6532" s="27" t="str">
        <f>HYPERLINK("https://www.ncbi.nlm.nih.gov/nuccore/NZ_FRBI01000003.1?report=graph&amp;from=22857&amp;to=22861", "TTA_codon")</f>
        <v>TTA_codon</v>
      </c>
    </row>
    <row r="6533" spans="1:15" x14ac:dyDescent="0.15">
      <c r="A6533" t="s">
        <v>21</v>
      </c>
      <c r="B6533" t="s">
        <v>4687</v>
      </c>
    </row>
    <row r="6534" spans="1:15" x14ac:dyDescent="0.15">
      <c r="A6534" t="s">
        <v>21</v>
      </c>
      <c r="B6534">
        <v>1000941</v>
      </c>
      <c r="C6534">
        <v>353398</v>
      </c>
      <c r="F6534" s="7">
        <v>3</v>
      </c>
      <c r="G6534" s="7" t="s">
        <v>4688</v>
      </c>
      <c r="H6534" s="8" t="s">
        <v>4689</v>
      </c>
      <c r="J6534" t="s">
        <v>23</v>
      </c>
      <c r="K6534" s="7">
        <v>1344</v>
      </c>
      <c r="L6534" s="9">
        <v>1</v>
      </c>
      <c r="M6534" t="s">
        <v>4659</v>
      </c>
      <c r="N6534" t="s">
        <v>169</v>
      </c>
      <c r="O6534" s="27" t="str">
        <f>HYPERLINK("https://www.ncbi.nlm.nih.gov/nuccore/NZ_JNWJ01000011.1?report=graph&amp;from=196362&amp;to=197005", "TTA_codon")</f>
        <v>TTA_codon</v>
      </c>
    </row>
    <row r="6535" spans="1:15" x14ac:dyDescent="0.15">
      <c r="A6535" t="s">
        <v>21</v>
      </c>
      <c r="B6535">
        <v>1000941</v>
      </c>
      <c r="C6535">
        <v>356895</v>
      </c>
      <c r="F6535" s="7">
        <v>1</v>
      </c>
      <c r="G6535" s="7">
        <v>289</v>
      </c>
      <c r="H6535" s="8">
        <v>220</v>
      </c>
      <c r="J6535" t="s">
        <v>23</v>
      </c>
      <c r="K6535" s="7">
        <v>1305</v>
      </c>
      <c r="L6535" s="9">
        <v>1</v>
      </c>
      <c r="M6535" t="s">
        <v>78</v>
      </c>
      <c r="N6535" t="s">
        <v>79</v>
      </c>
      <c r="O6535" s="27" t="str">
        <f>HYPERLINK("https://www.ncbi.nlm.nih.gov/nuccore/NZ_CP009313.1?report=graph&amp;from=3478279&amp;to=3478283", "TTA_codon")</f>
        <v>TTA_codon</v>
      </c>
    </row>
    <row r="6536" spans="1:15" x14ac:dyDescent="0.15">
      <c r="A6536" t="s">
        <v>21</v>
      </c>
      <c r="B6536">
        <v>1000941</v>
      </c>
      <c r="C6536">
        <v>357835</v>
      </c>
      <c r="F6536" s="7">
        <v>2</v>
      </c>
      <c r="G6536" s="7" t="s">
        <v>4690</v>
      </c>
      <c r="H6536" s="8" t="s">
        <v>4691</v>
      </c>
      <c r="J6536" t="s">
        <v>23</v>
      </c>
      <c r="K6536" s="7">
        <v>1323</v>
      </c>
      <c r="L6536" s="9">
        <v>1</v>
      </c>
      <c r="M6536" t="s">
        <v>4692</v>
      </c>
      <c r="N6536" t="s">
        <v>83</v>
      </c>
      <c r="O6536" s="27" t="str">
        <f>HYPERLINK("https://www.ncbi.nlm.nih.gov/nuccore/NZ_DF968389.1?report=graph&amp;from=23269&amp;to=23417", "TTA_codon")</f>
        <v>TTA_codon</v>
      </c>
    </row>
    <row r="6537" spans="1:15" x14ac:dyDescent="0.15">
      <c r="A6537" t="s">
        <v>21</v>
      </c>
      <c r="B6537">
        <v>1000941</v>
      </c>
      <c r="C6537">
        <v>357865</v>
      </c>
      <c r="F6537" s="7">
        <v>1</v>
      </c>
      <c r="G6537" s="7">
        <v>247</v>
      </c>
      <c r="H6537" s="8">
        <v>190</v>
      </c>
      <c r="J6537" t="s">
        <v>23</v>
      </c>
      <c r="K6537" s="7">
        <v>1278</v>
      </c>
      <c r="L6537" s="9">
        <v>1</v>
      </c>
      <c r="M6537" t="s">
        <v>4693</v>
      </c>
      <c r="N6537" t="s">
        <v>83</v>
      </c>
      <c r="O6537" s="27" t="str">
        <f>HYPERLINK("https://www.ncbi.nlm.nih.gov/nuccore/NZ_DF968254.1?report=graph&amp;from=141002&amp;to=141006", "TTA_codon")</f>
        <v>TTA_codon</v>
      </c>
    </row>
    <row r="6538" spans="1:15" x14ac:dyDescent="0.15">
      <c r="A6538" t="s">
        <v>21</v>
      </c>
      <c r="B6538" t="s">
        <v>4694</v>
      </c>
    </row>
    <row r="6539" spans="1:15" x14ac:dyDescent="0.15">
      <c r="A6539" t="s">
        <v>21</v>
      </c>
      <c r="B6539">
        <v>1000503</v>
      </c>
      <c r="C6539">
        <v>349356</v>
      </c>
      <c r="F6539" s="7">
        <v>1</v>
      </c>
      <c r="G6539" s="7">
        <v>1228</v>
      </c>
      <c r="H6539" s="8">
        <v>1228</v>
      </c>
      <c r="J6539" t="s">
        <v>23</v>
      </c>
      <c r="K6539" s="7">
        <v>1338</v>
      </c>
      <c r="L6539" s="9">
        <v>-1</v>
      </c>
      <c r="M6539" t="s">
        <v>458</v>
      </c>
      <c r="N6539" t="s">
        <v>315</v>
      </c>
      <c r="O6539" s="27" t="str">
        <f>HYPERLINK("https://www.ncbi.nlm.nih.gov/nuccore/NC_003888.3?report=graph&amp;from=4324563&amp;to=4324567", "TTA_codon")</f>
        <v>TTA_codon</v>
      </c>
    </row>
    <row r="6540" spans="1:15" x14ac:dyDescent="0.15">
      <c r="A6540" t="s">
        <v>21</v>
      </c>
      <c r="B6540">
        <v>1000503</v>
      </c>
      <c r="C6540">
        <v>350841</v>
      </c>
      <c r="F6540" s="7">
        <v>1</v>
      </c>
      <c r="G6540" s="7">
        <v>1228</v>
      </c>
      <c r="H6540" s="8">
        <v>1228</v>
      </c>
      <c r="J6540" t="s">
        <v>23</v>
      </c>
      <c r="K6540" s="7">
        <v>1338</v>
      </c>
      <c r="L6540" s="9">
        <v>-1</v>
      </c>
      <c r="M6540" t="s">
        <v>928</v>
      </c>
      <c r="N6540" t="s">
        <v>51</v>
      </c>
      <c r="O6540" s="27" t="str">
        <f>HYPERLINK("https://www.ncbi.nlm.nih.gov/nuccore/NZ_AEJB01000196.1?report=graph&amp;from=16419&amp;to=16423", "TTA_codon")</f>
        <v>TTA_codon</v>
      </c>
    </row>
    <row r="6541" spans="1:15" x14ac:dyDescent="0.15">
      <c r="A6541" t="s">
        <v>21</v>
      </c>
      <c r="B6541" t="s">
        <v>4695</v>
      </c>
    </row>
    <row r="6542" spans="1:15" x14ac:dyDescent="0.15">
      <c r="A6542" t="s">
        <v>21</v>
      </c>
      <c r="B6542">
        <v>1000403</v>
      </c>
      <c r="C6542">
        <v>348049</v>
      </c>
      <c r="F6542" s="7">
        <v>3</v>
      </c>
      <c r="G6542" s="7" t="s">
        <v>4696</v>
      </c>
      <c r="H6542" s="8" t="s">
        <v>4697</v>
      </c>
      <c r="J6542" t="s">
        <v>23</v>
      </c>
      <c r="K6542" s="7">
        <v>1587</v>
      </c>
      <c r="L6542" s="9">
        <v>-1</v>
      </c>
      <c r="M6542" t="s">
        <v>59</v>
      </c>
      <c r="N6542" t="s">
        <v>60</v>
      </c>
      <c r="O6542" s="27" t="str">
        <f>HYPERLINK("https://www.ncbi.nlm.nih.gov/nuccore/NC_016582.1?report=graph&amp;from=1691292&amp;to=1692454", "TTA_codon")</f>
        <v>TTA_codon</v>
      </c>
    </row>
    <row r="6543" spans="1:15" x14ac:dyDescent="0.15">
      <c r="A6543" t="s">
        <v>21</v>
      </c>
      <c r="B6543">
        <v>1000403</v>
      </c>
      <c r="C6543">
        <v>348508</v>
      </c>
      <c r="F6543" s="7">
        <v>1</v>
      </c>
      <c r="G6543" s="7">
        <v>61</v>
      </c>
      <c r="H6543" s="8">
        <v>61</v>
      </c>
      <c r="J6543" t="s">
        <v>23</v>
      </c>
      <c r="K6543" s="7">
        <v>1602</v>
      </c>
      <c r="L6543" s="9">
        <v>-1</v>
      </c>
      <c r="M6543" t="s">
        <v>61</v>
      </c>
      <c r="N6543" t="s">
        <v>62</v>
      </c>
      <c r="O6543" s="27" t="str">
        <f>HYPERLINK("https://www.ncbi.nlm.nih.gov/nuccore/NZ_DS999641.1?report=graph&amp;from=7875613&amp;to=7875617", "TTA_codon")</f>
        <v>TTA_codon</v>
      </c>
    </row>
    <row r="6544" spans="1:15" x14ac:dyDescent="0.15">
      <c r="A6544" t="s">
        <v>21</v>
      </c>
      <c r="B6544">
        <v>1000403</v>
      </c>
      <c r="C6544">
        <v>348509</v>
      </c>
      <c r="F6544" s="7">
        <v>1</v>
      </c>
      <c r="G6544" s="7">
        <v>61</v>
      </c>
      <c r="H6544" s="8">
        <v>61</v>
      </c>
      <c r="J6544" t="s">
        <v>23</v>
      </c>
      <c r="K6544" s="7">
        <v>1602</v>
      </c>
      <c r="L6544" s="9">
        <v>-1</v>
      </c>
      <c r="M6544" t="s">
        <v>61</v>
      </c>
      <c r="N6544" t="s">
        <v>62</v>
      </c>
      <c r="O6544" s="27" t="str">
        <f>HYPERLINK("https://www.ncbi.nlm.nih.gov/nuccore/NZ_DS999641.1?report=graph&amp;from=4278098&amp;to=4278102", "TTA_codon")</f>
        <v>TTA_codon</v>
      </c>
    </row>
    <row r="6545" spans="1:15" x14ac:dyDescent="0.15">
      <c r="A6545" t="s">
        <v>195</v>
      </c>
      <c r="B6545" t="s">
        <v>4698</v>
      </c>
    </row>
    <row r="6546" spans="1:15" x14ac:dyDescent="0.15">
      <c r="A6546" t="s">
        <v>195</v>
      </c>
      <c r="B6546">
        <v>1001362</v>
      </c>
      <c r="C6546">
        <v>347150</v>
      </c>
      <c r="F6546" s="7">
        <v>1</v>
      </c>
      <c r="G6546" s="7">
        <v>685</v>
      </c>
      <c r="H6546" s="8">
        <v>556</v>
      </c>
      <c r="J6546" t="s">
        <v>23</v>
      </c>
      <c r="K6546" s="7">
        <v>1578</v>
      </c>
      <c r="L6546" s="9">
        <v>1</v>
      </c>
      <c r="M6546" t="s">
        <v>213</v>
      </c>
      <c r="N6546" t="s">
        <v>214</v>
      </c>
      <c r="O6546" s="27" t="str">
        <f>HYPERLINK("https://www.ncbi.nlm.nih.gov/nuccore/NZ_FNST01000002.1?report=graph&amp;from=9044167&amp;to=9044171", "TTA_codon")</f>
        <v>TTA_codon</v>
      </c>
    </row>
    <row r="6547" spans="1:15" x14ac:dyDescent="0.15">
      <c r="A6547" t="s">
        <v>21</v>
      </c>
      <c r="B6547">
        <v>1001362</v>
      </c>
      <c r="C6547">
        <v>348207</v>
      </c>
      <c r="F6547" s="7">
        <v>1</v>
      </c>
      <c r="G6547" s="7">
        <v>676</v>
      </c>
      <c r="H6547" s="8">
        <v>115</v>
      </c>
      <c r="J6547" t="s">
        <v>23</v>
      </c>
      <c r="K6547" s="7">
        <v>1179</v>
      </c>
      <c r="L6547" s="9">
        <v>1</v>
      </c>
      <c r="M6547" t="s">
        <v>59</v>
      </c>
      <c r="N6547" t="s">
        <v>60</v>
      </c>
      <c r="O6547" s="27" t="str">
        <f>HYPERLINK("https://www.ncbi.nlm.nih.gov/nuccore/NC_016582.1?report=graph&amp;from=3609651&amp;to=3609655", "TTA_codon")</f>
        <v>TTA_codon</v>
      </c>
    </row>
    <row r="6548" spans="1:15" x14ac:dyDescent="0.15">
      <c r="A6548" t="s">
        <v>21</v>
      </c>
      <c r="B6548">
        <v>1001362</v>
      </c>
      <c r="C6548">
        <v>348918</v>
      </c>
      <c r="F6548" s="7">
        <v>1</v>
      </c>
      <c r="G6548" s="7">
        <v>820</v>
      </c>
      <c r="H6548" s="8">
        <v>259</v>
      </c>
      <c r="J6548" t="s">
        <v>23</v>
      </c>
      <c r="K6548" s="7">
        <v>1134</v>
      </c>
      <c r="L6548" s="9">
        <v>1</v>
      </c>
      <c r="M6548" t="s">
        <v>211</v>
      </c>
      <c r="N6548" t="s">
        <v>212</v>
      </c>
      <c r="O6548" s="27" t="str">
        <f>HYPERLINK("https://www.ncbi.nlm.nih.gov/nuccore/NZ_GG657754.1?report=graph&amp;from=6116229&amp;to=6116233", "TTA_codon")</f>
        <v>TTA_codon</v>
      </c>
    </row>
    <row r="6549" spans="1:15" x14ac:dyDescent="0.15">
      <c r="A6549" t="s">
        <v>21</v>
      </c>
      <c r="B6549">
        <v>1001362</v>
      </c>
      <c r="C6549">
        <v>352617</v>
      </c>
      <c r="F6549" s="7">
        <v>1</v>
      </c>
      <c r="G6549" s="7">
        <v>775</v>
      </c>
      <c r="H6549" s="8">
        <v>304</v>
      </c>
      <c r="J6549" t="s">
        <v>23</v>
      </c>
      <c r="K6549" s="7">
        <v>1353</v>
      </c>
      <c r="L6549" s="9">
        <v>1</v>
      </c>
      <c r="M6549" t="s">
        <v>4356</v>
      </c>
      <c r="N6549" t="s">
        <v>436</v>
      </c>
      <c r="O6549" s="27" t="str">
        <f>HYPERLINK("https://www.ncbi.nlm.nih.gov/nuccore/NZ_AUBE01000006.1?report=graph&amp;from=341835&amp;to=341839", "TTA_codon")</f>
        <v>TTA_codon</v>
      </c>
    </row>
    <row r="6550" spans="1:15" x14ac:dyDescent="0.15">
      <c r="A6550" t="s">
        <v>21</v>
      </c>
      <c r="B6550">
        <v>1001362</v>
      </c>
      <c r="C6550">
        <v>352948</v>
      </c>
      <c r="F6550" s="7">
        <v>2</v>
      </c>
      <c r="G6550" s="7" t="s">
        <v>4699</v>
      </c>
      <c r="H6550" s="8" t="s">
        <v>4700</v>
      </c>
      <c r="J6550" t="s">
        <v>23</v>
      </c>
      <c r="K6550" s="7">
        <v>1314</v>
      </c>
      <c r="L6550" s="9">
        <v>1</v>
      </c>
      <c r="M6550" t="s">
        <v>4701</v>
      </c>
      <c r="N6550" t="s">
        <v>306</v>
      </c>
      <c r="O6550" s="27" t="str">
        <f>HYPERLINK("https://www.ncbi.nlm.nih.gov/nuccore/NZ_KL571161.1?report=graph&amp;from=10379&amp;to=10503", "TTA_codon")</f>
        <v>TTA_codon</v>
      </c>
    </row>
    <row r="6551" spans="1:15" x14ac:dyDescent="0.15">
      <c r="A6551" t="s">
        <v>21</v>
      </c>
      <c r="B6551">
        <v>1001362</v>
      </c>
      <c r="C6551">
        <v>353308</v>
      </c>
      <c r="F6551" s="7">
        <v>1</v>
      </c>
      <c r="G6551" s="7">
        <v>676</v>
      </c>
      <c r="H6551" s="8">
        <v>154</v>
      </c>
      <c r="J6551" t="s">
        <v>23</v>
      </c>
      <c r="K6551" s="7">
        <v>1170</v>
      </c>
      <c r="L6551" s="9">
        <v>1</v>
      </c>
      <c r="M6551" t="s">
        <v>203</v>
      </c>
      <c r="N6551" t="s">
        <v>169</v>
      </c>
      <c r="O6551" s="27" t="str">
        <f>HYPERLINK("https://www.ncbi.nlm.nih.gov/nuccore/NZ_JNWJ01000122.1?report=graph&amp;from=2973&amp;to=2977", "TTA_codon")</f>
        <v>TTA_codon</v>
      </c>
    </row>
    <row r="6552" spans="1:15" x14ac:dyDescent="0.15">
      <c r="A6552" t="s">
        <v>21</v>
      </c>
      <c r="B6552">
        <v>1001362</v>
      </c>
      <c r="C6552">
        <v>361189</v>
      </c>
      <c r="F6552" s="7">
        <v>1</v>
      </c>
      <c r="G6552" s="7">
        <v>676</v>
      </c>
      <c r="H6552" s="8">
        <v>166</v>
      </c>
      <c r="J6552" t="s">
        <v>23</v>
      </c>
      <c r="K6552" s="7">
        <v>1191</v>
      </c>
      <c r="L6552" s="9">
        <v>1</v>
      </c>
      <c r="M6552" t="s">
        <v>98</v>
      </c>
      <c r="N6552" t="s">
        <v>99</v>
      </c>
      <c r="O6552" s="27" t="str">
        <f>HYPERLINK("https://www.ncbi.nlm.nih.gov/nuccore/NZ_CP016438.1?report=graph&amp;from=3160355&amp;to=3160359", "TTA_codon")</f>
        <v>TTA_codon</v>
      </c>
    </row>
    <row r="6553" spans="1:15" x14ac:dyDescent="0.15">
      <c r="A6553" t="s">
        <v>21</v>
      </c>
      <c r="B6553">
        <v>1001362</v>
      </c>
      <c r="C6553">
        <v>364708</v>
      </c>
      <c r="F6553" s="7">
        <v>1</v>
      </c>
      <c r="G6553" s="7">
        <v>865</v>
      </c>
      <c r="H6553" s="8">
        <v>214</v>
      </c>
      <c r="J6553" t="s">
        <v>23</v>
      </c>
      <c r="K6553" s="7">
        <v>1104</v>
      </c>
      <c r="L6553" s="9">
        <v>1</v>
      </c>
      <c r="M6553" t="s">
        <v>1238</v>
      </c>
      <c r="N6553" t="s">
        <v>110</v>
      </c>
      <c r="O6553" s="27" t="str">
        <f>HYPERLINK("https://www.ncbi.nlm.nih.gov/nuccore/NZ_MUME01000224.1?report=graph&amp;from=13797&amp;to=13801", "TTA_codon")</f>
        <v>TTA_codon</v>
      </c>
    </row>
    <row r="6554" spans="1:15" x14ac:dyDescent="0.15">
      <c r="A6554" t="s">
        <v>21</v>
      </c>
      <c r="B6554">
        <v>1001362</v>
      </c>
      <c r="C6554">
        <v>364709</v>
      </c>
      <c r="F6554" s="7">
        <v>1</v>
      </c>
      <c r="G6554" s="7">
        <v>661</v>
      </c>
      <c r="H6554" s="8">
        <v>67</v>
      </c>
      <c r="J6554" t="s">
        <v>23</v>
      </c>
      <c r="K6554" s="7">
        <v>1245</v>
      </c>
      <c r="L6554" s="9">
        <v>1</v>
      </c>
      <c r="M6554" t="s">
        <v>4702</v>
      </c>
      <c r="N6554" t="s">
        <v>110</v>
      </c>
      <c r="O6554" s="27" t="str">
        <f>HYPERLINK("https://www.ncbi.nlm.nih.gov/nuccore/NZ_MUME01000262.1?report=graph&amp;from=2872&amp;to=2876", "TTA_codon")</f>
        <v>TTA_codon</v>
      </c>
    </row>
    <row r="6555" spans="1:15" x14ac:dyDescent="0.15">
      <c r="A6555" t="s">
        <v>21</v>
      </c>
      <c r="B6555" t="s">
        <v>4703</v>
      </c>
    </row>
    <row r="6556" spans="1:15" x14ac:dyDescent="0.15">
      <c r="A6556" t="s">
        <v>21</v>
      </c>
      <c r="B6556">
        <v>1000463</v>
      </c>
      <c r="C6556">
        <v>348881</v>
      </c>
      <c r="F6556" s="7">
        <v>1</v>
      </c>
      <c r="G6556" s="7">
        <v>82</v>
      </c>
      <c r="H6556" s="8">
        <v>82</v>
      </c>
      <c r="J6556" t="s">
        <v>23</v>
      </c>
      <c r="K6556" s="7">
        <v>2391</v>
      </c>
      <c r="L6556" s="9">
        <v>1</v>
      </c>
      <c r="M6556" t="s">
        <v>211</v>
      </c>
      <c r="N6556" t="s">
        <v>212</v>
      </c>
      <c r="O6556" s="27" t="str">
        <f>HYPERLINK("https://www.ncbi.nlm.nih.gov/nuccore/NZ_GG657754.1?report=graph&amp;from=9542222&amp;to=9542226", "TTA_codon")</f>
        <v>TTA_codon</v>
      </c>
    </row>
    <row r="6557" spans="1:15" x14ac:dyDescent="0.15">
      <c r="A6557" t="s">
        <v>21</v>
      </c>
      <c r="B6557">
        <v>1000463</v>
      </c>
      <c r="C6557">
        <v>361977</v>
      </c>
      <c r="F6557" s="7">
        <v>2</v>
      </c>
      <c r="G6557" s="7" t="s">
        <v>4704</v>
      </c>
      <c r="H6557" s="8" t="s">
        <v>4704</v>
      </c>
      <c r="J6557" t="s">
        <v>23</v>
      </c>
      <c r="K6557" s="7">
        <v>2391</v>
      </c>
      <c r="L6557" s="9">
        <v>1</v>
      </c>
      <c r="M6557" t="s">
        <v>974</v>
      </c>
      <c r="N6557" t="s">
        <v>187</v>
      </c>
      <c r="O6557" s="27" t="str">
        <f>HYPERLINK("https://www.ncbi.nlm.nih.gov/nuccore/NZ_MAXF01000185.1?report=graph&amp;from=44001&amp;to=44053", "TTA_codon")</f>
        <v>TTA_codon</v>
      </c>
    </row>
    <row r="6558" spans="1:15" x14ac:dyDescent="0.15">
      <c r="A6558" t="s">
        <v>21</v>
      </c>
      <c r="B6558" t="s">
        <v>4705</v>
      </c>
    </row>
    <row r="6559" spans="1:15" x14ac:dyDescent="0.15">
      <c r="A6559" t="s">
        <v>21</v>
      </c>
      <c r="B6559">
        <v>1001213</v>
      </c>
      <c r="C6559">
        <v>356067</v>
      </c>
      <c r="F6559" s="7">
        <v>1</v>
      </c>
      <c r="G6559" s="7">
        <v>97</v>
      </c>
      <c r="H6559" s="8">
        <v>97</v>
      </c>
      <c r="J6559" t="s">
        <v>23</v>
      </c>
      <c r="K6559" s="7">
        <v>636</v>
      </c>
      <c r="L6559" s="9">
        <v>1</v>
      </c>
      <c r="M6559" t="s">
        <v>2346</v>
      </c>
      <c r="N6559" t="s">
        <v>146</v>
      </c>
      <c r="O6559" s="27" t="str">
        <f>HYPERLINK("https://www.ncbi.nlm.nih.gov/nuccore/NZ_JOFH01000038.1?report=graph&amp;from=8589&amp;to=8593", "TTA_codon")</f>
        <v>TTA_codon</v>
      </c>
    </row>
    <row r="6560" spans="1:15" x14ac:dyDescent="0.15">
      <c r="A6560" t="s">
        <v>21</v>
      </c>
      <c r="B6560">
        <v>1001213</v>
      </c>
      <c r="C6560">
        <v>357082</v>
      </c>
      <c r="F6560" s="7">
        <v>1</v>
      </c>
      <c r="G6560" s="7">
        <v>97</v>
      </c>
      <c r="H6560" s="8">
        <v>97</v>
      </c>
      <c r="J6560" t="s">
        <v>23</v>
      </c>
      <c r="K6560" s="7">
        <v>636</v>
      </c>
      <c r="L6560" s="9">
        <v>1</v>
      </c>
      <c r="M6560" t="s">
        <v>162</v>
      </c>
      <c r="N6560" t="s">
        <v>163</v>
      </c>
      <c r="O6560" s="27" t="str">
        <f>HYPERLINK("https://www.ncbi.nlm.nih.gov/nuccore/NZ_CP010519.1?report=graph&amp;from=1630575&amp;to=1630579", "TTA_codon")</f>
        <v>TTA_codon</v>
      </c>
    </row>
    <row r="6561" spans="1:15" x14ac:dyDescent="0.15">
      <c r="A6561" t="s">
        <v>21</v>
      </c>
      <c r="B6561" t="s">
        <v>4706</v>
      </c>
    </row>
    <row r="6562" spans="1:15" x14ac:dyDescent="0.15">
      <c r="A6562" t="s">
        <v>21</v>
      </c>
      <c r="B6562">
        <v>1000638</v>
      </c>
      <c r="C6562">
        <v>350489</v>
      </c>
      <c r="F6562" s="7">
        <v>1</v>
      </c>
      <c r="G6562" s="7">
        <v>163</v>
      </c>
      <c r="H6562" s="8">
        <v>163</v>
      </c>
      <c r="J6562" t="s">
        <v>23</v>
      </c>
      <c r="K6562" s="7">
        <v>978</v>
      </c>
      <c r="L6562" s="9">
        <v>1</v>
      </c>
      <c r="M6562" t="s">
        <v>4707</v>
      </c>
      <c r="N6562" t="s">
        <v>134</v>
      </c>
      <c r="O6562" s="27" t="str">
        <f>HYPERLINK("https://www.ncbi.nlm.nih.gov/nuccore/NZ_AJSZ01000554.1?report=graph&amp;from=7484&amp;to=7488", "TTA_codon")</f>
        <v>TTA_codon</v>
      </c>
    </row>
    <row r="6563" spans="1:15" x14ac:dyDescent="0.15">
      <c r="A6563" t="s">
        <v>21</v>
      </c>
      <c r="B6563">
        <v>1000638</v>
      </c>
      <c r="C6563">
        <v>356632</v>
      </c>
      <c r="F6563" s="7">
        <v>1</v>
      </c>
      <c r="G6563" s="7">
        <v>163</v>
      </c>
      <c r="H6563" s="8">
        <v>61</v>
      </c>
      <c r="J6563" t="s">
        <v>23</v>
      </c>
      <c r="K6563" s="7">
        <v>867</v>
      </c>
      <c r="L6563" s="9">
        <v>1</v>
      </c>
      <c r="M6563" t="s">
        <v>147</v>
      </c>
      <c r="N6563" t="s">
        <v>148</v>
      </c>
      <c r="O6563" s="27" t="str">
        <f>HYPERLINK("https://www.ncbi.nlm.nih.gov/nuccore/NZ_CP021080.1?report=graph&amp;from=5315933&amp;to=5315937", "TTA_codon")</f>
        <v>TTA_codon</v>
      </c>
    </row>
    <row r="6564" spans="1:15" x14ac:dyDescent="0.15">
      <c r="A6564" t="s">
        <v>195</v>
      </c>
      <c r="B6564" t="s">
        <v>4708</v>
      </c>
    </row>
    <row r="6565" spans="1:15" x14ac:dyDescent="0.15">
      <c r="A6565" t="s">
        <v>195</v>
      </c>
      <c r="B6565">
        <v>1000092</v>
      </c>
      <c r="C6565">
        <v>346583</v>
      </c>
      <c r="F6565" s="7">
        <v>1</v>
      </c>
      <c r="G6565" s="7">
        <v>421</v>
      </c>
      <c r="H6565" s="8">
        <v>277</v>
      </c>
      <c r="J6565" t="s">
        <v>23</v>
      </c>
      <c r="K6565" s="7">
        <v>1071</v>
      </c>
      <c r="L6565" s="9">
        <v>1</v>
      </c>
      <c r="M6565" t="s">
        <v>250</v>
      </c>
      <c r="N6565" t="s">
        <v>251</v>
      </c>
      <c r="O6565" s="27" t="str">
        <f>HYPERLINK("https://www.ncbi.nlm.nih.gov/nuccore/NZ_CP009922.2?report=graph&amp;from=4300818&amp;to=4300822", "TTA_codon")</f>
        <v>TTA_codon</v>
      </c>
    </row>
    <row r="6566" spans="1:15" x14ac:dyDescent="0.15">
      <c r="A6566" t="s">
        <v>21</v>
      </c>
      <c r="B6566">
        <v>1000092</v>
      </c>
      <c r="C6566">
        <v>349976</v>
      </c>
      <c r="F6566" s="7">
        <v>1</v>
      </c>
      <c r="G6566" s="7">
        <v>391</v>
      </c>
      <c r="H6566" s="8">
        <v>283</v>
      </c>
      <c r="J6566" t="s">
        <v>23</v>
      </c>
      <c r="K6566" s="7">
        <v>1926</v>
      </c>
      <c r="L6566" s="9">
        <v>1</v>
      </c>
      <c r="M6566" t="s">
        <v>623</v>
      </c>
      <c r="N6566" t="s">
        <v>249</v>
      </c>
      <c r="O6566" s="27" t="str">
        <f>HYPERLINK("https://www.ncbi.nlm.nih.gov/nuccore/NZ_AHBF01000084.1?report=graph&amp;from=61281&amp;to=61285", "TTA_codon")</f>
        <v>TTA_codon</v>
      </c>
    </row>
    <row r="6567" spans="1:15" x14ac:dyDescent="0.15">
      <c r="A6567" t="s">
        <v>21</v>
      </c>
      <c r="B6567">
        <v>1000092</v>
      </c>
      <c r="C6567">
        <v>350516</v>
      </c>
      <c r="F6567" s="7">
        <v>1</v>
      </c>
      <c r="G6567" s="7">
        <v>436</v>
      </c>
      <c r="H6567" s="8">
        <v>316</v>
      </c>
      <c r="J6567" t="s">
        <v>23</v>
      </c>
      <c r="K6567" s="7">
        <v>1731</v>
      </c>
      <c r="L6567" s="9">
        <v>1</v>
      </c>
      <c r="M6567" t="s">
        <v>4709</v>
      </c>
      <c r="N6567" t="s">
        <v>134</v>
      </c>
      <c r="O6567" s="27" t="str">
        <f>HYPERLINK("https://www.ncbi.nlm.nih.gov/nuccore/NZ_AJSZ01000797.1?report=graph&amp;from=3651&amp;to=3655", "TTA_codon")</f>
        <v>TTA_codon</v>
      </c>
    </row>
    <row r="6568" spans="1:15" x14ac:dyDescent="0.15">
      <c r="A6568" t="s">
        <v>21</v>
      </c>
      <c r="B6568">
        <v>1000092</v>
      </c>
      <c r="C6568">
        <v>352424</v>
      </c>
      <c r="F6568" s="7">
        <v>1</v>
      </c>
      <c r="G6568" s="7">
        <v>391</v>
      </c>
      <c r="H6568" s="8">
        <v>391</v>
      </c>
      <c r="J6568" t="s">
        <v>23</v>
      </c>
      <c r="K6568" s="7">
        <v>1263</v>
      </c>
      <c r="L6568" s="9">
        <v>1</v>
      </c>
      <c r="M6568" t="s">
        <v>30</v>
      </c>
      <c r="N6568" t="s">
        <v>31</v>
      </c>
      <c r="O6568" s="27" t="str">
        <f>HYPERLINK("https://www.ncbi.nlm.nih.gov/nuccore/NZ_KB913030.1?report=graph&amp;from=4999752&amp;to=4999756", "TTA_codon")</f>
        <v>TTA_codon</v>
      </c>
    </row>
    <row r="6569" spans="1:15" x14ac:dyDescent="0.15">
      <c r="A6569" t="s">
        <v>21</v>
      </c>
      <c r="B6569">
        <v>1000092</v>
      </c>
      <c r="C6569">
        <v>361127</v>
      </c>
      <c r="F6569" s="7">
        <v>1</v>
      </c>
      <c r="G6569" s="7">
        <v>319</v>
      </c>
      <c r="H6569" s="8">
        <v>217</v>
      </c>
      <c r="J6569" t="s">
        <v>23</v>
      </c>
      <c r="K6569" s="7">
        <v>2175</v>
      </c>
      <c r="L6569" s="9">
        <v>1</v>
      </c>
      <c r="M6569" t="s">
        <v>98</v>
      </c>
      <c r="N6569" t="s">
        <v>99</v>
      </c>
      <c r="O6569" s="27" t="str">
        <f>HYPERLINK("https://www.ncbi.nlm.nih.gov/nuccore/NZ_CP016438.1?report=graph&amp;from=3321203&amp;to=3321207", "TTA_codon")</f>
        <v>TTA_codon</v>
      </c>
    </row>
    <row r="6570" spans="1:15" x14ac:dyDescent="0.15">
      <c r="A6570" t="s">
        <v>21</v>
      </c>
      <c r="B6570">
        <v>1000092</v>
      </c>
      <c r="C6570">
        <v>361128</v>
      </c>
      <c r="F6570" s="7">
        <v>1</v>
      </c>
      <c r="G6570" s="7">
        <v>190</v>
      </c>
      <c r="H6570" s="8">
        <v>103</v>
      </c>
      <c r="J6570" t="s">
        <v>23</v>
      </c>
      <c r="K6570" s="7">
        <v>1221</v>
      </c>
      <c r="L6570" s="9">
        <v>1</v>
      </c>
      <c r="M6570" t="s">
        <v>98</v>
      </c>
      <c r="N6570" t="s">
        <v>99</v>
      </c>
      <c r="O6570" s="27" t="str">
        <f>HYPERLINK("https://www.ncbi.nlm.nih.gov/nuccore/NZ_CP016438.1?report=graph&amp;from=6742839&amp;to=6742843", "TTA_codon")</f>
        <v>TTA_codon</v>
      </c>
    </row>
    <row r="6571" spans="1:15" x14ac:dyDescent="0.15">
      <c r="A6571" t="s">
        <v>21</v>
      </c>
      <c r="B6571">
        <v>1000092</v>
      </c>
      <c r="C6571">
        <v>365332</v>
      </c>
      <c r="F6571" s="7">
        <v>1</v>
      </c>
      <c r="G6571" s="7">
        <v>358</v>
      </c>
      <c r="H6571" s="8">
        <v>238</v>
      </c>
      <c r="J6571" t="s">
        <v>23</v>
      </c>
      <c r="K6571" s="7">
        <v>2196</v>
      </c>
      <c r="L6571" s="9">
        <v>1</v>
      </c>
      <c r="M6571" t="s">
        <v>4710</v>
      </c>
      <c r="N6571" t="s">
        <v>129</v>
      </c>
      <c r="O6571" s="27" t="str">
        <f>HYPERLINK("https://www.ncbi.nlm.nih.gov/nuccore/NZ_FNHI01000032.1?report=graph&amp;from=63848&amp;to=63852", "TTA_codon")</f>
        <v>TTA_codon</v>
      </c>
    </row>
    <row r="6572" spans="1:15" x14ac:dyDescent="0.15">
      <c r="A6572" t="s">
        <v>21</v>
      </c>
      <c r="B6572" t="s">
        <v>4711</v>
      </c>
    </row>
    <row r="6573" spans="1:15" x14ac:dyDescent="0.15">
      <c r="A6573" t="s">
        <v>21</v>
      </c>
      <c r="B6573">
        <v>1000838</v>
      </c>
      <c r="C6573">
        <v>352411</v>
      </c>
      <c r="F6573" s="7">
        <v>2</v>
      </c>
      <c r="G6573" s="7" t="s">
        <v>4712</v>
      </c>
      <c r="H6573" s="8" t="s">
        <v>4712</v>
      </c>
      <c r="J6573" t="s">
        <v>23</v>
      </c>
      <c r="K6573" s="7">
        <v>1338</v>
      </c>
      <c r="L6573" s="9">
        <v>1</v>
      </c>
      <c r="M6573" t="s">
        <v>30</v>
      </c>
      <c r="N6573" t="s">
        <v>31</v>
      </c>
      <c r="O6573" s="27" t="str">
        <f>HYPERLINK("https://www.ncbi.nlm.nih.gov/nuccore/NZ_KB913030.1?report=graph&amp;from=4596796&amp;to=4597556", "TTA_codon")</f>
        <v>TTA_codon</v>
      </c>
    </row>
    <row r="6574" spans="1:15" x14ac:dyDescent="0.15">
      <c r="A6574" t="s">
        <v>21</v>
      </c>
      <c r="B6574">
        <v>1000838</v>
      </c>
      <c r="C6574">
        <v>352412</v>
      </c>
      <c r="F6574" s="7">
        <v>2</v>
      </c>
      <c r="G6574" s="7" t="s">
        <v>4712</v>
      </c>
      <c r="H6574" s="8" t="s">
        <v>4712</v>
      </c>
      <c r="J6574" t="s">
        <v>23</v>
      </c>
      <c r="K6574" s="7">
        <v>1338</v>
      </c>
      <c r="L6574" s="9">
        <v>1</v>
      </c>
      <c r="M6574" t="s">
        <v>30</v>
      </c>
      <c r="N6574" t="s">
        <v>31</v>
      </c>
      <c r="O6574" s="27" t="str">
        <f>HYPERLINK("https://www.ncbi.nlm.nih.gov/nuccore/NZ_KB913030.1?report=graph&amp;from=3117835&amp;to=3118595", "TTA_codon")</f>
        <v>TTA_codon</v>
      </c>
    </row>
    <row r="6575" spans="1:15" x14ac:dyDescent="0.15">
      <c r="A6575" t="s">
        <v>21</v>
      </c>
      <c r="B6575" t="s">
        <v>4713</v>
      </c>
    </row>
    <row r="6576" spans="1:15" x14ac:dyDescent="0.15">
      <c r="A6576" t="s">
        <v>21</v>
      </c>
      <c r="B6576">
        <v>1000186</v>
      </c>
      <c r="C6576">
        <v>347302</v>
      </c>
      <c r="F6576" s="7">
        <v>1</v>
      </c>
      <c r="G6576" s="7">
        <v>376</v>
      </c>
      <c r="H6576" s="8">
        <v>364</v>
      </c>
      <c r="J6576" t="s">
        <v>23</v>
      </c>
      <c r="K6576" s="7">
        <v>945</v>
      </c>
      <c r="L6576" s="9">
        <v>-1</v>
      </c>
      <c r="M6576" t="s">
        <v>53</v>
      </c>
      <c r="N6576" t="s">
        <v>54</v>
      </c>
      <c r="O6576" s="27" t="str">
        <f>HYPERLINK("https://www.ncbi.nlm.nih.gov/nuccore/NC_003155.5?report=graph&amp;from=7096354&amp;to=7096358", "TTA_codon")</f>
        <v>TTA_codon</v>
      </c>
    </row>
    <row r="6577" spans="1:15" x14ac:dyDescent="0.15">
      <c r="A6577" t="s">
        <v>21</v>
      </c>
      <c r="B6577">
        <v>1000186</v>
      </c>
      <c r="C6577">
        <v>348132</v>
      </c>
      <c r="F6577" s="7">
        <v>1</v>
      </c>
      <c r="G6577" s="7">
        <v>181</v>
      </c>
      <c r="H6577" s="8">
        <v>169</v>
      </c>
      <c r="J6577" t="s">
        <v>23</v>
      </c>
      <c r="K6577" s="7">
        <v>948</v>
      </c>
      <c r="L6577" s="9">
        <v>-1</v>
      </c>
      <c r="M6577" t="s">
        <v>59</v>
      </c>
      <c r="N6577" t="s">
        <v>60</v>
      </c>
      <c r="O6577" s="27" t="str">
        <f>HYPERLINK("https://www.ncbi.nlm.nih.gov/nuccore/NC_016582.1?report=graph&amp;from=8912842&amp;to=8912846", "TTA_codon")</f>
        <v>TTA_codon</v>
      </c>
    </row>
    <row r="6578" spans="1:15" x14ac:dyDescent="0.15">
      <c r="A6578" t="s">
        <v>21</v>
      </c>
      <c r="B6578">
        <v>1000186</v>
      </c>
      <c r="C6578">
        <v>350290</v>
      </c>
      <c r="F6578" s="7">
        <v>1</v>
      </c>
      <c r="G6578" s="7">
        <v>346</v>
      </c>
      <c r="H6578" s="8">
        <v>331</v>
      </c>
      <c r="J6578" t="s">
        <v>23</v>
      </c>
      <c r="K6578" s="7">
        <v>954</v>
      </c>
      <c r="L6578" s="9">
        <v>-1</v>
      </c>
      <c r="M6578" t="s">
        <v>35</v>
      </c>
      <c r="N6578" t="s">
        <v>36</v>
      </c>
      <c r="O6578" s="27" t="str">
        <f>HYPERLINK("https://www.ncbi.nlm.nih.gov/nuccore/NZ_JH725387.1?report=graph&amp;from=2257790&amp;to=2257794", "TTA_codon")</f>
        <v>TTA_codon</v>
      </c>
    </row>
    <row r="6579" spans="1:15" x14ac:dyDescent="0.15">
      <c r="A6579" t="s">
        <v>21</v>
      </c>
      <c r="B6579">
        <v>1000186</v>
      </c>
      <c r="C6579">
        <v>351555</v>
      </c>
      <c r="F6579" s="7">
        <v>1</v>
      </c>
      <c r="G6579" s="7">
        <v>181</v>
      </c>
      <c r="H6579" s="8">
        <v>175</v>
      </c>
      <c r="J6579" t="s">
        <v>23</v>
      </c>
      <c r="K6579" s="7">
        <v>951</v>
      </c>
      <c r="L6579" s="9">
        <v>-1</v>
      </c>
      <c r="M6579" t="s">
        <v>4714</v>
      </c>
      <c r="N6579" t="s">
        <v>138</v>
      </c>
      <c r="O6579" s="27" t="str">
        <f>HYPERLINK("https://www.ncbi.nlm.nih.gov/nuccore/NZ_KB889594.1?report=graph&amp;from=8145&amp;to=8149", "TTA_codon")</f>
        <v>TTA_codon</v>
      </c>
    </row>
    <row r="6580" spans="1:15" x14ac:dyDescent="0.15">
      <c r="A6580" t="s">
        <v>21</v>
      </c>
      <c r="B6580">
        <v>1000186</v>
      </c>
      <c r="C6580">
        <v>364842</v>
      </c>
      <c r="F6580" s="7">
        <v>1</v>
      </c>
      <c r="G6580" s="7">
        <v>265</v>
      </c>
      <c r="H6580" s="8">
        <v>250</v>
      </c>
      <c r="J6580" t="s">
        <v>23</v>
      </c>
      <c r="K6580" s="7">
        <v>963</v>
      </c>
      <c r="L6580" s="9">
        <v>-1</v>
      </c>
      <c r="M6580" t="s">
        <v>126</v>
      </c>
      <c r="N6580" t="s">
        <v>127</v>
      </c>
      <c r="O6580" s="27" t="str">
        <f>HYPERLINK("https://www.ncbi.nlm.nih.gov/nuccore/NZ_CP021748.1?report=graph&amp;from=5526964&amp;to=5526968", "TTA_codon")</f>
        <v>TTA_codon</v>
      </c>
    </row>
    <row r="6581" spans="1:15" x14ac:dyDescent="0.15">
      <c r="A6581" t="s">
        <v>21</v>
      </c>
      <c r="B6581" t="s">
        <v>4715</v>
      </c>
    </row>
    <row r="6582" spans="1:15" x14ac:dyDescent="0.15">
      <c r="A6582" t="s">
        <v>21</v>
      </c>
      <c r="B6582">
        <v>1001410</v>
      </c>
      <c r="C6582">
        <v>362166</v>
      </c>
      <c r="F6582" s="7">
        <v>1</v>
      </c>
      <c r="G6582" s="7">
        <v>76</v>
      </c>
      <c r="H6582" s="8">
        <v>76</v>
      </c>
      <c r="J6582" t="s">
        <v>23</v>
      </c>
      <c r="K6582" s="7">
        <v>774</v>
      </c>
      <c r="L6582" s="9">
        <v>-1</v>
      </c>
      <c r="M6582" t="s">
        <v>4716</v>
      </c>
      <c r="N6582" t="s">
        <v>187</v>
      </c>
      <c r="O6582" s="27" t="str">
        <f>HYPERLINK("https://www.ncbi.nlm.nih.gov/nuccore/NZ_MAXF01000035.1?report=graph&amp;from=18648&amp;to=18652", "TTA_codon")</f>
        <v>TTA_codon</v>
      </c>
    </row>
    <row r="6583" spans="1:15" x14ac:dyDescent="0.15">
      <c r="A6583" t="s">
        <v>21</v>
      </c>
      <c r="B6583">
        <v>1001410</v>
      </c>
      <c r="C6583">
        <v>363797</v>
      </c>
      <c r="F6583" s="7">
        <v>1</v>
      </c>
      <c r="G6583" s="7">
        <v>76</v>
      </c>
      <c r="H6583" s="8">
        <v>40</v>
      </c>
      <c r="J6583" t="s">
        <v>23</v>
      </c>
      <c r="K6583" s="7">
        <v>735</v>
      </c>
      <c r="L6583" s="9">
        <v>-1</v>
      </c>
      <c r="M6583" t="s">
        <v>101</v>
      </c>
      <c r="N6583" t="s">
        <v>102</v>
      </c>
      <c r="O6583" s="27" t="str">
        <f>HYPERLINK("https://www.ncbi.nlm.nih.gov/nuccore/NZ_CP019458.1?report=graph&amp;from=4626200&amp;to=4626204", "TTA_codon")</f>
        <v>TTA_codon</v>
      </c>
    </row>
    <row r="6584" spans="1:15" x14ac:dyDescent="0.15">
      <c r="A6584" t="s">
        <v>21</v>
      </c>
      <c r="B6584">
        <v>1001410</v>
      </c>
      <c r="C6584">
        <v>365710</v>
      </c>
      <c r="F6584" s="7">
        <v>1</v>
      </c>
      <c r="G6584" s="7">
        <v>76</v>
      </c>
      <c r="H6584" s="8">
        <v>40</v>
      </c>
      <c r="J6584" t="s">
        <v>23</v>
      </c>
      <c r="K6584" s="7">
        <v>735</v>
      </c>
      <c r="L6584" s="9">
        <v>-1</v>
      </c>
      <c r="M6584" t="s">
        <v>213</v>
      </c>
      <c r="N6584" t="s">
        <v>214</v>
      </c>
      <c r="O6584" s="27" t="str">
        <f>HYPERLINK("https://www.ncbi.nlm.nih.gov/nuccore/NZ_FNST01000002.1?report=graph&amp;from=2194280&amp;to=2194284", "TTA_codon")</f>
        <v>TTA_codon</v>
      </c>
    </row>
    <row r="6585" spans="1:15" x14ac:dyDescent="0.15">
      <c r="A6585" t="s">
        <v>21</v>
      </c>
      <c r="B6585" t="s">
        <v>4717</v>
      </c>
    </row>
    <row r="6586" spans="1:15" x14ac:dyDescent="0.15">
      <c r="A6586" t="s">
        <v>21</v>
      </c>
      <c r="B6586">
        <v>1001319</v>
      </c>
      <c r="C6586">
        <v>359735</v>
      </c>
      <c r="F6586" s="7">
        <v>1</v>
      </c>
      <c r="G6586" s="7">
        <v>358</v>
      </c>
      <c r="H6586" s="8">
        <v>292</v>
      </c>
      <c r="J6586" t="s">
        <v>23</v>
      </c>
      <c r="K6586" s="7">
        <v>645</v>
      </c>
      <c r="L6586" s="9">
        <v>-1</v>
      </c>
      <c r="M6586" t="s">
        <v>838</v>
      </c>
      <c r="N6586" t="s">
        <v>651</v>
      </c>
      <c r="O6586" s="27" t="str">
        <f>HYPERLINK("https://www.ncbi.nlm.nih.gov/nuccore/NZ_LN929895.1?report=graph&amp;from=31113&amp;to=31117", "TTA_codon")</f>
        <v>TTA_codon</v>
      </c>
    </row>
    <row r="6587" spans="1:15" x14ac:dyDescent="0.15">
      <c r="A6587" t="s">
        <v>21</v>
      </c>
      <c r="B6587">
        <v>1001319</v>
      </c>
      <c r="C6587">
        <v>364057</v>
      </c>
      <c r="F6587" s="7">
        <v>1</v>
      </c>
      <c r="G6587" s="7">
        <v>388</v>
      </c>
      <c r="H6587" s="8">
        <v>388</v>
      </c>
      <c r="J6587" t="s">
        <v>23</v>
      </c>
      <c r="K6587" s="7">
        <v>711</v>
      </c>
      <c r="L6587" s="9">
        <v>-1</v>
      </c>
      <c r="M6587" t="s">
        <v>541</v>
      </c>
      <c r="N6587" t="s">
        <v>104</v>
      </c>
      <c r="O6587" s="27" t="str">
        <f>HYPERLINK("https://www.ncbi.nlm.nih.gov/nuccore/NZ_MVFC01000025.1?report=graph&amp;from=8217&amp;to=8221", "TTA_codon")</f>
        <v>TTA_codon</v>
      </c>
    </row>
    <row r="6588" spans="1:15" x14ac:dyDescent="0.15">
      <c r="A6588" t="s">
        <v>21</v>
      </c>
      <c r="B6588" t="s">
        <v>4718</v>
      </c>
    </row>
    <row r="6589" spans="1:15" x14ac:dyDescent="0.15">
      <c r="A6589" t="s">
        <v>21</v>
      </c>
      <c r="B6589">
        <v>1000334</v>
      </c>
      <c r="C6589">
        <v>348068</v>
      </c>
      <c r="F6589" s="7">
        <v>1</v>
      </c>
      <c r="G6589" s="7">
        <v>1732</v>
      </c>
      <c r="H6589" s="8">
        <v>1684</v>
      </c>
      <c r="J6589" t="s">
        <v>23</v>
      </c>
      <c r="K6589" s="7">
        <v>2577</v>
      </c>
      <c r="L6589" s="9">
        <v>-1</v>
      </c>
      <c r="M6589" t="s">
        <v>59</v>
      </c>
      <c r="N6589" t="s">
        <v>60</v>
      </c>
      <c r="O6589" s="27" t="str">
        <f>HYPERLINK("https://www.ncbi.nlm.nih.gov/nuccore/NC_016582.1?report=graph&amp;from=3703573&amp;to=3703577", "TTA_codon")</f>
        <v>TTA_codon</v>
      </c>
    </row>
    <row r="6590" spans="1:15" x14ac:dyDescent="0.15">
      <c r="A6590" t="s">
        <v>21</v>
      </c>
      <c r="B6590">
        <v>1000334</v>
      </c>
      <c r="C6590">
        <v>351220</v>
      </c>
      <c r="F6590" s="7">
        <v>1</v>
      </c>
      <c r="G6590" s="7">
        <v>1732</v>
      </c>
      <c r="H6590" s="8">
        <v>1588</v>
      </c>
      <c r="J6590" t="s">
        <v>23</v>
      </c>
      <c r="K6590" s="7">
        <v>2448</v>
      </c>
      <c r="L6590" s="9">
        <v>-1</v>
      </c>
      <c r="M6590" t="s">
        <v>65</v>
      </c>
      <c r="N6590" t="s">
        <v>66</v>
      </c>
      <c r="O6590" s="27" t="str">
        <f>HYPERLINK("https://www.ncbi.nlm.nih.gov/nuccore/NC_020504.1?report=graph&amp;from=2144363&amp;to=2144367", "TTA_codon")</f>
        <v>TTA_codon</v>
      </c>
    </row>
    <row r="6591" spans="1:15" x14ac:dyDescent="0.15">
      <c r="A6591" t="s">
        <v>21</v>
      </c>
      <c r="B6591" t="s">
        <v>4719</v>
      </c>
    </row>
    <row r="6592" spans="1:15" x14ac:dyDescent="0.15">
      <c r="A6592" t="s">
        <v>21</v>
      </c>
      <c r="B6592">
        <v>1001127</v>
      </c>
      <c r="C6592">
        <v>355899</v>
      </c>
      <c r="F6592" s="7">
        <v>1</v>
      </c>
      <c r="G6592" s="7">
        <v>106</v>
      </c>
      <c r="H6592" s="8">
        <v>106</v>
      </c>
      <c r="J6592" t="s">
        <v>23</v>
      </c>
      <c r="K6592" s="7">
        <v>1344</v>
      </c>
      <c r="L6592" s="9">
        <v>1</v>
      </c>
      <c r="M6592" t="s">
        <v>3857</v>
      </c>
      <c r="N6592" t="s">
        <v>384</v>
      </c>
      <c r="O6592" s="27" t="str">
        <f>HYPERLINK("https://www.ncbi.nlm.nih.gov/nuccore/NZ_JOAK01000016.1?report=graph&amp;from=329105&amp;to=329109", "TTA_codon")</f>
        <v>TTA_codon</v>
      </c>
    </row>
    <row r="6593" spans="1:15" x14ac:dyDescent="0.15">
      <c r="A6593" t="s">
        <v>21</v>
      </c>
      <c r="B6593">
        <v>1001127</v>
      </c>
      <c r="C6593">
        <v>363091</v>
      </c>
      <c r="F6593" s="7">
        <v>1</v>
      </c>
      <c r="G6593" s="7">
        <v>130</v>
      </c>
      <c r="H6593" s="8">
        <v>127</v>
      </c>
      <c r="J6593" t="s">
        <v>23</v>
      </c>
      <c r="K6593" s="7">
        <v>1398</v>
      </c>
      <c r="L6593" s="9">
        <v>1</v>
      </c>
      <c r="M6593" t="s">
        <v>635</v>
      </c>
      <c r="N6593" t="s">
        <v>401</v>
      </c>
      <c r="O6593" s="27" t="str">
        <f>HYPERLINK("https://www.ncbi.nlm.nih.gov/nuccore/NZ_LFBV01000002.1?report=graph&amp;from=583129&amp;to=583133", "TTA_codon")</f>
        <v>TTA_codon</v>
      </c>
    </row>
    <row r="6594" spans="1:15" x14ac:dyDescent="0.15">
      <c r="A6594" t="s">
        <v>21</v>
      </c>
      <c r="B6594" t="s">
        <v>4720</v>
      </c>
    </row>
    <row r="6595" spans="1:15" x14ac:dyDescent="0.15">
      <c r="A6595" t="s">
        <v>21</v>
      </c>
      <c r="B6595">
        <v>1001341</v>
      </c>
      <c r="C6595">
        <v>351043</v>
      </c>
      <c r="F6595" s="7">
        <v>1</v>
      </c>
      <c r="G6595" s="7">
        <v>988</v>
      </c>
      <c r="H6595" s="8">
        <v>370</v>
      </c>
      <c r="J6595" t="s">
        <v>23</v>
      </c>
      <c r="K6595" s="7">
        <v>1581</v>
      </c>
      <c r="L6595" s="9">
        <v>1</v>
      </c>
      <c r="M6595" t="s">
        <v>4721</v>
      </c>
      <c r="N6595" t="s">
        <v>136</v>
      </c>
      <c r="O6595" s="27" t="str">
        <f>HYPERLINK("https://www.ncbi.nlm.nih.gov/nuccore/NZ_AORZ01000018.1?report=graph&amp;from=59519&amp;to=59523", "TTA_codon")</f>
        <v>TTA_codon</v>
      </c>
    </row>
    <row r="6596" spans="1:15" x14ac:dyDescent="0.15">
      <c r="A6596" t="s">
        <v>21</v>
      </c>
      <c r="B6596">
        <v>1001341</v>
      </c>
      <c r="C6596">
        <v>354295</v>
      </c>
      <c r="F6596" s="7">
        <v>1</v>
      </c>
      <c r="G6596" s="7">
        <v>2221</v>
      </c>
      <c r="H6596" s="8">
        <v>1867</v>
      </c>
      <c r="J6596" t="s">
        <v>23</v>
      </c>
      <c r="K6596" s="7">
        <v>4488</v>
      </c>
      <c r="L6596" s="9">
        <v>1</v>
      </c>
      <c r="M6596" t="s">
        <v>141</v>
      </c>
      <c r="N6596" t="s">
        <v>142</v>
      </c>
      <c r="O6596" s="27" t="str">
        <f>HYPERLINK("https://www.ncbi.nlm.nih.gov/nuccore/NZ_JOEI01000002.1?report=graph&amp;from=43800&amp;to=43804", "TTA_codon")</f>
        <v>TTA_codon</v>
      </c>
    </row>
    <row r="6597" spans="1:15" x14ac:dyDescent="0.15">
      <c r="A6597" t="s">
        <v>21</v>
      </c>
      <c r="B6597">
        <v>1001341</v>
      </c>
      <c r="C6597">
        <v>355061</v>
      </c>
      <c r="F6597" s="7">
        <v>1</v>
      </c>
      <c r="G6597" s="7">
        <v>1699</v>
      </c>
      <c r="H6597" s="8">
        <v>994</v>
      </c>
      <c r="J6597" t="s">
        <v>23</v>
      </c>
      <c r="K6597" s="7">
        <v>3903</v>
      </c>
      <c r="L6597" s="9">
        <v>1</v>
      </c>
      <c r="M6597" t="s">
        <v>544</v>
      </c>
      <c r="N6597" t="s">
        <v>433</v>
      </c>
      <c r="O6597" s="27" t="str">
        <f>HYPERLINK("https://www.ncbi.nlm.nih.gov/nuccore/NZ_JOBF01000016.1?report=graph&amp;from=109724&amp;to=109728", "TTA_codon")</f>
        <v>TTA_codon</v>
      </c>
    </row>
    <row r="6598" spans="1:15" x14ac:dyDescent="0.15">
      <c r="A6598" t="s">
        <v>21</v>
      </c>
      <c r="B6598">
        <v>1001341</v>
      </c>
      <c r="C6598">
        <v>360411</v>
      </c>
      <c r="F6598" s="7">
        <v>1</v>
      </c>
      <c r="G6598" s="7">
        <v>2020</v>
      </c>
      <c r="H6598" s="8">
        <v>1609</v>
      </c>
      <c r="J6598" t="s">
        <v>23</v>
      </c>
      <c r="K6598" s="7">
        <v>4149</v>
      </c>
      <c r="L6598" s="9">
        <v>1</v>
      </c>
      <c r="M6598" t="s">
        <v>121</v>
      </c>
      <c r="N6598" t="s">
        <v>122</v>
      </c>
      <c r="O6598" s="27" t="str">
        <f>HYPERLINK("https://www.ncbi.nlm.nih.gov/nuccore/NZ_CP016279.1?report=graph&amp;from=7546027&amp;to=7546031", "TTA_codon")</f>
        <v>TTA_codon</v>
      </c>
    </row>
    <row r="6599" spans="1:15" x14ac:dyDescent="0.15">
      <c r="A6599" t="s">
        <v>21</v>
      </c>
      <c r="B6599">
        <v>1001341</v>
      </c>
      <c r="C6599">
        <v>362435</v>
      </c>
      <c r="F6599" s="7">
        <v>1</v>
      </c>
      <c r="G6599" s="7">
        <v>1627</v>
      </c>
      <c r="H6599" s="8">
        <v>1369</v>
      </c>
      <c r="J6599" t="s">
        <v>23</v>
      </c>
      <c r="K6599" s="7">
        <v>4452</v>
      </c>
      <c r="L6599" s="9">
        <v>1</v>
      </c>
      <c r="M6599" t="s">
        <v>32</v>
      </c>
      <c r="N6599" t="s">
        <v>33</v>
      </c>
      <c r="O6599" s="27" t="str">
        <f>HYPERLINK("https://www.ncbi.nlm.nih.gov/nuccore/NZ_CP017248.1?report=graph&amp;from=129616&amp;to=129620", "TTA_codon")</f>
        <v>TTA_codon</v>
      </c>
    </row>
    <row r="6600" spans="1:15" x14ac:dyDescent="0.15">
      <c r="A6600" t="s">
        <v>21</v>
      </c>
      <c r="B6600">
        <v>1001341</v>
      </c>
      <c r="C6600">
        <v>362474</v>
      </c>
      <c r="F6600" s="7">
        <v>2</v>
      </c>
      <c r="G6600" s="7" t="s">
        <v>4722</v>
      </c>
      <c r="H6600" s="8" t="s">
        <v>4723</v>
      </c>
      <c r="J6600" t="s">
        <v>23</v>
      </c>
      <c r="K6600" s="7">
        <v>3513</v>
      </c>
      <c r="L6600" s="9">
        <v>1</v>
      </c>
      <c r="M6600" t="s">
        <v>32</v>
      </c>
      <c r="N6600" t="s">
        <v>33</v>
      </c>
      <c r="O6600" s="27" t="str">
        <f>HYPERLINK("https://www.ncbi.nlm.nih.gov/nuccore/NZ_CP017248.1?report=graph&amp;from=8668378&amp;to=8668787", "TTA_codon")</f>
        <v>TTA_codon</v>
      </c>
    </row>
    <row r="6601" spans="1:15" x14ac:dyDescent="0.15">
      <c r="A6601" t="s">
        <v>21</v>
      </c>
      <c r="B6601">
        <v>1001341</v>
      </c>
      <c r="C6601">
        <v>362475</v>
      </c>
      <c r="F6601" s="7">
        <v>2</v>
      </c>
      <c r="G6601" s="7" t="s">
        <v>4724</v>
      </c>
      <c r="H6601" s="8" t="s">
        <v>4725</v>
      </c>
      <c r="J6601" t="s">
        <v>23</v>
      </c>
      <c r="K6601" s="7">
        <v>3780</v>
      </c>
      <c r="L6601" s="9">
        <v>1</v>
      </c>
      <c r="M6601" t="s">
        <v>32</v>
      </c>
      <c r="N6601" t="s">
        <v>33</v>
      </c>
      <c r="O6601" s="27" t="str">
        <f>HYPERLINK("https://www.ncbi.nlm.nih.gov/nuccore/NZ_CP017248.1?report=graph&amp;from=434744&amp;to=435081", "TTA_codon")</f>
        <v>TTA_codon</v>
      </c>
    </row>
    <row r="6602" spans="1:15" x14ac:dyDescent="0.15">
      <c r="A6602" t="s">
        <v>195</v>
      </c>
      <c r="B6602" t="s">
        <v>4726</v>
      </c>
    </row>
    <row r="6603" spans="1:15" x14ac:dyDescent="0.15">
      <c r="A6603" t="s">
        <v>195</v>
      </c>
      <c r="B6603">
        <v>1000346</v>
      </c>
      <c r="C6603">
        <v>347146</v>
      </c>
      <c r="F6603" s="7">
        <v>1</v>
      </c>
      <c r="G6603" s="7">
        <v>316</v>
      </c>
      <c r="H6603" s="8">
        <v>289</v>
      </c>
      <c r="J6603" t="s">
        <v>23</v>
      </c>
      <c r="K6603" s="7">
        <v>1302</v>
      </c>
      <c r="L6603" s="9">
        <v>-1</v>
      </c>
      <c r="M6603" t="s">
        <v>213</v>
      </c>
      <c r="N6603" t="s">
        <v>214</v>
      </c>
      <c r="O6603" s="27" t="str">
        <f>HYPERLINK("https://www.ncbi.nlm.nih.gov/nuccore/NZ_FNST01000002.1?report=graph&amp;from=7852349&amp;to=7852353", "TTA_codon")</f>
        <v>TTA_codon</v>
      </c>
    </row>
    <row r="6604" spans="1:15" x14ac:dyDescent="0.15">
      <c r="A6604" t="s">
        <v>21</v>
      </c>
      <c r="B6604">
        <v>1000346</v>
      </c>
      <c r="C6604">
        <v>348128</v>
      </c>
      <c r="F6604" s="7">
        <v>1</v>
      </c>
      <c r="G6604" s="7">
        <v>484</v>
      </c>
      <c r="H6604" s="8">
        <v>307</v>
      </c>
      <c r="J6604" t="s">
        <v>23</v>
      </c>
      <c r="K6604" s="7">
        <v>1290</v>
      </c>
      <c r="L6604" s="9">
        <v>-1</v>
      </c>
      <c r="M6604" t="s">
        <v>59</v>
      </c>
      <c r="N6604" t="s">
        <v>60</v>
      </c>
      <c r="O6604" s="27" t="str">
        <f>HYPERLINK("https://www.ncbi.nlm.nih.gov/nuccore/NC_016582.1?report=graph&amp;from=8108019&amp;to=8108023", "TTA_codon")</f>
        <v>TTA_codon</v>
      </c>
    </row>
    <row r="6605" spans="1:15" x14ac:dyDescent="0.15">
      <c r="A6605" t="s">
        <v>21</v>
      </c>
      <c r="B6605">
        <v>1000346</v>
      </c>
      <c r="C6605">
        <v>348841</v>
      </c>
      <c r="F6605" s="7">
        <v>1</v>
      </c>
      <c r="G6605" s="7">
        <v>397</v>
      </c>
      <c r="H6605" s="8">
        <v>184</v>
      </c>
      <c r="J6605" t="s">
        <v>23</v>
      </c>
      <c r="K6605" s="7">
        <v>1260</v>
      </c>
      <c r="L6605" s="9">
        <v>-1</v>
      </c>
      <c r="M6605" t="s">
        <v>211</v>
      </c>
      <c r="N6605" t="s">
        <v>212</v>
      </c>
      <c r="O6605" s="27" t="str">
        <f>HYPERLINK("https://www.ncbi.nlm.nih.gov/nuccore/NZ_GG657754.1?report=graph&amp;from=7691353&amp;to=7691357", "TTA_codon")</f>
        <v>TTA_codon</v>
      </c>
    </row>
    <row r="6606" spans="1:15" x14ac:dyDescent="0.15">
      <c r="A6606" t="s">
        <v>21</v>
      </c>
      <c r="B6606">
        <v>1000346</v>
      </c>
      <c r="C6606">
        <v>352771</v>
      </c>
      <c r="F6606" s="7">
        <v>1</v>
      </c>
      <c r="G6606" s="7">
        <v>421</v>
      </c>
      <c r="H6606" s="8">
        <v>259</v>
      </c>
      <c r="J6606" t="s">
        <v>23</v>
      </c>
      <c r="K6606" s="7">
        <v>1281</v>
      </c>
      <c r="L6606" s="9">
        <v>-1</v>
      </c>
      <c r="M6606" t="s">
        <v>472</v>
      </c>
      <c r="N6606" t="s">
        <v>473</v>
      </c>
      <c r="O6606" s="27" t="str">
        <f>HYPERLINK("https://www.ncbi.nlm.nih.gov/nuccore/NZ_ASHX02000001.1?report=graph&amp;from=1159336&amp;to=1159340", "TTA_codon")</f>
        <v>TTA_codon</v>
      </c>
    </row>
    <row r="6607" spans="1:15" x14ac:dyDescent="0.15">
      <c r="A6607" t="s">
        <v>21</v>
      </c>
      <c r="B6607">
        <v>1000346</v>
      </c>
      <c r="C6607">
        <v>353246</v>
      </c>
      <c r="F6607" s="7">
        <v>1</v>
      </c>
      <c r="G6607" s="7">
        <v>304</v>
      </c>
      <c r="H6607" s="8">
        <v>109</v>
      </c>
      <c r="J6607" t="s">
        <v>23</v>
      </c>
      <c r="K6607" s="7">
        <v>1125</v>
      </c>
      <c r="L6607" s="9">
        <v>-1</v>
      </c>
      <c r="M6607" t="s">
        <v>4727</v>
      </c>
      <c r="N6607" t="s">
        <v>169</v>
      </c>
      <c r="O6607" s="27" t="str">
        <f>HYPERLINK("https://www.ncbi.nlm.nih.gov/nuccore/NZ_JNWJ01000012.1?report=graph&amp;from=43712&amp;to=43716", "TTA_codon")</f>
        <v>TTA_codon</v>
      </c>
    </row>
    <row r="6608" spans="1:15" x14ac:dyDescent="0.15">
      <c r="A6608" t="s">
        <v>21</v>
      </c>
      <c r="B6608">
        <v>1000346</v>
      </c>
      <c r="C6608">
        <v>357729</v>
      </c>
      <c r="F6608" s="7">
        <v>1</v>
      </c>
      <c r="G6608" s="7">
        <v>274</v>
      </c>
      <c r="H6608" s="8">
        <v>115</v>
      </c>
      <c r="J6608" t="s">
        <v>23</v>
      </c>
      <c r="K6608" s="7">
        <v>1245</v>
      </c>
      <c r="L6608" s="9">
        <v>-1</v>
      </c>
      <c r="M6608" t="s">
        <v>4728</v>
      </c>
      <c r="N6608" t="s">
        <v>83</v>
      </c>
      <c r="O6608" s="27" t="str">
        <f>HYPERLINK("https://www.ncbi.nlm.nih.gov/nuccore/NZ_DF968185.1?report=graph&amp;from=16213&amp;to=16217", "TTA_codon")</f>
        <v>TTA_codon</v>
      </c>
    </row>
    <row r="6609" spans="1:15" x14ac:dyDescent="0.15">
      <c r="A6609" t="s">
        <v>21</v>
      </c>
      <c r="B6609" t="s">
        <v>4729</v>
      </c>
    </row>
    <row r="6610" spans="1:15" x14ac:dyDescent="0.15">
      <c r="A6610" t="s">
        <v>21</v>
      </c>
      <c r="B6610">
        <v>1000206</v>
      </c>
      <c r="C6610">
        <v>347370</v>
      </c>
      <c r="F6610" s="7">
        <v>1</v>
      </c>
      <c r="G6610" s="7">
        <v>325</v>
      </c>
      <c r="H6610" s="8">
        <v>322</v>
      </c>
      <c r="J6610" t="s">
        <v>23</v>
      </c>
      <c r="K6610" s="7">
        <v>1335</v>
      </c>
      <c r="L6610" s="9">
        <v>1</v>
      </c>
      <c r="M6610" t="s">
        <v>217</v>
      </c>
      <c r="N6610" t="s">
        <v>218</v>
      </c>
      <c r="O6610" s="27" t="str">
        <f>HYPERLINK("https://www.ncbi.nlm.nih.gov/nuccore/NC_021985.1?report=graph&amp;from=7556508&amp;to=7556512", "TTA_codon")</f>
        <v>TTA_codon</v>
      </c>
    </row>
    <row r="6611" spans="1:15" x14ac:dyDescent="0.15">
      <c r="A6611" t="s">
        <v>21</v>
      </c>
      <c r="B6611">
        <v>1000206</v>
      </c>
      <c r="C6611">
        <v>350291</v>
      </c>
      <c r="F6611" s="7">
        <v>1</v>
      </c>
      <c r="G6611" s="7">
        <v>64</v>
      </c>
      <c r="H6611" s="8">
        <v>61</v>
      </c>
      <c r="J6611" t="s">
        <v>23</v>
      </c>
      <c r="K6611" s="7">
        <v>1338</v>
      </c>
      <c r="L6611" s="9">
        <v>1</v>
      </c>
      <c r="M6611" t="s">
        <v>1457</v>
      </c>
      <c r="N6611" t="s">
        <v>36</v>
      </c>
      <c r="O6611" s="27" t="str">
        <f>HYPERLINK("https://www.ncbi.nlm.nih.gov/nuccore/NZ_JH725388.1?report=graph&amp;from=403246&amp;to=403250", "TTA_codon")</f>
        <v>TTA_codon</v>
      </c>
    </row>
    <row r="6612" spans="1:15" x14ac:dyDescent="0.15">
      <c r="A6612" t="s">
        <v>21</v>
      </c>
      <c r="B6612">
        <v>1000206</v>
      </c>
      <c r="C6612">
        <v>359307</v>
      </c>
      <c r="F6612" s="7">
        <v>2</v>
      </c>
      <c r="G6612" s="7" t="s">
        <v>4730</v>
      </c>
      <c r="H6612" s="8" t="s">
        <v>4731</v>
      </c>
      <c r="J6612" t="s">
        <v>23</v>
      </c>
      <c r="K6612" s="7">
        <v>1328</v>
      </c>
      <c r="L6612" s="9">
        <v>1</v>
      </c>
      <c r="M6612" t="s">
        <v>1115</v>
      </c>
      <c r="N6612" t="s">
        <v>89</v>
      </c>
      <c r="O6612" s="27" t="str">
        <f>HYPERLINK("https://www.ncbi.nlm.nih.gov/nuccore/NZ_LIRG01000269.1?report=graph&amp;from=3436&amp;to=3449", "TTA_codon")</f>
        <v>TTA_codon</v>
      </c>
    </row>
    <row r="6613" spans="1:15" x14ac:dyDescent="0.15">
      <c r="A6613" t="s">
        <v>21</v>
      </c>
      <c r="B6613">
        <v>1000206</v>
      </c>
      <c r="C6613">
        <v>363468</v>
      </c>
      <c r="F6613" s="7">
        <v>1</v>
      </c>
      <c r="G6613" s="7">
        <v>34</v>
      </c>
      <c r="H6613" s="8">
        <v>34</v>
      </c>
      <c r="J6613" t="s">
        <v>23</v>
      </c>
      <c r="K6613" s="7">
        <v>1338</v>
      </c>
      <c r="L6613" s="9">
        <v>1</v>
      </c>
      <c r="M6613" t="s">
        <v>157</v>
      </c>
      <c r="N6613" t="s">
        <v>158</v>
      </c>
      <c r="O6613" s="27" t="str">
        <f>HYPERLINK("https://www.ncbi.nlm.nih.gov/nuccore/NZ_CP015588.1?report=graph&amp;from=8249432&amp;to=8249436", "TTA_codon")</f>
        <v>TTA_codon</v>
      </c>
    </row>
    <row r="6614" spans="1:15" x14ac:dyDescent="0.15">
      <c r="A6614" t="s">
        <v>21</v>
      </c>
      <c r="B6614">
        <v>1000206</v>
      </c>
      <c r="C6614">
        <v>363646</v>
      </c>
      <c r="F6614" s="7">
        <v>1</v>
      </c>
      <c r="G6614" s="7">
        <v>52</v>
      </c>
      <c r="H6614" s="8">
        <v>46</v>
      </c>
      <c r="J6614" t="s">
        <v>23</v>
      </c>
      <c r="K6614" s="7">
        <v>1347</v>
      </c>
      <c r="L6614" s="9">
        <v>1</v>
      </c>
      <c r="M6614" t="s">
        <v>101</v>
      </c>
      <c r="N6614" t="s">
        <v>102</v>
      </c>
      <c r="O6614" s="27" t="str">
        <f>HYPERLINK("https://www.ncbi.nlm.nih.gov/nuccore/NZ_CP019458.1?report=graph&amp;from=1212148&amp;to=1212152", "TTA_codon")</f>
        <v>TTA_codon</v>
      </c>
    </row>
    <row r="6615" spans="1:15" x14ac:dyDescent="0.15">
      <c r="A6615" t="s">
        <v>21</v>
      </c>
      <c r="B6615">
        <v>1000206</v>
      </c>
      <c r="C6615">
        <v>364844</v>
      </c>
      <c r="F6615" s="7">
        <v>2</v>
      </c>
      <c r="G6615" s="7" t="s">
        <v>4732</v>
      </c>
      <c r="H6615" s="8" t="s">
        <v>4733</v>
      </c>
      <c r="J6615" t="s">
        <v>23</v>
      </c>
      <c r="K6615" s="7">
        <v>1335</v>
      </c>
      <c r="L6615" s="9">
        <v>1</v>
      </c>
      <c r="M6615" t="s">
        <v>126</v>
      </c>
      <c r="N6615" t="s">
        <v>127</v>
      </c>
      <c r="O6615" s="27" t="str">
        <f>HYPERLINK("https://www.ncbi.nlm.nih.gov/nuccore/NZ_CP021748.1?report=graph&amp;from=9572201&amp;to=9572466", "TTA_codon")</f>
        <v>TTA_codon</v>
      </c>
    </row>
    <row r="6616" spans="1:15" x14ac:dyDescent="0.15">
      <c r="A6616" t="s">
        <v>21</v>
      </c>
      <c r="B6616" t="s">
        <v>4734</v>
      </c>
    </row>
    <row r="6617" spans="1:15" x14ac:dyDescent="0.15">
      <c r="A6617" t="s">
        <v>21</v>
      </c>
      <c r="B6617">
        <v>1000984</v>
      </c>
      <c r="C6617">
        <v>353933</v>
      </c>
      <c r="F6617" s="7">
        <v>1</v>
      </c>
      <c r="G6617" s="7">
        <v>37</v>
      </c>
      <c r="H6617" s="8">
        <v>37</v>
      </c>
      <c r="J6617" t="s">
        <v>23</v>
      </c>
      <c r="K6617" s="7">
        <v>717</v>
      </c>
      <c r="L6617" s="9">
        <v>-1</v>
      </c>
      <c r="M6617" t="s">
        <v>4735</v>
      </c>
      <c r="N6617" t="s">
        <v>246</v>
      </c>
      <c r="O6617" s="27" t="str">
        <f>HYPERLINK("https://www.ncbi.nlm.nih.gov/nuccore/NZ_JNYR01000024.1?report=graph&amp;from=38459&amp;to=38463", "TTA_codon")</f>
        <v>TTA_codon</v>
      </c>
    </row>
    <row r="6618" spans="1:15" x14ac:dyDescent="0.15">
      <c r="A6618" t="s">
        <v>21</v>
      </c>
      <c r="B6618">
        <v>1000984</v>
      </c>
      <c r="C6618">
        <v>361746</v>
      </c>
      <c r="F6618" s="7">
        <v>1</v>
      </c>
      <c r="G6618" s="7">
        <v>37</v>
      </c>
      <c r="H6618" s="8">
        <v>37</v>
      </c>
      <c r="J6618" t="s">
        <v>23</v>
      </c>
      <c r="K6618" s="7">
        <v>720</v>
      </c>
      <c r="L6618" s="9">
        <v>-1</v>
      </c>
      <c r="M6618" t="s">
        <v>37</v>
      </c>
      <c r="N6618" t="s">
        <v>38</v>
      </c>
      <c r="O6618" s="27" t="str">
        <f>HYPERLINK("https://www.ncbi.nlm.nih.gov/nuccore/NZ_CP011533.1?report=graph&amp;from=9479356&amp;to=9479360", "TTA_codon")</f>
        <v>TTA_codon</v>
      </c>
    </row>
    <row r="6619" spans="1:15" x14ac:dyDescent="0.15">
      <c r="A6619" t="s">
        <v>21</v>
      </c>
      <c r="B6619" t="s">
        <v>4736</v>
      </c>
    </row>
    <row r="6620" spans="1:15" x14ac:dyDescent="0.15">
      <c r="A6620" t="s">
        <v>21</v>
      </c>
      <c r="B6620">
        <v>1000602</v>
      </c>
      <c r="C6620">
        <v>350279</v>
      </c>
      <c r="F6620" s="7">
        <v>2</v>
      </c>
      <c r="G6620" s="7" t="s">
        <v>4737</v>
      </c>
      <c r="H6620" s="8" t="s">
        <v>4738</v>
      </c>
      <c r="J6620" t="s">
        <v>23</v>
      </c>
      <c r="K6620" s="7">
        <v>1572</v>
      </c>
      <c r="L6620" s="9">
        <v>1</v>
      </c>
      <c r="M6620" t="s">
        <v>2758</v>
      </c>
      <c r="N6620" t="s">
        <v>36</v>
      </c>
      <c r="O6620" s="27" t="str">
        <f>HYPERLINK("https://www.ncbi.nlm.nih.gov/nuccore/NZ_JH725390.1?report=graph&amp;from=283529&amp;to=284163", "TTA_codon")</f>
        <v>TTA_codon</v>
      </c>
    </row>
    <row r="6621" spans="1:15" x14ac:dyDescent="0.15">
      <c r="A6621" t="s">
        <v>21</v>
      </c>
      <c r="B6621">
        <v>1000602</v>
      </c>
      <c r="C6621">
        <v>359468</v>
      </c>
      <c r="F6621" s="7">
        <v>1</v>
      </c>
      <c r="G6621" s="7">
        <v>136</v>
      </c>
      <c r="H6621" s="8">
        <v>136</v>
      </c>
      <c r="J6621" t="s">
        <v>23</v>
      </c>
      <c r="K6621" s="7">
        <v>2373</v>
      </c>
      <c r="L6621" s="9">
        <v>1</v>
      </c>
      <c r="M6621" t="s">
        <v>151</v>
      </c>
      <c r="N6621" t="s">
        <v>152</v>
      </c>
      <c r="O6621" s="27" t="str">
        <f>HYPERLINK("https://www.ncbi.nlm.nih.gov/nuccore/NZ_CP013129.1?report=graph&amp;from=8030848&amp;to=8030852", "TTA_codon")</f>
        <v>TTA_codon</v>
      </c>
    </row>
    <row r="6622" spans="1:15" x14ac:dyDescent="0.15">
      <c r="A6622" t="s">
        <v>21</v>
      </c>
      <c r="B6622" t="s">
        <v>4739</v>
      </c>
    </row>
    <row r="6623" spans="1:15" x14ac:dyDescent="0.15">
      <c r="A6623" t="s">
        <v>21</v>
      </c>
      <c r="B6623">
        <v>1000172</v>
      </c>
      <c r="C6623">
        <v>347260</v>
      </c>
      <c r="F6623" s="7">
        <v>1</v>
      </c>
      <c r="G6623" s="7">
        <v>97</v>
      </c>
      <c r="H6623" s="8">
        <v>97</v>
      </c>
      <c r="J6623" t="s">
        <v>23</v>
      </c>
      <c r="K6623" s="7">
        <v>1614</v>
      </c>
      <c r="L6623" s="9">
        <v>1</v>
      </c>
      <c r="M6623" t="s">
        <v>53</v>
      </c>
      <c r="N6623" t="s">
        <v>54</v>
      </c>
      <c r="O6623" s="27" t="str">
        <f>HYPERLINK("https://www.ncbi.nlm.nih.gov/nuccore/NC_003155.5?report=graph&amp;from=430147&amp;to=430151", "TTA_codon")</f>
        <v>TTA_codon</v>
      </c>
    </row>
    <row r="6624" spans="1:15" x14ac:dyDescent="0.15">
      <c r="A6624" t="s">
        <v>21</v>
      </c>
      <c r="B6624">
        <v>1000172</v>
      </c>
      <c r="C6624">
        <v>349597</v>
      </c>
      <c r="F6624" s="7">
        <v>1</v>
      </c>
      <c r="G6624" s="7">
        <v>85</v>
      </c>
      <c r="H6624" s="8">
        <v>76</v>
      </c>
      <c r="J6624" t="s">
        <v>23</v>
      </c>
      <c r="K6624" s="7">
        <v>981</v>
      </c>
      <c r="L6624" s="9">
        <v>1</v>
      </c>
      <c r="M6624" t="s">
        <v>4656</v>
      </c>
      <c r="N6624" t="s">
        <v>335</v>
      </c>
      <c r="O6624" s="27" t="str">
        <f>HYPERLINK("https://www.ncbi.nlm.nih.gov/nuccore/NZ_AGBF01000245.1?report=graph&amp;from=2513&amp;to=2517", "TTA_codon")</f>
        <v>TTA_codon</v>
      </c>
    </row>
    <row r="6625" spans="1:15" x14ac:dyDescent="0.15">
      <c r="A6625" t="s">
        <v>195</v>
      </c>
      <c r="B6625" t="s">
        <v>4740</v>
      </c>
    </row>
    <row r="6626" spans="1:15" x14ac:dyDescent="0.15">
      <c r="A6626" t="s">
        <v>195</v>
      </c>
      <c r="B6626">
        <v>1000094</v>
      </c>
      <c r="C6626">
        <v>346628</v>
      </c>
      <c r="F6626" s="7">
        <v>1</v>
      </c>
      <c r="G6626" s="7">
        <v>190</v>
      </c>
      <c r="H6626" s="8">
        <v>190</v>
      </c>
      <c r="J6626" t="s">
        <v>23</v>
      </c>
      <c r="K6626" s="7">
        <v>1302</v>
      </c>
      <c r="L6626" s="9">
        <v>1</v>
      </c>
      <c r="M6626" t="s">
        <v>261</v>
      </c>
      <c r="N6626" t="s">
        <v>262</v>
      </c>
      <c r="O6626" s="27" t="str">
        <f>HYPERLINK("https://www.ncbi.nlm.nih.gov/nuccore/NZ_CP011340.1?report=graph&amp;from=2338659&amp;to=2338663", "TTA_codon")</f>
        <v>TTA_codon</v>
      </c>
    </row>
    <row r="6627" spans="1:15" x14ac:dyDescent="0.15">
      <c r="A6627" t="s">
        <v>21</v>
      </c>
      <c r="B6627">
        <v>1000094</v>
      </c>
      <c r="C6627">
        <v>348063</v>
      </c>
      <c r="F6627" s="7">
        <v>1</v>
      </c>
      <c r="G6627" s="7">
        <v>190</v>
      </c>
      <c r="H6627" s="8">
        <v>190</v>
      </c>
      <c r="J6627" t="s">
        <v>23</v>
      </c>
      <c r="K6627" s="7">
        <v>1311</v>
      </c>
      <c r="L6627" s="9">
        <v>1</v>
      </c>
      <c r="M6627" t="s">
        <v>59</v>
      </c>
      <c r="N6627" t="s">
        <v>60</v>
      </c>
      <c r="O6627" s="27" t="str">
        <f>HYPERLINK("https://www.ncbi.nlm.nih.gov/nuccore/NC_016582.1?report=graph&amp;from=11351975&amp;to=11351979", "TTA_codon")</f>
        <v>TTA_codon</v>
      </c>
    </row>
    <row r="6628" spans="1:15" x14ac:dyDescent="0.15">
      <c r="A6628" t="s">
        <v>21</v>
      </c>
      <c r="B6628">
        <v>1000094</v>
      </c>
      <c r="C6628">
        <v>360373</v>
      </c>
      <c r="F6628" s="7">
        <v>1</v>
      </c>
      <c r="G6628" s="7">
        <v>190</v>
      </c>
      <c r="H6628" s="8">
        <v>190</v>
      </c>
      <c r="J6628" t="s">
        <v>23</v>
      </c>
      <c r="K6628" s="7">
        <v>1311</v>
      </c>
      <c r="L6628" s="9">
        <v>1</v>
      </c>
      <c r="M6628" t="s">
        <v>121</v>
      </c>
      <c r="N6628" t="s">
        <v>122</v>
      </c>
      <c r="O6628" s="27" t="str">
        <f>HYPERLINK("https://www.ncbi.nlm.nih.gov/nuccore/NZ_CP016279.1?report=graph&amp;from=7238251&amp;to=7238255", "TTA_codon")</f>
        <v>TTA_codon</v>
      </c>
    </row>
    <row r="6629" spans="1:15" x14ac:dyDescent="0.15">
      <c r="A6629" t="s">
        <v>21</v>
      </c>
      <c r="B6629">
        <v>1000094</v>
      </c>
      <c r="C6629">
        <v>361114</v>
      </c>
      <c r="F6629" s="7">
        <v>1</v>
      </c>
      <c r="G6629" s="7">
        <v>190</v>
      </c>
      <c r="H6629" s="8">
        <v>190</v>
      </c>
      <c r="J6629" t="s">
        <v>23</v>
      </c>
      <c r="K6629" s="7">
        <v>1311</v>
      </c>
      <c r="L6629" s="9">
        <v>1</v>
      </c>
      <c r="M6629" t="s">
        <v>98</v>
      </c>
      <c r="N6629" t="s">
        <v>99</v>
      </c>
      <c r="O6629" s="27" t="str">
        <f>HYPERLINK("https://www.ncbi.nlm.nih.gov/nuccore/NZ_CP016438.1?report=graph&amp;from=9743826&amp;to=9743830", "TTA_codon")</f>
        <v>TTA_codon</v>
      </c>
    </row>
    <row r="6630" spans="1:15" x14ac:dyDescent="0.15">
      <c r="A6630" t="s">
        <v>21</v>
      </c>
      <c r="B6630">
        <v>1000094</v>
      </c>
      <c r="C6630">
        <v>361930</v>
      </c>
      <c r="F6630" s="7">
        <v>1</v>
      </c>
      <c r="G6630" s="7">
        <v>190</v>
      </c>
      <c r="H6630" s="8">
        <v>190</v>
      </c>
      <c r="J6630" t="s">
        <v>23</v>
      </c>
      <c r="K6630" s="7">
        <v>1311</v>
      </c>
      <c r="L6630" s="9">
        <v>1</v>
      </c>
      <c r="M6630" t="s">
        <v>4741</v>
      </c>
      <c r="N6630" t="s">
        <v>187</v>
      </c>
      <c r="O6630" s="27" t="str">
        <f>HYPERLINK("https://www.ncbi.nlm.nih.gov/nuccore/NZ_MAXF01000198.1?report=graph&amp;from=8999&amp;to=9003", "TTA_codon")</f>
        <v>TTA_codon</v>
      </c>
    </row>
    <row r="6631" spans="1:15" x14ac:dyDescent="0.15">
      <c r="A6631" t="s">
        <v>21</v>
      </c>
      <c r="B6631">
        <v>1000094</v>
      </c>
      <c r="C6631">
        <v>363097</v>
      </c>
      <c r="F6631" s="7">
        <v>1</v>
      </c>
      <c r="G6631" s="7">
        <v>190</v>
      </c>
      <c r="H6631" s="8">
        <v>190</v>
      </c>
      <c r="J6631" t="s">
        <v>23</v>
      </c>
      <c r="K6631" s="7">
        <v>1305</v>
      </c>
      <c r="L6631" s="9">
        <v>1</v>
      </c>
      <c r="M6631" t="s">
        <v>900</v>
      </c>
      <c r="N6631" t="s">
        <v>401</v>
      </c>
      <c r="O6631" s="27" t="str">
        <f>HYPERLINK("https://www.ncbi.nlm.nih.gov/nuccore/NZ_LFBV01000007.1?report=graph&amp;from=140454&amp;to=140458", "TTA_codon")</f>
        <v>TTA_codon</v>
      </c>
    </row>
    <row r="6632" spans="1:15" x14ac:dyDescent="0.15">
      <c r="A6632" t="s">
        <v>21</v>
      </c>
      <c r="B6632" t="s">
        <v>4742</v>
      </c>
    </row>
    <row r="6633" spans="1:15" x14ac:dyDescent="0.15">
      <c r="A6633" t="s">
        <v>21</v>
      </c>
      <c r="B6633">
        <v>1001467</v>
      </c>
      <c r="C6633">
        <v>363828</v>
      </c>
      <c r="F6633" s="7">
        <v>1</v>
      </c>
      <c r="G6633" s="7">
        <v>46</v>
      </c>
      <c r="H6633" s="8">
        <v>46</v>
      </c>
      <c r="J6633" t="s">
        <v>23</v>
      </c>
      <c r="K6633" s="7">
        <v>687</v>
      </c>
      <c r="L6633" s="9">
        <v>1</v>
      </c>
      <c r="M6633" t="s">
        <v>101</v>
      </c>
      <c r="N6633" t="s">
        <v>102</v>
      </c>
      <c r="O6633" s="27" t="str">
        <f>HYPERLINK("https://www.ncbi.nlm.nih.gov/nuccore/NZ_CP019458.1?report=graph&amp;from=7707602&amp;to=7707606", "TTA_codon")</f>
        <v>TTA_codon</v>
      </c>
    </row>
    <row r="6634" spans="1:15" x14ac:dyDescent="0.15">
      <c r="A6634" t="s">
        <v>21</v>
      </c>
      <c r="B6634">
        <v>1001467</v>
      </c>
      <c r="C6634">
        <v>365749</v>
      </c>
      <c r="F6634" s="7">
        <v>1</v>
      </c>
      <c r="G6634" s="7">
        <v>46</v>
      </c>
      <c r="H6634" s="8">
        <v>46</v>
      </c>
      <c r="J6634" t="s">
        <v>23</v>
      </c>
      <c r="K6634" s="7">
        <v>687</v>
      </c>
      <c r="L6634" s="9">
        <v>1</v>
      </c>
      <c r="M6634" t="s">
        <v>213</v>
      </c>
      <c r="N6634" t="s">
        <v>214</v>
      </c>
      <c r="O6634" s="27" t="str">
        <f>HYPERLINK("https://www.ncbi.nlm.nih.gov/nuccore/NZ_FNST01000002.1?report=graph&amp;from=5164531&amp;to=5164535", "TTA_codon")</f>
        <v>TTA_codon</v>
      </c>
    </row>
    <row r="6635" spans="1:15" x14ac:dyDescent="0.15">
      <c r="A6635" t="s">
        <v>21</v>
      </c>
      <c r="B6635" t="s">
        <v>4743</v>
      </c>
    </row>
    <row r="6636" spans="1:15" x14ac:dyDescent="0.15">
      <c r="A6636" t="s">
        <v>21</v>
      </c>
      <c r="B6636">
        <v>1001541</v>
      </c>
      <c r="C6636">
        <v>366931</v>
      </c>
      <c r="F6636" s="7">
        <v>1</v>
      </c>
      <c r="G6636" s="7">
        <v>58</v>
      </c>
      <c r="H6636" s="8">
        <v>58</v>
      </c>
      <c r="J6636" t="s">
        <v>23</v>
      </c>
      <c r="K6636" s="7">
        <v>462</v>
      </c>
      <c r="L6636" s="9">
        <v>1</v>
      </c>
      <c r="M6636" t="s">
        <v>2575</v>
      </c>
      <c r="N6636" t="s">
        <v>2576</v>
      </c>
      <c r="O6636" s="27" t="str">
        <f>HYPERLINK("https://www.ncbi.nlm.nih.gov/nuccore/MH155877.1?report=graph&amp;from=31769&amp;to=31773", "TTA_codon")</f>
        <v>TTA_codon</v>
      </c>
    </row>
    <row r="6637" spans="1:15" x14ac:dyDescent="0.15">
      <c r="A6637" t="s">
        <v>21</v>
      </c>
      <c r="B6637">
        <v>1001541</v>
      </c>
      <c r="C6637">
        <v>366934</v>
      </c>
      <c r="F6637" s="7">
        <v>1</v>
      </c>
      <c r="G6637" s="7">
        <v>58</v>
      </c>
      <c r="H6637" s="8">
        <v>58</v>
      </c>
      <c r="J6637" t="s">
        <v>23</v>
      </c>
      <c r="K6637" s="7">
        <v>462</v>
      </c>
      <c r="L6637" s="9">
        <v>1</v>
      </c>
      <c r="M6637" t="s">
        <v>2577</v>
      </c>
      <c r="N6637" t="s">
        <v>2578</v>
      </c>
      <c r="O6637" s="27" t="str">
        <f>HYPERLINK("https://www.ncbi.nlm.nih.gov/nuccore/MH155880.1?report=graph&amp;from=31082&amp;to=31086", "TTA_codon")</f>
        <v>TTA_codon</v>
      </c>
    </row>
    <row r="6638" spans="1:15" x14ac:dyDescent="0.15">
      <c r="A6638" t="s">
        <v>21</v>
      </c>
      <c r="B6638">
        <v>1001541</v>
      </c>
      <c r="C6638">
        <v>367146</v>
      </c>
      <c r="F6638" s="7">
        <v>1</v>
      </c>
      <c r="G6638" s="7">
        <v>58</v>
      </c>
      <c r="H6638" s="8">
        <v>58</v>
      </c>
      <c r="J6638" t="s">
        <v>23</v>
      </c>
      <c r="K6638" s="7">
        <v>462</v>
      </c>
      <c r="L6638" s="9">
        <v>1</v>
      </c>
      <c r="M6638" t="s">
        <v>2579</v>
      </c>
      <c r="N6638" t="s">
        <v>2580</v>
      </c>
      <c r="O6638" s="27" t="str">
        <f>HYPERLINK("https://www.ncbi.nlm.nih.gov/nuccore/MT310854.1?report=graph&amp;from=31769&amp;to=31773", "TTA_codon")</f>
        <v>TTA_codon</v>
      </c>
    </row>
    <row r="6639" spans="1:15" x14ac:dyDescent="0.15">
      <c r="A6639" t="s">
        <v>21</v>
      </c>
      <c r="B6639">
        <v>1001541</v>
      </c>
      <c r="C6639">
        <v>367178</v>
      </c>
      <c r="F6639" s="7">
        <v>1</v>
      </c>
      <c r="G6639" s="7">
        <v>58</v>
      </c>
      <c r="H6639" s="8">
        <v>58</v>
      </c>
      <c r="J6639" t="s">
        <v>23</v>
      </c>
      <c r="K6639" s="7">
        <v>462</v>
      </c>
      <c r="L6639" s="9">
        <v>1</v>
      </c>
      <c r="M6639" t="s">
        <v>2581</v>
      </c>
      <c r="N6639" t="s">
        <v>2582</v>
      </c>
      <c r="O6639" s="27" t="str">
        <f>HYPERLINK("https://www.ncbi.nlm.nih.gov/nuccore/MT657340.1?report=graph&amp;from=31769&amp;to=31773", "TTA_codon")</f>
        <v>TTA_codon</v>
      </c>
    </row>
    <row r="6640" spans="1:15" x14ac:dyDescent="0.15">
      <c r="A6640" t="s">
        <v>21</v>
      </c>
      <c r="B6640" t="s">
        <v>4744</v>
      </c>
    </row>
    <row r="6641" spans="1:15" x14ac:dyDescent="0.15">
      <c r="A6641" t="s">
        <v>21</v>
      </c>
      <c r="B6641">
        <v>1001392</v>
      </c>
      <c r="C6641">
        <v>361871</v>
      </c>
      <c r="F6641" s="7">
        <v>1</v>
      </c>
      <c r="G6641" s="7">
        <v>817</v>
      </c>
      <c r="H6641" s="8">
        <v>802</v>
      </c>
      <c r="J6641" t="s">
        <v>23</v>
      </c>
      <c r="K6641" s="7">
        <v>1986</v>
      </c>
      <c r="L6641" s="9">
        <v>1</v>
      </c>
      <c r="M6641" t="s">
        <v>37</v>
      </c>
      <c r="N6641" t="s">
        <v>38</v>
      </c>
      <c r="O6641" s="27" t="str">
        <f>HYPERLINK("https://www.ncbi.nlm.nih.gov/nuccore/NZ_CP011533.1?report=graph&amp;from=1626738&amp;to=1626742", "TTA_codon")</f>
        <v>TTA_codon</v>
      </c>
    </row>
    <row r="6642" spans="1:15" x14ac:dyDescent="0.15">
      <c r="A6642" t="s">
        <v>21</v>
      </c>
      <c r="B6642">
        <v>1001392</v>
      </c>
      <c r="C6642">
        <v>363895</v>
      </c>
      <c r="F6642" s="7">
        <v>2</v>
      </c>
      <c r="G6642" s="7" t="s">
        <v>4745</v>
      </c>
      <c r="H6642" s="8" t="s">
        <v>4746</v>
      </c>
      <c r="J6642" t="s">
        <v>23</v>
      </c>
      <c r="K6642" s="7">
        <v>1974</v>
      </c>
      <c r="L6642" s="9">
        <v>1</v>
      </c>
      <c r="M6642" t="s">
        <v>101</v>
      </c>
      <c r="N6642" t="s">
        <v>102</v>
      </c>
      <c r="O6642" s="27" t="str">
        <f>HYPERLINK("https://www.ncbi.nlm.nih.gov/nuccore/NZ_CP019458.1?report=graph&amp;from=2709747&amp;to=2710561", "TTA_codon")</f>
        <v>TTA_codon</v>
      </c>
    </row>
    <row r="6643" spans="1:15" x14ac:dyDescent="0.15">
      <c r="A6643" t="s">
        <v>21</v>
      </c>
      <c r="B6643" t="s">
        <v>4747</v>
      </c>
    </row>
    <row r="6644" spans="1:15" x14ac:dyDescent="0.15">
      <c r="A6644" t="s">
        <v>21</v>
      </c>
      <c r="B6644">
        <v>1000947</v>
      </c>
      <c r="C6644">
        <v>353473</v>
      </c>
      <c r="F6644" s="7">
        <v>1</v>
      </c>
      <c r="G6644" s="7">
        <v>130</v>
      </c>
      <c r="H6644" s="8">
        <v>130</v>
      </c>
      <c r="J6644" t="s">
        <v>23</v>
      </c>
      <c r="K6644" s="7">
        <v>426</v>
      </c>
      <c r="L6644" s="9">
        <v>1</v>
      </c>
      <c r="M6644" t="s">
        <v>4748</v>
      </c>
      <c r="N6644" t="s">
        <v>169</v>
      </c>
      <c r="O6644" s="27" t="str">
        <f>HYPERLINK("https://www.ncbi.nlm.nih.gov/nuccore/NZ_JNWJ01000050.1?report=graph&amp;from=55208&amp;to=55212", "TTA_codon")</f>
        <v>TTA_codon</v>
      </c>
    </row>
    <row r="6645" spans="1:15" x14ac:dyDescent="0.15">
      <c r="A6645" t="s">
        <v>21</v>
      </c>
      <c r="B6645">
        <v>1000947</v>
      </c>
      <c r="C6645">
        <v>359205</v>
      </c>
      <c r="F6645" s="7">
        <v>1</v>
      </c>
      <c r="G6645" s="7">
        <v>130</v>
      </c>
      <c r="H6645" s="8">
        <v>112</v>
      </c>
      <c r="J6645" t="s">
        <v>23</v>
      </c>
      <c r="K6645" s="7">
        <v>408</v>
      </c>
      <c r="L6645" s="9">
        <v>1</v>
      </c>
      <c r="M6645" t="s">
        <v>3781</v>
      </c>
      <c r="N6645" t="s">
        <v>451</v>
      </c>
      <c r="O6645" s="27" t="str">
        <f>HYPERLINK("https://www.ncbi.nlm.nih.gov/nuccore/NZ_LIQZ01000279.1?report=graph&amp;from=22775&amp;to=22779", "TTA_codon")</f>
        <v>TTA_codon</v>
      </c>
    </row>
    <row r="6646" spans="1:15" x14ac:dyDescent="0.15">
      <c r="A6646" t="s">
        <v>21</v>
      </c>
      <c r="B6646" t="s">
        <v>4749</v>
      </c>
    </row>
    <row r="6647" spans="1:15" x14ac:dyDescent="0.15">
      <c r="A6647" t="s">
        <v>21</v>
      </c>
      <c r="B6647">
        <v>1000958</v>
      </c>
      <c r="C6647">
        <v>353592</v>
      </c>
      <c r="F6647" s="7">
        <v>1</v>
      </c>
      <c r="G6647" s="7">
        <v>37</v>
      </c>
      <c r="H6647" s="8">
        <v>37</v>
      </c>
      <c r="J6647" t="s">
        <v>23</v>
      </c>
      <c r="K6647" s="7">
        <v>1665</v>
      </c>
      <c r="L6647" s="9">
        <v>-1</v>
      </c>
      <c r="M6647" t="s">
        <v>546</v>
      </c>
      <c r="N6647" t="s">
        <v>140</v>
      </c>
      <c r="O6647" s="27" t="str">
        <f>HYPERLINK("https://www.ncbi.nlm.nih.gov/nuccore/NZ_JNXG01000003.1?report=graph&amp;from=168249&amp;to=168253", "TTA_codon")</f>
        <v>TTA_codon</v>
      </c>
    </row>
    <row r="6648" spans="1:15" x14ac:dyDescent="0.15">
      <c r="A6648" t="s">
        <v>21</v>
      </c>
      <c r="B6648">
        <v>1000958</v>
      </c>
      <c r="C6648">
        <v>354600</v>
      </c>
      <c r="F6648" s="7">
        <v>1</v>
      </c>
      <c r="G6648" s="7">
        <v>55</v>
      </c>
      <c r="H6648" s="8">
        <v>37</v>
      </c>
      <c r="J6648" t="s">
        <v>23</v>
      </c>
      <c r="K6648" s="7">
        <v>1638</v>
      </c>
      <c r="L6648" s="9">
        <v>-1</v>
      </c>
      <c r="M6648" t="s">
        <v>415</v>
      </c>
      <c r="N6648" t="s">
        <v>272</v>
      </c>
      <c r="O6648" s="27" t="str">
        <f>HYPERLINK("https://www.ncbi.nlm.nih.gov/nuccore/NZ_JOEY01000041.1?report=graph&amp;from=25781&amp;to=25785", "TTA_codon")</f>
        <v>TTA_codon</v>
      </c>
    </row>
    <row r="6649" spans="1:15" x14ac:dyDescent="0.15">
      <c r="A6649" t="s">
        <v>21</v>
      </c>
      <c r="B6649">
        <v>1000958</v>
      </c>
      <c r="C6649">
        <v>361978</v>
      </c>
      <c r="F6649" s="7">
        <v>1</v>
      </c>
      <c r="G6649" s="7">
        <v>61</v>
      </c>
      <c r="H6649" s="8">
        <v>37</v>
      </c>
      <c r="J6649" t="s">
        <v>23</v>
      </c>
      <c r="K6649" s="7">
        <v>1641</v>
      </c>
      <c r="L6649" s="9">
        <v>-1</v>
      </c>
      <c r="M6649" t="s">
        <v>2144</v>
      </c>
      <c r="N6649" t="s">
        <v>187</v>
      </c>
      <c r="O6649" s="27" t="str">
        <f>HYPERLINK("https://www.ncbi.nlm.nih.gov/nuccore/NZ_MAXF01000186.1?report=graph&amp;from=25527&amp;to=25531", "TTA_codon")</f>
        <v>TTA_codon</v>
      </c>
    </row>
    <row r="6650" spans="1:15" x14ac:dyDescent="0.15">
      <c r="A6650" t="s">
        <v>21</v>
      </c>
      <c r="B6650">
        <v>1000958</v>
      </c>
      <c r="C6650">
        <v>363653</v>
      </c>
      <c r="F6650" s="7">
        <v>2</v>
      </c>
      <c r="G6650" s="7" t="s">
        <v>4750</v>
      </c>
      <c r="H6650" s="8" t="s">
        <v>4751</v>
      </c>
      <c r="J6650" t="s">
        <v>23</v>
      </c>
      <c r="K6650" s="7">
        <v>1632</v>
      </c>
      <c r="L6650" s="9">
        <v>-1</v>
      </c>
      <c r="M6650" t="s">
        <v>101</v>
      </c>
      <c r="N6650" t="s">
        <v>102</v>
      </c>
      <c r="O6650" s="27" t="str">
        <f>HYPERLINK("https://www.ncbi.nlm.nih.gov/nuccore/NZ_CP019458.1?report=graph&amp;from=1767271&amp;to=1767284", "TTA_codon")</f>
        <v>TTA_codon</v>
      </c>
    </row>
    <row r="6651" spans="1:15" x14ac:dyDescent="0.15">
      <c r="A6651" t="s">
        <v>21</v>
      </c>
      <c r="B6651" t="s">
        <v>4752</v>
      </c>
    </row>
    <row r="6652" spans="1:15" x14ac:dyDescent="0.15">
      <c r="A6652" t="s">
        <v>21</v>
      </c>
      <c r="B6652">
        <v>1001038</v>
      </c>
      <c r="C6652">
        <v>354667</v>
      </c>
      <c r="F6652" s="7">
        <v>1</v>
      </c>
      <c r="G6652" s="7">
        <v>265</v>
      </c>
      <c r="H6652" s="8">
        <v>265</v>
      </c>
      <c r="J6652" t="s">
        <v>23</v>
      </c>
      <c r="K6652" s="7">
        <v>942</v>
      </c>
      <c r="L6652" s="9">
        <v>-1</v>
      </c>
      <c r="M6652" t="s">
        <v>4753</v>
      </c>
      <c r="N6652" t="s">
        <v>272</v>
      </c>
      <c r="O6652" s="27" t="str">
        <f>HYPERLINK("https://www.ncbi.nlm.nih.gov/nuccore/NZ_JOEY01000091.1?report=graph&amp;from=19588&amp;to=19592", "TTA_codon")</f>
        <v>TTA_codon</v>
      </c>
    </row>
    <row r="6653" spans="1:15" x14ac:dyDescent="0.15">
      <c r="A6653" t="s">
        <v>21</v>
      </c>
      <c r="B6653">
        <v>1001038</v>
      </c>
      <c r="C6653">
        <v>355216</v>
      </c>
      <c r="F6653" s="7">
        <v>1</v>
      </c>
      <c r="G6653" s="7">
        <v>211</v>
      </c>
      <c r="H6653" s="8">
        <v>181</v>
      </c>
      <c r="J6653" t="s">
        <v>23</v>
      </c>
      <c r="K6653" s="7">
        <v>912</v>
      </c>
      <c r="L6653" s="9">
        <v>-1</v>
      </c>
      <c r="M6653" t="s">
        <v>1523</v>
      </c>
      <c r="N6653" t="s">
        <v>433</v>
      </c>
      <c r="O6653" s="27" t="str">
        <f>HYPERLINK("https://www.ncbi.nlm.nih.gov/nuccore/NZ_JOBF01000013.1?report=graph&amp;from=412308&amp;to=412312", "TTA_codon")</f>
        <v>TTA_codon</v>
      </c>
    </row>
    <row r="6654" spans="1:15" x14ac:dyDescent="0.15">
      <c r="A6654" t="s">
        <v>21</v>
      </c>
      <c r="B6654" t="s">
        <v>4754</v>
      </c>
    </row>
    <row r="6655" spans="1:15" x14ac:dyDescent="0.15">
      <c r="A6655" t="s">
        <v>21</v>
      </c>
      <c r="B6655">
        <v>1000912</v>
      </c>
      <c r="C6655">
        <v>353122</v>
      </c>
      <c r="F6655" s="7">
        <v>1</v>
      </c>
      <c r="G6655" s="7">
        <v>175</v>
      </c>
      <c r="H6655" s="8">
        <v>175</v>
      </c>
      <c r="J6655" t="s">
        <v>23</v>
      </c>
      <c r="K6655" s="7">
        <v>747</v>
      </c>
      <c r="L6655" s="9">
        <v>-1</v>
      </c>
      <c r="M6655" t="s">
        <v>4755</v>
      </c>
      <c r="N6655" t="s">
        <v>306</v>
      </c>
      <c r="O6655" s="27" t="str">
        <f>HYPERLINK("https://www.ncbi.nlm.nih.gov/nuccore/NZ_KL571129.1?report=graph&amp;from=19005&amp;to=19009", "TTA_codon")</f>
        <v>TTA_codon</v>
      </c>
    </row>
    <row r="6656" spans="1:15" x14ac:dyDescent="0.15">
      <c r="A6656" t="s">
        <v>21</v>
      </c>
      <c r="B6656">
        <v>1000912</v>
      </c>
      <c r="C6656">
        <v>359560</v>
      </c>
      <c r="F6656" s="7">
        <v>1</v>
      </c>
      <c r="G6656" s="7">
        <v>256</v>
      </c>
      <c r="H6656" s="8">
        <v>205</v>
      </c>
      <c r="J6656" t="s">
        <v>23</v>
      </c>
      <c r="K6656" s="7">
        <v>627</v>
      </c>
      <c r="L6656" s="9">
        <v>-1</v>
      </c>
      <c r="M6656" t="s">
        <v>151</v>
      </c>
      <c r="N6656" t="s">
        <v>152</v>
      </c>
      <c r="O6656" s="27" t="str">
        <f>HYPERLINK("https://www.ncbi.nlm.nih.gov/nuccore/NZ_CP013129.1?report=graph&amp;from=1672826&amp;to=1672830", "TTA_codon")</f>
        <v>TTA_codon</v>
      </c>
    </row>
    <row r="6657" spans="1:15" x14ac:dyDescent="0.15">
      <c r="A6657" t="s">
        <v>195</v>
      </c>
      <c r="B6657" t="s">
        <v>4756</v>
      </c>
    </row>
    <row r="6658" spans="1:15" x14ac:dyDescent="0.15">
      <c r="A6658" t="s">
        <v>195</v>
      </c>
      <c r="B6658">
        <v>1000063</v>
      </c>
      <c r="C6658">
        <v>346323</v>
      </c>
      <c r="F6658" s="7">
        <v>1</v>
      </c>
      <c r="G6658" s="7">
        <v>172</v>
      </c>
      <c r="H6658" s="8">
        <v>85</v>
      </c>
      <c r="J6658" t="s">
        <v>23</v>
      </c>
      <c r="K6658" s="7">
        <v>1341</v>
      </c>
      <c r="L6658" s="9">
        <v>1</v>
      </c>
      <c r="M6658" t="s">
        <v>2477</v>
      </c>
      <c r="N6658" t="s">
        <v>169</v>
      </c>
      <c r="O6658" s="27" t="str">
        <f>HYPERLINK("https://www.ncbi.nlm.nih.gov/nuccore/NZ_JNWJ01000003.1?report=graph&amp;from=224108&amp;to=224112", "TTA_codon")</f>
        <v>TTA_codon</v>
      </c>
    </row>
    <row r="6659" spans="1:15" x14ac:dyDescent="0.15">
      <c r="A6659" t="s">
        <v>21</v>
      </c>
      <c r="B6659">
        <v>1000063</v>
      </c>
      <c r="C6659">
        <v>348179</v>
      </c>
      <c r="F6659" s="7">
        <v>2</v>
      </c>
      <c r="G6659" s="7" t="s">
        <v>4757</v>
      </c>
      <c r="H6659" s="8" t="s">
        <v>4758</v>
      </c>
      <c r="J6659" t="s">
        <v>23</v>
      </c>
      <c r="K6659" s="7">
        <v>1362</v>
      </c>
      <c r="L6659" s="9">
        <v>1</v>
      </c>
      <c r="M6659" t="s">
        <v>59</v>
      </c>
      <c r="N6659" t="s">
        <v>60</v>
      </c>
      <c r="O6659" s="27" t="str">
        <f>HYPERLINK("https://www.ncbi.nlm.nih.gov/nuccore/NC_016582.1?report=graph&amp;from=2915374&amp;to=2915723", "TTA_codon")</f>
        <v>TTA_codon</v>
      </c>
    </row>
    <row r="6660" spans="1:15" x14ac:dyDescent="0.15">
      <c r="A6660" t="s">
        <v>21</v>
      </c>
      <c r="B6660">
        <v>1000063</v>
      </c>
      <c r="C6660">
        <v>348714</v>
      </c>
      <c r="F6660" s="7">
        <v>1</v>
      </c>
      <c r="G6660" s="7">
        <v>172</v>
      </c>
      <c r="H6660" s="8">
        <v>172</v>
      </c>
      <c r="J6660" t="s">
        <v>23</v>
      </c>
      <c r="K6660" s="7">
        <v>1383</v>
      </c>
      <c r="L6660" s="9">
        <v>1</v>
      </c>
      <c r="M6660" t="s">
        <v>211</v>
      </c>
      <c r="N6660" t="s">
        <v>212</v>
      </c>
      <c r="O6660" s="27" t="str">
        <f>HYPERLINK("https://www.ncbi.nlm.nih.gov/nuccore/NZ_GG657754.1?report=graph&amp;from=2491787&amp;to=2491791", "TTA_codon")</f>
        <v>TTA_codon</v>
      </c>
    </row>
    <row r="6661" spans="1:15" x14ac:dyDescent="0.15">
      <c r="A6661" t="s">
        <v>21</v>
      </c>
      <c r="B6661">
        <v>1000063</v>
      </c>
      <c r="C6661">
        <v>348896</v>
      </c>
      <c r="F6661" s="7">
        <v>1</v>
      </c>
      <c r="G6661" s="7">
        <v>220</v>
      </c>
      <c r="H6661" s="8">
        <v>157</v>
      </c>
      <c r="J6661" t="s">
        <v>23</v>
      </c>
      <c r="K6661" s="7">
        <v>1359</v>
      </c>
      <c r="L6661" s="9">
        <v>1</v>
      </c>
      <c r="M6661" t="s">
        <v>211</v>
      </c>
      <c r="N6661" t="s">
        <v>212</v>
      </c>
      <c r="O6661" s="27" t="str">
        <f>HYPERLINK("https://www.ncbi.nlm.nih.gov/nuccore/NZ_GG657754.1?report=graph&amp;from=915000&amp;to=915004", "TTA_codon")</f>
        <v>TTA_codon</v>
      </c>
    </row>
    <row r="6662" spans="1:15" x14ac:dyDescent="0.15">
      <c r="A6662" t="s">
        <v>21</v>
      </c>
      <c r="B6662">
        <v>1000063</v>
      </c>
      <c r="C6662">
        <v>360954</v>
      </c>
      <c r="F6662" s="7">
        <v>1</v>
      </c>
      <c r="G6662" s="7">
        <v>172</v>
      </c>
      <c r="H6662" s="8">
        <v>85</v>
      </c>
      <c r="J6662" t="s">
        <v>23</v>
      </c>
      <c r="K6662" s="7">
        <v>1341</v>
      </c>
      <c r="L6662" s="9">
        <v>1</v>
      </c>
      <c r="M6662" t="s">
        <v>4759</v>
      </c>
      <c r="N6662" t="s">
        <v>97</v>
      </c>
      <c r="O6662" s="27" t="str">
        <f>HYPERLINK("https://www.ncbi.nlm.nih.gov/nuccore/NZ_LOHS01000071.1?report=graph&amp;from=17695&amp;to=17699", "TTA_codon")</f>
        <v>TTA_codon</v>
      </c>
    </row>
    <row r="6663" spans="1:15" x14ac:dyDescent="0.15">
      <c r="A6663" t="s">
        <v>21</v>
      </c>
      <c r="B6663" t="s">
        <v>4760</v>
      </c>
    </row>
    <row r="6664" spans="1:15" x14ac:dyDescent="0.15">
      <c r="A6664" t="s">
        <v>21</v>
      </c>
      <c r="B6664">
        <v>1001066</v>
      </c>
      <c r="C6664">
        <v>355108</v>
      </c>
      <c r="F6664" s="7">
        <v>1</v>
      </c>
      <c r="G6664" s="7">
        <v>109</v>
      </c>
      <c r="H6664" s="8">
        <v>88</v>
      </c>
      <c r="J6664" t="s">
        <v>23</v>
      </c>
      <c r="K6664" s="7">
        <v>1158</v>
      </c>
      <c r="L6664" s="9">
        <v>-1</v>
      </c>
      <c r="M6664" t="s">
        <v>1082</v>
      </c>
      <c r="N6664" t="s">
        <v>433</v>
      </c>
      <c r="O6664" s="27" t="str">
        <f>HYPERLINK("https://www.ncbi.nlm.nih.gov/nuccore/NZ_JOBF01000004.1?report=graph&amp;from=117007&amp;to=117011", "TTA_codon")</f>
        <v>TTA_codon</v>
      </c>
    </row>
    <row r="6665" spans="1:15" x14ac:dyDescent="0.15">
      <c r="A6665" t="s">
        <v>21</v>
      </c>
      <c r="B6665">
        <v>1001066</v>
      </c>
      <c r="C6665">
        <v>358858</v>
      </c>
      <c r="F6665" s="7">
        <v>1</v>
      </c>
      <c r="G6665" s="7">
        <v>220</v>
      </c>
      <c r="H6665" s="8">
        <v>196</v>
      </c>
      <c r="J6665" t="s">
        <v>23</v>
      </c>
      <c r="K6665" s="7">
        <v>1032</v>
      </c>
      <c r="L6665" s="9">
        <v>-1</v>
      </c>
      <c r="M6665" t="s">
        <v>2618</v>
      </c>
      <c r="N6665" t="s">
        <v>87</v>
      </c>
      <c r="O6665" s="27" t="str">
        <f>HYPERLINK("https://www.ncbi.nlm.nih.gov/nuccore/NZ_LIQS01000290.1?report=graph&amp;from=28049&amp;to=28053", "TTA_codon")</f>
        <v>TTA_codon</v>
      </c>
    </row>
    <row r="6666" spans="1:15" x14ac:dyDescent="0.15">
      <c r="A6666" t="s">
        <v>21</v>
      </c>
      <c r="B6666" t="s">
        <v>4761</v>
      </c>
    </row>
    <row r="6667" spans="1:15" x14ac:dyDescent="0.15">
      <c r="A6667" t="s">
        <v>21</v>
      </c>
      <c r="B6667">
        <v>1000751</v>
      </c>
      <c r="C6667">
        <v>351446</v>
      </c>
      <c r="F6667" s="7">
        <v>3</v>
      </c>
      <c r="G6667" s="7" t="s">
        <v>4762</v>
      </c>
      <c r="H6667" s="8" t="s">
        <v>4763</v>
      </c>
      <c r="J6667" t="s">
        <v>23</v>
      </c>
      <c r="K6667" s="7">
        <v>2094</v>
      </c>
      <c r="L6667" s="9">
        <v>1</v>
      </c>
      <c r="M6667" t="s">
        <v>65</v>
      </c>
      <c r="N6667" t="s">
        <v>66</v>
      </c>
      <c r="O6667" s="27" t="str">
        <f>HYPERLINK("https://www.ncbi.nlm.nih.gov/nuccore/NC_020504.1?report=graph&amp;from=2509397&amp;to=2509809", "TTA_codon")</f>
        <v>TTA_codon</v>
      </c>
    </row>
    <row r="6668" spans="1:15" x14ac:dyDescent="0.15">
      <c r="A6668" t="s">
        <v>21</v>
      </c>
      <c r="B6668">
        <v>1000751</v>
      </c>
      <c r="C6668">
        <v>354632</v>
      </c>
      <c r="F6668" s="7">
        <v>4</v>
      </c>
      <c r="G6668" s="7" t="s">
        <v>4764</v>
      </c>
      <c r="H6668" s="8" t="s">
        <v>4765</v>
      </c>
      <c r="J6668" t="s">
        <v>23</v>
      </c>
      <c r="K6668" s="7">
        <v>2196</v>
      </c>
      <c r="L6668" s="9">
        <v>1</v>
      </c>
      <c r="M6668" t="s">
        <v>1702</v>
      </c>
      <c r="N6668" t="s">
        <v>272</v>
      </c>
      <c r="O6668" s="27" t="str">
        <f>HYPERLINK("https://www.ncbi.nlm.nih.gov/nuccore/NZ_JOEY01000015.1?report=graph&amp;from=192994&amp;to=194231", "TTA_codon")</f>
        <v>TTA_codon</v>
      </c>
    </row>
    <row r="6669" spans="1:15" x14ac:dyDescent="0.15">
      <c r="A6669" t="s">
        <v>21</v>
      </c>
      <c r="B6669" t="s">
        <v>4766</v>
      </c>
    </row>
    <row r="6670" spans="1:15" x14ac:dyDescent="0.15">
      <c r="A6670" t="s">
        <v>21</v>
      </c>
      <c r="B6670">
        <v>1001322</v>
      </c>
      <c r="C6670">
        <v>352460</v>
      </c>
      <c r="F6670" s="7">
        <v>1</v>
      </c>
      <c r="G6670" s="7">
        <v>1207</v>
      </c>
      <c r="H6670" s="8">
        <v>697</v>
      </c>
      <c r="J6670" t="s">
        <v>23</v>
      </c>
      <c r="K6670" s="7">
        <v>1854</v>
      </c>
      <c r="L6670" s="9">
        <v>-1</v>
      </c>
      <c r="M6670" t="s">
        <v>30</v>
      </c>
      <c r="N6670" t="s">
        <v>31</v>
      </c>
      <c r="O6670" s="27" t="str">
        <f>HYPERLINK("https://www.ncbi.nlm.nih.gov/nuccore/NZ_KB913030.1?report=graph&amp;from=2185904&amp;to=2185908", "TTA_codon")</f>
        <v>TTA_codon</v>
      </c>
    </row>
    <row r="6671" spans="1:15" x14ac:dyDescent="0.15">
      <c r="A6671" t="s">
        <v>21</v>
      </c>
      <c r="B6671">
        <v>1001322</v>
      </c>
      <c r="C6671">
        <v>353558</v>
      </c>
      <c r="F6671" s="7">
        <v>1</v>
      </c>
      <c r="G6671" s="7">
        <v>1381</v>
      </c>
      <c r="H6671" s="8">
        <v>871</v>
      </c>
      <c r="J6671" t="s">
        <v>23</v>
      </c>
      <c r="K6671" s="7">
        <v>1941</v>
      </c>
      <c r="L6671" s="9">
        <v>-1</v>
      </c>
      <c r="M6671" t="s">
        <v>4767</v>
      </c>
      <c r="N6671" t="s">
        <v>140</v>
      </c>
      <c r="O6671" s="27" t="str">
        <f>HYPERLINK("https://www.ncbi.nlm.nih.gov/nuccore/NZ_JNXG01000026.1?report=graph&amp;from=15007&amp;to=15011", "TTA_codon")</f>
        <v>TTA_codon</v>
      </c>
    </row>
    <row r="6672" spans="1:15" x14ac:dyDescent="0.15">
      <c r="A6672" t="s">
        <v>21</v>
      </c>
      <c r="B6672">
        <v>1001322</v>
      </c>
      <c r="C6672">
        <v>354341</v>
      </c>
      <c r="F6672" s="7">
        <v>2</v>
      </c>
      <c r="G6672" s="7" t="s">
        <v>4768</v>
      </c>
      <c r="H6672" s="8" t="s">
        <v>4769</v>
      </c>
      <c r="J6672" t="s">
        <v>23</v>
      </c>
      <c r="K6672" s="7">
        <v>2085</v>
      </c>
      <c r="L6672" s="9">
        <v>-1</v>
      </c>
      <c r="M6672" t="s">
        <v>2406</v>
      </c>
      <c r="N6672" t="s">
        <v>142</v>
      </c>
      <c r="O6672" s="27" t="str">
        <f>HYPERLINK("https://www.ncbi.nlm.nih.gov/nuccore/NZ_JOEI01000012.1?report=graph&amp;from=2299&amp;to=3179", "TTA_codon")</f>
        <v>TTA_codon</v>
      </c>
    </row>
    <row r="6673" spans="1:15" x14ac:dyDescent="0.15">
      <c r="A6673" t="s">
        <v>21</v>
      </c>
      <c r="B6673">
        <v>1001322</v>
      </c>
      <c r="C6673">
        <v>359847</v>
      </c>
      <c r="F6673" s="7">
        <v>1</v>
      </c>
      <c r="G6673" s="7">
        <v>226</v>
      </c>
      <c r="H6673" s="8">
        <v>169</v>
      </c>
      <c r="J6673" t="s">
        <v>23</v>
      </c>
      <c r="K6673" s="7">
        <v>1998</v>
      </c>
      <c r="L6673" s="9">
        <v>-1</v>
      </c>
      <c r="M6673" t="s">
        <v>641</v>
      </c>
      <c r="N6673" t="s">
        <v>91</v>
      </c>
      <c r="O6673" s="27" t="str">
        <f>HYPERLINK("https://www.ncbi.nlm.nih.gov/nuccore/NZ_KQ948308.1?report=graph&amp;from=452001&amp;to=452005", "TTA_codon")</f>
        <v>TTA_codon</v>
      </c>
    </row>
    <row r="6674" spans="1:15" x14ac:dyDescent="0.15">
      <c r="A6674" t="s">
        <v>21</v>
      </c>
      <c r="B6674">
        <v>1001322</v>
      </c>
      <c r="C6674">
        <v>360018</v>
      </c>
      <c r="F6674" s="7">
        <v>2</v>
      </c>
      <c r="G6674" s="7" t="s">
        <v>4770</v>
      </c>
      <c r="H6674" s="8" t="s">
        <v>4771</v>
      </c>
      <c r="J6674" t="s">
        <v>23</v>
      </c>
      <c r="K6674" s="7">
        <v>2283</v>
      </c>
      <c r="L6674" s="9">
        <v>-1</v>
      </c>
      <c r="M6674" t="s">
        <v>312</v>
      </c>
      <c r="N6674" t="s">
        <v>125</v>
      </c>
      <c r="O6674" s="27" t="str">
        <f>HYPERLINK("https://www.ncbi.nlm.nih.gov/nuccore/NZ_KQ948456.1?report=graph&amp;from=246029&amp;to=246051", "TTA_codon")</f>
        <v>TTA_codon</v>
      </c>
    </row>
    <row r="6675" spans="1:15" x14ac:dyDescent="0.15">
      <c r="A6675" t="s">
        <v>21</v>
      </c>
      <c r="B6675">
        <v>1001322</v>
      </c>
      <c r="C6675">
        <v>365320</v>
      </c>
      <c r="F6675" s="7">
        <v>1</v>
      </c>
      <c r="G6675" s="7">
        <v>1381</v>
      </c>
      <c r="H6675" s="8">
        <v>856</v>
      </c>
      <c r="J6675" t="s">
        <v>23</v>
      </c>
      <c r="K6675" s="7">
        <v>1887</v>
      </c>
      <c r="L6675" s="9">
        <v>-1</v>
      </c>
      <c r="M6675" t="s">
        <v>4772</v>
      </c>
      <c r="N6675" t="s">
        <v>129</v>
      </c>
      <c r="O6675" s="27" t="str">
        <f>HYPERLINK("https://www.ncbi.nlm.nih.gov/nuccore/NZ_FNHI01000013.1?report=graph&amp;from=223306&amp;to=223310", "TTA_codon")</f>
        <v>TTA_codon</v>
      </c>
    </row>
    <row r="6676" spans="1:15" x14ac:dyDescent="0.15">
      <c r="A6676" t="s">
        <v>21</v>
      </c>
      <c r="B6676" t="s">
        <v>4773</v>
      </c>
    </row>
    <row r="6677" spans="1:15" x14ac:dyDescent="0.15">
      <c r="A6677" t="s">
        <v>21</v>
      </c>
      <c r="B6677">
        <v>1001034</v>
      </c>
      <c r="C6677">
        <v>354631</v>
      </c>
      <c r="F6677" s="7">
        <v>1</v>
      </c>
      <c r="G6677" s="7">
        <v>244</v>
      </c>
      <c r="H6677" s="8">
        <v>118</v>
      </c>
      <c r="J6677" t="s">
        <v>23</v>
      </c>
      <c r="K6677" s="7">
        <v>408</v>
      </c>
      <c r="L6677" s="9">
        <v>-1</v>
      </c>
      <c r="M6677" t="s">
        <v>4774</v>
      </c>
      <c r="N6677" t="s">
        <v>272</v>
      </c>
      <c r="O6677" s="27" t="str">
        <f>HYPERLINK("https://www.ncbi.nlm.nih.gov/nuccore/NZ_JOEY01000100.1?report=graph&amp;from=21724&amp;to=21728", "TTA_codon")</f>
        <v>TTA_codon</v>
      </c>
    </row>
    <row r="6678" spans="1:15" x14ac:dyDescent="0.15">
      <c r="A6678" t="s">
        <v>21</v>
      </c>
      <c r="B6678">
        <v>1001034</v>
      </c>
      <c r="C6678">
        <v>357442</v>
      </c>
      <c r="F6678" s="7">
        <v>1</v>
      </c>
      <c r="G6678" s="7">
        <v>202</v>
      </c>
      <c r="H6678" s="8">
        <v>133</v>
      </c>
      <c r="J6678" t="s">
        <v>23</v>
      </c>
      <c r="K6678" s="7">
        <v>465</v>
      </c>
      <c r="L6678" s="9">
        <v>-1</v>
      </c>
      <c r="M6678" t="s">
        <v>80</v>
      </c>
      <c r="N6678" t="s">
        <v>81</v>
      </c>
      <c r="O6678" s="27" t="str">
        <f>HYPERLINK("https://www.ncbi.nlm.nih.gov/nuccore/NZ_LN831790.1?report=graph&amp;from=1883887&amp;to=1883891", "TTA_codon")</f>
        <v>TTA_codon</v>
      </c>
    </row>
    <row r="6679" spans="1:15" x14ac:dyDescent="0.15">
      <c r="A6679" t="s">
        <v>21</v>
      </c>
      <c r="B6679">
        <v>1001034</v>
      </c>
      <c r="C6679">
        <v>359327</v>
      </c>
      <c r="F6679" s="7">
        <v>1</v>
      </c>
      <c r="G6679" s="7">
        <v>370</v>
      </c>
      <c r="H6679" s="8">
        <v>304</v>
      </c>
      <c r="J6679" t="s">
        <v>23</v>
      </c>
      <c r="K6679" s="7">
        <v>468</v>
      </c>
      <c r="L6679" s="9">
        <v>-1</v>
      </c>
      <c r="M6679" t="s">
        <v>4775</v>
      </c>
      <c r="N6679" t="s">
        <v>89</v>
      </c>
      <c r="O6679" s="27" t="str">
        <f>HYPERLINK("https://www.ncbi.nlm.nih.gov/nuccore/NZ_LIRG01000702.1?report=graph&amp;from=3555&amp;to=3559", "TTA_codon")</f>
        <v>TTA_codon</v>
      </c>
    </row>
    <row r="6680" spans="1:15" x14ac:dyDescent="0.15">
      <c r="A6680" t="s">
        <v>21</v>
      </c>
      <c r="B6680">
        <v>1001034</v>
      </c>
      <c r="C6680">
        <v>360133</v>
      </c>
      <c r="F6680" s="7">
        <v>1</v>
      </c>
      <c r="G6680" s="7">
        <v>244</v>
      </c>
      <c r="H6680" s="8">
        <v>118</v>
      </c>
      <c r="J6680" t="s">
        <v>23</v>
      </c>
      <c r="K6680" s="7">
        <v>408</v>
      </c>
      <c r="L6680" s="9">
        <v>-1</v>
      </c>
      <c r="M6680" t="s">
        <v>1599</v>
      </c>
      <c r="N6680" t="s">
        <v>125</v>
      </c>
      <c r="O6680" s="27" t="str">
        <f>HYPERLINK("https://www.ncbi.nlm.nih.gov/nuccore/NZ_KQ948463.1?report=graph&amp;from=85072&amp;to=85076", "TTA_codon")</f>
        <v>TTA_codon</v>
      </c>
    </row>
    <row r="6681" spans="1:15" x14ac:dyDescent="0.15">
      <c r="A6681" t="s">
        <v>21</v>
      </c>
      <c r="B6681">
        <v>1001034</v>
      </c>
      <c r="C6681">
        <v>360969</v>
      </c>
      <c r="F6681" s="7">
        <v>1</v>
      </c>
      <c r="G6681" s="7">
        <v>463</v>
      </c>
      <c r="H6681" s="8">
        <v>340</v>
      </c>
      <c r="J6681" t="s">
        <v>23</v>
      </c>
      <c r="K6681" s="7">
        <v>417</v>
      </c>
      <c r="L6681" s="9">
        <v>-1</v>
      </c>
      <c r="M6681" t="s">
        <v>4776</v>
      </c>
      <c r="N6681" t="s">
        <v>97</v>
      </c>
      <c r="O6681" s="27" t="str">
        <f>HYPERLINK("https://www.ncbi.nlm.nih.gov/nuccore/NZ_LOHS01000163.1?report=graph&amp;from=3724&amp;to=3728", "TTA_codon")</f>
        <v>TTA_codon</v>
      </c>
    </row>
    <row r="6682" spans="1:15" x14ac:dyDescent="0.15">
      <c r="A6682" t="s">
        <v>21</v>
      </c>
      <c r="B6682">
        <v>1001034</v>
      </c>
      <c r="C6682">
        <v>363292</v>
      </c>
      <c r="F6682" s="7">
        <v>1</v>
      </c>
      <c r="G6682" s="7">
        <v>112</v>
      </c>
      <c r="H6682" s="8">
        <v>46</v>
      </c>
      <c r="J6682" t="s">
        <v>23</v>
      </c>
      <c r="K6682" s="7">
        <v>468</v>
      </c>
      <c r="L6682" s="9">
        <v>-1</v>
      </c>
      <c r="M6682" t="s">
        <v>1495</v>
      </c>
      <c r="N6682" t="s">
        <v>28</v>
      </c>
      <c r="O6682" s="27" t="str">
        <f>HYPERLINK("https://www.ncbi.nlm.nih.gov/nuccore/NZ_JUJA01000158.1?report=graph&amp;from=100032&amp;to=100036", "TTA_codon")</f>
        <v>TTA_codon</v>
      </c>
    </row>
    <row r="6683" spans="1:15" x14ac:dyDescent="0.15">
      <c r="A6683" t="s">
        <v>21</v>
      </c>
      <c r="B6683">
        <v>1001034</v>
      </c>
      <c r="C6683">
        <v>365245</v>
      </c>
      <c r="F6683" s="7">
        <v>1</v>
      </c>
      <c r="G6683" s="7">
        <v>232</v>
      </c>
      <c r="H6683" s="8">
        <v>226</v>
      </c>
      <c r="J6683" t="s">
        <v>23</v>
      </c>
      <c r="K6683" s="7">
        <v>534</v>
      </c>
      <c r="L6683" s="9">
        <v>-1</v>
      </c>
      <c r="M6683" t="s">
        <v>1277</v>
      </c>
      <c r="N6683" t="s">
        <v>347</v>
      </c>
      <c r="O6683" s="27" t="str">
        <f>HYPERLINK("https://www.ncbi.nlm.nih.gov/nuccore/NZ_FNFF01000001.1?report=graph&amp;from=1405028&amp;to=1405032", "TTA_codon")</f>
        <v>TTA_codon</v>
      </c>
    </row>
    <row r="6684" spans="1:15" x14ac:dyDescent="0.15">
      <c r="A6684" t="s">
        <v>195</v>
      </c>
      <c r="B6684" t="s">
        <v>4777</v>
      </c>
    </row>
    <row r="6685" spans="1:15" x14ac:dyDescent="0.15">
      <c r="A6685" t="s">
        <v>195</v>
      </c>
      <c r="B6685">
        <v>1000061</v>
      </c>
      <c r="C6685">
        <v>346317</v>
      </c>
      <c r="F6685" s="7">
        <v>1</v>
      </c>
      <c r="G6685" s="7">
        <v>646</v>
      </c>
      <c r="H6685" s="8">
        <v>631</v>
      </c>
      <c r="J6685" t="s">
        <v>23</v>
      </c>
      <c r="K6685" s="7">
        <v>1218</v>
      </c>
      <c r="L6685" s="9">
        <v>-1</v>
      </c>
      <c r="M6685" t="s">
        <v>4778</v>
      </c>
      <c r="N6685" t="s">
        <v>306</v>
      </c>
      <c r="O6685" s="27" t="str">
        <f>HYPERLINK("https://www.ncbi.nlm.nih.gov/nuccore/NZ_KL571102.1?report=graph&amp;from=5364&amp;to=5368", "TTA_codon")</f>
        <v>TTA_codon</v>
      </c>
    </row>
    <row r="6686" spans="1:15" x14ac:dyDescent="0.15">
      <c r="A6686" t="s">
        <v>21</v>
      </c>
      <c r="B6686">
        <v>1000061</v>
      </c>
      <c r="C6686">
        <v>354164</v>
      </c>
      <c r="F6686" s="7">
        <v>1</v>
      </c>
      <c r="G6686" s="7">
        <v>646</v>
      </c>
      <c r="H6686" s="8">
        <v>637</v>
      </c>
      <c r="J6686" t="s">
        <v>23</v>
      </c>
      <c r="K6686" s="7">
        <v>1131</v>
      </c>
      <c r="L6686" s="9">
        <v>-1</v>
      </c>
      <c r="M6686" t="s">
        <v>4471</v>
      </c>
      <c r="N6686" t="s">
        <v>361</v>
      </c>
      <c r="O6686" s="27" t="str">
        <f>HYPERLINK("https://www.ncbi.nlm.nih.gov/nuccore/NZ_JODY01000022.1?report=graph&amp;from=25156&amp;to=25160", "TTA_codon")</f>
        <v>TTA_codon</v>
      </c>
    </row>
    <row r="6687" spans="1:15" x14ac:dyDescent="0.15">
      <c r="A6687" t="s">
        <v>21</v>
      </c>
      <c r="B6687" t="s">
        <v>4779</v>
      </c>
    </row>
    <row r="6688" spans="1:15" x14ac:dyDescent="0.15">
      <c r="A6688" t="s">
        <v>21</v>
      </c>
      <c r="B6688">
        <v>1001266</v>
      </c>
      <c r="C6688">
        <v>358163</v>
      </c>
      <c r="F6688" s="7">
        <v>1</v>
      </c>
      <c r="G6688" s="7">
        <v>610</v>
      </c>
      <c r="H6688" s="8">
        <v>610</v>
      </c>
      <c r="J6688" t="s">
        <v>23</v>
      </c>
      <c r="K6688" s="7">
        <v>897</v>
      </c>
      <c r="L6688" s="9">
        <v>-1</v>
      </c>
      <c r="M6688" t="s">
        <v>4780</v>
      </c>
      <c r="N6688" t="s">
        <v>119</v>
      </c>
      <c r="O6688" s="27" t="str">
        <f>HYPERLINK("https://www.ncbi.nlm.nih.gov/nuccore/NZ_LIPP01000134.1?report=graph&amp;from=1331&amp;to=1335", "TTA_codon")</f>
        <v>TTA_codon</v>
      </c>
    </row>
    <row r="6689" spans="1:15" x14ac:dyDescent="0.15">
      <c r="A6689" t="s">
        <v>21</v>
      </c>
      <c r="B6689">
        <v>1001266</v>
      </c>
      <c r="C6689">
        <v>359139</v>
      </c>
      <c r="F6689" s="7">
        <v>1</v>
      </c>
      <c r="G6689" s="7">
        <v>610</v>
      </c>
      <c r="H6689" s="8">
        <v>607</v>
      </c>
      <c r="J6689" t="s">
        <v>23</v>
      </c>
      <c r="K6689" s="7">
        <v>894</v>
      </c>
      <c r="L6689" s="9">
        <v>-1</v>
      </c>
      <c r="M6689" t="s">
        <v>4781</v>
      </c>
      <c r="N6689" t="s">
        <v>451</v>
      </c>
      <c r="O6689" s="27" t="str">
        <f>HYPERLINK("https://www.ncbi.nlm.nih.gov/nuccore/NZ_LIQZ01000532.1?report=graph&amp;from=1614&amp;to=1618", "TTA_codon")</f>
        <v>TTA_codon</v>
      </c>
    </row>
    <row r="6690" spans="1:15" x14ac:dyDescent="0.15">
      <c r="A6690" t="s">
        <v>21</v>
      </c>
      <c r="B6690" t="s">
        <v>4782</v>
      </c>
    </row>
    <row r="6691" spans="1:15" x14ac:dyDescent="0.15">
      <c r="A6691" t="s">
        <v>21</v>
      </c>
      <c r="B6691">
        <v>1000238</v>
      </c>
      <c r="C6691">
        <v>347622</v>
      </c>
      <c r="F6691" s="7">
        <v>2</v>
      </c>
      <c r="G6691" s="7" t="s">
        <v>4783</v>
      </c>
      <c r="H6691" s="8" t="s">
        <v>4784</v>
      </c>
      <c r="J6691" t="s">
        <v>23</v>
      </c>
      <c r="K6691" s="7">
        <v>1104</v>
      </c>
      <c r="L6691" s="9">
        <v>1</v>
      </c>
      <c r="M6691" t="s">
        <v>55</v>
      </c>
      <c r="N6691" t="s">
        <v>56</v>
      </c>
      <c r="O6691" s="27" t="str">
        <f>HYPERLINK("https://www.ncbi.nlm.nih.gov/nuccore/NC_010572.1?report=graph&amp;from=7631881&amp;to=7631900", "TTA_codon")</f>
        <v>TTA_codon</v>
      </c>
    </row>
    <row r="6692" spans="1:15" x14ac:dyDescent="0.15">
      <c r="A6692" t="s">
        <v>21</v>
      </c>
      <c r="B6692">
        <v>1000238</v>
      </c>
      <c r="C6692">
        <v>352750</v>
      </c>
      <c r="F6692" s="7">
        <v>1</v>
      </c>
      <c r="G6692" s="7">
        <v>664</v>
      </c>
      <c r="H6692" s="8">
        <v>637</v>
      </c>
      <c r="J6692" t="s">
        <v>23</v>
      </c>
      <c r="K6692" s="7">
        <v>1173</v>
      </c>
      <c r="L6692" s="9">
        <v>1</v>
      </c>
      <c r="M6692" t="s">
        <v>472</v>
      </c>
      <c r="N6692" t="s">
        <v>473</v>
      </c>
      <c r="O6692" s="27" t="str">
        <f>HYPERLINK("https://www.ncbi.nlm.nih.gov/nuccore/NZ_ASHX02000001.1?report=graph&amp;from=888537&amp;to=888541", "TTA_codon")</f>
        <v>TTA_codon</v>
      </c>
    </row>
    <row r="6693" spans="1:15" x14ac:dyDescent="0.15">
      <c r="A6693" t="s">
        <v>21</v>
      </c>
      <c r="B6693" t="s">
        <v>4785</v>
      </c>
    </row>
    <row r="6694" spans="1:15" x14ac:dyDescent="0.15">
      <c r="A6694" t="s">
        <v>21</v>
      </c>
      <c r="B6694">
        <v>1000419</v>
      </c>
      <c r="C6694">
        <v>348623</v>
      </c>
      <c r="F6694" s="7">
        <v>1</v>
      </c>
      <c r="G6694" s="7">
        <v>811</v>
      </c>
      <c r="H6694" s="8">
        <v>811</v>
      </c>
      <c r="J6694" t="s">
        <v>23</v>
      </c>
      <c r="K6694" s="7">
        <v>951</v>
      </c>
      <c r="L6694" s="9">
        <v>1</v>
      </c>
      <c r="M6694" t="s">
        <v>61</v>
      </c>
      <c r="N6694" t="s">
        <v>62</v>
      </c>
      <c r="O6694" s="27" t="str">
        <f>HYPERLINK("https://www.ncbi.nlm.nih.gov/nuccore/NZ_DS999641.1?report=graph&amp;from=5302825&amp;to=5302829", "TTA_codon")</f>
        <v>TTA_codon</v>
      </c>
    </row>
    <row r="6695" spans="1:15" x14ac:dyDescent="0.15">
      <c r="A6695" t="s">
        <v>21</v>
      </c>
      <c r="B6695">
        <v>1000419</v>
      </c>
      <c r="C6695">
        <v>359418</v>
      </c>
      <c r="F6695" s="7">
        <v>1</v>
      </c>
      <c r="G6695" s="7">
        <v>730</v>
      </c>
      <c r="H6695" s="8">
        <v>727</v>
      </c>
      <c r="J6695" t="s">
        <v>23</v>
      </c>
      <c r="K6695" s="7">
        <v>948</v>
      </c>
      <c r="L6695" s="9">
        <v>1</v>
      </c>
      <c r="M6695" t="s">
        <v>4786</v>
      </c>
      <c r="N6695" t="s">
        <v>89</v>
      </c>
      <c r="O6695" s="27" t="str">
        <f>HYPERLINK("https://www.ncbi.nlm.nih.gov/nuccore/NZ_LIRG01000115.1?report=graph&amp;from=16804&amp;to=16808", "TTA_codon")</f>
        <v>TTA_codon</v>
      </c>
    </row>
    <row r="6696" spans="1:15" x14ac:dyDescent="0.15">
      <c r="A6696" t="s">
        <v>21</v>
      </c>
      <c r="B6696" t="s">
        <v>4787</v>
      </c>
    </row>
    <row r="6697" spans="1:15" x14ac:dyDescent="0.15">
      <c r="A6697" t="s">
        <v>21</v>
      </c>
      <c r="B6697">
        <v>1001154</v>
      </c>
      <c r="C6697">
        <v>356252</v>
      </c>
      <c r="F6697" s="7">
        <v>2</v>
      </c>
      <c r="G6697" s="7" t="s">
        <v>4788</v>
      </c>
      <c r="H6697" s="8" t="s">
        <v>4788</v>
      </c>
      <c r="J6697" t="s">
        <v>23</v>
      </c>
      <c r="K6697" s="7">
        <v>1503</v>
      </c>
      <c r="L6697" s="9">
        <v>-1</v>
      </c>
      <c r="M6697" t="s">
        <v>1459</v>
      </c>
      <c r="N6697" t="s">
        <v>77</v>
      </c>
      <c r="O6697" s="27" t="str">
        <f>HYPERLINK("https://www.ncbi.nlm.nih.gov/nuccore/NZ_JNXD01000005.1?report=graph&amp;from=153872&amp;to=154215", "TTA_codon")</f>
        <v>TTA_codon</v>
      </c>
    </row>
    <row r="6698" spans="1:15" x14ac:dyDescent="0.15">
      <c r="A6698" t="s">
        <v>21</v>
      </c>
      <c r="B6698">
        <v>1001154</v>
      </c>
      <c r="C6698">
        <v>357863</v>
      </c>
      <c r="F6698" s="7">
        <v>2</v>
      </c>
      <c r="G6698" s="7" t="s">
        <v>4788</v>
      </c>
      <c r="H6698" s="8" t="s">
        <v>4789</v>
      </c>
      <c r="J6698" t="s">
        <v>23</v>
      </c>
      <c r="K6698" s="7">
        <v>1500</v>
      </c>
      <c r="L6698" s="9">
        <v>-1</v>
      </c>
      <c r="M6698" t="s">
        <v>4790</v>
      </c>
      <c r="N6698" t="s">
        <v>83</v>
      </c>
      <c r="O6698" s="27" t="str">
        <f>HYPERLINK("https://www.ncbi.nlm.nih.gov/nuccore/NZ_DF968261.1?report=graph&amp;from=40843&amp;to=41186", "TTA_codon")</f>
        <v>TTA_codon</v>
      </c>
    </row>
    <row r="6699" spans="1:15" x14ac:dyDescent="0.15">
      <c r="A6699" t="s">
        <v>21</v>
      </c>
      <c r="B6699" t="s">
        <v>4791</v>
      </c>
    </row>
    <row r="6700" spans="1:15" x14ac:dyDescent="0.15">
      <c r="A6700" t="s">
        <v>21</v>
      </c>
      <c r="B6700">
        <v>1000512</v>
      </c>
      <c r="C6700">
        <v>349433</v>
      </c>
      <c r="F6700" s="7">
        <v>1</v>
      </c>
      <c r="G6700" s="7">
        <v>43</v>
      </c>
      <c r="H6700" s="8">
        <v>43</v>
      </c>
      <c r="J6700" t="s">
        <v>23</v>
      </c>
      <c r="K6700" s="7">
        <v>264</v>
      </c>
      <c r="L6700" s="9">
        <v>1</v>
      </c>
      <c r="M6700" t="s">
        <v>458</v>
      </c>
      <c r="N6700" t="s">
        <v>315</v>
      </c>
      <c r="O6700" s="27" t="str">
        <f>HYPERLINK("https://www.ncbi.nlm.nih.gov/nuccore/NC_003888.3?report=graph&amp;from=4384491&amp;to=4384495", "TTA_codon")</f>
        <v>TTA_codon</v>
      </c>
    </row>
    <row r="6701" spans="1:15" x14ac:dyDescent="0.15">
      <c r="A6701" t="s">
        <v>21</v>
      </c>
      <c r="B6701">
        <v>1000512</v>
      </c>
      <c r="C6701">
        <v>363489</v>
      </c>
      <c r="F6701" s="7">
        <v>1</v>
      </c>
      <c r="G6701" s="7">
        <v>43</v>
      </c>
      <c r="H6701" s="8">
        <v>43</v>
      </c>
      <c r="J6701" t="s">
        <v>23</v>
      </c>
      <c r="K6701" s="7">
        <v>264</v>
      </c>
      <c r="L6701" s="9">
        <v>1</v>
      </c>
      <c r="M6701" t="s">
        <v>157</v>
      </c>
      <c r="N6701" t="s">
        <v>158</v>
      </c>
      <c r="O6701" s="27" t="str">
        <f>HYPERLINK("https://www.ncbi.nlm.nih.gov/nuccore/NZ_CP015588.1?report=graph&amp;from=4902549&amp;to=4902553", "TTA_codon")</f>
        <v>TTA_codon</v>
      </c>
    </row>
    <row r="6702" spans="1:15" x14ac:dyDescent="0.15">
      <c r="A6702" t="s">
        <v>195</v>
      </c>
      <c r="B6702" t="s">
        <v>4792</v>
      </c>
    </row>
    <row r="6703" spans="1:15" x14ac:dyDescent="0.15">
      <c r="A6703" t="s">
        <v>195</v>
      </c>
      <c r="B6703">
        <v>1000138</v>
      </c>
      <c r="C6703">
        <v>346963</v>
      </c>
      <c r="F6703" s="7">
        <v>1</v>
      </c>
      <c r="G6703" s="7">
        <v>559</v>
      </c>
      <c r="H6703" s="8">
        <v>169</v>
      </c>
      <c r="J6703" t="s">
        <v>23</v>
      </c>
      <c r="K6703" s="7">
        <v>600</v>
      </c>
      <c r="L6703" s="9">
        <v>1</v>
      </c>
      <c r="M6703" t="s">
        <v>157</v>
      </c>
      <c r="N6703" t="s">
        <v>158</v>
      </c>
      <c r="O6703" s="27" t="str">
        <f>HYPERLINK("https://www.ncbi.nlm.nih.gov/nuccore/NZ_CP015588.1?report=graph&amp;from=24519&amp;to=24523", "TTA_codon")</f>
        <v>TTA_codon</v>
      </c>
    </row>
    <row r="6704" spans="1:15" x14ac:dyDescent="0.15">
      <c r="A6704" t="s">
        <v>195</v>
      </c>
      <c r="B6704">
        <v>1000138</v>
      </c>
      <c r="C6704">
        <v>347094</v>
      </c>
      <c r="F6704" s="7">
        <v>1</v>
      </c>
      <c r="G6704" s="7">
        <v>766</v>
      </c>
      <c r="H6704" s="8">
        <v>376</v>
      </c>
      <c r="J6704" t="s">
        <v>23</v>
      </c>
      <c r="K6704" s="7">
        <v>621</v>
      </c>
      <c r="L6704" s="9">
        <v>1</v>
      </c>
      <c r="M6704" t="s">
        <v>111</v>
      </c>
      <c r="N6704" t="s">
        <v>112</v>
      </c>
      <c r="O6704" s="27" t="str">
        <f>HYPERLINK("https://www.ncbi.nlm.nih.gov/nuccore/NZ_CP021744.1?report=graph&amp;from=8125752&amp;to=8125756", "TTA_codon")</f>
        <v>TTA_codon</v>
      </c>
    </row>
    <row r="6705" spans="1:15" x14ac:dyDescent="0.15">
      <c r="A6705" t="s">
        <v>195</v>
      </c>
      <c r="B6705">
        <v>1000138</v>
      </c>
      <c r="C6705">
        <v>347211</v>
      </c>
      <c r="F6705" s="7">
        <v>1</v>
      </c>
      <c r="G6705" s="7">
        <v>766</v>
      </c>
      <c r="H6705" s="8">
        <v>373</v>
      </c>
      <c r="J6705" t="s">
        <v>23</v>
      </c>
      <c r="K6705" s="7">
        <v>600</v>
      </c>
      <c r="L6705" s="9">
        <v>1</v>
      </c>
      <c r="M6705" t="s">
        <v>1923</v>
      </c>
      <c r="N6705" t="s">
        <v>83</v>
      </c>
      <c r="O6705" s="27" t="str">
        <f>HYPERLINK("https://www.ncbi.nlm.nih.gov/nuccore/NZ_DF968239.1?report=graph&amp;from=35270&amp;to=35274", "TTA_codon")</f>
        <v>TTA_codon</v>
      </c>
    </row>
    <row r="6706" spans="1:15" x14ac:dyDescent="0.15">
      <c r="A6706" t="s">
        <v>195</v>
      </c>
      <c r="B6706">
        <v>1000138</v>
      </c>
      <c r="C6706">
        <v>347216</v>
      </c>
      <c r="F6706" s="7">
        <v>1</v>
      </c>
      <c r="G6706" s="7">
        <v>766</v>
      </c>
      <c r="H6706" s="8">
        <v>376</v>
      </c>
      <c r="J6706" t="s">
        <v>23</v>
      </c>
      <c r="K6706" s="7">
        <v>621</v>
      </c>
      <c r="L6706" s="9">
        <v>1</v>
      </c>
      <c r="M6706" t="s">
        <v>32</v>
      </c>
      <c r="N6706" t="s">
        <v>33</v>
      </c>
      <c r="O6706" s="27" t="str">
        <f>HYPERLINK("https://www.ncbi.nlm.nih.gov/nuccore/NZ_CP017248.1?report=graph&amp;from=233833&amp;to=233837", "TTA_codon")</f>
        <v>TTA_codon</v>
      </c>
    </row>
    <row r="6707" spans="1:15" x14ac:dyDescent="0.15">
      <c r="A6707" t="s">
        <v>21</v>
      </c>
      <c r="B6707">
        <v>1000138</v>
      </c>
      <c r="C6707">
        <v>348706</v>
      </c>
      <c r="F6707" s="7">
        <v>1</v>
      </c>
      <c r="G6707" s="7">
        <v>676</v>
      </c>
      <c r="H6707" s="8">
        <v>280</v>
      </c>
      <c r="J6707" t="s">
        <v>23</v>
      </c>
      <c r="K6707" s="7">
        <v>612</v>
      </c>
      <c r="L6707" s="9">
        <v>1</v>
      </c>
      <c r="M6707" t="s">
        <v>211</v>
      </c>
      <c r="N6707" t="s">
        <v>212</v>
      </c>
      <c r="O6707" s="27" t="str">
        <f>HYPERLINK("https://www.ncbi.nlm.nih.gov/nuccore/NZ_GG657754.1?report=graph&amp;from=5068651&amp;to=5068655", "TTA_codon")</f>
        <v>TTA_codon</v>
      </c>
    </row>
    <row r="6708" spans="1:15" x14ac:dyDescent="0.15">
      <c r="A6708" t="s">
        <v>21</v>
      </c>
      <c r="B6708">
        <v>1000138</v>
      </c>
      <c r="C6708">
        <v>348707</v>
      </c>
      <c r="F6708" s="7">
        <v>1</v>
      </c>
      <c r="G6708" s="7">
        <v>676</v>
      </c>
      <c r="H6708" s="8">
        <v>280</v>
      </c>
      <c r="J6708" t="s">
        <v>23</v>
      </c>
      <c r="K6708" s="7">
        <v>612</v>
      </c>
      <c r="L6708" s="9">
        <v>1</v>
      </c>
      <c r="M6708" t="s">
        <v>211</v>
      </c>
      <c r="N6708" t="s">
        <v>212</v>
      </c>
      <c r="O6708" s="27" t="str">
        <f>HYPERLINK("https://www.ncbi.nlm.nih.gov/nuccore/NZ_GG657754.1?report=graph&amp;from=76006&amp;to=76010", "TTA_codon")</f>
        <v>TTA_codon</v>
      </c>
    </row>
    <row r="6709" spans="1:15" x14ac:dyDescent="0.15">
      <c r="A6709" t="s">
        <v>21</v>
      </c>
      <c r="B6709">
        <v>1000138</v>
      </c>
      <c r="C6709">
        <v>352556</v>
      </c>
      <c r="F6709" s="7">
        <v>1</v>
      </c>
      <c r="G6709" s="7">
        <v>793</v>
      </c>
      <c r="H6709" s="8">
        <v>262</v>
      </c>
      <c r="J6709" t="s">
        <v>23</v>
      </c>
      <c r="K6709" s="7">
        <v>465</v>
      </c>
      <c r="L6709" s="9">
        <v>1</v>
      </c>
      <c r="M6709" t="s">
        <v>4527</v>
      </c>
      <c r="N6709" t="s">
        <v>436</v>
      </c>
      <c r="O6709" s="27" t="str">
        <f>HYPERLINK("https://www.ncbi.nlm.nih.gov/nuccore/NZ_AUBE01000036.1?report=graph&amp;from=40946&amp;to=40950", "TTA_codon")</f>
        <v>TTA_codon</v>
      </c>
    </row>
    <row r="6710" spans="1:15" x14ac:dyDescent="0.15">
      <c r="A6710" t="s">
        <v>21</v>
      </c>
      <c r="B6710">
        <v>1000138</v>
      </c>
      <c r="C6710">
        <v>353159</v>
      </c>
      <c r="F6710" s="7">
        <v>1</v>
      </c>
      <c r="G6710" s="7">
        <v>937</v>
      </c>
      <c r="H6710" s="8">
        <v>541</v>
      </c>
      <c r="J6710" t="s">
        <v>23</v>
      </c>
      <c r="K6710" s="7">
        <v>603</v>
      </c>
      <c r="L6710" s="9">
        <v>1</v>
      </c>
      <c r="M6710" t="s">
        <v>189</v>
      </c>
      <c r="N6710" t="s">
        <v>169</v>
      </c>
      <c r="O6710" s="27" t="str">
        <f>HYPERLINK("https://www.ncbi.nlm.nih.gov/nuccore/NZ_JNWJ01000015.1?report=graph&amp;from=161358&amp;to=161362", "TTA_codon")</f>
        <v>TTA_codon</v>
      </c>
    </row>
    <row r="6711" spans="1:15" x14ac:dyDescent="0.15">
      <c r="A6711" t="s">
        <v>21</v>
      </c>
      <c r="B6711">
        <v>1000138</v>
      </c>
      <c r="C6711">
        <v>356826</v>
      </c>
      <c r="F6711" s="7">
        <v>1</v>
      </c>
      <c r="G6711" s="7">
        <v>559</v>
      </c>
      <c r="H6711" s="8">
        <v>133</v>
      </c>
      <c r="J6711" t="s">
        <v>23</v>
      </c>
      <c r="K6711" s="7">
        <v>561</v>
      </c>
      <c r="L6711" s="9">
        <v>1</v>
      </c>
      <c r="M6711" t="s">
        <v>78</v>
      </c>
      <c r="N6711" t="s">
        <v>79</v>
      </c>
      <c r="O6711" s="27" t="str">
        <f>HYPERLINK("https://www.ncbi.nlm.nih.gov/nuccore/NZ_CP009313.1?report=graph&amp;from=6540213&amp;to=6540217", "TTA_codon")</f>
        <v>TTA_codon</v>
      </c>
    </row>
    <row r="6712" spans="1:15" x14ac:dyDescent="0.15">
      <c r="A6712" t="s">
        <v>21</v>
      </c>
      <c r="B6712">
        <v>1000138</v>
      </c>
      <c r="C6712">
        <v>358062</v>
      </c>
      <c r="F6712" s="7">
        <v>1</v>
      </c>
      <c r="G6712" s="7">
        <v>793</v>
      </c>
      <c r="H6712" s="8">
        <v>355</v>
      </c>
      <c r="J6712" t="s">
        <v>23</v>
      </c>
      <c r="K6712" s="7">
        <v>582</v>
      </c>
      <c r="L6712" s="9">
        <v>1</v>
      </c>
      <c r="M6712" t="s">
        <v>4793</v>
      </c>
      <c r="N6712" t="s">
        <v>119</v>
      </c>
      <c r="O6712" s="27" t="str">
        <f>HYPERLINK("https://www.ncbi.nlm.nih.gov/nuccore/NZ_LIPP01000093.1?report=graph&amp;from=4719&amp;to=4723", "TTA_codon")</f>
        <v>TTA_codon</v>
      </c>
    </row>
    <row r="6713" spans="1:15" x14ac:dyDescent="0.15">
      <c r="A6713" t="s">
        <v>21</v>
      </c>
      <c r="B6713">
        <v>1000138</v>
      </c>
      <c r="C6713">
        <v>358778</v>
      </c>
      <c r="F6713" s="7">
        <v>2</v>
      </c>
      <c r="G6713" s="7" t="s">
        <v>4794</v>
      </c>
      <c r="H6713" s="8" t="s">
        <v>4795</v>
      </c>
      <c r="J6713" t="s">
        <v>23</v>
      </c>
      <c r="K6713" s="7">
        <v>600</v>
      </c>
      <c r="L6713" s="9">
        <v>1</v>
      </c>
      <c r="M6713" t="s">
        <v>1622</v>
      </c>
      <c r="N6713" t="s">
        <v>87</v>
      </c>
      <c r="O6713" s="27" t="str">
        <f>HYPERLINK("https://www.ncbi.nlm.nih.gov/nuccore/NZ_LIQS01000067.1?report=graph&amp;from=1139&amp;to=1512", "TTA_codon")</f>
        <v>TTA_codon</v>
      </c>
    </row>
    <row r="6714" spans="1:15" x14ac:dyDescent="0.15">
      <c r="A6714" t="s">
        <v>21</v>
      </c>
      <c r="B6714">
        <v>1000138</v>
      </c>
      <c r="C6714">
        <v>360340</v>
      </c>
      <c r="F6714" s="7">
        <v>1</v>
      </c>
      <c r="G6714" s="7">
        <v>661</v>
      </c>
      <c r="H6714" s="8">
        <v>658</v>
      </c>
      <c r="J6714" t="s">
        <v>23</v>
      </c>
      <c r="K6714" s="7">
        <v>996</v>
      </c>
      <c r="L6714" s="9">
        <v>1</v>
      </c>
      <c r="M6714" t="s">
        <v>121</v>
      </c>
      <c r="N6714" t="s">
        <v>122</v>
      </c>
      <c r="O6714" s="27" t="str">
        <f>HYPERLINK("https://www.ncbi.nlm.nih.gov/nuccore/NZ_CP016279.1?report=graph&amp;from=5530481&amp;to=5530485", "TTA_codon")</f>
        <v>TTA_codon</v>
      </c>
    </row>
    <row r="6715" spans="1:15" x14ac:dyDescent="0.15">
      <c r="A6715" t="s">
        <v>21</v>
      </c>
      <c r="B6715">
        <v>1000138</v>
      </c>
      <c r="C6715">
        <v>362413</v>
      </c>
      <c r="F6715" s="7">
        <v>1</v>
      </c>
      <c r="G6715" s="7">
        <v>865</v>
      </c>
      <c r="H6715" s="8">
        <v>442</v>
      </c>
      <c r="J6715" t="s">
        <v>23</v>
      </c>
      <c r="K6715" s="7">
        <v>600</v>
      </c>
      <c r="L6715" s="9">
        <v>1</v>
      </c>
      <c r="M6715" t="s">
        <v>32</v>
      </c>
      <c r="N6715" t="s">
        <v>33</v>
      </c>
      <c r="O6715" s="27" t="str">
        <f>HYPERLINK("https://www.ncbi.nlm.nih.gov/nuccore/NZ_CP017248.1?report=graph&amp;from=8308233&amp;to=8308237", "TTA_codon")</f>
        <v>TTA_codon</v>
      </c>
    </row>
    <row r="6716" spans="1:15" x14ac:dyDescent="0.15">
      <c r="A6716" t="s">
        <v>21</v>
      </c>
      <c r="B6716">
        <v>1000138</v>
      </c>
      <c r="C6716">
        <v>362414</v>
      </c>
      <c r="F6716" s="7">
        <v>1</v>
      </c>
      <c r="G6716" s="7">
        <v>865</v>
      </c>
      <c r="H6716" s="8">
        <v>442</v>
      </c>
      <c r="J6716" t="s">
        <v>23</v>
      </c>
      <c r="K6716" s="7">
        <v>600</v>
      </c>
      <c r="L6716" s="9">
        <v>1</v>
      </c>
      <c r="M6716" t="s">
        <v>32</v>
      </c>
      <c r="N6716" t="s">
        <v>33</v>
      </c>
      <c r="O6716" s="27" t="str">
        <f>HYPERLINK("https://www.ncbi.nlm.nih.gov/nuccore/NZ_CP017248.1?report=graph&amp;from=54854&amp;to=54858", "TTA_codon")</f>
        <v>TTA_codon</v>
      </c>
    </row>
    <row r="6717" spans="1:15" x14ac:dyDescent="0.15">
      <c r="A6717" t="s">
        <v>21</v>
      </c>
      <c r="B6717">
        <v>1000138</v>
      </c>
      <c r="C6717">
        <v>362415</v>
      </c>
      <c r="F6717" s="7">
        <v>1</v>
      </c>
      <c r="G6717" s="7">
        <v>865</v>
      </c>
      <c r="H6717" s="8">
        <v>442</v>
      </c>
      <c r="J6717" t="s">
        <v>23</v>
      </c>
      <c r="K6717" s="7">
        <v>600</v>
      </c>
      <c r="L6717" s="9">
        <v>1</v>
      </c>
      <c r="M6717" t="s">
        <v>32</v>
      </c>
      <c r="N6717" t="s">
        <v>33</v>
      </c>
      <c r="O6717" s="27" t="str">
        <f>HYPERLINK("https://www.ncbi.nlm.nih.gov/nuccore/NZ_CP017248.1?report=graph&amp;from=208371&amp;to=208375", "TTA_codon")</f>
        <v>TTA_codon</v>
      </c>
    </row>
    <row r="6718" spans="1:15" x14ac:dyDescent="0.15">
      <c r="A6718" t="s">
        <v>21</v>
      </c>
      <c r="B6718">
        <v>1000138</v>
      </c>
      <c r="C6718">
        <v>363574</v>
      </c>
      <c r="F6718" s="7">
        <v>1</v>
      </c>
      <c r="G6718" s="7">
        <v>937</v>
      </c>
      <c r="H6718" s="8">
        <v>538</v>
      </c>
      <c r="J6718" t="s">
        <v>23</v>
      </c>
      <c r="K6718" s="7">
        <v>609</v>
      </c>
      <c r="L6718" s="9">
        <v>1</v>
      </c>
      <c r="M6718" t="s">
        <v>101</v>
      </c>
      <c r="N6718" t="s">
        <v>102</v>
      </c>
      <c r="O6718" s="27" t="str">
        <f>HYPERLINK("https://www.ncbi.nlm.nih.gov/nuccore/NZ_CP019458.1?report=graph&amp;from=52133&amp;to=52137", "TTA_codon")</f>
        <v>TTA_codon</v>
      </c>
    </row>
    <row r="6719" spans="1:15" x14ac:dyDescent="0.15">
      <c r="A6719" t="s">
        <v>21</v>
      </c>
      <c r="B6719">
        <v>1000138</v>
      </c>
      <c r="C6719">
        <v>363575</v>
      </c>
      <c r="F6719" s="7">
        <v>1</v>
      </c>
      <c r="G6719" s="7">
        <v>793</v>
      </c>
      <c r="H6719" s="8">
        <v>385</v>
      </c>
      <c r="J6719" t="s">
        <v>23</v>
      </c>
      <c r="K6719" s="7">
        <v>642</v>
      </c>
      <c r="L6719" s="9">
        <v>1</v>
      </c>
      <c r="M6719" t="s">
        <v>101</v>
      </c>
      <c r="N6719" t="s">
        <v>102</v>
      </c>
      <c r="O6719" s="27" t="str">
        <f>HYPERLINK("https://www.ncbi.nlm.nih.gov/nuccore/NZ_CP019458.1?report=graph&amp;from=2054895&amp;to=2054899", "TTA_codon")</f>
        <v>TTA_codon</v>
      </c>
    </row>
    <row r="6720" spans="1:15" x14ac:dyDescent="0.15">
      <c r="A6720" t="s">
        <v>21</v>
      </c>
      <c r="B6720">
        <v>1000138</v>
      </c>
      <c r="C6720">
        <v>366064</v>
      </c>
      <c r="F6720" s="7">
        <v>1</v>
      </c>
      <c r="G6720" s="7">
        <v>766</v>
      </c>
      <c r="H6720" s="8">
        <v>373</v>
      </c>
      <c r="J6720" t="s">
        <v>23</v>
      </c>
      <c r="K6720" s="7">
        <v>600</v>
      </c>
      <c r="L6720" s="9">
        <v>1</v>
      </c>
      <c r="M6720" t="s">
        <v>2872</v>
      </c>
      <c r="N6720" t="s">
        <v>257</v>
      </c>
      <c r="O6720" s="27" t="str">
        <f>HYPERLINK("https://www.ncbi.nlm.nih.gov/nuccore/NZ_FOET01000022.1?report=graph&amp;from=21743&amp;to=21747", "TTA_codon")</f>
        <v>TTA_codon</v>
      </c>
    </row>
    <row r="6721" spans="1:15" x14ac:dyDescent="0.15">
      <c r="A6721" t="s">
        <v>21</v>
      </c>
      <c r="B6721">
        <v>1000138</v>
      </c>
      <c r="C6721">
        <v>366254</v>
      </c>
      <c r="F6721" s="7">
        <v>1</v>
      </c>
      <c r="G6721" s="7">
        <v>937</v>
      </c>
      <c r="H6721" s="8">
        <v>541</v>
      </c>
      <c r="J6721" t="s">
        <v>23</v>
      </c>
      <c r="K6721" s="7">
        <v>603</v>
      </c>
      <c r="L6721" s="9">
        <v>1</v>
      </c>
      <c r="M6721" t="s">
        <v>535</v>
      </c>
      <c r="N6721" t="s">
        <v>47</v>
      </c>
      <c r="O6721" s="27" t="str">
        <f>HYPERLINK("https://www.ncbi.nlm.nih.gov/nuccore/NZ_FOLM01000004.1?report=graph&amp;from=130234&amp;to=130238", "TTA_codon")</f>
        <v>TTA_codon</v>
      </c>
    </row>
    <row r="6722" spans="1:15" x14ac:dyDescent="0.15">
      <c r="A6722" t="s">
        <v>21</v>
      </c>
      <c r="B6722">
        <v>1000138</v>
      </c>
      <c r="C6722">
        <v>366756</v>
      </c>
      <c r="F6722" s="7">
        <v>1</v>
      </c>
      <c r="G6722" s="7">
        <v>559</v>
      </c>
      <c r="H6722" s="8">
        <v>169</v>
      </c>
      <c r="J6722" t="s">
        <v>23</v>
      </c>
      <c r="K6722" s="7">
        <v>600</v>
      </c>
      <c r="L6722" s="9">
        <v>1</v>
      </c>
      <c r="M6722" t="s">
        <v>208</v>
      </c>
      <c r="N6722" t="s">
        <v>209</v>
      </c>
      <c r="O6722" s="27" t="str">
        <f>HYPERLINK("https://www.ncbi.nlm.nih.gov/nuccore/NZ_FZOF01000007.1?report=graph&amp;from=360099&amp;to=360103", "TTA_codon")</f>
        <v>TTA_codon</v>
      </c>
    </row>
    <row r="6723" spans="1:15" x14ac:dyDescent="0.15">
      <c r="A6723" t="s">
        <v>21</v>
      </c>
      <c r="B6723" t="s">
        <v>4796</v>
      </c>
    </row>
    <row r="6724" spans="1:15" x14ac:dyDescent="0.15">
      <c r="A6724" t="s">
        <v>21</v>
      </c>
      <c r="B6724">
        <v>1001057</v>
      </c>
      <c r="C6724">
        <v>354886</v>
      </c>
      <c r="F6724" s="7">
        <v>1</v>
      </c>
      <c r="G6724" s="7">
        <v>205</v>
      </c>
      <c r="H6724" s="8">
        <v>205</v>
      </c>
      <c r="J6724" t="s">
        <v>23</v>
      </c>
      <c r="K6724" s="7">
        <v>1659</v>
      </c>
      <c r="L6724" s="9">
        <v>-1</v>
      </c>
      <c r="M6724" t="s">
        <v>4797</v>
      </c>
      <c r="N6724" t="s">
        <v>25</v>
      </c>
      <c r="O6724" s="27" t="str">
        <f>HYPERLINK("https://www.ncbi.nlm.nih.gov/nuccore/NZ_JOFU01000098.1?report=graph&amp;from=11280&amp;to=11284", "TTA_codon")</f>
        <v>TTA_codon</v>
      </c>
    </row>
    <row r="6725" spans="1:15" x14ac:dyDescent="0.15">
      <c r="A6725" t="s">
        <v>21</v>
      </c>
      <c r="B6725">
        <v>1001057</v>
      </c>
      <c r="C6725">
        <v>356578</v>
      </c>
      <c r="F6725" s="7">
        <v>2</v>
      </c>
      <c r="G6725" s="7" t="s">
        <v>4798</v>
      </c>
      <c r="H6725" s="8" t="s">
        <v>4799</v>
      </c>
      <c r="J6725" t="s">
        <v>23</v>
      </c>
      <c r="K6725" s="7">
        <v>1803</v>
      </c>
      <c r="L6725" s="9">
        <v>-1</v>
      </c>
      <c r="M6725" t="s">
        <v>3460</v>
      </c>
      <c r="N6725" t="s">
        <v>509</v>
      </c>
      <c r="O6725" s="27" t="str">
        <f>HYPERLINK("https://www.ncbi.nlm.nih.gov/nuccore/NZ_CP009439.1?report=graph&amp;from=2454&amp;to=4027", "TTA_codon")</f>
        <v>TTA_codon</v>
      </c>
    </row>
    <row r="6726" spans="1:15" x14ac:dyDescent="0.15">
      <c r="A6726" t="s">
        <v>21</v>
      </c>
      <c r="B6726" t="s">
        <v>4800</v>
      </c>
    </row>
    <row r="6727" spans="1:15" x14ac:dyDescent="0.15">
      <c r="A6727" t="s">
        <v>21</v>
      </c>
      <c r="B6727">
        <v>1000841</v>
      </c>
      <c r="C6727">
        <v>352427</v>
      </c>
      <c r="F6727" s="7">
        <v>1</v>
      </c>
      <c r="G6727" s="7">
        <v>589</v>
      </c>
      <c r="H6727" s="8">
        <v>589</v>
      </c>
      <c r="J6727" t="s">
        <v>23</v>
      </c>
      <c r="K6727" s="7">
        <v>1200</v>
      </c>
      <c r="L6727" s="9">
        <v>-1</v>
      </c>
      <c r="M6727" t="s">
        <v>30</v>
      </c>
      <c r="N6727" t="s">
        <v>31</v>
      </c>
      <c r="O6727" s="27" t="str">
        <f>HYPERLINK("https://www.ncbi.nlm.nih.gov/nuccore/NZ_KB913030.1?report=graph&amp;from=2221259&amp;to=2221263", "TTA_codon")</f>
        <v>TTA_codon</v>
      </c>
    </row>
    <row r="6728" spans="1:15" x14ac:dyDescent="0.15">
      <c r="A6728" t="s">
        <v>21</v>
      </c>
      <c r="B6728">
        <v>1000841</v>
      </c>
      <c r="C6728">
        <v>359295</v>
      </c>
      <c r="F6728" s="7">
        <v>1</v>
      </c>
      <c r="G6728" s="7">
        <v>529</v>
      </c>
      <c r="H6728" s="8">
        <v>514</v>
      </c>
      <c r="J6728" t="s">
        <v>23</v>
      </c>
      <c r="K6728" s="7">
        <v>1215</v>
      </c>
      <c r="L6728" s="9">
        <v>-1</v>
      </c>
      <c r="M6728" t="s">
        <v>3037</v>
      </c>
      <c r="N6728" t="s">
        <v>89</v>
      </c>
      <c r="O6728" s="27" t="str">
        <f>HYPERLINK("https://www.ncbi.nlm.nih.gov/nuccore/NZ_LIRG01000326.1?report=graph&amp;from=16724&amp;to=16728", "TTA_codon")</f>
        <v>TTA_codon</v>
      </c>
    </row>
    <row r="6729" spans="1:15" x14ac:dyDescent="0.15">
      <c r="A6729" t="s">
        <v>21</v>
      </c>
      <c r="B6729" t="s">
        <v>4801</v>
      </c>
    </row>
    <row r="6730" spans="1:15" x14ac:dyDescent="0.15">
      <c r="A6730" t="s">
        <v>21</v>
      </c>
      <c r="B6730">
        <v>1001366</v>
      </c>
      <c r="C6730">
        <v>354951</v>
      </c>
      <c r="F6730" s="7">
        <v>1</v>
      </c>
      <c r="G6730" s="7">
        <v>487</v>
      </c>
      <c r="H6730" s="8">
        <v>424</v>
      </c>
      <c r="J6730" t="s">
        <v>23</v>
      </c>
      <c r="K6730" s="7">
        <v>1431</v>
      </c>
      <c r="L6730" s="9">
        <v>1</v>
      </c>
      <c r="M6730" t="s">
        <v>2324</v>
      </c>
      <c r="N6730" t="s">
        <v>25</v>
      </c>
      <c r="O6730" s="27" t="str">
        <f>HYPERLINK("https://www.ncbi.nlm.nih.gov/nuccore/NZ_JOFU01000023.1?report=graph&amp;from=45192&amp;to=45196", "TTA_codon")</f>
        <v>TTA_codon</v>
      </c>
    </row>
    <row r="6731" spans="1:15" x14ac:dyDescent="0.15">
      <c r="A6731" t="s">
        <v>21</v>
      </c>
      <c r="B6731">
        <v>1001366</v>
      </c>
      <c r="C6731">
        <v>359577</v>
      </c>
      <c r="F6731" s="7">
        <v>2</v>
      </c>
      <c r="G6731" s="7" t="s">
        <v>4802</v>
      </c>
      <c r="H6731" s="8" t="s">
        <v>4803</v>
      </c>
      <c r="J6731" t="s">
        <v>23</v>
      </c>
      <c r="K6731" s="7">
        <v>1455</v>
      </c>
      <c r="L6731" s="9">
        <v>1</v>
      </c>
      <c r="M6731" t="s">
        <v>151</v>
      </c>
      <c r="N6731" t="s">
        <v>152</v>
      </c>
      <c r="O6731" s="27" t="str">
        <f>HYPERLINK("https://www.ncbi.nlm.nih.gov/nuccore/NZ_CP013129.1?report=graph&amp;from=2788763&amp;to=2788971", "TTA_codon")</f>
        <v>TTA_codon</v>
      </c>
    </row>
    <row r="6732" spans="1:15" x14ac:dyDescent="0.15">
      <c r="A6732" t="s">
        <v>21</v>
      </c>
      <c r="B6732">
        <v>1001366</v>
      </c>
      <c r="C6732">
        <v>361301</v>
      </c>
      <c r="F6732" s="7">
        <v>1</v>
      </c>
      <c r="G6732" s="7">
        <v>442</v>
      </c>
      <c r="H6732" s="8">
        <v>436</v>
      </c>
      <c r="J6732" t="s">
        <v>23</v>
      </c>
      <c r="K6732" s="7">
        <v>1449</v>
      </c>
      <c r="L6732" s="9">
        <v>1</v>
      </c>
      <c r="M6732" t="s">
        <v>98</v>
      </c>
      <c r="N6732" t="s">
        <v>99</v>
      </c>
      <c r="O6732" s="27" t="str">
        <f>HYPERLINK("https://www.ncbi.nlm.nih.gov/nuccore/NZ_CP016438.1?report=graph&amp;from=1779728&amp;to=1779732", "TTA_codon")</f>
        <v>TTA_codon</v>
      </c>
    </row>
    <row r="6733" spans="1:15" x14ac:dyDescent="0.15">
      <c r="A6733" t="s">
        <v>21</v>
      </c>
      <c r="B6733" t="s">
        <v>4804</v>
      </c>
    </row>
    <row r="6734" spans="1:15" x14ac:dyDescent="0.15">
      <c r="A6734" t="s">
        <v>21</v>
      </c>
      <c r="B6734">
        <v>1000476</v>
      </c>
      <c r="C6734">
        <v>349063</v>
      </c>
      <c r="F6734" s="7">
        <v>1</v>
      </c>
      <c r="G6734" s="7">
        <v>79</v>
      </c>
      <c r="H6734" s="8">
        <v>61</v>
      </c>
      <c r="J6734" t="s">
        <v>23</v>
      </c>
      <c r="K6734" s="7">
        <v>591</v>
      </c>
      <c r="L6734" s="9">
        <v>-1</v>
      </c>
      <c r="M6734" t="s">
        <v>211</v>
      </c>
      <c r="N6734" t="s">
        <v>212</v>
      </c>
      <c r="O6734" s="27" t="str">
        <f>HYPERLINK("https://www.ncbi.nlm.nih.gov/nuccore/NZ_GG657754.1?report=graph&amp;from=4941459&amp;to=4941463", "TTA_codon")</f>
        <v>TTA_codon</v>
      </c>
    </row>
    <row r="6735" spans="1:15" x14ac:dyDescent="0.15">
      <c r="A6735" t="s">
        <v>21</v>
      </c>
      <c r="B6735">
        <v>1000476</v>
      </c>
      <c r="C6735">
        <v>363848</v>
      </c>
      <c r="F6735" s="7">
        <v>1</v>
      </c>
      <c r="G6735" s="7">
        <v>79</v>
      </c>
      <c r="H6735" s="8">
        <v>58</v>
      </c>
      <c r="J6735" t="s">
        <v>23</v>
      </c>
      <c r="K6735" s="7">
        <v>591</v>
      </c>
      <c r="L6735" s="9">
        <v>-1</v>
      </c>
      <c r="M6735" t="s">
        <v>101</v>
      </c>
      <c r="N6735" t="s">
        <v>102</v>
      </c>
      <c r="O6735" s="27" t="str">
        <f>HYPERLINK("https://www.ncbi.nlm.nih.gov/nuccore/NZ_CP019458.1?report=graph&amp;from=8781756&amp;to=8781760", "TTA_codon")</f>
        <v>TTA_codon</v>
      </c>
    </row>
    <row r="6736" spans="1:15" x14ac:dyDescent="0.15">
      <c r="A6736" t="s">
        <v>21</v>
      </c>
      <c r="B6736">
        <v>1000476</v>
      </c>
      <c r="C6736">
        <v>365725</v>
      </c>
      <c r="F6736" s="7">
        <v>1</v>
      </c>
      <c r="G6736" s="7">
        <v>79</v>
      </c>
      <c r="H6736" s="8">
        <v>55</v>
      </c>
      <c r="J6736" t="s">
        <v>23</v>
      </c>
      <c r="K6736" s="7">
        <v>567</v>
      </c>
      <c r="L6736" s="9">
        <v>-1</v>
      </c>
      <c r="M6736" t="s">
        <v>213</v>
      </c>
      <c r="N6736" t="s">
        <v>214</v>
      </c>
      <c r="O6736" s="27" t="str">
        <f>HYPERLINK("https://www.ncbi.nlm.nih.gov/nuccore/NZ_FNST01000002.1?report=graph&amp;from=2569185&amp;to=2569189", "TTA_codon")</f>
        <v>TTA_codon</v>
      </c>
    </row>
    <row r="6737" spans="1:15" x14ac:dyDescent="0.15">
      <c r="A6737" t="s">
        <v>21</v>
      </c>
      <c r="B6737">
        <v>1000476</v>
      </c>
      <c r="C6737">
        <v>365812</v>
      </c>
      <c r="F6737" s="7">
        <v>3</v>
      </c>
      <c r="G6737" s="7" t="s">
        <v>4805</v>
      </c>
      <c r="H6737" s="8" t="s">
        <v>4806</v>
      </c>
      <c r="J6737" t="s">
        <v>23</v>
      </c>
      <c r="K6737" s="7">
        <v>579</v>
      </c>
      <c r="L6737" s="9">
        <v>-1</v>
      </c>
      <c r="M6737" t="s">
        <v>213</v>
      </c>
      <c r="N6737" t="s">
        <v>214</v>
      </c>
      <c r="O6737" s="27" t="str">
        <f>HYPERLINK("https://www.ncbi.nlm.nih.gov/nuccore/NZ_FNST01000002.1?report=graph&amp;from=2046881&amp;to=2046984", "TTA_codon")</f>
        <v>TTA_codon</v>
      </c>
    </row>
    <row r="6738" spans="1:15" x14ac:dyDescent="0.15">
      <c r="A6738" t="s">
        <v>21</v>
      </c>
      <c r="B6738">
        <v>1000476</v>
      </c>
      <c r="C6738">
        <v>365867</v>
      </c>
      <c r="F6738" s="7">
        <v>1</v>
      </c>
      <c r="G6738" s="7">
        <v>79</v>
      </c>
      <c r="H6738" s="8">
        <v>79</v>
      </c>
      <c r="J6738" t="s">
        <v>23</v>
      </c>
      <c r="K6738" s="7">
        <v>600</v>
      </c>
      <c r="L6738" s="9">
        <v>-1</v>
      </c>
      <c r="M6738" t="s">
        <v>213</v>
      </c>
      <c r="N6738" t="s">
        <v>214</v>
      </c>
      <c r="O6738" s="27" t="str">
        <f>HYPERLINK("https://www.ncbi.nlm.nih.gov/nuccore/NZ_FNST01000002.1?report=graph&amp;from=6135394&amp;to=6135398", "TTA_codon")</f>
        <v>TTA_codon</v>
      </c>
    </row>
    <row r="6739" spans="1:15" x14ac:dyDescent="0.15">
      <c r="A6739" t="s">
        <v>21</v>
      </c>
      <c r="B6739" t="s">
        <v>4807</v>
      </c>
    </row>
    <row r="6740" spans="1:15" x14ac:dyDescent="0.15">
      <c r="A6740" t="s">
        <v>21</v>
      </c>
      <c r="B6740">
        <v>1000906</v>
      </c>
      <c r="C6740">
        <v>353031</v>
      </c>
      <c r="F6740" s="7">
        <v>1</v>
      </c>
      <c r="G6740" s="7">
        <v>55</v>
      </c>
      <c r="H6740" s="8">
        <v>37</v>
      </c>
      <c r="J6740" t="s">
        <v>23</v>
      </c>
      <c r="K6740" s="7">
        <v>1587</v>
      </c>
      <c r="L6740" s="9">
        <v>-1</v>
      </c>
      <c r="M6740" t="s">
        <v>4808</v>
      </c>
      <c r="N6740" t="s">
        <v>306</v>
      </c>
      <c r="O6740" s="27" t="str">
        <f>HYPERLINK("https://www.ncbi.nlm.nih.gov/nuccore/NZ_KL571092.1?report=graph&amp;from=44902&amp;to=44906", "TTA_codon")</f>
        <v>TTA_codon</v>
      </c>
    </row>
    <row r="6741" spans="1:15" x14ac:dyDescent="0.15">
      <c r="A6741" t="s">
        <v>21</v>
      </c>
      <c r="B6741">
        <v>1000906</v>
      </c>
      <c r="C6741">
        <v>355209</v>
      </c>
      <c r="F6741" s="7">
        <v>1</v>
      </c>
      <c r="G6741" s="7">
        <v>55</v>
      </c>
      <c r="H6741" s="8">
        <v>55</v>
      </c>
      <c r="J6741" t="s">
        <v>23</v>
      </c>
      <c r="K6741" s="7">
        <v>1587</v>
      </c>
      <c r="L6741" s="9">
        <v>-1</v>
      </c>
      <c r="M6741" t="s">
        <v>4809</v>
      </c>
      <c r="N6741" t="s">
        <v>433</v>
      </c>
      <c r="O6741" s="27" t="str">
        <f>HYPERLINK("https://www.ncbi.nlm.nih.gov/nuccore/NZ_JOBF01000007.1?report=graph&amp;from=274074&amp;to=274078", "TTA_codon")</f>
        <v>TTA_codon</v>
      </c>
    </row>
    <row r="6742" spans="1:15" x14ac:dyDescent="0.15">
      <c r="A6742" t="s">
        <v>21</v>
      </c>
      <c r="B6742">
        <v>1000906</v>
      </c>
      <c r="C6742">
        <v>366328</v>
      </c>
      <c r="F6742" s="7">
        <v>1</v>
      </c>
      <c r="G6742" s="7">
        <v>73</v>
      </c>
      <c r="H6742" s="8">
        <v>70</v>
      </c>
      <c r="J6742" t="s">
        <v>23</v>
      </c>
      <c r="K6742" s="7">
        <v>1578</v>
      </c>
      <c r="L6742" s="9">
        <v>-1</v>
      </c>
      <c r="M6742" t="s">
        <v>1781</v>
      </c>
      <c r="N6742" t="s">
        <v>47</v>
      </c>
      <c r="O6742" s="27" t="str">
        <f>HYPERLINK("https://www.ncbi.nlm.nih.gov/nuccore/NZ_FOLM01000002.1?report=graph&amp;from=283796&amp;to=283800", "TTA_codon")</f>
        <v>TTA_codon</v>
      </c>
    </row>
    <row r="6743" spans="1:15" x14ac:dyDescent="0.15">
      <c r="A6743" t="s">
        <v>21</v>
      </c>
      <c r="B6743">
        <v>1000906</v>
      </c>
      <c r="C6743">
        <v>366650</v>
      </c>
      <c r="F6743" s="7">
        <v>1</v>
      </c>
      <c r="G6743" s="7">
        <v>103</v>
      </c>
      <c r="H6743" s="8">
        <v>103</v>
      </c>
      <c r="J6743" t="s">
        <v>23</v>
      </c>
      <c r="K6743" s="7">
        <v>1635</v>
      </c>
      <c r="L6743" s="9">
        <v>-1</v>
      </c>
      <c r="M6743" t="s">
        <v>2162</v>
      </c>
      <c r="N6743" t="s">
        <v>180</v>
      </c>
      <c r="O6743" s="27" t="str">
        <f>HYPERLINK("https://www.ncbi.nlm.nih.gov/nuccore/NZ_FRBI01000019.1?report=graph&amp;from=91131&amp;to=91135", "TTA_codon")</f>
        <v>TTA_codon</v>
      </c>
    </row>
    <row r="6744" spans="1:15" x14ac:dyDescent="0.15">
      <c r="A6744" t="s">
        <v>21</v>
      </c>
      <c r="B6744" t="s">
        <v>4810</v>
      </c>
    </row>
    <row r="6745" spans="1:15" x14ac:dyDescent="0.15">
      <c r="A6745" t="s">
        <v>21</v>
      </c>
      <c r="B6745">
        <v>1001456</v>
      </c>
      <c r="C6745">
        <v>363701</v>
      </c>
      <c r="F6745" s="7">
        <v>1</v>
      </c>
      <c r="G6745" s="7">
        <v>43</v>
      </c>
      <c r="H6745" s="8">
        <v>43</v>
      </c>
      <c r="J6745" t="s">
        <v>23</v>
      </c>
      <c r="K6745" s="7">
        <v>1491</v>
      </c>
      <c r="L6745" s="9">
        <v>-1</v>
      </c>
      <c r="M6745" t="s">
        <v>101</v>
      </c>
      <c r="N6745" t="s">
        <v>102</v>
      </c>
      <c r="O6745" s="27" t="str">
        <f>HYPERLINK("https://www.ncbi.nlm.nih.gov/nuccore/NZ_CP019458.1?report=graph&amp;from=4960198&amp;to=4960202", "TTA_codon")</f>
        <v>TTA_codon</v>
      </c>
    </row>
    <row r="6746" spans="1:15" x14ac:dyDescent="0.15">
      <c r="A6746" t="s">
        <v>21</v>
      </c>
      <c r="B6746">
        <v>1001456</v>
      </c>
      <c r="C6746">
        <v>365658</v>
      </c>
      <c r="F6746" s="7">
        <v>1</v>
      </c>
      <c r="G6746" s="7">
        <v>43</v>
      </c>
      <c r="H6746" s="8">
        <v>43</v>
      </c>
      <c r="J6746" t="s">
        <v>23</v>
      </c>
      <c r="K6746" s="7">
        <v>1557</v>
      </c>
      <c r="L6746" s="9">
        <v>-1</v>
      </c>
      <c r="M6746" t="s">
        <v>213</v>
      </c>
      <c r="N6746" t="s">
        <v>214</v>
      </c>
      <c r="O6746" s="27" t="str">
        <f>HYPERLINK("https://www.ncbi.nlm.nih.gov/nuccore/NZ_FNST01000002.1?report=graph&amp;from=2522954&amp;to=2522958", "TTA_codon")</f>
        <v>TTA_codon</v>
      </c>
    </row>
    <row r="6747" spans="1:15" x14ac:dyDescent="0.15">
      <c r="A6747" t="s">
        <v>21</v>
      </c>
      <c r="B6747" t="s">
        <v>4811</v>
      </c>
    </row>
    <row r="6748" spans="1:15" x14ac:dyDescent="0.15">
      <c r="A6748" t="s">
        <v>21</v>
      </c>
      <c r="B6748">
        <v>1000527</v>
      </c>
      <c r="C6748">
        <v>349591</v>
      </c>
      <c r="F6748" s="7">
        <v>1</v>
      </c>
      <c r="G6748" s="7">
        <v>157</v>
      </c>
      <c r="H6748" s="8">
        <v>151</v>
      </c>
      <c r="J6748" t="s">
        <v>23</v>
      </c>
      <c r="K6748" s="7">
        <v>6978</v>
      </c>
      <c r="L6748" s="9">
        <v>1</v>
      </c>
      <c r="M6748" t="s">
        <v>4812</v>
      </c>
      <c r="N6748" t="s">
        <v>335</v>
      </c>
      <c r="O6748" s="27" t="str">
        <f>HYPERLINK("https://www.ncbi.nlm.nih.gov/nuccore/NZ_AGBF01000182.1?report=graph&amp;from=5891&amp;to=5895", "TTA_codon")</f>
        <v>TTA_codon</v>
      </c>
    </row>
    <row r="6749" spans="1:15" x14ac:dyDescent="0.15">
      <c r="A6749" t="s">
        <v>21</v>
      </c>
      <c r="B6749">
        <v>1000527</v>
      </c>
      <c r="C6749">
        <v>359885</v>
      </c>
      <c r="F6749" s="7">
        <v>1</v>
      </c>
      <c r="G6749" s="7">
        <v>169</v>
      </c>
      <c r="H6749" s="8">
        <v>151</v>
      </c>
      <c r="J6749" t="s">
        <v>23</v>
      </c>
      <c r="K6749" s="7">
        <v>6375</v>
      </c>
      <c r="L6749" s="9">
        <v>1</v>
      </c>
      <c r="M6749" t="s">
        <v>616</v>
      </c>
      <c r="N6749" t="s">
        <v>91</v>
      </c>
      <c r="O6749" s="27" t="str">
        <f>HYPERLINK("https://www.ncbi.nlm.nih.gov/nuccore/NZ_KQ948305.1?report=graph&amp;from=277877&amp;to=277881", "TTA_codon")</f>
        <v>TTA_codon</v>
      </c>
    </row>
    <row r="6750" spans="1:15" x14ac:dyDescent="0.15">
      <c r="A6750" t="s">
        <v>21</v>
      </c>
      <c r="B6750" t="s">
        <v>4813</v>
      </c>
    </row>
    <row r="6751" spans="1:15" x14ac:dyDescent="0.15">
      <c r="A6751" t="s">
        <v>21</v>
      </c>
      <c r="B6751">
        <v>1000711</v>
      </c>
      <c r="C6751">
        <v>351071</v>
      </c>
      <c r="F6751" s="7">
        <v>1</v>
      </c>
      <c r="G6751" s="7">
        <v>274</v>
      </c>
      <c r="H6751" s="8">
        <v>274</v>
      </c>
      <c r="J6751" t="s">
        <v>23</v>
      </c>
      <c r="K6751" s="7">
        <v>924</v>
      </c>
      <c r="L6751" s="9">
        <v>1</v>
      </c>
      <c r="M6751" t="s">
        <v>4814</v>
      </c>
      <c r="N6751" t="s">
        <v>136</v>
      </c>
      <c r="O6751" s="27" t="str">
        <f>HYPERLINK("https://www.ncbi.nlm.nih.gov/nuccore/NZ_AORZ01000063.1?report=graph&amp;from=16868&amp;to=16872", "TTA_codon")</f>
        <v>TTA_codon</v>
      </c>
    </row>
    <row r="6752" spans="1:15" x14ac:dyDescent="0.15">
      <c r="A6752" t="s">
        <v>21</v>
      </c>
      <c r="B6752">
        <v>1000711</v>
      </c>
      <c r="C6752">
        <v>357649</v>
      </c>
      <c r="F6752" s="7">
        <v>1</v>
      </c>
      <c r="G6752" s="7">
        <v>328</v>
      </c>
      <c r="H6752" s="8">
        <v>328</v>
      </c>
      <c r="J6752" t="s">
        <v>23</v>
      </c>
      <c r="K6752" s="7">
        <v>927</v>
      </c>
      <c r="L6752" s="9">
        <v>1</v>
      </c>
      <c r="M6752" t="s">
        <v>1262</v>
      </c>
      <c r="N6752" t="s">
        <v>378</v>
      </c>
      <c r="O6752" s="27" t="str">
        <f>HYPERLINK("https://www.ncbi.nlm.nih.gov/nuccore/NZ_LFXA01000004.1?report=graph&amp;from=134191&amp;to=134195", "TTA_codon")</f>
        <v>TTA_codon</v>
      </c>
    </row>
    <row r="6753" spans="1:15" x14ac:dyDescent="0.15">
      <c r="A6753" t="s">
        <v>21</v>
      </c>
      <c r="B6753" t="s">
        <v>4815</v>
      </c>
    </row>
    <row r="6754" spans="1:15" x14ac:dyDescent="0.15">
      <c r="A6754" t="s">
        <v>21</v>
      </c>
      <c r="B6754">
        <v>1000474</v>
      </c>
      <c r="C6754">
        <v>349023</v>
      </c>
      <c r="F6754" s="7">
        <v>1</v>
      </c>
      <c r="G6754" s="7">
        <v>121</v>
      </c>
      <c r="H6754" s="8">
        <v>121</v>
      </c>
      <c r="J6754" t="s">
        <v>23</v>
      </c>
      <c r="K6754" s="7">
        <v>450</v>
      </c>
      <c r="L6754" s="9">
        <v>1</v>
      </c>
      <c r="M6754" t="s">
        <v>211</v>
      </c>
      <c r="N6754" t="s">
        <v>212</v>
      </c>
      <c r="O6754" s="27" t="str">
        <f>HYPERLINK("https://www.ncbi.nlm.nih.gov/nuccore/NZ_GG657754.1?report=graph&amp;from=8553597&amp;to=8553601", "TTA_codon")</f>
        <v>TTA_codon</v>
      </c>
    </row>
    <row r="6755" spans="1:15" x14ac:dyDescent="0.15">
      <c r="A6755" t="s">
        <v>21</v>
      </c>
      <c r="B6755">
        <v>1000474</v>
      </c>
      <c r="C6755">
        <v>354906</v>
      </c>
      <c r="F6755" s="7">
        <v>1</v>
      </c>
      <c r="G6755" s="7">
        <v>121</v>
      </c>
      <c r="H6755" s="8">
        <v>121</v>
      </c>
      <c r="J6755" t="s">
        <v>23</v>
      </c>
      <c r="K6755" s="7">
        <v>450</v>
      </c>
      <c r="L6755" s="9">
        <v>1</v>
      </c>
      <c r="M6755" t="s">
        <v>362</v>
      </c>
      <c r="N6755" t="s">
        <v>25</v>
      </c>
      <c r="O6755" s="27" t="str">
        <f>HYPERLINK("https://www.ncbi.nlm.nih.gov/nuccore/NZ_JOFU01000001.1?report=graph&amp;from=10203&amp;to=10207", "TTA_codon")</f>
        <v>TTA_codon</v>
      </c>
    </row>
    <row r="6756" spans="1:15" x14ac:dyDescent="0.15">
      <c r="A6756" t="s">
        <v>21</v>
      </c>
      <c r="B6756" t="s">
        <v>4816</v>
      </c>
    </row>
    <row r="6757" spans="1:15" x14ac:dyDescent="0.15">
      <c r="A6757" t="s">
        <v>21</v>
      </c>
      <c r="B6757">
        <v>1001235</v>
      </c>
      <c r="C6757">
        <v>357439</v>
      </c>
      <c r="F6757" s="7">
        <v>1</v>
      </c>
      <c r="G6757" s="7">
        <v>106</v>
      </c>
      <c r="H6757" s="8">
        <v>106</v>
      </c>
      <c r="J6757" t="s">
        <v>23</v>
      </c>
      <c r="K6757" s="7">
        <v>1035</v>
      </c>
      <c r="L6757" s="9">
        <v>-1</v>
      </c>
      <c r="M6757" t="s">
        <v>80</v>
      </c>
      <c r="N6757" t="s">
        <v>81</v>
      </c>
      <c r="O6757" s="27" t="str">
        <f>HYPERLINK("https://www.ncbi.nlm.nih.gov/nuccore/NZ_LN831790.1?report=graph&amp;from=1197738&amp;to=1197742", "TTA_codon")</f>
        <v>TTA_codon</v>
      </c>
    </row>
    <row r="6758" spans="1:15" x14ac:dyDescent="0.15">
      <c r="A6758" t="s">
        <v>21</v>
      </c>
      <c r="B6758">
        <v>1001235</v>
      </c>
      <c r="C6758">
        <v>363858</v>
      </c>
      <c r="F6758" s="7">
        <v>1</v>
      </c>
      <c r="G6758" s="7">
        <v>52</v>
      </c>
      <c r="H6758" s="8">
        <v>46</v>
      </c>
      <c r="J6758" t="s">
        <v>23</v>
      </c>
      <c r="K6758" s="7">
        <v>681</v>
      </c>
      <c r="L6758" s="9">
        <v>-1</v>
      </c>
      <c r="M6758" t="s">
        <v>101</v>
      </c>
      <c r="N6758" t="s">
        <v>102</v>
      </c>
      <c r="O6758" s="27" t="str">
        <f>HYPERLINK("https://www.ncbi.nlm.nih.gov/nuccore/NZ_CP019458.1?report=graph&amp;from=5921666&amp;to=5921670", "TTA_codon")</f>
        <v>TTA_codon</v>
      </c>
    </row>
    <row r="6759" spans="1:15" x14ac:dyDescent="0.15">
      <c r="A6759" t="s">
        <v>21</v>
      </c>
      <c r="B6759" t="s">
        <v>4817</v>
      </c>
    </row>
    <row r="6760" spans="1:15" x14ac:dyDescent="0.15">
      <c r="A6760" t="s">
        <v>21</v>
      </c>
      <c r="B6760">
        <v>1000533</v>
      </c>
      <c r="C6760">
        <v>349638</v>
      </c>
      <c r="F6760" s="7">
        <v>1</v>
      </c>
      <c r="G6760" s="7">
        <v>499</v>
      </c>
      <c r="H6760" s="8">
        <v>499</v>
      </c>
      <c r="J6760" t="s">
        <v>23</v>
      </c>
      <c r="K6760" s="7">
        <v>1380</v>
      </c>
      <c r="L6760" s="9">
        <v>-1</v>
      </c>
      <c r="M6760" t="s">
        <v>4818</v>
      </c>
      <c r="N6760" t="s">
        <v>335</v>
      </c>
      <c r="O6760" s="27" t="str">
        <f>HYPERLINK("https://www.ncbi.nlm.nih.gov/nuccore/NZ_AGBF01000128.1?report=graph&amp;from=3604&amp;to=3608", "TTA_codon")</f>
        <v>TTA_codon</v>
      </c>
    </row>
    <row r="6761" spans="1:15" x14ac:dyDescent="0.15">
      <c r="A6761" t="s">
        <v>21</v>
      </c>
      <c r="B6761">
        <v>1000533</v>
      </c>
      <c r="C6761">
        <v>350369</v>
      </c>
      <c r="F6761" s="7">
        <v>3</v>
      </c>
      <c r="G6761" s="7" t="s">
        <v>4819</v>
      </c>
      <c r="H6761" s="8" t="s">
        <v>4820</v>
      </c>
      <c r="J6761" t="s">
        <v>23</v>
      </c>
      <c r="K6761" s="7">
        <v>1377</v>
      </c>
      <c r="L6761" s="9">
        <v>-1</v>
      </c>
      <c r="M6761" t="s">
        <v>35</v>
      </c>
      <c r="N6761" t="s">
        <v>36</v>
      </c>
      <c r="O6761" s="27" t="str">
        <f>HYPERLINK("https://www.ncbi.nlm.nih.gov/nuccore/NZ_JH725387.1?report=graph&amp;from=4536915&amp;to=4537105", "TTA_codon")</f>
        <v>TTA_codon</v>
      </c>
    </row>
    <row r="6762" spans="1:15" x14ac:dyDescent="0.15">
      <c r="A6762" t="s">
        <v>21</v>
      </c>
      <c r="B6762" t="s">
        <v>4821</v>
      </c>
    </row>
    <row r="6763" spans="1:15" x14ac:dyDescent="0.15">
      <c r="A6763" t="s">
        <v>21</v>
      </c>
      <c r="B6763">
        <v>1000972</v>
      </c>
      <c r="C6763">
        <v>347226</v>
      </c>
      <c r="F6763" s="7">
        <v>1</v>
      </c>
      <c r="G6763" s="7">
        <v>286</v>
      </c>
      <c r="H6763" s="8">
        <v>115</v>
      </c>
      <c r="J6763" t="s">
        <v>23</v>
      </c>
      <c r="K6763" s="7">
        <v>1551</v>
      </c>
      <c r="L6763" s="9">
        <v>1</v>
      </c>
      <c r="M6763" t="s">
        <v>53</v>
      </c>
      <c r="N6763" t="s">
        <v>54</v>
      </c>
      <c r="O6763" s="27" t="str">
        <f>HYPERLINK("https://www.ncbi.nlm.nih.gov/nuccore/NC_003155.5?report=graph&amp;from=8561866&amp;to=8561870", "TTA_codon")</f>
        <v>TTA_codon</v>
      </c>
    </row>
    <row r="6764" spans="1:15" x14ac:dyDescent="0.15">
      <c r="A6764" t="s">
        <v>21</v>
      </c>
      <c r="B6764">
        <v>1000972</v>
      </c>
      <c r="C6764">
        <v>349325</v>
      </c>
      <c r="F6764" s="7">
        <v>1</v>
      </c>
      <c r="G6764" s="7">
        <v>283</v>
      </c>
      <c r="H6764" s="8">
        <v>55</v>
      </c>
      <c r="J6764" t="s">
        <v>23</v>
      </c>
      <c r="K6764" s="7">
        <v>1722</v>
      </c>
      <c r="L6764" s="9">
        <v>1</v>
      </c>
      <c r="M6764" t="s">
        <v>458</v>
      </c>
      <c r="N6764" t="s">
        <v>315</v>
      </c>
      <c r="O6764" s="27" t="str">
        <f>HYPERLINK("https://www.ncbi.nlm.nih.gov/nuccore/NC_003888.3?report=graph&amp;from=5524125&amp;to=5524129", "TTA_codon")</f>
        <v>TTA_codon</v>
      </c>
    </row>
    <row r="6765" spans="1:15" x14ac:dyDescent="0.15">
      <c r="A6765" t="s">
        <v>21</v>
      </c>
      <c r="B6765">
        <v>1000972</v>
      </c>
      <c r="C6765">
        <v>353743</v>
      </c>
      <c r="F6765" s="7">
        <v>1</v>
      </c>
      <c r="G6765" s="7">
        <v>301</v>
      </c>
      <c r="H6765" s="8">
        <v>301</v>
      </c>
      <c r="J6765" t="s">
        <v>23</v>
      </c>
      <c r="K6765" s="7">
        <v>1755</v>
      </c>
      <c r="L6765" s="9">
        <v>1</v>
      </c>
      <c r="M6765" t="s">
        <v>4822</v>
      </c>
      <c r="N6765" t="s">
        <v>246</v>
      </c>
      <c r="O6765" s="27" t="str">
        <f>HYPERLINK("https://www.ncbi.nlm.nih.gov/nuccore/NZ_JNYR01000043.1?report=graph&amp;from=33747&amp;to=33751", "TTA_codon")</f>
        <v>TTA_codon</v>
      </c>
    </row>
    <row r="6766" spans="1:15" x14ac:dyDescent="0.15">
      <c r="A6766" t="s">
        <v>21</v>
      </c>
      <c r="B6766" t="s">
        <v>4823</v>
      </c>
    </row>
    <row r="6767" spans="1:15" x14ac:dyDescent="0.15">
      <c r="A6767" t="s">
        <v>21</v>
      </c>
      <c r="B6767">
        <v>1000222</v>
      </c>
      <c r="C6767">
        <v>347484</v>
      </c>
      <c r="F6767" s="7">
        <v>1</v>
      </c>
      <c r="G6767" s="7">
        <v>256</v>
      </c>
      <c r="H6767" s="8">
        <v>223</v>
      </c>
      <c r="J6767" t="s">
        <v>23</v>
      </c>
      <c r="K6767" s="7">
        <v>1419</v>
      </c>
      <c r="L6767" s="9">
        <v>-1</v>
      </c>
      <c r="M6767" t="s">
        <v>4824</v>
      </c>
      <c r="N6767" t="s">
        <v>54</v>
      </c>
      <c r="O6767" s="27" t="str">
        <f>HYPERLINK("https://www.ncbi.nlm.nih.gov/nuccore/NC_004719.1?report=graph&amp;from=42538&amp;to=42542", "TTA_codon")</f>
        <v>TTA_codon</v>
      </c>
    </row>
    <row r="6768" spans="1:15" x14ac:dyDescent="0.15">
      <c r="A6768" t="s">
        <v>21</v>
      </c>
      <c r="B6768">
        <v>1000222</v>
      </c>
      <c r="C6768">
        <v>364985</v>
      </c>
      <c r="F6768" s="7">
        <v>3</v>
      </c>
      <c r="G6768" s="7" t="s">
        <v>4825</v>
      </c>
      <c r="H6768" s="8" t="s">
        <v>4826</v>
      </c>
      <c r="J6768" t="s">
        <v>23</v>
      </c>
      <c r="K6768" s="7">
        <v>1434</v>
      </c>
      <c r="L6768" s="9">
        <v>-1</v>
      </c>
      <c r="M6768" t="s">
        <v>111</v>
      </c>
      <c r="N6768" t="s">
        <v>112</v>
      </c>
      <c r="O6768" s="27" t="str">
        <f>HYPERLINK("https://www.ncbi.nlm.nih.gov/nuccore/NZ_CP021744.1?report=graph&amp;from=3561856&amp;to=3562322", "TTA_codon")</f>
        <v>TTA_codon</v>
      </c>
    </row>
    <row r="6769" spans="1:15" x14ac:dyDescent="0.15">
      <c r="A6769" t="s">
        <v>21</v>
      </c>
      <c r="B6769" t="s">
        <v>4827</v>
      </c>
    </row>
    <row r="6770" spans="1:15" x14ac:dyDescent="0.15">
      <c r="A6770" t="s">
        <v>21</v>
      </c>
      <c r="B6770">
        <v>1000853</v>
      </c>
      <c r="C6770">
        <v>352470</v>
      </c>
      <c r="F6770" s="7">
        <v>1</v>
      </c>
      <c r="G6770" s="7">
        <v>73</v>
      </c>
      <c r="H6770" s="8">
        <v>55</v>
      </c>
      <c r="J6770" t="s">
        <v>23</v>
      </c>
      <c r="K6770" s="7">
        <v>753</v>
      </c>
      <c r="L6770" s="9">
        <v>-1</v>
      </c>
      <c r="M6770" t="s">
        <v>30</v>
      </c>
      <c r="N6770" t="s">
        <v>31</v>
      </c>
      <c r="O6770" s="27" t="str">
        <f>HYPERLINK("https://www.ncbi.nlm.nih.gov/nuccore/NZ_KB913030.1?report=graph&amp;from=3008226&amp;to=3008230", "TTA_codon")</f>
        <v>TTA_codon</v>
      </c>
    </row>
    <row r="6771" spans="1:15" x14ac:dyDescent="0.15">
      <c r="A6771" t="s">
        <v>21</v>
      </c>
      <c r="B6771">
        <v>1000853</v>
      </c>
      <c r="C6771">
        <v>361720</v>
      </c>
      <c r="F6771" s="7">
        <v>1</v>
      </c>
      <c r="G6771" s="7">
        <v>58</v>
      </c>
      <c r="H6771" s="8">
        <v>58</v>
      </c>
      <c r="J6771" t="s">
        <v>23</v>
      </c>
      <c r="K6771" s="7">
        <v>753</v>
      </c>
      <c r="L6771" s="9">
        <v>-1</v>
      </c>
      <c r="M6771" t="s">
        <v>37</v>
      </c>
      <c r="N6771" t="s">
        <v>38</v>
      </c>
      <c r="O6771" s="27" t="str">
        <f>HYPERLINK("https://www.ncbi.nlm.nih.gov/nuccore/NZ_CP011533.1?report=graph&amp;from=4200577&amp;to=4200581", "TTA_codon")</f>
        <v>TTA_codon</v>
      </c>
    </row>
    <row r="6772" spans="1:15" x14ac:dyDescent="0.15">
      <c r="A6772" t="s">
        <v>21</v>
      </c>
      <c r="B6772" t="s">
        <v>4828</v>
      </c>
    </row>
    <row r="6773" spans="1:15" x14ac:dyDescent="0.15">
      <c r="A6773" t="s">
        <v>21</v>
      </c>
      <c r="B6773">
        <v>1001202</v>
      </c>
      <c r="C6773">
        <v>356955</v>
      </c>
      <c r="F6773" s="7">
        <v>2</v>
      </c>
      <c r="G6773" s="7" t="s">
        <v>4829</v>
      </c>
      <c r="H6773" s="8" t="s">
        <v>4830</v>
      </c>
      <c r="J6773" t="s">
        <v>23</v>
      </c>
      <c r="K6773" s="7">
        <v>3417</v>
      </c>
      <c r="L6773" s="9">
        <v>-1</v>
      </c>
      <c r="M6773" t="s">
        <v>78</v>
      </c>
      <c r="N6773" t="s">
        <v>79</v>
      </c>
      <c r="O6773" s="27" t="str">
        <f>HYPERLINK("https://www.ncbi.nlm.nih.gov/nuccore/NZ_CP009313.1?report=graph&amp;from=5567823&amp;to=5569849", "TTA_codon")</f>
        <v>TTA_codon</v>
      </c>
    </row>
    <row r="6774" spans="1:15" x14ac:dyDescent="0.15">
      <c r="A6774" t="s">
        <v>21</v>
      </c>
      <c r="B6774">
        <v>1001202</v>
      </c>
      <c r="C6774">
        <v>366511</v>
      </c>
      <c r="F6774" s="7">
        <v>6</v>
      </c>
      <c r="G6774" s="7" t="s">
        <v>4831</v>
      </c>
      <c r="H6774" s="8" t="s">
        <v>4832</v>
      </c>
      <c r="J6774" t="s">
        <v>23</v>
      </c>
      <c r="K6774" s="7">
        <v>3297</v>
      </c>
      <c r="L6774" s="9">
        <v>-1</v>
      </c>
      <c r="M6774" t="s">
        <v>3253</v>
      </c>
      <c r="N6774" t="s">
        <v>375</v>
      </c>
      <c r="O6774" s="27" t="str">
        <f>HYPERLINK("https://www.ncbi.nlm.nih.gov/nuccore/NZ_FONG01000017.1?report=graph&amp;from=153623&amp;to=156384", "TTA_codon")</f>
        <v>TTA_codon</v>
      </c>
    </row>
    <row r="6775" spans="1:15" x14ac:dyDescent="0.15">
      <c r="A6775" t="s">
        <v>21</v>
      </c>
      <c r="B6775" t="s">
        <v>4833</v>
      </c>
    </row>
    <row r="6776" spans="1:15" x14ac:dyDescent="0.15">
      <c r="A6776" t="s">
        <v>21</v>
      </c>
      <c r="B6776">
        <v>1000289</v>
      </c>
      <c r="C6776">
        <v>347832</v>
      </c>
      <c r="F6776" s="7">
        <v>1</v>
      </c>
      <c r="G6776" s="7">
        <v>265</v>
      </c>
      <c r="H6776" s="8">
        <v>244</v>
      </c>
      <c r="J6776" t="s">
        <v>23</v>
      </c>
      <c r="K6776" s="7">
        <v>876</v>
      </c>
      <c r="L6776" s="9">
        <v>1</v>
      </c>
      <c r="M6776" t="s">
        <v>57</v>
      </c>
      <c r="N6776" t="s">
        <v>58</v>
      </c>
      <c r="O6776" s="27" t="str">
        <f>HYPERLINK("https://www.ncbi.nlm.nih.gov/nuccore/NC_013929.1?report=graph&amp;from=4344252&amp;to=4344256", "TTA_codon")</f>
        <v>TTA_codon</v>
      </c>
    </row>
    <row r="6777" spans="1:15" x14ac:dyDescent="0.15">
      <c r="A6777" t="s">
        <v>21</v>
      </c>
      <c r="B6777">
        <v>1000289</v>
      </c>
      <c r="C6777">
        <v>355434</v>
      </c>
      <c r="F6777" s="7">
        <v>5</v>
      </c>
      <c r="G6777" s="7" t="s">
        <v>4834</v>
      </c>
      <c r="H6777" s="8" t="s">
        <v>4835</v>
      </c>
      <c r="J6777" t="s">
        <v>23</v>
      </c>
      <c r="K6777" s="7">
        <v>846</v>
      </c>
      <c r="L6777" s="9">
        <v>1</v>
      </c>
      <c r="M6777" t="s">
        <v>4836</v>
      </c>
      <c r="N6777" t="s">
        <v>198</v>
      </c>
      <c r="O6777" s="27" t="str">
        <f>HYPERLINK("https://www.ncbi.nlm.nih.gov/nuccore/NZ_JOFL01000049.1?report=graph&amp;from=2992&amp;to=3374", "TTA_codon")</f>
        <v>TTA_codon</v>
      </c>
    </row>
    <row r="6778" spans="1:15" x14ac:dyDescent="0.15">
      <c r="A6778" t="s">
        <v>21</v>
      </c>
      <c r="B6778" t="s">
        <v>4837</v>
      </c>
    </row>
    <row r="6779" spans="1:15" x14ac:dyDescent="0.15">
      <c r="A6779" t="s">
        <v>21</v>
      </c>
      <c r="B6779">
        <v>1000494</v>
      </c>
      <c r="C6779">
        <v>349311</v>
      </c>
      <c r="F6779" s="7">
        <v>1</v>
      </c>
      <c r="G6779" s="7">
        <v>511</v>
      </c>
      <c r="H6779" s="8">
        <v>364</v>
      </c>
      <c r="J6779" t="s">
        <v>23</v>
      </c>
      <c r="K6779" s="7">
        <v>1527</v>
      </c>
      <c r="L6779" s="9">
        <v>1</v>
      </c>
      <c r="M6779" t="s">
        <v>458</v>
      </c>
      <c r="N6779" t="s">
        <v>315</v>
      </c>
      <c r="O6779" s="27" t="str">
        <f>HYPERLINK("https://www.ncbi.nlm.nih.gov/nuccore/NC_003888.3?report=graph&amp;from=3855766&amp;to=3855770", "TTA_codon")</f>
        <v>TTA_codon</v>
      </c>
    </row>
    <row r="6780" spans="1:15" x14ac:dyDescent="0.15">
      <c r="A6780" t="s">
        <v>21</v>
      </c>
      <c r="B6780">
        <v>1000494</v>
      </c>
      <c r="C6780">
        <v>349312</v>
      </c>
      <c r="F6780" s="7">
        <v>1</v>
      </c>
      <c r="G6780" s="7">
        <v>511</v>
      </c>
      <c r="H6780" s="8">
        <v>331</v>
      </c>
      <c r="J6780" t="s">
        <v>23</v>
      </c>
      <c r="K6780" s="7">
        <v>1491</v>
      </c>
      <c r="L6780" s="9">
        <v>1</v>
      </c>
      <c r="M6780" t="s">
        <v>458</v>
      </c>
      <c r="N6780" t="s">
        <v>315</v>
      </c>
      <c r="O6780" s="27" t="str">
        <f>HYPERLINK("https://www.ncbi.nlm.nih.gov/nuccore/NC_003888.3?report=graph&amp;from=3827785&amp;to=3827789", "TTA_codon")</f>
        <v>TTA_codon</v>
      </c>
    </row>
    <row r="6781" spans="1:15" x14ac:dyDescent="0.15">
      <c r="A6781" t="s">
        <v>21</v>
      </c>
      <c r="B6781">
        <v>1000494</v>
      </c>
      <c r="C6781">
        <v>349313</v>
      </c>
      <c r="F6781" s="7">
        <v>1</v>
      </c>
      <c r="G6781" s="7">
        <v>511</v>
      </c>
      <c r="H6781" s="8">
        <v>364</v>
      </c>
      <c r="J6781" t="s">
        <v>23</v>
      </c>
      <c r="K6781" s="7">
        <v>1527</v>
      </c>
      <c r="L6781" s="9">
        <v>1</v>
      </c>
      <c r="M6781" t="s">
        <v>314</v>
      </c>
      <c r="N6781" t="s">
        <v>315</v>
      </c>
      <c r="O6781" s="27" t="str">
        <f>HYPERLINK("https://www.ncbi.nlm.nih.gov/nuccore/NC_003903.1?report=graph&amp;from=279684&amp;to=279688", "TTA_codon")</f>
        <v>TTA_codon</v>
      </c>
    </row>
    <row r="6782" spans="1:15" x14ac:dyDescent="0.15">
      <c r="A6782" t="s">
        <v>21</v>
      </c>
      <c r="B6782">
        <v>1000494</v>
      </c>
      <c r="C6782">
        <v>350735</v>
      </c>
      <c r="F6782" s="7">
        <v>2</v>
      </c>
      <c r="G6782" s="7" t="s">
        <v>4838</v>
      </c>
      <c r="H6782" s="8" t="s">
        <v>1396</v>
      </c>
      <c r="J6782" t="s">
        <v>23</v>
      </c>
      <c r="K6782" s="7">
        <v>1491</v>
      </c>
      <c r="L6782" s="9">
        <v>1</v>
      </c>
      <c r="M6782" t="s">
        <v>352</v>
      </c>
      <c r="N6782" t="s">
        <v>51</v>
      </c>
      <c r="O6782" s="27" t="str">
        <f>HYPERLINK("https://www.ncbi.nlm.nih.gov/nuccore/NZ_AEJB01000361.1?report=graph&amp;from=27777&amp;to=27814", "TTA_codon")</f>
        <v>TTA_codon</v>
      </c>
    </row>
    <row r="6783" spans="1:15" x14ac:dyDescent="0.15">
      <c r="A6783" t="s">
        <v>21</v>
      </c>
      <c r="B6783">
        <v>1000494</v>
      </c>
      <c r="C6783">
        <v>351514</v>
      </c>
      <c r="F6783" s="7">
        <v>1</v>
      </c>
      <c r="G6783" s="7">
        <v>373</v>
      </c>
      <c r="H6783" s="8">
        <v>220</v>
      </c>
      <c r="J6783" t="s">
        <v>23</v>
      </c>
      <c r="K6783" s="7">
        <v>1143</v>
      </c>
      <c r="L6783" s="9">
        <v>1</v>
      </c>
      <c r="M6783" t="s">
        <v>4839</v>
      </c>
      <c r="N6783" t="s">
        <v>138</v>
      </c>
      <c r="O6783" s="27" t="str">
        <f>HYPERLINK("https://www.ncbi.nlm.nih.gov/nuccore/NZ_KB889595.1?report=graph&amp;from=8776&amp;to=8780", "TTA_codon")</f>
        <v>TTA_codon</v>
      </c>
    </row>
    <row r="6784" spans="1:15" x14ac:dyDescent="0.15">
      <c r="A6784" t="s">
        <v>21</v>
      </c>
      <c r="B6784">
        <v>1000494</v>
      </c>
      <c r="C6784">
        <v>356843</v>
      </c>
      <c r="F6784" s="7">
        <v>1</v>
      </c>
      <c r="G6784" s="7">
        <v>373</v>
      </c>
      <c r="H6784" s="8">
        <v>226</v>
      </c>
      <c r="J6784" t="s">
        <v>23</v>
      </c>
      <c r="K6784" s="7">
        <v>1581</v>
      </c>
      <c r="L6784" s="9">
        <v>1</v>
      </c>
      <c r="M6784" t="s">
        <v>78</v>
      </c>
      <c r="N6784" t="s">
        <v>79</v>
      </c>
      <c r="O6784" s="27" t="str">
        <f>HYPERLINK("https://www.ncbi.nlm.nih.gov/nuccore/NZ_CP009313.1?report=graph&amp;from=1198&amp;to=1202", "TTA_codon")</f>
        <v>TTA_codon</v>
      </c>
    </row>
    <row r="6785" spans="1:15" x14ac:dyDescent="0.15">
      <c r="A6785" t="s">
        <v>21</v>
      </c>
      <c r="B6785">
        <v>1000494</v>
      </c>
      <c r="C6785">
        <v>357694</v>
      </c>
      <c r="F6785" s="7">
        <v>1</v>
      </c>
      <c r="G6785" s="7">
        <v>511</v>
      </c>
      <c r="H6785" s="8">
        <v>340</v>
      </c>
      <c r="J6785" t="s">
        <v>23</v>
      </c>
      <c r="K6785" s="7">
        <v>1497</v>
      </c>
      <c r="L6785" s="9">
        <v>1</v>
      </c>
      <c r="M6785" t="s">
        <v>4840</v>
      </c>
      <c r="N6785" t="s">
        <v>83</v>
      </c>
      <c r="O6785" s="27" t="str">
        <f>HYPERLINK("https://www.ncbi.nlm.nih.gov/nuccore/NZ_DF968201.1?report=graph&amp;from=360&amp;to=364", "TTA_codon")</f>
        <v>TTA_codon</v>
      </c>
    </row>
    <row r="6786" spans="1:15" x14ac:dyDescent="0.15">
      <c r="A6786" t="s">
        <v>21</v>
      </c>
      <c r="B6786">
        <v>1000494</v>
      </c>
      <c r="C6786">
        <v>359637</v>
      </c>
      <c r="F6786" s="7">
        <v>1</v>
      </c>
      <c r="G6786" s="7">
        <v>511</v>
      </c>
      <c r="H6786" s="8">
        <v>331</v>
      </c>
      <c r="J6786" t="s">
        <v>23</v>
      </c>
      <c r="K6786" s="7">
        <v>1491</v>
      </c>
      <c r="L6786" s="9">
        <v>1</v>
      </c>
      <c r="M6786" t="s">
        <v>650</v>
      </c>
      <c r="N6786" t="s">
        <v>651</v>
      </c>
      <c r="O6786" s="27" t="str">
        <f>HYPERLINK("https://www.ncbi.nlm.nih.gov/nuccore/NZ_LN929838.1?report=graph&amp;from=141299&amp;to=141303", "TTA_codon")</f>
        <v>TTA_codon</v>
      </c>
    </row>
    <row r="6787" spans="1:15" x14ac:dyDescent="0.15">
      <c r="A6787" t="s">
        <v>21</v>
      </c>
      <c r="B6787">
        <v>1000494</v>
      </c>
      <c r="C6787">
        <v>360660</v>
      </c>
      <c r="F6787" s="7">
        <v>1</v>
      </c>
      <c r="G6787" s="7">
        <v>547</v>
      </c>
      <c r="H6787" s="8">
        <v>310</v>
      </c>
      <c r="J6787" t="s">
        <v>23</v>
      </c>
      <c r="K6787" s="7">
        <v>1521</v>
      </c>
      <c r="L6787" s="9">
        <v>1</v>
      </c>
      <c r="M6787" t="s">
        <v>94</v>
      </c>
      <c r="N6787" t="s">
        <v>95</v>
      </c>
      <c r="O6787" s="27" t="str">
        <f>HYPERLINK("https://www.ncbi.nlm.nih.gov/nuccore/NZ_JYIJ01000019.1?report=graph&amp;from=202408&amp;to=202412", "TTA_codon")</f>
        <v>TTA_codon</v>
      </c>
    </row>
    <row r="6788" spans="1:15" x14ac:dyDescent="0.15">
      <c r="A6788" t="s">
        <v>21</v>
      </c>
      <c r="B6788">
        <v>1000494</v>
      </c>
      <c r="C6788">
        <v>360664</v>
      </c>
      <c r="F6788" s="7">
        <v>1</v>
      </c>
      <c r="G6788" s="7">
        <v>373</v>
      </c>
      <c r="H6788" s="8">
        <v>202</v>
      </c>
      <c r="J6788" t="s">
        <v>23</v>
      </c>
      <c r="K6788" s="7">
        <v>1548</v>
      </c>
      <c r="L6788" s="9">
        <v>1</v>
      </c>
      <c r="M6788" t="s">
        <v>310</v>
      </c>
      <c r="N6788" t="s">
        <v>95</v>
      </c>
      <c r="O6788" s="27" t="str">
        <f>HYPERLINK("https://www.ncbi.nlm.nih.gov/nuccore/NZ_JYIJ01000011.1?report=graph&amp;from=203401&amp;to=203405", "TTA_codon")</f>
        <v>TTA_codon</v>
      </c>
    </row>
    <row r="6789" spans="1:15" x14ac:dyDescent="0.15">
      <c r="A6789" t="s">
        <v>21</v>
      </c>
      <c r="B6789">
        <v>1000494</v>
      </c>
      <c r="C6789">
        <v>360666</v>
      </c>
      <c r="F6789" s="7">
        <v>1</v>
      </c>
      <c r="G6789" s="7">
        <v>547</v>
      </c>
      <c r="H6789" s="8">
        <v>310</v>
      </c>
      <c r="J6789" t="s">
        <v>23</v>
      </c>
      <c r="K6789" s="7">
        <v>1521</v>
      </c>
      <c r="L6789" s="9">
        <v>1</v>
      </c>
      <c r="M6789" t="s">
        <v>310</v>
      </c>
      <c r="N6789" t="s">
        <v>95</v>
      </c>
      <c r="O6789" s="27" t="str">
        <f>HYPERLINK("https://www.ncbi.nlm.nih.gov/nuccore/NZ_JYIJ01000011.1?report=graph&amp;from=55879&amp;to=55883", "TTA_codon")</f>
        <v>TTA_codon</v>
      </c>
    </row>
    <row r="6790" spans="1:15" x14ac:dyDescent="0.15">
      <c r="A6790" t="s">
        <v>21</v>
      </c>
      <c r="B6790">
        <v>1000494</v>
      </c>
      <c r="C6790">
        <v>360904</v>
      </c>
      <c r="F6790" s="7">
        <v>1</v>
      </c>
      <c r="G6790" s="7">
        <v>511</v>
      </c>
      <c r="H6790" s="8">
        <v>364</v>
      </c>
      <c r="J6790" t="s">
        <v>23</v>
      </c>
      <c r="K6790" s="7">
        <v>1527</v>
      </c>
      <c r="L6790" s="9">
        <v>1</v>
      </c>
      <c r="M6790" t="s">
        <v>4841</v>
      </c>
      <c r="N6790" t="s">
        <v>97</v>
      </c>
      <c r="O6790" s="27" t="str">
        <f>HYPERLINK("https://www.ncbi.nlm.nih.gov/nuccore/NZ_LOHS01000029.1?report=graph&amp;from=30088&amp;to=30092", "TTA_codon")</f>
        <v>TTA_codon</v>
      </c>
    </row>
    <row r="6791" spans="1:15" x14ac:dyDescent="0.15">
      <c r="A6791" t="s">
        <v>21</v>
      </c>
      <c r="B6791">
        <v>1000494</v>
      </c>
      <c r="C6791">
        <v>361575</v>
      </c>
      <c r="F6791" s="7">
        <v>1</v>
      </c>
      <c r="G6791" s="7">
        <v>229</v>
      </c>
      <c r="H6791" s="8">
        <v>88</v>
      </c>
      <c r="J6791" t="s">
        <v>23</v>
      </c>
      <c r="K6791" s="7">
        <v>1596</v>
      </c>
      <c r="L6791" s="9">
        <v>1</v>
      </c>
      <c r="M6791" t="s">
        <v>37</v>
      </c>
      <c r="N6791" t="s">
        <v>38</v>
      </c>
      <c r="O6791" s="27" t="str">
        <f>HYPERLINK("https://www.ncbi.nlm.nih.gov/nuccore/NZ_CP011533.1?report=graph&amp;from=9449877&amp;to=9449881", "TTA_codon")</f>
        <v>TTA_codon</v>
      </c>
    </row>
    <row r="6792" spans="1:15" x14ac:dyDescent="0.15">
      <c r="A6792" t="s">
        <v>21</v>
      </c>
      <c r="B6792">
        <v>1000494</v>
      </c>
      <c r="C6792">
        <v>361576</v>
      </c>
      <c r="F6792" s="7">
        <v>1</v>
      </c>
      <c r="G6792" s="7">
        <v>229</v>
      </c>
      <c r="H6792" s="8">
        <v>88</v>
      </c>
      <c r="J6792" t="s">
        <v>23</v>
      </c>
      <c r="K6792" s="7">
        <v>1596</v>
      </c>
      <c r="L6792" s="9">
        <v>1</v>
      </c>
      <c r="M6792" t="s">
        <v>37</v>
      </c>
      <c r="N6792" t="s">
        <v>38</v>
      </c>
      <c r="O6792" s="27" t="str">
        <f>HYPERLINK("https://www.ncbi.nlm.nih.gov/nuccore/NZ_CP011533.1?report=graph&amp;from=214391&amp;to=214395", "TTA_codon")</f>
        <v>TTA_codon</v>
      </c>
    </row>
    <row r="6793" spans="1:15" x14ac:dyDescent="0.15">
      <c r="A6793" t="s">
        <v>21</v>
      </c>
      <c r="B6793">
        <v>1000494</v>
      </c>
      <c r="C6793">
        <v>361577</v>
      </c>
      <c r="F6793" s="7">
        <v>1</v>
      </c>
      <c r="G6793" s="7">
        <v>229</v>
      </c>
      <c r="H6793" s="8">
        <v>88</v>
      </c>
      <c r="J6793" t="s">
        <v>23</v>
      </c>
      <c r="K6793" s="7">
        <v>1596</v>
      </c>
      <c r="L6793" s="9">
        <v>1</v>
      </c>
      <c r="M6793" t="s">
        <v>37</v>
      </c>
      <c r="N6793" t="s">
        <v>38</v>
      </c>
      <c r="O6793" s="27" t="str">
        <f>HYPERLINK("https://www.ncbi.nlm.nih.gov/nuccore/NZ_CP011533.1?report=graph&amp;from=9575643&amp;to=9575647", "TTA_codon")</f>
        <v>TTA_codon</v>
      </c>
    </row>
    <row r="6794" spans="1:15" x14ac:dyDescent="0.15">
      <c r="A6794" t="s">
        <v>21</v>
      </c>
      <c r="B6794">
        <v>1000494</v>
      </c>
      <c r="C6794">
        <v>366550</v>
      </c>
      <c r="F6794" s="7">
        <v>1</v>
      </c>
      <c r="G6794" s="7">
        <v>373</v>
      </c>
      <c r="H6794" s="8">
        <v>373</v>
      </c>
      <c r="J6794" t="s">
        <v>23</v>
      </c>
      <c r="K6794" s="7">
        <v>1590</v>
      </c>
      <c r="L6794" s="9">
        <v>1</v>
      </c>
      <c r="M6794" t="s">
        <v>4842</v>
      </c>
      <c r="N6794" t="s">
        <v>180</v>
      </c>
      <c r="O6794" s="27" t="str">
        <f>HYPERLINK("https://www.ncbi.nlm.nih.gov/nuccore/NZ_FRBI01000052.1?report=graph&amp;from=10097&amp;to=10101", "TTA_codon")</f>
        <v>TTA_codon</v>
      </c>
    </row>
    <row r="6795" spans="1:15" x14ac:dyDescent="0.15">
      <c r="A6795" t="s">
        <v>21</v>
      </c>
      <c r="B6795" t="s">
        <v>4843</v>
      </c>
    </row>
    <row r="6796" spans="1:15" x14ac:dyDescent="0.15">
      <c r="A6796" t="s">
        <v>21</v>
      </c>
      <c r="B6796">
        <v>1001546</v>
      </c>
      <c r="C6796">
        <v>366954</v>
      </c>
      <c r="F6796" s="7">
        <v>1</v>
      </c>
      <c r="G6796" s="7">
        <v>127</v>
      </c>
      <c r="H6796" s="8">
        <v>127</v>
      </c>
      <c r="J6796" t="s">
        <v>23</v>
      </c>
      <c r="K6796" s="7">
        <v>459</v>
      </c>
      <c r="L6796" s="9">
        <v>-1</v>
      </c>
      <c r="M6796" t="s">
        <v>220</v>
      </c>
      <c r="N6796" t="s">
        <v>221</v>
      </c>
      <c r="O6796" s="27" t="str">
        <f>HYPERLINK("https://www.ncbi.nlm.nih.gov/nuccore/MH576964.1?report=graph&amp;from=16913&amp;to=16917", "TTA_codon")</f>
        <v>TTA_codon</v>
      </c>
    </row>
    <row r="6797" spans="1:15" x14ac:dyDescent="0.15">
      <c r="A6797" t="s">
        <v>21</v>
      </c>
      <c r="B6797">
        <v>1001546</v>
      </c>
      <c r="C6797">
        <v>366989</v>
      </c>
      <c r="F6797" s="7">
        <v>2</v>
      </c>
      <c r="G6797" s="7" t="s">
        <v>4844</v>
      </c>
      <c r="H6797" s="8" t="s">
        <v>4844</v>
      </c>
      <c r="J6797" t="s">
        <v>23</v>
      </c>
      <c r="K6797" s="7">
        <v>459</v>
      </c>
      <c r="L6797" s="9">
        <v>-1</v>
      </c>
      <c r="M6797" t="s">
        <v>222</v>
      </c>
      <c r="N6797" t="s">
        <v>223</v>
      </c>
      <c r="O6797" s="27" t="str">
        <f>HYPERLINK("https://www.ncbi.nlm.nih.gov/nuccore/MK359332.1?report=graph&amp;from=16524&amp;to=16558", "TTA_codon")</f>
        <v>TTA_codon</v>
      </c>
    </row>
    <row r="6798" spans="1:15" x14ac:dyDescent="0.15">
      <c r="A6798" t="s">
        <v>21</v>
      </c>
      <c r="B6798">
        <v>1001546</v>
      </c>
      <c r="C6798">
        <v>367002</v>
      </c>
      <c r="F6798" s="7">
        <v>2</v>
      </c>
      <c r="G6798" s="7" t="s">
        <v>4844</v>
      </c>
      <c r="H6798" s="8" t="s">
        <v>4844</v>
      </c>
      <c r="J6798" t="s">
        <v>23</v>
      </c>
      <c r="K6798" s="7">
        <v>459</v>
      </c>
      <c r="L6798" s="9">
        <v>-1</v>
      </c>
      <c r="M6798" t="s">
        <v>224</v>
      </c>
      <c r="N6798" t="s">
        <v>225</v>
      </c>
      <c r="O6798" s="27" t="str">
        <f>HYPERLINK("https://www.ncbi.nlm.nih.gov/nuccore/MK359351.1?report=graph&amp;from=16521&amp;to=16555", "TTA_codon")</f>
        <v>TTA_codon</v>
      </c>
    </row>
    <row r="6799" spans="1:15" x14ac:dyDescent="0.15">
      <c r="A6799" t="s">
        <v>21</v>
      </c>
      <c r="B6799">
        <v>1001546</v>
      </c>
      <c r="C6799">
        <v>367033</v>
      </c>
      <c r="F6799" s="7">
        <v>1</v>
      </c>
      <c r="G6799" s="7">
        <v>127</v>
      </c>
      <c r="H6799" s="8">
        <v>127</v>
      </c>
      <c r="J6799" t="s">
        <v>23</v>
      </c>
      <c r="K6799" s="7">
        <v>459</v>
      </c>
      <c r="L6799" s="9">
        <v>-1</v>
      </c>
      <c r="M6799" t="s">
        <v>226</v>
      </c>
      <c r="N6799" t="s">
        <v>227</v>
      </c>
      <c r="O6799" s="27" t="str">
        <f>HYPERLINK("https://www.ncbi.nlm.nih.gov/nuccore/MK801722.1?report=graph&amp;from=14794&amp;to=14798", "TTA_codon")</f>
        <v>TTA_codon</v>
      </c>
    </row>
    <row r="6800" spans="1:15" x14ac:dyDescent="0.15">
      <c r="A6800" t="s">
        <v>21</v>
      </c>
      <c r="B6800">
        <v>1001546</v>
      </c>
      <c r="C6800">
        <v>367085</v>
      </c>
      <c r="F6800" s="7">
        <v>1</v>
      </c>
      <c r="G6800" s="7">
        <v>127</v>
      </c>
      <c r="H6800" s="8">
        <v>127</v>
      </c>
      <c r="J6800" t="s">
        <v>23</v>
      </c>
      <c r="K6800" s="7">
        <v>459</v>
      </c>
      <c r="L6800" s="9">
        <v>-1</v>
      </c>
      <c r="M6800" t="s">
        <v>230</v>
      </c>
      <c r="N6800" t="s">
        <v>231</v>
      </c>
      <c r="O6800" s="27" t="str">
        <f>HYPERLINK("https://www.ncbi.nlm.nih.gov/nuccore/MN484599.1?report=graph&amp;from=16553&amp;to=16557", "TTA_codon")</f>
        <v>TTA_codon</v>
      </c>
    </row>
    <row r="6801" spans="1:15" x14ac:dyDescent="0.15">
      <c r="A6801" t="s">
        <v>21</v>
      </c>
      <c r="B6801">
        <v>1001546</v>
      </c>
      <c r="C6801">
        <v>367108</v>
      </c>
      <c r="F6801" s="7">
        <v>1</v>
      </c>
      <c r="G6801" s="7">
        <v>127</v>
      </c>
      <c r="H6801" s="8">
        <v>127</v>
      </c>
      <c r="J6801" t="s">
        <v>23</v>
      </c>
      <c r="K6801" s="7">
        <v>459</v>
      </c>
      <c r="L6801" s="9">
        <v>-1</v>
      </c>
      <c r="M6801" t="s">
        <v>232</v>
      </c>
      <c r="N6801" t="s">
        <v>233</v>
      </c>
      <c r="O6801" s="27" t="str">
        <f>HYPERLINK("https://www.ncbi.nlm.nih.gov/nuccore/MN369757.1?report=graph&amp;from=16928&amp;to=16932", "TTA_codon")</f>
        <v>TTA_codon</v>
      </c>
    </row>
    <row r="6802" spans="1:15" x14ac:dyDescent="0.15">
      <c r="A6802" t="s">
        <v>21</v>
      </c>
      <c r="B6802">
        <v>1001546</v>
      </c>
      <c r="C6802">
        <v>367123</v>
      </c>
      <c r="F6802" s="7">
        <v>1</v>
      </c>
      <c r="G6802" s="7">
        <v>127</v>
      </c>
      <c r="H6802" s="8">
        <v>127</v>
      </c>
      <c r="J6802" t="s">
        <v>23</v>
      </c>
      <c r="K6802" s="7">
        <v>459</v>
      </c>
      <c r="L6802" s="9">
        <v>-1</v>
      </c>
      <c r="M6802" t="s">
        <v>234</v>
      </c>
      <c r="N6802" t="s">
        <v>235</v>
      </c>
      <c r="O6802" s="27" t="str">
        <f>HYPERLINK("https://www.ncbi.nlm.nih.gov/nuccore/MN369750.1?report=graph&amp;from=16531&amp;to=16535", "TTA_codon")</f>
        <v>TTA_codon</v>
      </c>
    </row>
    <row r="6803" spans="1:15" x14ac:dyDescent="0.15">
      <c r="A6803" t="s">
        <v>21</v>
      </c>
      <c r="B6803">
        <v>1001546</v>
      </c>
      <c r="C6803">
        <v>367201</v>
      </c>
      <c r="F6803" s="7">
        <v>1</v>
      </c>
      <c r="G6803" s="7">
        <v>127</v>
      </c>
      <c r="H6803" s="8">
        <v>127</v>
      </c>
      <c r="J6803" t="s">
        <v>23</v>
      </c>
      <c r="K6803" s="7">
        <v>459</v>
      </c>
      <c r="L6803" s="9">
        <v>-1</v>
      </c>
      <c r="M6803" t="s">
        <v>236</v>
      </c>
      <c r="N6803" t="s">
        <v>237</v>
      </c>
      <c r="O6803" s="27" t="str">
        <f>HYPERLINK("https://www.ncbi.nlm.nih.gov/nuccore/MW291014.1?report=graph&amp;from=16547&amp;to=16551", "TTA_codon")</f>
        <v>TTA_codon</v>
      </c>
    </row>
    <row r="6804" spans="1:15" x14ac:dyDescent="0.15">
      <c r="A6804" t="s">
        <v>21</v>
      </c>
      <c r="B6804">
        <v>1001546</v>
      </c>
      <c r="C6804">
        <v>367235</v>
      </c>
      <c r="F6804" s="7">
        <v>1</v>
      </c>
      <c r="G6804" s="7">
        <v>127</v>
      </c>
      <c r="H6804" s="8">
        <v>127</v>
      </c>
      <c r="J6804" t="s">
        <v>23</v>
      </c>
      <c r="K6804" s="7">
        <v>459</v>
      </c>
      <c r="L6804" s="9">
        <v>-1</v>
      </c>
      <c r="M6804" t="s">
        <v>238</v>
      </c>
      <c r="N6804" t="s">
        <v>239</v>
      </c>
      <c r="O6804" s="27" t="str">
        <f>HYPERLINK("https://www.ncbi.nlm.nih.gov/nuccore/MW507134.1?report=graph&amp;from=16913&amp;to=16917", "TTA_codon")</f>
        <v>TTA_codon</v>
      </c>
    </row>
    <row r="6805" spans="1:15" x14ac:dyDescent="0.15">
      <c r="A6805" t="s">
        <v>21</v>
      </c>
      <c r="B6805">
        <v>1001546</v>
      </c>
      <c r="C6805">
        <v>367343</v>
      </c>
      <c r="F6805" s="7">
        <v>2</v>
      </c>
      <c r="G6805" s="7" t="s">
        <v>4845</v>
      </c>
      <c r="H6805" s="8" t="s">
        <v>4846</v>
      </c>
      <c r="J6805" t="s">
        <v>23</v>
      </c>
      <c r="K6805" s="7">
        <v>453</v>
      </c>
      <c r="L6805" s="9">
        <v>-1</v>
      </c>
      <c r="M6805" t="s">
        <v>4847</v>
      </c>
      <c r="N6805" t="s">
        <v>4848</v>
      </c>
      <c r="O6805" s="27" t="str">
        <f>HYPERLINK("https://www.ncbi.nlm.nih.gov/nuccore/NC_048722.1?report=graph&amp;from=17077&amp;to=17279", "TTA_codon")</f>
        <v>TTA_codon</v>
      </c>
    </row>
    <row r="6806" spans="1:15" x14ac:dyDescent="0.15">
      <c r="A6806" t="s">
        <v>21</v>
      </c>
      <c r="B6806">
        <v>1001546</v>
      </c>
      <c r="C6806">
        <v>367381</v>
      </c>
      <c r="F6806" s="7">
        <v>2</v>
      </c>
      <c r="G6806" s="7" t="s">
        <v>4844</v>
      </c>
      <c r="H6806" s="8" t="s">
        <v>4844</v>
      </c>
      <c r="J6806" t="s">
        <v>23</v>
      </c>
      <c r="K6806" s="7">
        <v>459</v>
      </c>
      <c r="L6806" s="9">
        <v>-1</v>
      </c>
      <c r="M6806" t="s">
        <v>242</v>
      </c>
      <c r="N6806" t="s">
        <v>243</v>
      </c>
      <c r="O6806" s="27" t="str">
        <f>HYPERLINK("https://www.ncbi.nlm.nih.gov/nuccore/NC_048730.1?report=graph&amp;from=16500&amp;to=16534", "TTA_codon")</f>
        <v>TTA_codon</v>
      </c>
    </row>
    <row r="6807" spans="1:15" x14ac:dyDescent="0.15">
      <c r="A6807" t="s">
        <v>21</v>
      </c>
      <c r="B6807" t="s">
        <v>4849</v>
      </c>
    </row>
    <row r="6808" spans="1:15" x14ac:dyDescent="0.15">
      <c r="A6808" t="s">
        <v>21</v>
      </c>
      <c r="B6808">
        <v>1001549</v>
      </c>
      <c r="C6808">
        <v>366971</v>
      </c>
      <c r="F6808" s="7">
        <v>1</v>
      </c>
      <c r="G6808" s="7">
        <v>265</v>
      </c>
      <c r="H6808" s="8">
        <v>265</v>
      </c>
      <c r="J6808" t="s">
        <v>23</v>
      </c>
      <c r="K6808" s="7">
        <v>444</v>
      </c>
      <c r="L6808" s="9">
        <v>1</v>
      </c>
      <c r="M6808" t="s">
        <v>4850</v>
      </c>
      <c r="N6808" t="s">
        <v>4851</v>
      </c>
      <c r="O6808" s="27" t="str">
        <f>HYPERLINK("https://www.ncbi.nlm.nih.gov/nuccore/MK460248.1?report=graph&amp;from=67490&amp;to=67494", "TTA_codon")</f>
        <v>TTA_codon</v>
      </c>
    </row>
    <row r="6809" spans="1:15" x14ac:dyDescent="0.15">
      <c r="A6809" t="s">
        <v>21</v>
      </c>
      <c r="B6809">
        <v>1001549</v>
      </c>
      <c r="C6809">
        <v>367041</v>
      </c>
      <c r="F6809" s="7">
        <v>1</v>
      </c>
      <c r="G6809" s="7">
        <v>343</v>
      </c>
      <c r="H6809" s="8">
        <v>343</v>
      </c>
      <c r="J6809" t="s">
        <v>23</v>
      </c>
      <c r="K6809" s="7">
        <v>474</v>
      </c>
      <c r="L6809" s="9">
        <v>1</v>
      </c>
      <c r="M6809" t="s">
        <v>4852</v>
      </c>
      <c r="N6809" t="s">
        <v>4853</v>
      </c>
      <c r="O6809" s="27" t="str">
        <f>HYPERLINK("https://www.ncbi.nlm.nih.gov/nuccore/MK977711.1?report=graph&amp;from=67113&amp;to=67117", "TTA_codon")</f>
        <v>TTA_codon</v>
      </c>
    </row>
    <row r="6810" spans="1:15" x14ac:dyDescent="0.15">
      <c r="A6810" t="s">
        <v>21</v>
      </c>
      <c r="B6810">
        <v>1001549</v>
      </c>
      <c r="C6810">
        <v>367298</v>
      </c>
      <c r="F6810" s="7">
        <v>1</v>
      </c>
      <c r="G6810" s="7">
        <v>265</v>
      </c>
      <c r="H6810" s="8">
        <v>265</v>
      </c>
      <c r="J6810" t="s">
        <v>23</v>
      </c>
      <c r="K6810" s="7">
        <v>444</v>
      </c>
      <c r="L6810" s="9">
        <v>1</v>
      </c>
      <c r="M6810" t="s">
        <v>4854</v>
      </c>
      <c r="N6810" t="s">
        <v>4855</v>
      </c>
      <c r="O6810" s="27" t="str">
        <f>HYPERLINK("https://www.ncbi.nlm.nih.gov/nuccore/NC_042012.1?report=graph&amp;from=68311&amp;to=68315", "TTA_codon")</f>
        <v>TTA_codon</v>
      </c>
    </row>
    <row r="6811" spans="1:15" x14ac:dyDescent="0.15">
      <c r="A6811" t="s">
        <v>21</v>
      </c>
      <c r="B6811">
        <v>1001549</v>
      </c>
      <c r="C6811">
        <v>367338</v>
      </c>
      <c r="F6811" s="7">
        <v>1</v>
      </c>
      <c r="G6811" s="7">
        <v>352</v>
      </c>
      <c r="H6811" s="8">
        <v>352</v>
      </c>
      <c r="J6811" t="s">
        <v>23</v>
      </c>
      <c r="K6811" s="7">
        <v>450</v>
      </c>
      <c r="L6811" s="9">
        <v>1</v>
      </c>
      <c r="M6811" t="s">
        <v>4847</v>
      </c>
      <c r="N6811" t="s">
        <v>4848</v>
      </c>
      <c r="O6811" s="27" t="str">
        <f>HYPERLINK("https://www.ncbi.nlm.nih.gov/nuccore/NC_048722.1?report=graph&amp;from=67718&amp;to=67722", "TTA_codon")</f>
        <v>TTA_codon</v>
      </c>
    </row>
    <row r="6812" spans="1:15" x14ac:dyDescent="0.15">
      <c r="A6812" t="s">
        <v>21</v>
      </c>
      <c r="B6812" t="s">
        <v>4856</v>
      </c>
    </row>
    <row r="6813" spans="1:15" x14ac:dyDescent="0.15">
      <c r="A6813" t="s">
        <v>21</v>
      </c>
      <c r="B6813">
        <v>1001117</v>
      </c>
      <c r="C6813">
        <v>355745</v>
      </c>
      <c r="F6813" s="7">
        <v>1</v>
      </c>
      <c r="G6813" s="7">
        <v>502</v>
      </c>
      <c r="H6813" s="8">
        <v>502</v>
      </c>
      <c r="J6813" t="s">
        <v>23</v>
      </c>
      <c r="K6813" s="7">
        <v>987</v>
      </c>
      <c r="L6813" s="9">
        <v>-1</v>
      </c>
      <c r="M6813" t="s">
        <v>277</v>
      </c>
      <c r="N6813" t="s">
        <v>278</v>
      </c>
      <c r="O6813" s="27" t="str">
        <f>HYPERLINK("https://www.ncbi.nlm.nih.gov/nuccore/NZ_JOID01000016.1?report=graph&amp;from=154826&amp;to=154830", "TTA_codon")</f>
        <v>TTA_codon</v>
      </c>
    </row>
    <row r="6814" spans="1:15" x14ac:dyDescent="0.15">
      <c r="A6814" t="s">
        <v>21</v>
      </c>
      <c r="B6814">
        <v>1001117</v>
      </c>
      <c r="C6814">
        <v>366730</v>
      </c>
      <c r="F6814" s="7">
        <v>1</v>
      </c>
      <c r="G6814" s="7">
        <v>595</v>
      </c>
      <c r="H6814" s="8">
        <v>577</v>
      </c>
      <c r="J6814" t="s">
        <v>23</v>
      </c>
      <c r="K6814" s="7">
        <v>972</v>
      </c>
      <c r="L6814" s="9">
        <v>-1</v>
      </c>
      <c r="M6814" t="s">
        <v>1004</v>
      </c>
      <c r="N6814" t="s">
        <v>180</v>
      </c>
      <c r="O6814" s="27" t="str">
        <f>HYPERLINK("https://www.ncbi.nlm.nih.gov/nuccore/NZ_FRBI01000005.1?report=graph&amp;from=319034&amp;to=319038", "TTA_codon")</f>
        <v>TTA_codon</v>
      </c>
    </row>
    <row r="6815" spans="1:15" x14ac:dyDescent="0.15">
      <c r="A6815" t="s">
        <v>195</v>
      </c>
      <c r="B6815" t="s">
        <v>4857</v>
      </c>
    </row>
    <row r="6816" spans="1:15" x14ac:dyDescent="0.15">
      <c r="A6816" t="s">
        <v>195</v>
      </c>
      <c r="B6816">
        <v>1000125</v>
      </c>
      <c r="C6816">
        <v>346877</v>
      </c>
      <c r="F6816" s="7">
        <v>1</v>
      </c>
      <c r="G6816" s="7">
        <v>508</v>
      </c>
      <c r="H6816" s="8">
        <v>496</v>
      </c>
      <c r="J6816" t="s">
        <v>23</v>
      </c>
      <c r="K6816" s="7">
        <v>1887</v>
      </c>
      <c r="L6816" s="9">
        <v>-1</v>
      </c>
      <c r="M6816" t="s">
        <v>4858</v>
      </c>
      <c r="N6816" t="s">
        <v>187</v>
      </c>
      <c r="O6816" s="27" t="str">
        <f>HYPERLINK("https://www.ncbi.nlm.nih.gov/nuccore/NZ_MAXF01000130.1?report=graph&amp;from=63296&amp;to=63300", "TTA_codon")</f>
        <v>TTA_codon</v>
      </c>
    </row>
    <row r="6817" spans="1:15" x14ac:dyDescent="0.15">
      <c r="A6817" t="s">
        <v>21</v>
      </c>
      <c r="B6817">
        <v>1000125</v>
      </c>
      <c r="C6817">
        <v>357567</v>
      </c>
      <c r="F6817" s="7">
        <v>1</v>
      </c>
      <c r="G6817" s="7">
        <v>493</v>
      </c>
      <c r="H6817" s="8">
        <v>493</v>
      </c>
      <c r="J6817" t="s">
        <v>23</v>
      </c>
      <c r="K6817" s="7">
        <v>1857</v>
      </c>
      <c r="L6817" s="9">
        <v>-1</v>
      </c>
      <c r="M6817" t="s">
        <v>957</v>
      </c>
      <c r="N6817" t="s">
        <v>378</v>
      </c>
      <c r="O6817" s="27" t="str">
        <f>HYPERLINK("https://www.ncbi.nlm.nih.gov/nuccore/NZ_LFXA01000017.1?report=graph&amp;from=421125&amp;to=421129", "TTA_codon")</f>
        <v>TTA_codon</v>
      </c>
    </row>
    <row r="6818" spans="1:15" x14ac:dyDescent="0.15">
      <c r="A6818" t="s">
        <v>21</v>
      </c>
      <c r="B6818" t="s">
        <v>4859</v>
      </c>
    </row>
    <row r="6819" spans="1:15" x14ac:dyDescent="0.15">
      <c r="A6819" t="s">
        <v>21</v>
      </c>
      <c r="B6819">
        <v>1001321</v>
      </c>
      <c r="C6819">
        <v>359818</v>
      </c>
      <c r="F6819" s="7">
        <v>1</v>
      </c>
      <c r="G6819" s="7">
        <v>781</v>
      </c>
      <c r="H6819" s="8">
        <v>781</v>
      </c>
      <c r="J6819" t="s">
        <v>23</v>
      </c>
      <c r="K6819" s="7">
        <v>2088</v>
      </c>
      <c r="L6819" s="9">
        <v>-1</v>
      </c>
      <c r="M6819" t="s">
        <v>1424</v>
      </c>
      <c r="N6819" t="s">
        <v>91</v>
      </c>
      <c r="O6819" s="27" t="str">
        <f>HYPERLINK("https://www.ncbi.nlm.nih.gov/nuccore/NZ_KQ948327.1?report=graph&amp;from=129431&amp;to=129435", "TTA_codon")</f>
        <v>TTA_codon</v>
      </c>
    </row>
    <row r="6820" spans="1:15" x14ac:dyDescent="0.15">
      <c r="A6820" t="s">
        <v>21</v>
      </c>
      <c r="B6820">
        <v>1001321</v>
      </c>
      <c r="C6820">
        <v>360363</v>
      </c>
      <c r="F6820" s="7">
        <v>1</v>
      </c>
      <c r="G6820" s="7">
        <v>655</v>
      </c>
      <c r="H6820" s="8">
        <v>613</v>
      </c>
      <c r="J6820" t="s">
        <v>23</v>
      </c>
      <c r="K6820" s="7">
        <v>1899</v>
      </c>
      <c r="L6820" s="9">
        <v>-1</v>
      </c>
      <c r="M6820" t="s">
        <v>121</v>
      </c>
      <c r="N6820" t="s">
        <v>122</v>
      </c>
      <c r="O6820" s="27" t="str">
        <f>HYPERLINK("https://www.ncbi.nlm.nih.gov/nuccore/NZ_CP016279.1?report=graph&amp;from=5279436&amp;to=5279440", "TTA_codon")</f>
        <v>TTA_codon</v>
      </c>
    </row>
    <row r="6821" spans="1:15" x14ac:dyDescent="0.15">
      <c r="A6821" t="s">
        <v>21</v>
      </c>
      <c r="B6821" t="s">
        <v>4860</v>
      </c>
    </row>
    <row r="6822" spans="1:15" x14ac:dyDescent="0.15">
      <c r="A6822" t="s">
        <v>21</v>
      </c>
      <c r="B6822">
        <v>1000330</v>
      </c>
      <c r="C6822">
        <v>348053</v>
      </c>
      <c r="F6822" s="7">
        <v>1</v>
      </c>
      <c r="G6822" s="7">
        <v>112</v>
      </c>
      <c r="H6822" s="8">
        <v>106</v>
      </c>
      <c r="J6822" t="s">
        <v>23</v>
      </c>
      <c r="K6822" s="7">
        <v>1380</v>
      </c>
      <c r="L6822" s="9">
        <v>1</v>
      </c>
      <c r="M6822" t="s">
        <v>59</v>
      </c>
      <c r="N6822" t="s">
        <v>60</v>
      </c>
      <c r="O6822" s="27" t="str">
        <f>HYPERLINK("https://www.ncbi.nlm.nih.gov/nuccore/NC_016582.1?report=graph&amp;from=2179641&amp;to=2179645", "TTA_codon")</f>
        <v>TTA_codon</v>
      </c>
    </row>
    <row r="6823" spans="1:15" x14ac:dyDescent="0.15">
      <c r="A6823" t="s">
        <v>21</v>
      </c>
      <c r="B6823">
        <v>1000330</v>
      </c>
      <c r="C6823">
        <v>350746</v>
      </c>
      <c r="F6823" s="7">
        <v>1</v>
      </c>
      <c r="G6823" s="7">
        <v>112</v>
      </c>
      <c r="H6823" s="8">
        <v>112</v>
      </c>
      <c r="J6823" t="s">
        <v>23</v>
      </c>
      <c r="K6823" s="7">
        <v>1374</v>
      </c>
      <c r="L6823" s="9">
        <v>1</v>
      </c>
      <c r="M6823" t="s">
        <v>4861</v>
      </c>
      <c r="N6823" t="s">
        <v>51</v>
      </c>
      <c r="O6823" s="27" t="str">
        <f>HYPERLINK("https://www.ncbi.nlm.nih.gov/nuccore/NZ_AEJB01000118.1?report=graph&amp;from=8697&amp;to=8701", "TTA_codon")</f>
        <v>TTA_codon</v>
      </c>
    </row>
    <row r="6824" spans="1:15" x14ac:dyDescent="0.15">
      <c r="A6824" t="s">
        <v>195</v>
      </c>
      <c r="B6824" t="s">
        <v>4862</v>
      </c>
    </row>
    <row r="6825" spans="1:15" x14ac:dyDescent="0.15">
      <c r="A6825" t="s">
        <v>195</v>
      </c>
      <c r="B6825">
        <v>1000156</v>
      </c>
      <c r="C6825">
        <v>347187</v>
      </c>
      <c r="F6825" s="7">
        <v>2</v>
      </c>
      <c r="G6825" s="7" t="s">
        <v>4863</v>
      </c>
      <c r="H6825" s="8" t="s">
        <v>4864</v>
      </c>
      <c r="J6825" t="s">
        <v>23</v>
      </c>
      <c r="K6825" s="7">
        <v>3276</v>
      </c>
      <c r="L6825" s="9">
        <v>-1</v>
      </c>
      <c r="M6825" t="s">
        <v>4865</v>
      </c>
      <c r="N6825" t="s">
        <v>375</v>
      </c>
      <c r="O6825" s="27" t="str">
        <f>HYPERLINK("https://www.ncbi.nlm.nih.gov/nuccore/NZ_FONG01000028.1?report=graph&amp;from=28750&amp;to=30896", "TTA_codon")</f>
        <v>TTA_codon</v>
      </c>
    </row>
    <row r="6826" spans="1:15" x14ac:dyDescent="0.15">
      <c r="A6826" t="s">
        <v>21</v>
      </c>
      <c r="B6826">
        <v>1000156</v>
      </c>
      <c r="C6826">
        <v>359594</v>
      </c>
      <c r="F6826" s="7">
        <v>1</v>
      </c>
      <c r="G6826" s="7">
        <v>2329</v>
      </c>
      <c r="H6826" s="8">
        <v>1906</v>
      </c>
      <c r="J6826" t="s">
        <v>23</v>
      </c>
      <c r="K6826" s="7">
        <v>2907</v>
      </c>
      <c r="L6826" s="9">
        <v>-1</v>
      </c>
      <c r="M6826" t="s">
        <v>151</v>
      </c>
      <c r="N6826" t="s">
        <v>152</v>
      </c>
      <c r="O6826" s="27" t="str">
        <f>HYPERLINK("https://www.ncbi.nlm.nih.gov/nuccore/NZ_CP013129.1?report=graph&amp;from=7976499&amp;to=7976503", "TTA_codon")</f>
        <v>TTA_codon</v>
      </c>
    </row>
    <row r="6827" spans="1:15" x14ac:dyDescent="0.15">
      <c r="A6827" t="s">
        <v>21</v>
      </c>
      <c r="B6827" t="s">
        <v>4866</v>
      </c>
    </row>
    <row r="6828" spans="1:15" x14ac:dyDescent="0.15">
      <c r="A6828" t="s">
        <v>21</v>
      </c>
      <c r="B6828">
        <v>1000311</v>
      </c>
      <c r="C6828">
        <v>347746</v>
      </c>
      <c r="F6828" s="7">
        <v>1</v>
      </c>
      <c r="G6828" s="7">
        <v>55</v>
      </c>
      <c r="H6828" s="8">
        <v>55</v>
      </c>
      <c r="J6828" t="s">
        <v>23</v>
      </c>
      <c r="K6828" s="7">
        <v>1449</v>
      </c>
      <c r="L6828" s="9">
        <v>1</v>
      </c>
      <c r="M6828" t="s">
        <v>57</v>
      </c>
      <c r="N6828" t="s">
        <v>58</v>
      </c>
      <c r="O6828" s="27" t="str">
        <f>HYPERLINK("https://www.ncbi.nlm.nih.gov/nuccore/NC_013929.1?report=graph&amp;from=348965&amp;to=348969", "TTA_codon")</f>
        <v>TTA_codon</v>
      </c>
    </row>
    <row r="6829" spans="1:15" x14ac:dyDescent="0.15">
      <c r="A6829" t="s">
        <v>21</v>
      </c>
      <c r="B6829">
        <v>1000311</v>
      </c>
      <c r="C6829">
        <v>347969</v>
      </c>
      <c r="F6829" s="7">
        <v>1</v>
      </c>
      <c r="G6829" s="7">
        <v>100</v>
      </c>
      <c r="H6829" s="8">
        <v>70</v>
      </c>
      <c r="J6829" t="s">
        <v>23</v>
      </c>
      <c r="K6829" s="7">
        <v>1461</v>
      </c>
      <c r="L6829" s="9">
        <v>1</v>
      </c>
      <c r="M6829" t="s">
        <v>59</v>
      </c>
      <c r="N6829" t="s">
        <v>60</v>
      </c>
      <c r="O6829" s="27" t="str">
        <f>HYPERLINK("https://www.ncbi.nlm.nih.gov/nuccore/NC_016582.1?report=graph&amp;from=2021787&amp;to=2021791", "TTA_codon")</f>
        <v>TTA_codon</v>
      </c>
    </row>
    <row r="6830" spans="1:15" x14ac:dyDescent="0.15">
      <c r="A6830" t="s">
        <v>21</v>
      </c>
      <c r="B6830">
        <v>1000311</v>
      </c>
      <c r="C6830">
        <v>348694</v>
      </c>
      <c r="F6830" s="7">
        <v>1</v>
      </c>
      <c r="G6830" s="7">
        <v>91</v>
      </c>
      <c r="H6830" s="8">
        <v>70</v>
      </c>
      <c r="J6830" t="s">
        <v>23</v>
      </c>
      <c r="K6830" s="7">
        <v>1437</v>
      </c>
      <c r="L6830" s="9">
        <v>1</v>
      </c>
      <c r="M6830" t="s">
        <v>211</v>
      </c>
      <c r="N6830" t="s">
        <v>212</v>
      </c>
      <c r="O6830" s="27" t="str">
        <f>HYPERLINK("https://www.ncbi.nlm.nih.gov/nuccore/NZ_GG657754.1?report=graph&amp;from=10519171&amp;to=10519175", "TTA_codon")</f>
        <v>TTA_codon</v>
      </c>
    </row>
    <row r="6831" spans="1:15" x14ac:dyDescent="0.15">
      <c r="A6831" t="s">
        <v>21</v>
      </c>
      <c r="B6831">
        <v>1000311</v>
      </c>
      <c r="C6831">
        <v>353149</v>
      </c>
      <c r="F6831" s="7">
        <v>1</v>
      </c>
      <c r="G6831" s="7">
        <v>190</v>
      </c>
      <c r="H6831" s="8">
        <v>169</v>
      </c>
      <c r="J6831" t="s">
        <v>23</v>
      </c>
      <c r="K6831" s="7">
        <v>1497</v>
      </c>
      <c r="L6831" s="9">
        <v>1</v>
      </c>
      <c r="M6831" t="s">
        <v>2247</v>
      </c>
      <c r="N6831" t="s">
        <v>169</v>
      </c>
      <c r="O6831" s="27" t="str">
        <f>HYPERLINK("https://www.ncbi.nlm.nih.gov/nuccore/NZ_JNWJ01000023.1?report=graph&amp;from=70362&amp;to=70366", "TTA_codon")</f>
        <v>TTA_codon</v>
      </c>
    </row>
    <row r="6832" spans="1:15" x14ac:dyDescent="0.15">
      <c r="A6832" t="s">
        <v>21</v>
      </c>
      <c r="B6832">
        <v>1000311</v>
      </c>
      <c r="C6832">
        <v>365538</v>
      </c>
      <c r="F6832" s="7">
        <v>1</v>
      </c>
      <c r="G6832" s="7">
        <v>91</v>
      </c>
      <c r="H6832" s="8">
        <v>70</v>
      </c>
      <c r="J6832" t="s">
        <v>23</v>
      </c>
      <c r="K6832" s="7">
        <v>1440</v>
      </c>
      <c r="L6832" s="9">
        <v>1</v>
      </c>
      <c r="M6832" t="s">
        <v>213</v>
      </c>
      <c r="N6832" t="s">
        <v>214</v>
      </c>
      <c r="O6832" s="27" t="str">
        <f>HYPERLINK("https://www.ncbi.nlm.nih.gov/nuccore/NZ_FNST01000002.1?report=graph&amp;from=7877321&amp;to=7877325", "TTA_codon")</f>
        <v>TTA_codon</v>
      </c>
    </row>
    <row r="6833" spans="1:15" x14ac:dyDescent="0.15">
      <c r="A6833" t="s">
        <v>21</v>
      </c>
      <c r="B6833" t="s">
        <v>4867</v>
      </c>
    </row>
    <row r="6834" spans="1:15" x14ac:dyDescent="0.15">
      <c r="A6834" t="s">
        <v>21</v>
      </c>
      <c r="B6834">
        <v>1001313</v>
      </c>
      <c r="C6834">
        <v>359532</v>
      </c>
      <c r="F6834" s="7">
        <v>1</v>
      </c>
      <c r="G6834" s="7">
        <v>1729</v>
      </c>
      <c r="H6834" s="8">
        <v>1717</v>
      </c>
      <c r="J6834" t="s">
        <v>23</v>
      </c>
      <c r="K6834" s="7">
        <v>3876</v>
      </c>
      <c r="L6834" s="9">
        <v>1</v>
      </c>
      <c r="M6834" t="s">
        <v>151</v>
      </c>
      <c r="N6834" t="s">
        <v>152</v>
      </c>
      <c r="O6834" s="27" t="str">
        <f>HYPERLINK("https://www.ncbi.nlm.nih.gov/nuccore/NZ_CP013129.1?report=graph&amp;from=6791684&amp;to=6791688", "TTA_codon")</f>
        <v>TTA_codon</v>
      </c>
    </row>
    <row r="6835" spans="1:15" x14ac:dyDescent="0.15">
      <c r="A6835" t="s">
        <v>21</v>
      </c>
      <c r="B6835">
        <v>1001313</v>
      </c>
      <c r="C6835">
        <v>366115</v>
      </c>
      <c r="F6835" s="7">
        <v>1</v>
      </c>
      <c r="G6835" s="7">
        <v>1693</v>
      </c>
      <c r="H6835" s="8">
        <v>1330</v>
      </c>
      <c r="J6835" t="s">
        <v>23</v>
      </c>
      <c r="K6835" s="7">
        <v>3564</v>
      </c>
      <c r="L6835" s="9">
        <v>1</v>
      </c>
      <c r="M6835" t="s">
        <v>2760</v>
      </c>
      <c r="N6835" t="s">
        <v>257</v>
      </c>
      <c r="O6835" s="27" t="str">
        <f>HYPERLINK("https://www.ncbi.nlm.nih.gov/nuccore/NZ_FOET01000017.1?report=graph&amp;from=22374&amp;to=22378", "TTA_codon")</f>
        <v>TTA_codon</v>
      </c>
    </row>
    <row r="6836" spans="1:15" x14ac:dyDescent="0.15">
      <c r="A6836" t="s">
        <v>21</v>
      </c>
      <c r="B6836" t="s">
        <v>4868</v>
      </c>
    </row>
    <row r="6837" spans="1:15" x14ac:dyDescent="0.15">
      <c r="A6837" t="s">
        <v>21</v>
      </c>
      <c r="B6837">
        <v>1001223</v>
      </c>
      <c r="C6837">
        <v>354331</v>
      </c>
      <c r="F6837" s="7">
        <v>2</v>
      </c>
      <c r="G6837" s="7" t="s">
        <v>4869</v>
      </c>
      <c r="H6837" s="8" t="s">
        <v>4870</v>
      </c>
      <c r="J6837" t="s">
        <v>23</v>
      </c>
      <c r="K6837" s="7">
        <v>2250</v>
      </c>
      <c r="L6837" s="9">
        <v>-1</v>
      </c>
      <c r="M6837" t="s">
        <v>1044</v>
      </c>
      <c r="N6837" t="s">
        <v>142</v>
      </c>
      <c r="O6837" s="27" t="str">
        <f>HYPERLINK("https://www.ncbi.nlm.nih.gov/nuccore/NZ_JOEI01000010.1?report=graph&amp;from=188124&amp;to=189136", "TTA_codon")</f>
        <v>TTA_codon</v>
      </c>
    </row>
    <row r="6838" spans="1:15" x14ac:dyDescent="0.15">
      <c r="A6838" t="s">
        <v>21</v>
      </c>
      <c r="B6838">
        <v>1001223</v>
      </c>
      <c r="C6838">
        <v>357278</v>
      </c>
      <c r="F6838" s="7">
        <v>2</v>
      </c>
      <c r="G6838" s="7" t="s">
        <v>4871</v>
      </c>
      <c r="H6838" s="8" t="s">
        <v>4872</v>
      </c>
      <c r="J6838" t="s">
        <v>23</v>
      </c>
      <c r="K6838" s="7">
        <v>2811</v>
      </c>
      <c r="L6838" s="9">
        <v>-1</v>
      </c>
      <c r="M6838" t="s">
        <v>250</v>
      </c>
      <c r="N6838" t="s">
        <v>251</v>
      </c>
      <c r="O6838" s="27" t="str">
        <f>HYPERLINK("https://www.ncbi.nlm.nih.gov/nuccore/NZ_CP009922.2?report=graph&amp;from=1466494&amp;to=1467821", "TTA_codon")</f>
        <v>TTA_codon</v>
      </c>
    </row>
    <row r="6839" spans="1:15" x14ac:dyDescent="0.15">
      <c r="A6839" t="s">
        <v>21</v>
      </c>
      <c r="B6839" t="s">
        <v>4873</v>
      </c>
    </row>
    <row r="6840" spans="1:15" x14ac:dyDescent="0.15">
      <c r="A6840" t="s">
        <v>21</v>
      </c>
      <c r="B6840">
        <v>1000809</v>
      </c>
      <c r="C6840">
        <v>351506</v>
      </c>
      <c r="F6840" s="7">
        <v>1</v>
      </c>
      <c r="G6840" s="7">
        <v>64</v>
      </c>
      <c r="H6840" s="8">
        <v>61</v>
      </c>
      <c r="J6840" t="s">
        <v>23</v>
      </c>
      <c r="K6840" s="7">
        <v>2724</v>
      </c>
      <c r="L6840" s="9">
        <v>-1</v>
      </c>
      <c r="M6840" t="s">
        <v>4874</v>
      </c>
      <c r="N6840" t="s">
        <v>138</v>
      </c>
      <c r="O6840" s="27" t="str">
        <f>HYPERLINK("https://www.ncbi.nlm.nih.gov/nuccore/NZ_KB889585.1?report=graph&amp;from=29787&amp;to=29791", "TTA_codon")</f>
        <v>TTA_codon</v>
      </c>
    </row>
    <row r="6841" spans="1:15" x14ac:dyDescent="0.15">
      <c r="A6841" t="s">
        <v>21</v>
      </c>
      <c r="B6841">
        <v>1000809</v>
      </c>
      <c r="C6841">
        <v>352062</v>
      </c>
      <c r="F6841" s="7">
        <v>1</v>
      </c>
      <c r="G6841" s="7">
        <v>64</v>
      </c>
      <c r="H6841" s="8">
        <v>64</v>
      </c>
      <c r="J6841" t="s">
        <v>23</v>
      </c>
      <c r="K6841" s="7">
        <v>2745</v>
      </c>
      <c r="L6841" s="9">
        <v>-1</v>
      </c>
      <c r="M6841" t="s">
        <v>4875</v>
      </c>
      <c r="N6841" t="s">
        <v>70</v>
      </c>
      <c r="O6841" s="27" t="str">
        <f>HYPERLINK("https://www.ncbi.nlm.nih.gov/nuccore/NZ_KB904695.1?report=graph&amp;from=19513&amp;to=19517", "TTA_codon")</f>
        <v>TTA_codon</v>
      </c>
    </row>
    <row r="6842" spans="1:15" x14ac:dyDescent="0.15">
      <c r="A6842" t="s">
        <v>21</v>
      </c>
      <c r="B6842" t="s">
        <v>4876</v>
      </c>
    </row>
    <row r="6843" spans="1:15" x14ac:dyDescent="0.15">
      <c r="A6843" t="s">
        <v>21</v>
      </c>
      <c r="B6843">
        <v>1001440</v>
      </c>
      <c r="C6843">
        <v>363593</v>
      </c>
      <c r="F6843" s="7">
        <v>1</v>
      </c>
      <c r="G6843" s="7">
        <v>46</v>
      </c>
      <c r="H6843" s="8">
        <v>46</v>
      </c>
      <c r="J6843" t="s">
        <v>23</v>
      </c>
      <c r="K6843" s="7">
        <v>1371</v>
      </c>
      <c r="L6843" s="9">
        <v>-1</v>
      </c>
      <c r="M6843" t="s">
        <v>101</v>
      </c>
      <c r="N6843" t="s">
        <v>102</v>
      </c>
      <c r="O6843" s="27" t="str">
        <f>HYPERLINK("https://www.ncbi.nlm.nih.gov/nuccore/NZ_CP019458.1?report=graph&amp;from=8987157&amp;to=8987161", "TTA_codon")</f>
        <v>TTA_codon</v>
      </c>
    </row>
    <row r="6844" spans="1:15" x14ac:dyDescent="0.15">
      <c r="A6844" t="s">
        <v>21</v>
      </c>
      <c r="B6844">
        <v>1001440</v>
      </c>
      <c r="C6844">
        <v>365564</v>
      </c>
      <c r="F6844" s="7">
        <v>1</v>
      </c>
      <c r="G6844" s="7">
        <v>46</v>
      </c>
      <c r="H6844" s="8">
        <v>46</v>
      </c>
      <c r="J6844" t="s">
        <v>23</v>
      </c>
      <c r="K6844" s="7">
        <v>1362</v>
      </c>
      <c r="L6844" s="9">
        <v>-1</v>
      </c>
      <c r="M6844" t="s">
        <v>213</v>
      </c>
      <c r="N6844" t="s">
        <v>214</v>
      </c>
      <c r="O6844" s="27" t="str">
        <f>HYPERLINK("https://www.ncbi.nlm.nih.gov/nuccore/NZ_FNST01000002.1?report=graph&amp;from=6511536&amp;to=6511540", "TTA_codon")</f>
        <v>TTA_codon</v>
      </c>
    </row>
    <row r="6845" spans="1:15" x14ac:dyDescent="0.15">
      <c r="A6845" t="s">
        <v>21</v>
      </c>
      <c r="B6845" t="s">
        <v>4877</v>
      </c>
    </row>
    <row r="6846" spans="1:15" x14ac:dyDescent="0.15">
      <c r="A6846" t="s">
        <v>21</v>
      </c>
      <c r="B6846">
        <v>1000748</v>
      </c>
      <c r="C6846">
        <v>351419</v>
      </c>
      <c r="F6846" s="7">
        <v>1</v>
      </c>
      <c r="G6846" s="7">
        <v>91</v>
      </c>
      <c r="H6846" s="8">
        <v>91</v>
      </c>
      <c r="J6846" t="s">
        <v>23</v>
      </c>
      <c r="K6846" s="7">
        <v>1797</v>
      </c>
      <c r="L6846" s="9">
        <v>-1</v>
      </c>
      <c r="M6846" t="s">
        <v>65</v>
      </c>
      <c r="N6846" t="s">
        <v>66</v>
      </c>
      <c r="O6846" s="27" t="str">
        <f>HYPERLINK("https://www.ncbi.nlm.nih.gov/nuccore/NC_020504.1?report=graph&amp;from=4292678&amp;to=4292682", "TTA_codon")</f>
        <v>TTA_codon</v>
      </c>
    </row>
    <row r="6847" spans="1:15" x14ac:dyDescent="0.15">
      <c r="A6847" t="s">
        <v>21</v>
      </c>
      <c r="B6847">
        <v>1000748</v>
      </c>
      <c r="C6847">
        <v>354748</v>
      </c>
      <c r="F6847" s="7">
        <v>1</v>
      </c>
      <c r="G6847" s="7">
        <v>97</v>
      </c>
      <c r="H6847" s="8">
        <v>88</v>
      </c>
      <c r="J6847" t="s">
        <v>23</v>
      </c>
      <c r="K6847" s="7">
        <v>1788</v>
      </c>
      <c r="L6847" s="9">
        <v>-1</v>
      </c>
      <c r="M6847" t="s">
        <v>1807</v>
      </c>
      <c r="N6847" t="s">
        <v>272</v>
      </c>
      <c r="O6847" s="27" t="str">
        <f>HYPERLINK("https://www.ncbi.nlm.nih.gov/nuccore/NZ_JOEY01000033.1?report=graph&amp;from=76379&amp;to=76383", "TTA_codon")</f>
        <v>TTA_codon</v>
      </c>
    </row>
    <row r="6848" spans="1:15" x14ac:dyDescent="0.15">
      <c r="A6848" t="s">
        <v>21</v>
      </c>
      <c r="B6848" t="s">
        <v>4878</v>
      </c>
    </row>
    <row r="6849" spans="1:15" x14ac:dyDescent="0.15">
      <c r="A6849" t="s">
        <v>21</v>
      </c>
      <c r="B6849">
        <v>1001079</v>
      </c>
      <c r="C6849">
        <v>355312</v>
      </c>
      <c r="F6849" s="7">
        <v>1</v>
      </c>
      <c r="G6849" s="7">
        <v>394</v>
      </c>
      <c r="H6849" s="8">
        <v>394</v>
      </c>
      <c r="J6849" t="s">
        <v>23</v>
      </c>
      <c r="K6849" s="7">
        <v>1092</v>
      </c>
      <c r="L6849" s="9">
        <v>-1</v>
      </c>
      <c r="M6849" t="s">
        <v>1534</v>
      </c>
      <c r="N6849" t="s">
        <v>295</v>
      </c>
      <c r="O6849" s="27" t="str">
        <f>HYPERLINK("https://www.ncbi.nlm.nih.gov/nuccore/NZ_JODL01000010.1?report=graph&amp;from=51900&amp;to=51904", "TTA_codon")</f>
        <v>TTA_codon</v>
      </c>
    </row>
    <row r="6850" spans="1:15" x14ac:dyDescent="0.15">
      <c r="A6850" t="s">
        <v>21</v>
      </c>
      <c r="B6850">
        <v>1001079</v>
      </c>
      <c r="C6850">
        <v>366128</v>
      </c>
      <c r="F6850" s="7">
        <v>1</v>
      </c>
      <c r="G6850" s="7">
        <v>394</v>
      </c>
      <c r="H6850" s="8">
        <v>274</v>
      </c>
      <c r="J6850" t="s">
        <v>23</v>
      </c>
      <c r="K6850" s="7">
        <v>975</v>
      </c>
      <c r="L6850" s="9">
        <v>-1</v>
      </c>
      <c r="M6850" t="s">
        <v>1542</v>
      </c>
      <c r="N6850" t="s">
        <v>257</v>
      </c>
      <c r="O6850" s="27" t="str">
        <f>HYPERLINK("https://www.ncbi.nlm.nih.gov/nuccore/NZ_FOET01000001.1?report=graph&amp;from=634572&amp;to=634576", "TTA_codon")</f>
        <v>TTA_codon</v>
      </c>
    </row>
    <row r="6851" spans="1:15" x14ac:dyDescent="0.15">
      <c r="A6851" t="s">
        <v>21</v>
      </c>
      <c r="B6851" t="s">
        <v>4879</v>
      </c>
    </row>
    <row r="6852" spans="1:15" x14ac:dyDescent="0.15">
      <c r="A6852" t="s">
        <v>21</v>
      </c>
      <c r="B6852">
        <v>1001173</v>
      </c>
      <c r="C6852">
        <v>356535</v>
      </c>
      <c r="F6852" s="7">
        <v>1</v>
      </c>
      <c r="G6852" s="7">
        <v>634</v>
      </c>
      <c r="H6852" s="8">
        <v>634</v>
      </c>
      <c r="J6852" t="s">
        <v>23</v>
      </c>
      <c r="K6852" s="7">
        <v>696</v>
      </c>
      <c r="L6852" s="9">
        <v>-1</v>
      </c>
      <c r="M6852" t="s">
        <v>508</v>
      </c>
      <c r="N6852" t="s">
        <v>509</v>
      </c>
      <c r="O6852" s="27" t="str">
        <f>HYPERLINK("https://www.ncbi.nlm.nih.gov/nuccore/NZ_CP009438.1?report=graph&amp;from=6754005&amp;to=6754009", "TTA_codon")</f>
        <v>TTA_codon</v>
      </c>
    </row>
    <row r="6853" spans="1:15" x14ac:dyDescent="0.15">
      <c r="A6853" t="s">
        <v>21</v>
      </c>
      <c r="B6853">
        <v>1001173</v>
      </c>
      <c r="C6853">
        <v>364570</v>
      </c>
      <c r="F6853" s="7">
        <v>1</v>
      </c>
      <c r="G6853" s="7">
        <v>634</v>
      </c>
      <c r="H6853" s="8">
        <v>634</v>
      </c>
      <c r="J6853" t="s">
        <v>23</v>
      </c>
      <c r="K6853" s="7">
        <v>696</v>
      </c>
      <c r="L6853" s="9">
        <v>-1</v>
      </c>
      <c r="M6853" t="s">
        <v>4880</v>
      </c>
      <c r="N6853" t="s">
        <v>108</v>
      </c>
      <c r="O6853" s="27" t="str">
        <f>HYPERLINK("https://www.ncbi.nlm.nih.gov/nuccore/NZ_MUMD01000369.1?report=graph&amp;from=10828&amp;to=10832", "TTA_codon")</f>
        <v>TTA_codon</v>
      </c>
    </row>
    <row r="6854" spans="1:15" x14ac:dyDescent="0.15">
      <c r="A6854" t="s">
        <v>21</v>
      </c>
      <c r="B6854" t="s">
        <v>4881</v>
      </c>
    </row>
    <row r="6855" spans="1:15" x14ac:dyDescent="0.15">
      <c r="A6855" t="s">
        <v>21</v>
      </c>
      <c r="B6855">
        <v>1001111</v>
      </c>
      <c r="C6855">
        <v>355692</v>
      </c>
      <c r="F6855" s="7">
        <v>1</v>
      </c>
      <c r="G6855" s="7">
        <v>40</v>
      </c>
      <c r="H6855" s="8">
        <v>40</v>
      </c>
      <c r="J6855" t="s">
        <v>23</v>
      </c>
      <c r="K6855" s="7">
        <v>633</v>
      </c>
      <c r="L6855" s="9">
        <v>1</v>
      </c>
      <c r="M6855" t="s">
        <v>4882</v>
      </c>
      <c r="N6855" t="s">
        <v>278</v>
      </c>
      <c r="O6855" s="27" t="str">
        <f>HYPERLINK("https://www.ncbi.nlm.nih.gov/nuccore/NZ_JOID01000030.1?report=graph&amp;from=63893&amp;to=63897", "TTA_codon")</f>
        <v>TTA_codon</v>
      </c>
    </row>
    <row r="6856" spans="1:15" x14ac:dyDescent="0.15">
      <c r="A6856" t="s">
        <v>21</v>
      </c>
      <c r="B6856">
        <v>1001111</v>
      </c>
      <c r="C6856">
        <v>355719</v>
      </c>
      <c r="F6856" s="7">
        <v>1</v>
      </c>
      <c r="G6856" s="7">
        <v>40</v>
      </c>
      <c r="H6856" s="8">
        <v>40</v>
      </c>
      <c r="J6856" t="s">
        <v>23</v>
      </c>
      <c r="K6856" s="7">
        <v>621</v>
      </c>
      <c r="L6856" s="9">
        <v>1</v>
      </c>
      <c r="M6856" t="s">
        <v>1232</v>
      </c>
      <c r="N6856" t="s">
        <v>278</v>
      </c>
      <c r="O6856" s="27" t="str">
        <f>HYPERLINK("https://www.ncbi.nlm.nih.gov/nuccore/NZ_JOID01000004.1?report=graph&amp;from=250125&amp;to=250129", "TTA_codon")</f>
        <v>TTA_codon</v>
      </c>
    </row>
    <row r="6857" spans="1:15" x14ac:dyDescent="0.15">
      <c r="A6857" t="s">
        <v>21</v>
      </c>
      <c r="B6857">
        <v>1001111</v>
      </c>
      <c r="C6857">
        <v>363785</v>
      </c>
      <c r="F6857" s="7">
        <v>1</v>
      </c>
      <c r="G6857" s="7">
        <v>40</v>
      </c>
      <c r="H6857" s="8">
        <v>40</v>
      </c>
      <c r="J6857" t="s">
        <v>23</v>
      </c>
      <c r="K6857" s="7">
        <v>639</v>
      </c>
      <c r="L6857" s="9">
        <v>1</v>
      </c>
      <c r="M6857" t="s">
        <v>101</v>
      </c>
      <c r="N6857" t="s">
        <v>102</v>
      </c>
      <c r="O6857" s="27" t="str">
        <f>HYPERLINK("https://www.ncbi.nlm.nih.gov/nuccore/NZ_CP019458.1?report=graph&amp;from=3318533&amp;to=3318537", "TTA_codon")</f>
        <v>TTA_codon</v>
      </c>
    </row>
    <row r="6858" spans="1:15" x14ac:dyDescent="0.15">
      <c r="A6858" t="s">
        <v>21</v>
      </c>
      <c r="B6858">
        <v>1001111</v>
      </c>
      <c r="C6858">
        <v>363849</v>
      </c>
      <c r="F6858" s="7">
        <v>1</v>
      </c>
      <c r="G6858" s="7">
        <v>40</v>
      </c>
      <c r="H6858" s="8">
        <v>40</v>
      </c>
      <c r="J6858" t="s">
        <v>23</v>
      </c>
      <c r="K6858" s="7">
        <v>648</v>
      </c>
      <c r="L6858" s="9">
        <v>1</v>
      </c>
      <c r="M6858" t="s">
        <v>101</v>
      </c>
      <c r="N6858" t="s">
        <v>102</v>
      </c>
      <c r="O6858" s="27" t="str">
        <f>HYPERLINK("https://www.ncbi.nlm.nih.gov/nuccore/NZ_CP019458.1?report=graph&amp;from=3319225&amp;to=3319229", "TTA_codon")</f>
        <v>TTA_codon</v>
      </c>
    </row>
    <row r="6859" spans="1:15" x14ac:dyDescent="0.15">
      <c r="A6859" t="s">
        <v>21</v>
      </c>
      <c r="B6859">
        <v>1001111</v>
      </c>
      <c r="C6859">
        <v>365827</v>
      </c>
      <c r="F6859" s="7">
        <v>1</v>
      </c>
      <c r="G6859" s="7">
        <v>40</v>
      </c>
      <c r="H6859" s="8">
        <v>40</v>
      </c>
      <c r="J6859" t="s">
        <v>23</v>
      </c>
      <c r="K6859" s="7">
        <v>648</v>
      </c>
      <c r="L6859" s="9">
        <v>1</v>
      </c>
      <c r="M6859" t="s">
        <v>213</v>
      </c>
      <c r="N6859" t="s">
        <v>214</v>
      </c>
      <c r="O6859" s="27" t="str">
        <f>HYPERLINK("https://www.ncbi.nlm.nih.gov/nuccore/NZ_FNST01000002.1?report=graph&amp;from=944895&amp;to=944899", "TTA_codon")</f>
        <v>TTA_codon</v>
      </c>
    </row>
    <row r="6860" spans="1:15" x14ac:dyDescent="0.15">
      <c r="A6860" t="s">
        <v>21</v>
      </c>
      <c r="B6860">
        <v>1001111</v>
      </c>
      <c r="C6860">
        <v>366122</v>
      </c>
      <c r="F6860" s="7">
        <v>1</v>
      </c>
      <c r="G6860" s="7">
        <v>40</v>
      </c>
      <c r="H6860" s="8">
        <v>40</v>
      </c>
      <c r="J6860" t="s">
        <v>23</v>
      </c>
      <c r="K6860" s="7">
        <v>660</v>
      </c>
      <c r="L6860" s="9">
        <v>1</v>
      </c>
      <c r="M6860" t="s">
        <v>1927</v>
      </c>
      <c r="N6860" t="s">
        <v>257</v>
      </c>
      <c r="O6860" s="27" t="str">
        <f>HYPERLINK("https://www.ncbi.nlm.nih.gov/nuccore/NZ_FOET01000002.1?report=graph&amp;from=407089&amp;to=407093", "TTA_codon")</f>
        <v>TTA_codon</v>
      </c>
    </row>
    <row r="6861" spans="1:15" x14ac:dyDescent="0.15">
      <c r="A6861" t="s">
        <v>21</v>
      </c>
      <c r="B6861" t="s">
        <v>4883</v>
      </c>
    </row>
    <row r="6862" spans="1:15" x14ac:dyDescent="0.15">
      <c r="A6862" t="s">
        <v>21</v>
      </c>
      <c r="B6862">
        <v>1000200</v>
      </c>
      <c r="C6862">
        <v>347351</v>
      </c>
      <c r="F6862" s="7">
        <v>1</v>
      </c>
      <c r="G6862" s="7">
        <v>166</v>
      </c>
      <c r="H6862" s="8">
        <v>109</v>
      </c>
      <c r="J6862" t="s">
        <v>23</v>
      </c>
      <c r="K6862" s="7">
        <v>2115</v>
      </c>
      <c r="L6862" s="9">
        <v>-1</v>
      </c>
      <c r="M6862" t="s">
        <v>217</v>
      </c>
      <c r="N6862" t="s">
        <v>218</v>
      </c>
      <c r="O6862" s="27" t="str">
        <f>HYPERLINK("https://www.ncbi.nlm.nih.gov/nuccore/NC_021985.1?report=graph&amp;from=5413940&amp;to=5413944", "TTA_codon")</f>
        <v>TTA_codon</v>
      </c>
    </row>
    <row r="6863" spans="1:15" x14ac:dyDescent="0.15">
      <c r="A6863" t="s">
        <v>21</v>
      </c>
      <c r="B6863">
        <v>1000200</v>
      </c>
      <c r="C6863">
        <v>349323</v>
      </c>
      <c r="F6863" s="7">
        <v>1</v>
      </c>
      <c r="G6863" s="7">
        <v>166</v>
      </c>
      <c r="H6863" s="8">
        <v>112</v>
      </c>
      <c r="J6863" t="s">
        <v>23</v>
      </c>
      <c r="K6863" s="7">
        <v>2199</v>
      </c>
      <c r="L6863" s="9">
        <v>-1</v>
      </c>
      <c r="M6863" t="s">
        <v>458</v>
      </c>
      <c r="N6863" t="s">
        <v>315</v>
      </c>
      <c r="O6863" s="27" t="str">
        <f>HYPERLINK("https://www.ncbi.nlm.nih.gov/nuccore/NC_003888.3?report=graph&amp;from=5479414&amp;to=5479418", "TTA_codon")</f>
        <v>TTA_codon</v>
      </c>
    </row>
    <row r="6864" spans="1:15" x14ac:dyDescent="0.15">
      <c r="A6864" t="s">
        <v>21</v>
      </c>
      <c r="B6864">
        <v>1000200</v>
      </c>
      <c r="C6864">
        <v>356513</v>
      </c>
      <c r="F6864" s="7">
        <v>1</v>
      </c>
      <c r="G6864" s="7">
        <v>166</v>
      </c>
      <c r="H6864" s="8">
        <v>118</v>
      </c>
      <c r="J6864" t="s">
        <v>23</v>
      </c>
      <c r="K6864" s="7">
        <v>2061</v>
      </c>
      <c r="L6864" s="9">
        <v>-1</v>
      </c>
      <c r="M6864" t="s">
        <v>508</v>
      </c>
      <c r="N6864" t="s">
        <v>509</v>
      </c>
      <c r="O6864" s="27" t="str">
        <f>HYPERLINK("https://www.ncbi.nlm.nih.gov/nuccore/NZ_CP009438.1?report=graph&amp;from=4926780&amp;to=4926784", "TTA_codon")</f>
        <v>TTA_codon</v>
      </c>
    </row>
    <row r="6865" spans="1:15" x14ac:dyDescent="0.15">
      <c r="A6865" t="s">
        <v>21</v>
      </c>
      <c r="B6865">
        <v>1000200</v>
      </c>
      <c r="C6865">
        <v>356652</v>
      </c>
      <c r="F6865" s="7">
        <v>1</v>
      </c>
      <c r="G6865" s="7">
        <v>166</v>
      </c>
      <c r="H6865" s="8">
        <v>106</v>
      </c>
      <c r="J6865" t="s">
        <v>23</v>
      </c>
      <c r="K6865" s="7">
        <v>2082</v>
      </c>
      <c r="L6865" s="9">
        <v>-1</v>
      </c>
      <c r="M6865" t="s">
        <v>147</v>
      </c>
      <c r="N6865" t="s">
        <v>148</v>
      </c>
      <c r="O6865" s="27" t="str">
        <f>HYPERLINK("https://www.ncbi.nlm.nih.gov/nuccore/NZ_CP021080.1?report=graph&amp;from=4754396&amp;to=4754400", "TTA_codon")</f>
        <v>TTA_codon</v>
      </c>
    </row>
    <row r="6866" spans="1:15" x14ac:dyDescent="0.15">
      <c r="A6866" t="s">
        <v>21</v>
      </c>
      <c r="B6866">
        <v>1000200</v>
      </c>
      <c r="C6866">
        <v>356855</v>
      </c>
      <c r="F6866" s="7">
        <v>1</v>
      </c>
      <c r="G6866" s="7">
        <v>166</v>
      </c>
      <c r="H6866" s="8">
        <v>130</v>
      </c>
      <c r="J6866" t="s">
        <v>23</v>
      </c>
      <c r="K6866" s="7">
        <v>2091</v>
      </c>
      <c r="L6866" s="9">
        <v>-1</v>
      </c>
      <c r="M6866" t="s">
        <v>78</v>
      </c>
      <c r="N6866" t="s">
        <v>79</v>
      </c>
      <c r="O6866" s="27" t="str">
        <f>HYPERLINK("https://www.ncbi.nlm.nih.gov/nuccore/NZ_CP009313.1?report=graph&amp;from=4709876&amp;to=4709880", "TTA_codon")</f>
        <v>TTA_codon</v>
      </c>
    </row>
    <row r="6867" spans="1:15" x14ac:dyDescent="0.15">
      <c r="A6867" t="s">
        <v>21</v>
      </c>
      <c r="B6867">
        <v>1000200</v>
      </c>
      <c r="C6867">
        <v>359830</v>
      </c>
      <c r="F6867" s="7">
        <v>1</v>
      </c>
      <c r="G6867" s="7">
        <v>166</v>
      </c>
      <c r="H6867" s="8">
        <v>124</v>
      </c>
      <c r="J6867" t="s">
        <v>23</v>
      </c>
      <c r="K6867" s="7">
        <v>1716</v>
      </c>
      <c r="L6867" s="9">
        <v>-1</v>
      </c>
      <c r="M6867" t="s">
        <v>2649</v>
      </c>
      <c r="N6867" t="s">
        <v>91</v>
      </c>
      <c r="O6867" s="27" t="str">
        <f>HYPERLINK("https://www.ncbi.nlm.nih.gov/nuccore/NZ_KQ948312.1?report=graph&amp;from=123888&amp;to=123892", "TTA_codon")</f>
        <v>TTA_codon</v>
      </c>
    </row>
    <row r="6868" spans="1:15" x14ac:dyDescent="0.15">
      <c r="A6868" t="s">
        <v>21</v>
      </c>
      <c r="B6868">
        <v>1000200</v>
      </c>
      <c r="C6868">
        <v>360060</v>
      </c>
      <c r="F6868" s="7">
        <v>1</v>
      </c>
      <c r="G6868" s="7">
        <v>166</v>
      </c>
      <c r="H6868" s="8">
        <v>136</v>
      </c>
      <c r="J6868" t="s">
        <v>23</v>
      </c>
      <c r="K6868" s="7">
        <v>2151</v>
      </c>
      <c r="L6868" s="9">
        <v>-1</v>
      </c>
      <c r="M6868" t="s">
        <v>124</v>
      </c>
      <c r="N6868" t="s">
        <v>125</v>
      </c>
      <c r="O6868" s="27" t="str">
        <f>HYPERLINK("https://www.ncbi.nlm.nih.gov/nuccore/NZ_KQ948455.1?report=graph&amp;from=169150&amp;to=169154", "TTA_codon")</f>
        <v>TTA_codon</v>
      </c>
    </row>
    <row r="6869" spans="1:15" x14ac:dyDescent="0.15">
      <c r="A6869" t="s">
        <v>21</v>
      </c>
      <c r="B6869">
        <v>1000200</v>
      </c>
      <c r="C6869">
        <v>360378</v>
      </c>
      <c r="F6869" s="7">
        <v>1</v>
      </c>
      <c r="G6869" s="7">
        <v>166</v>
      </c>
      <c r="H6869" s="8">
        <v>106</v>
      </c>
      <c r="J6869" t="s">
        <v>23</v>
      </c>
      <c r="K6869" s="7">
        <v>2073</v>
      </c>
      <c r="L6869" s="9">
        <v>-1</v>
      </c>
      <c r="M6869" t="s">
        <v>121</v>
      </c>
      <c r="N6869" t="s">
        <v>122</v>
      </c>
      <c r="O6869" s="27" t="str">
        <f>HYPERLINK("https://www.ncbi.nlm.nih.gov/nuccore/NZ_CP016279.1?report=graph&amp;from=1272284&amp;to=1272288", "TTA_codon")</f>
        <v>TTA_codon</v>
      </c>
    </row>
    <row r="6870" spans="1:15" x14ac:dyDescent="0.15">
      <c r="A6870" t="s">
        <v>21</v>
      </c>
      <c r="B6870">
        <v>1000200</v>
      </c>
      <c r="C6870">
        <v>361121</v>
      </c>
      <c r="F6870" s="7">
        <v>1</v>
      </c>
      <c r="G6870" s="7">
        <v>166</v>
      </c>
      <c r="H6870" s="8">
        <v>136</v>
      </c>
      <c r="J6870" t="s">
        <v>23</v>
      </c>
      <c r="K6870" s="7">
        <v>2133</v>
      </c>
      <c r="L6870" s="9">
        <v>-1</v>
      </c>
      <c r="M6870" t="s">
        <v>98</v>
      </c>
      <c r="N6870" t="s">
        <v>99</v>
      </c>
      <c r="O6870" s="27" t="str">
        <f>HYPERLINK("https://www.ncbi.nlm.nih.gov/nuccore/NZ_CP016438.1?report=graph&amp;from=6461520&amp;to=6461524", "TTA_codon")</f>
        <v>TTA_codon</v>
      </c>
    </row>
    <row r="6871" spans="1:15" x14ac:dyDescent="0.15">
      <c r="A6871" t="s">
        <v>21</v>
      </c>
      <c r="B6871">
        <v>1000200</v>
      </c>
      <c r="C6871">
        <v>363261</v>
      </c>
      <c r="F6871" s="7">
        <v>1</v>
      </c>
      <c r="G6871" s="7">
        <v>166</v>
      </c>
      <c r="H6871" s="8">
        <v>97</v>
      </c>
      <c r="J6871" t="s">
        <v>23</v>
      </c>
      <c r="K6871" s="7">
        <v>2145</v>
      </c>
      <c r="L6871" s="9">
        <v>-1</v>
      </c>
      <c r="M6871" t="s">
        <v>1589</v>
      </c>
      <c r="N6871" t="s">
        <v>28</v>
      </c>
      <c r="O6871" s="27" t="str">
        <f>HYPERLINK("https://www.ncbi.nlm.nih.gov/nuccore/NZ_JUJA01000033.1?report=graph&amp;from=127500&amp;to=127504", "TTA_codon")</f>
        <v>TTA_codon</v>
      </c>
    </row>
    <row r="6872" spans="1:15" x14ac:dyDescent="0.15">
      <c r="A6872" t="s">
        <v>21</v>
      </c>
      <c r="B6872" t="s">
        <v>4884</v>
      </c>
    </row>
    <row r="6873" spans="1:15" x14ac:dyDescent="0.15">
      <c r="A6873" t="s">
        <v>21</v>
      </c>
      <c r="B6873">
        <v>1001408</v>
      </c>
      <c r="C6873">
        <v>362135</v>
      </c>
      <c r="F6873" s="7">
        <v>1</v>
      </c>
      <c r="G6873" s="7">
        <v>52</v>
      </c>
      <c r="H6873" s="8">
        <v>49</v>
      </c>
      <c r="J6873" t="s">
        <v>23</v>
      </c>
      <c r="K6873" s="7">
        <v>1929</v>
      </c>
      <c r="L6873" s="9">
        <v>1</v>
      </c>
      <c r="M6873" t="s">
        <v>3290</v>
      </c>
      <c r="N6873" t="s">
        <v>187</v>
      </c>
      <c r="O6873" s="27" t="str">
        <f>HYPERLINK("https://www.ncbi.nlm.nih.gov/nuccore/NZ_MAXF01000126.1?report=graph&amp;from=5197&amp;to=5201", "TTA_codon")</f>
        <v>TTA_codon</v>
      </c>
    </row>
    <row r="6874" spans="1:15" x14ac:dyDescent="0.15">
      <c r="A6874" t="s">
        <v>21</v>
      </c>
      <c r="B6874">
        <v>1001408</v>
      </c>
      <c r="C6874">
        <v>365783</v>
      </c>
      <c r="F6874" s="7">
        <v>1</v>
      </c>
      <c r="G6874" s="7">
        <v>52</v>
      </c>
      <c r="H6874" s="8">
        <v>52</v>
      </c>
      <c r="J6874" t="s">
        <v>23</v>
      </c>
      <c r="K6874" s="7">
        <v>1932</v>
      </c>
      <c r="L6874" s="9">
        <v>1</v>
      </c>
      <c r="M6874" t="s">
        <v>213</v>
      </c>
      <c r="N6874" t="s">
        <v>214</v>
      </c>
      <c r="O6874" s="27" t="str">
        <f>HYPERLINK("https://www.ncbi.nlm.nih.gov/nuccore/NZ_FNST01000002.1?report=graph&amp;from=6079511&amp;to=6079515", "TTA_codon")</f>
        <v>TTA_codon</v>
      </c>
    </row>
    <row r="6875" spans="1:15" x14ac:dyDescent="0.15">
      <c r="A6875" t="s">
        <v>21</v>
      </c>
      <c r="B6875" t="s">
        <v>4885</v>
      </c>
    </row>
    <row r="6876" spans="1:15" x14ac:dyDescent="0.15">
      <c r="A6876" t="s">
        <v>21</v>
      </c>
      <c r="B6876">
        <v>1000787</v>
      </c>
      <c r="C6876">
        <v>351869</v>
      </c>
      <c r="F6876" s="7">
        <v>1</v>
      </c>
      <c r="G6876" s="7">
        <v>73</v>
      </c>
      <c r="H6876" s="8">
        <v>70</v>
      </c>
      <c r="J6876" t="s">
        <v>23</v>
      </c>
      <c r="K6876" s="7">
        <v>903</v>
      </c>
      <c r="L6876" s="9">
        <v>-1</v>
      </c>
      <c r="M6876" t="s">
        <v>4886</v>
      </c>
      <c r="N6876" t="s">
        <v>68</v>
      </c>
      <c r="O6876" s="27" t="str">
        <f>HYPERLINK("https://www.ncbi.nlm.nih.gov/nuccore/NZ_BARG01000095.1?report=graph&amp;from=18983&amp;to=18987", "TTA_codon")</f>
        <v>TTA_codon</v>
      </c>
    </row>
    <row r="6877" spans="1:15" x14ac:dyDescent="0.15">
      <c r="A6877" t="s">
        <v>21</v>
      </c>
      <c r="B6877">
        <v>1000787</v>
      </c>
      <c r="C6877">
        <v>360267</v>
      </c>
      <c r="F6877" s="7">
        <v>1</v>
      </c>
      <c r="G6877" s="7">
        <v>73</v>
      </c>
      <c r="H6877" s="8">
        <v>70</v>
      </c>
      <c r="J6877" t="s">
        <v>23</v>
      </c>
      <c r="K6877" s="7">
        <v>903</v>
      </c>
      <c r="L6877" s="9">
        <v>-1</v>
      </c>
      <c r="M6877" t="s">
        <v>1563</v>
      </c>
      <c r="N6877" t="s">
        <v>125</v>
      </c>
      <c r="O6877" s="27" t="str">
        <f>HYPERLINK("https://www.ncbi.nlm.nih.gov/nuccore/NZ_KQ948451.1?report=graph&amp;from=215501&amp;to=215505", "TTA_codon")</f>
        <v>TTA_codon</v>
      </c>
    </row>
    <row r="6878" spans="1:15" x14ac:dyDescent="0.15">
      <c r="A6878" t="s">
        <v>21</v>
      </c>
      <c r="B6878">
        <v>1000787</v>
      </c>
      <c r="C6878">
        <v>363856</v>
      </c>
      <c r="F6878" s="7">
        <v>1</v>
      </c>
      <c r="G6878" s="7">
        <v>43</v>
      </c>
      <c r="H6878" s="8">
        <v>40</v>
      </c>
      <c r="J6878" t="s">
        <v>23</v>
      </c>
      <c r="K6878" s="7">
        <v>912</v>
      </c>
      <c r="L6878" s="9">
        <v>-1</v>
      </c>
      <c r="M6878" t="s">
        <v>101</v>
      </c>
      <c r="N6878" t="s">
        <v>102</v>
      </c>
      <c r="O6878" s="27" t="str">
        <f>HYPERLINK("https://www.ncbi.nlm.nih.gov/nuccore/NZ_CP019458.1?report=graph&amp;from=2586437&amp;to=2586441", "TTA_codon")</f>
        <v>TTA_codon</v>
      </c>
    </row>
    <row r="6879" spans="1:15" x14ac:dyDescent="0.15">
      <c r="A6879" t="s">
        <v>21</v>
      </c>
      <c r="B6879">
        <v>1000787</v>
      </c>
      <c r="C6879">
        <v>364215</v>
      </c>
      <c r="F6879" s="7">
        <v>1</v>
      </c>
      <c r="G6879" s="7">
        <v>43</v>
      </c>
      <c r="H6879" s="8">
        <v>43</v>
      </c>
      <c r="J6879" t="s">
        <v>23</v>
      </c>
      <c r="K6879" s="7">
        <v>930</v>
      </c>
      <c r="L6879" s="9">
        <v>-1</v>
      </c>
      <c r="M6879" t="s">
        <v>254</v>
      </c>
      <c r="N6879" t="s">
        <v>255</v>
      </c>
      <c r="O6879" s="27" t="str">
        <f>HYPERLINK("https://www.ncbi.nlm.nih.gov/nuccore/NZ_CP018047.1?report=graph&amp;from=720094&amp;to=720098", "TTA_codon")</f>
        <v>TTA_codon</v>
      </c>
    </row>
    <row r="6880" spans="1:15" x14ac:dyDescent="0.15">
      <c r="A6880" t="s">
        <v>21</v>
      </c>
      <c r="B6880" t="s">
        <v>4887</v>
      </c>
    </row>
    <row r="6881" spans="1:15" x14ac:dyDescent="0.15">
      <c r="A6881" t="s">
        <v>21</v>
      </c>
      <c r="B6881">
        <v>1001391</v>
      </c>
      <c r="C6881">
        <v>361817</v>
      </c>
      <c r="F6881" s="7">
        <v>1</v>
      </c>
      <c r="G6881" s="7">
        <v>271</v>
      </c>
      <c r="H6881" s="8">
        <v>271</v>
      </c>
      <c r="J6881" t="s">
        <v>23</v>
      </c>
      <c r="K6881" s="7">
        <v>1392</v>
      </c>
      <c r="L6881" s="9">
        <v>1</v>
      </c>
      <c r="M6881" t="s">
        <v>37</v>
      </c>
      <c r="N6881" t="s">
        <v>38</v>
      </c>
      <c r="O6881" s="27" t="str">
        <f>HYPERLINK("https://www.ncbi.nlm.nih.gov/nuccore/NZ_CP011533.1?report=graph&amp;from=5489348&amp;to=5489352", "TTA_codon")</f>
        <v>TTA_codon</v>
      </c>
    </row>
    <row r="6882" spans="1:15" x14ac:dyDescent="0.15">
      <c r="A6882" t="s">
        <v>21</v>
      </c>
      <c r="B6882">
        <v>1001391</v>
      </c>
      <c r="C6882">
        <v>362313</v>
      </c>
      <c r="F6882" s="7">
        <v>1</v>
      </c>
      <c r="G6882" s="7">
        <v>271</v>
      </c>
      <c r="H6882" s="8">
        <v>271</v>
      </c>
      <c r="J6882" t="s">
        <v>23</v>
      </c>
      <c r="K6882" s="7">
        <v>1371</v>
      </c>
      <c r="L6882" s="9">
        <v>1</v>
      </c>
      <c r="M6882" t="s">
        <v>39</v>
      </c>
      <c r="N6882" t="s">
        <v>40</v>
      </c>
      <c r="O6882" s="27" t="str">
        <f>HYPERLINK("https://www.ncbi.nlm.nih.gov/nuccore/NZ_CP017157.1?report=graph&amp;from=748538&amp;to=748542", "TTA_codon")</f>
        <v>TTA_codon</v>
      </c>
    </row>
    <row r="6883" spans="1:15" x14ac:dyDescent="0.15">
      <c r="A6883" t="s">
        <v>21</v>
      </c>
      <c r="B6883" t="s">
        <v>4888</v>
      </c>
    </row>
    <row r="6884" spans="1:15" x14ac:dyDescent="0.15">
      <c r="A6884" t="s">
        <v>21</v>
      </c>
      <c r="B6884">
        <v>1001395</v>
      </c>
      <c r="C6884">
        <v>361948</v>
      </c>
      <c r="F6884" s="7">
        <v>1</v>
      </c>
      <c r="G6884" s="7">
        <v>364</v>
      </c>
      <c r="H6884" s="8">
        <v>364</v>
      </c>
      <c r="J6884" t="s">
        <v>23</v>
      </c>
      <c r="K6884" s="7">
        <v>1383</v>
      </c>
      <c r="L6884" s="9">
        <v>1</v>
      </c>
      <c r="M6884" t="s">
        <v>1644</v>
      </c>
      <c r="N6884" t="s">
        <v>187</v>
      </c>
      <c r="O6884" s="27" t="str">
        <f>HYPERLINK("https://www.ncbi.nlm.nih.gov/nuccore/NZ_MAXF01000031.1?report=graph&amp;from=39274&amp;to=39278", "TTA_codon")</f>
        <v>TTA_codon</v>
      </c>
    </row>
    <row r="6885" spans="1:15" x14ac:dyDescent="0.15">
      <c r="A6885" t="s">
        <v>21</v>
      </c>
      <c r="B6885">
        <v>1001395</v>
      </c>
      <c r="C6885">
        <v>363629</v>
      </c>
      <c r="F6885" s="7">
        <v>1</v>
      </c>
      <c r="G6885" s="7">
        <v>364</v>
      </c>
      <c r="H6885" s="8">
        <v>334</v>
      </c>
      <c r="J6885" t="s">
        <v>23</v>
      </c>
      <c r="K6885" s="7">
        <v>1353</v>
      </c>
      <c r="L6885" s="9">
        <v>1</v>
      </c>
      <c r="M6885" t="s">
        <v>101</v>
      </c>
      <c r="N6885" t="s">
        <v>102</v>
      </c>
      <c r="O6885" s="27" t="str">
        <f>HYPERLINK("https://www.ncbi.nlm.nih.gov/nuccore/NZ_CP019458.1?report=graph&amp;from=4549099&amp;to=4549103", "TTA_codon")</f>
        <v>TTA_codon</v>
      </c>
    </row>
    <row r="6886" spans="1:15" x14ac:dyDescent="0.15">
      <c r="A6886" t="s">
        <v>21</v>
      </c>
      <c r="B6886">
        <v>1001395</v>
      </c>
      <c r="C6886">
        <v>365605</v>
      </c>
      <c r="F6886" s="7">
        <v>1</v>
      </c>
      <c r="G6886" s="7">
        <v>364</v>
      </c>
      <c r="H6886" s="8">
        <v>334</v>
      </c>
      <c r="J6886" t="s">
        <v>23</v>
      </c>
      <c r="K6886" s="7">
        <v>1353</v>
      </c>
      <c r="L6886" s="9">
        <v>1</v>
      </c>
      <c r="M6886" t="s">
        <v>213</v>
      </c>
      <c r="N6886" t="s">
        <v>214</v>
      </c>
      <c r="O6886" s="27" t="str">
        <f>HYPERLINK("https://www.ncbi.nlm.nih.gov/nuccore/NZ_FNST01000002.1?report=graph&amp;from=2117014&amp;to=2117018", "TTA_codon")</f>
        <v>TTA_codon</v>
      </c>
    </row>
    <row r="6887" spans="1:15" x14ac:dyDescent="0.15">
      <c r="A6887" t="s">
        <v>21</v>
      </c>
      <c r="B6887" t="s">
        <v>4889</v>
      </c>
    </row>
    <row r="6888" spans="1:15" x14ac:dyDescent="0.15">
      <c r="A6888" t="s">
        <v>21</v>
      </c>
      <c r="B6888">
        <v>1000498</v>
      </c>
      <c r="C6888">
        <v>349326</v>
      </c>
      <c r="F6888" s="7">
        <v>1</v>
      </c>
      <c r="G6888" s="7">
        <v>316</v>
      </c>
      <c r="H6888" s="8">
        <v>316</v>
      </c>
      <c r="J6888" t="s">
        <v>23</v>
      </c>
      <c r="K6888" s="7">
        <v>933</v>
      </c>
      <c r="L6888" s="9">
        <v>-1</v>
      </c>
      <c r="M6888" t="s">
        <v>458</v>
      </c>
      <c r="N6888" t="s">
        <v>315</v>
      </c>
      <c r="O6888" s="27" t="str">
        <f>HYPERLINK("https://www.ncbi.nlm.nih.gov/nuccore/NC_003888.3?report=graph&amp;from=5102672&amp;to=5102676", "TTA_codon")</f>
        <v>TTA_codon</v>
      </c>
    </row>
    <row r="6889" spans="1:15" x14ac:dyDescent="0.15">
      <c r="A6889" t="s">
        <v>21</v>
      </c>
      <c r="B6889">
        <v>1000498</v>
      </c>
      <c r="C6889">
        <v>357008</v>
      </c>
      <c r="F6889" s="7">
        <v>1</v>
      </c>
      <c r="G6889" s="7">
        <v>331</v>
      </c>
      <c r="H6889" s="8">
        <v>331</v>
      </c>
      <c r="J6889" t="s">
        <v>23</v>
      </c>
      <c r="K6889" s="7">
        <v>1023</v>
      </c>
      <c r="L6889" s="9">
        <v>-1</v>
      </c>
      <c r="M6889" t="s">
        <v>162</v>
      </c>
      <c r="N6889" t="s">
        <v>163</v>
      </c>
      <c r="O6889" s="27" t="str">
        <f>HYPERLINK("https://www.ncbi.nlm.nih.gov/nuccore/NZ_CP010519.1?report=graph&amp;from=7323813&amp;to=7323817", "TTA_codon")</f>
        <v>TTA_codon</v>
      </c>
    </row>
    <row r="6890" spans="1:15" x14ac:dyDescent="0.15">
      <c r="A6890" t="s">
        <v>21</v>
      </c>
      <c r="B6890" t="s">
        <v>4890</v>
      </c>
    </row>
    <row r="6891" spans="1:15" x14ac:dyDescent="0.15">
      <c r="A6891" t="s">
        <v>21</v>
      </c>
      <c r="B6891">
        <v>1000214</v>
      </c>
      <c r="C6891">
        <v>347407</v>
      </c>
      <c r="F6891" s="7">
        <v>1</v>
      </c>
      <c r="G6891" s="7">
        <v>115</v>
      </c>
      <c r="H6891" s="8">
        <v>115</v>
      </c>
      <c r="J6891" t="s">
        <v>23</v>
      </c>
      <c r="K6891" s="7">
        <v>396</v>
      </c>
      <c r="L6891" s="9">
        <v>-1</v>
      </c>
      <c r="M6891" t="s">
        <v>217</v>
      </c>
      <c r="N6891" t="s">
        <v>218</v>
      </c>
      <c r="O6891" s="27" t="str">
        <f>HYPERLINK("https://www.ncbi.nlm.nih.gov/nuccore/NC_021985.1?report=graph&amp;from=1096301&amp;to=1096305", "TTA_codon")</f>
        <v>TTA_codon</v>
      </c>
    </row>
    <row r="6892" spans="1:15" x14ac:dyDescent="0.15">
      <c r="A6892" t="s">
        <v>21</v>
      </c>
      <c r="B6892">
        <v>1000214</v>
      </c>
      <c r="C6892">
        <v>349654</v>
      </c>
      <c r="F6892" s="7">
        <v>1</v>
      </c>
      <c r="G6892" s="7">
        <v>148</v>
      </c>
      <c r="H6892" s="8">
        <v>148</v>
      </c>
      <c r="J6892" t="s">
        <v>23</v>
      </c>
      <c r="K6892" s="7">
        <v>396</v>
      </c>
      <c r="L6892" s="9">
        <v>-1</v>
      </c>
      <c r="M6892" t="s">
        <v>4891</v>
      </c>
      <c r="N6892" t="s">
        <v>335</v>
      </c>
      <c r="O6892" s="27" t="str">
        <f>HYPERLINK("https://www.ncbi.nlm.nih.gov/nuccore/NZ_AGBF01000117.1?report=graph&amp;from=512&amp;to=516", "TTA_codon")</f>
        <v>TTA_codon</v>
      </c>
    </row>
    <row r="6893" spans="1:15" x14ac:dyDescent="0.15">
      <c r="A6893" t="s">
        <v>21</v>
      </c>
      <c r="B6893">
        <v>1000214</v>
      </c>
      <c r="C6893">
        <v>350118</v>
      </c>
      <c r="F6893" s="7">
        <v>1</v>
      </c>
      <c r="G6893" s="7">
        <v>115</v>
      </c>
      <c r="H6893" s="8">
        <v>115</v>
      </c>
      <c r="J6893" t="s">
        <v>23</v>
      </c>
      <c r="K6893" s="7">
        <v>396</v>
      </c>
      <c r="L6893" s="9">
        <v>-1</v>
      </c>
      <c r="M6893" t="s">
        <v>4892</v>
      </c>
      <c r="N6893" t="s">
        <v>249</v>
      </c>
      <c r="O6893" s="27" t="str">
        <f>HYPERLINK("https://www.ncbi.nlm.nih.gov/nuccore/NZ_AHBF01000069.1?report=graph&amp;from=25815&amp;to=25819", "TTA_codon")</f>
        <v>TTA_codon</v>
      </c>
    </row>
    <row r="6894" spans="1:15" x14ac:dyDescent="0.15">
      <c r="A6894" t="s">
        <v>21</v>
      </c>
      <c r="B6894">
        <v>1000214</v>
      </c>
      <c r="C6894">
        <v>350963</v>
      </c>
      <c r="F6894" s="7">
        <v>1</v>
      </c>
      <c r="G6894" s="7">
        <v>115</v>
      </c>
      <c r="H6894" s="8">
        <v>115</v>
      </c>
      <c r="J6894" t="s">
        <v>23</v>
      </c>
      <c r="K6894" s="7">
        <v>396</v>
      </c>
      <c r="L6894" s="9">
        <v>-1</v>
      </c>
      <c r="M6894" t="s">
        <v>4893</v>
      </c>
      <c r="N6894" t="s">
        <v>51</v>
      </c>
      <c r="O6894" s="27" t="str">
        <f>HYPERLINK("https://www.ncbi.nlm.nih.gov/nuccore/NZ_AEJB01000116.1?report=graph&amp;from=8133&amp;to=8137", "TTA_codon")</f>
        <v>TTA_codon</v>
      </c>
    </row>
    <row r="6895" spans="1:15" x14ac:dyDescent="0.15">
      <c r="A6895" t="s">
        <v>21</v>
      </c>
      <c r="B6895">
        <v>1000214</v>
      </c>
      <c r="C6895">
        <v>354633</v>
      </c>
      <c r="F6895" s="7">
        <v>2</v>
      </c>
      <c r="G6895" s="7" t="s">
        <v>4894</v>
      </c>
      <c r="H6895" s="8" t="s">
        <v>4894</v>
      </c>
      <c r="J6895" t="s">
        <v>23</v>
      </c>
      <c r="K6895" s="7">
        <v>396</v>
      </c>
      <c r="L6895" s="9">
        <v>-1</v>
      </c>
      <c r="M6895" t="s">
        <v>3569</v>
      </c>
      <c r="N6895" t="s">
        <v>272</v>
      </c>
      <c r="O6895" s="27" t="str">
        <f>HYPERLINK("https://www.ncbi.nlm.nih.gov/nuccore/NZ_JOEY01000043.1?report=graph&amp;from=105512&amp;to=105549", "TTA_codon")</f>
        <v>TTA_codon</v>
      </c>
    </row>
    <row r="6896" spans="1:15" x14ac:dyDescent="0.15">
      <c r="A6896" t="s">
        <v>21</v>
      </c>
      <c r="B6896">
        <v>1000214</v>
      </c>
      <c r="C6896">
        <v>356095</v>
      </c>
      <c r="F6896" s="7">
        <v>1</v>
      </c>
      <c r="G6896" s="7">
        <v>175</v>
      </c>
      <c r="H6896" s="8">
        <v>175</v>
      </c>
      <c r="J6896" t="s">
        <v>23</v>
      </c>
      <c r="K6896" s="7">
        <v>396</v>
      </c>
      <c r="L6896" s="9">
        <v>-1</v>
      </c>
      <c r="M6896" t="s">
        <v>3572</v>
      </c>
      <c r="N6896" t="s">
        <v>146</v>
      </c>
      <c r="O6896" s="27" t="str">
        <f>HYPERLINK("https://www.ncbi.nlm.nih.gov/nuccore/NZ_JOFH01000001.1?report=graph&amp;from=65330&amp;to=65334", "TTA_codon")</f>
        <v>TTA_codon</v>
      </c>
    </row>
    <row r="6897" spans="1:15" x14ac:dyDescent="0.15">
      <c r="A6897" t="s">
        <v>21</v>
      </c>
      <c r="B6897">
        <v>1000214</v>
      </c>
      <c r="C6897">
        <v>358237</v>
      </c>
      <c r="F6897" s="7">
        <v>1</v>
      </c>
      <c r="G6897" s="7">
        <v>115</v>
      </c>
      <c r="H6897" s="8">
        <v>115</v>
      </c>
      <c r="J6897" t="s">
        <v>23</v>
      </c>
      <c r="K6897" s="7">
        <v>396</v>
      </c>
      <c r="L6897" s="9">
        <v>-1</v>
      </c>
      <c r="M6897" t="s">
        <v>4895</v>
      </c>
      <c r="N6897" t="s">
        <v>119</v>
      </c>
      <c r="O6897" s="27" t="str">
        <f>HYPERLINK("https://www.ncbi.nlm.nih.gov/nuccore/NZ_LIPP01000152.1?report=graph&amp;from=6638&amp;to=6642", "TTA_codon")</f>
        <v>TTA_codon</v>
      </c>
    </row>
    <row r="6898" spans="1:15" x14ac:dyDescent="0.15">
      <c r="A6898" t="s">
        <v>21</v>
      </c>
      <c r="B6898">
        <v>1000214</v>
      </c>
      <c r="C6898">
        <v>359939</v>
      </c>
      <c r="F6898" s="7">
        <v>2</v>
      </c>
      <c r="G6898" s="7" t="s">
        <v>4894</v>
      </c>
      <c r="H6898" s="8" t="s">
        <v>4894</v>
      </c>
      <c r="J6898" t="s">
        <v>23</v>
      </c>
      <c r="K6898" s="7">
        <v>396</v>
      </c>
      <c r="L6898" s="9">
        <v>-1</v>
      </c>
      <c r="M6898" t="s">
        <v>3573</v>
      </c>
      <c r="N6898" t="s">
        <v>91</v>
      </c>
      <c r="O6898" s="27" t="str">
        <f>HYPERLINK("https://www.ncbi.nlm.nih.gov/nuccore/NZ_KQ948317.1?report=graph&amp;from=94190&amp;to=94227", "TTA_codon")</f>
        <v>TTA_codon</v>
      </c>
    </row>
    <row r="6899" spans="1:15" x14ac:dyDescent="0.15">
      <c r="A6899" t="s">
        <v>21</v>
      </c>
      <c r="B6899" t="s">
        <v>4896</v>
      </c>
    </row>
    <row r="6900" spans="1:15" x14ac:dyDescent="0.15">
      <c r="A6900" t="s">
        <v>21</v>
      </c>
      <c r="B6900">
        <v>1001475</v>
      </c>
      <c r="C6900">
        <v>361502</v>
      </c>
      <c r="F6900" s="7">
        <v>2</v>
      </c>
      <c r="G6900" s="7" t="s">
        <v>4897</v>
      </c>
      <c r="H6900" s="8" t="s">
        <v>4898</v>
      </c>
      <c r="J6900" t="s">
        <v>23</v>
      </c>
      <c r="K6900" s="7">
        <v>999</v>
      </c>
      <c r="L6900" s="9">
        <v>-1</v>
      </c>
      <c r="M6900" t="s">
        <v>200</v>
      </c>
      <c r="N6900" t="s">
        <v>201</v>
      </c>
      <c r="O6900" s="27" t="str">
        <f>HYPERLINK("https://www.ncbi.nlm.nih.gov/nuccore/NZ_CP016559.1?report=graph&amp;from=1798069&amp;to=1798502", "TTA_codon")</f>
        <v>TTA_codon</v>
      </c>
    </row>
    <row r="6901" spans="1:15" x14ac:dyDescent="0.15">
      <c r="A6901" t="s">
        <v>21</v>
      </c>
      <c r="B6901">
        <v>1001475</v>
      </c>
      <c r="C6901">
        <v>364072</v>
      </c>
      <c r="F6901" s="7">
        <v>1</v>
      </c>
      <c r="G6901" s="7">
        <v>526</v>
      </c>
      <c r="H6901" s="8">
        <v>523</v>
      </c>
      <c r="J6901" t="s">
        <v>23</v>
      </c>
      <c r="K6901" s="7">
        <v>1137</v>
      </c>
      <c r="L6901" s="9">
        <v>-1</v>
      </c>
      <c r="M6901" t="s">
        <v>4899</v>
      </c>
      <c r="N6901" t="s">
        <v>104</v>
      </c>
      <c r="O6901" s="27" t="str">
        <f>HYPERLINK("https://www.ncbi.nlm.nih.gov/nuccore/NZ_MVFC01000003.1?report=graph&amp;from=57214&amp;to=57218", "TTA_codon")</f>
        <v>TTA_codon</v>
      </c>
    </row>
    <row r="6902" spans="1:15" x14ac:dyDescent="0.15">
      <c r="A6902" t="s">
        <v>21</v>
      </c>
      <c r="B6902" t="s">
        <v>4900</v>
      </c>
    </row>
    <row r="6903" spans="1:15" x14ac:dyDescent="0.15">
      <c r="A6903" t="s">
        <v>21</v>
      </c>
      <c r="B6903">
        <v>1000355</v>
      </c>
      <c r="C6903">
        <v>348177</v>
      </c>
      <c r="F6903" s="7">
        <v>1</v>
      </c>
      <c r="G6903" s="7">
        <v>58</v>
      </c>
      <c r="H6903" s="8">
        <v>58</v>
      </c>
      <c r="J6903" t="s">
        <v>23</v>
      </c>
      <c r="K6903" s="7">
        <v>1416</v>
      </c>
      <c r="L6903" s="9">
        <v>-1</v>
      </c>
      <c r="M6903" t="s">
        <v>59</v>
      </c>
      <c r="N6903" t="s">
        <v>60</v>
      </c>
      <c r="O6903" s="27" t="str">
        <f>HYPERLINK("https://www.ncbi.nlm.nih.gov/nuccore/NC_016582.1?report=graph&amp;from=3999573&amp;to=3999577", "TTA_codon")</f>
        <v>TTA_codon</v>
      </c>
    </row>
    <row r="6904" spans="1:15" x14ac:dyDescent="0.15">
      <c r="A6904" t="s">
        <v>21</v>
      </c>
      <c r="B6904">
        <v>1000355</v>
      </c>
      <c r="C6904">
        <v>349740</v>
      </c>
      <c r="F6904" s="7">
        <v>1</v>
      </c>
      <c r="G6904" s="7">
        <v>58</v>
      </c>
      <c r="H6904" s="8">
        <v>46</v>
      </c>
      <c r="J6904" t="s">
        <v>23</v>
      </c>
      <c r="K6904" s="7">
        <v>1458</v>
      </c>
      <c r="L6904" s="9">
        <v>-1</v>
      </c>
      <c r="M6904" t="s">
        <v>420</v>
      </c>
      <c r="N6904" t="s">
        <v>266</v>
      </c>
      <c r="O6904" s="27" t="str">
        <f>HYPERLINK("https://www.ncbi.nlm.nih.gov/nuccore/NC_017585.1?report=graph&amp;from=1668748&amp;to=1668752", "TTA_codon")</f>
        <v>TTA_codon</v>
      </c>
    </row>
    <row r="6905" spans="1:15" x14ac:dyDescent="0.15">
      <c r="A6905" t="s">
        <v>21</v>
      </c>
      <c r="B6905">
        <v>1000355</v>
      </c>
      <c r="C6905">
        <v>364163</v>
      </c>
      <c r="F6905" s="7">
        <v>1</v>
      </c>
      <c r="G6905" s="7">
        <v>58</v>
      </c>
      <c r="H6905" s="8">
        <v>58</v>
      </c>
      <c r="J6905" t="s">
        <v>23</v>
      </c>
      <c r="K6905" s="7">
        <v>1416</v>
      </c>
      <c r="L6905" s="9">
        <v>-1</v>
      </c>
      <c r="M6905" t="s">
        <v>254</v>
      </c>
      <c r="N6905" t="s">
        <v>255</v>
      </c>
      <c r="O6905" s="27" t="str">
        <f>HYPERLINK("https://www.ncbi.nlm.nih.gov/nuccore/NZ_CP018047.1?report=graph&amp;from=169309&amp;to=169313", "TTA_codon")</f>
        <v>TTA_codon</v>
      </c>
    </row>
    <row r="6906" spans="1:15" x14ac:dyDescent="0.15">
      <c r="A6906" t="s">
        <v>21</v>
      </c>
      <c r="B6906" t="s">
        <v>4901</v>
      </c>
    </row>
    <row r="6907" spans="1:15" x14ac:dyDescent="0.15">
      <c r="A6907" t="s">
        <v>21</v>
      </c>
      <c r="B6907">
        <v>1001110</v>
      </c>
      <c r="C6907">
        <v>355691</v>
      </c>
      <c r="F6907" s="7">
        <v>1</v>
      </c>
      <c r="G6907" s="7">
        <v>391</v>
      </c>
      <c r="H6907" s="8">
        <v>322</v>
      </c>
      <c r="J6907" t="s">
        <v>23</v>
      </c>
      <c r="K6907" s="7">
        <v>2382</v>
      </c>
      <c r="L6907" s="9">
        <v>-1</v>
      </c>
      <c r="M6907" t="s">
        <v>1850</v>
      </c>
      <c r="N6907" t="s">
        <v>278</v>
      </c>
      <c r="O6907" s="27" t="str">
        <f>HYPERLINK("https://www.ncbi.nlm.nih.gov/nuccore/NZ_JOID01000010.1?report=graph&amp;from=63345&amp;to=63349", "TTA_codon")</f>
        <v>TTA_codon</v>
      </c>
    </row>
    <row r="6908" spans="1:15" x14ac:dyDescent="0.15">
      <c r="A6908" t="s">
        <v>21</v>
      </c>
      <c r="B6908">
        <v>1001110</v>
      </c>
      <c r="C6908">
        <v>356593</v>
      </c>
      <c r="F6908" s="7">
        <v>1</v>
      </c>
      <c r="G6908" s="7">
        <v>391</v>
      </c>
      <c r="H6908" s="8">
        <v>265</v>
      </c>
      <c r="J6908" t="s">
        <v>23</v>
      </c>
      <c r="K6908" s="7">
        <v>2280</v>
      </c>
      <c r="L6908" s="9">
        <v>-1</v>
      </c>
      <c r="M6908" t="s">
        <v>508</v>
      </c>
      <c r="N6908" t="s">
        <v>509</v>
      </c>
      <c r="O6908" s="27" t="str">
        <f>HYPERLINK("https://www.ncbi.nlm.nih.gov/nuccore/NZ_CP009438.1?report=graph&amp;from=853749&amp;to=853753", "TTA_codon")</f>
        <v>TTA_codon</v>
      </c>
    </row>
    <row r="6909" spans="1:15" x14ac:dyDescent="0.15">
      <c r="A6909" t="s">
        <v>21</v>
      </c>
      <c r="B6909">
        <v>1001110</v>
      </c>
      <c r="C6909">
        <v>359529</v>
      </c>
      <c r="F6909" s="7">
        <v>1</v>
      </c>
      <c r="G6909" s="7">
        <v>379</v>
      </c>
      <c r="H6909" s="8">
        <v>256</v>
      </c>
      <c r="J6909" t="s">
        <v>23</v>
      </c>
      <c r="K6909" s="7">
        <v>2406</v>
      </c>
      <c r="L6909" s="9">
        <v>-1</v>
      </c>
      <c r="M6909" t="s">
        <v>151</v>
      </c>
      <c r="N6909" t="s">
        <v>152</v>
      </c>
      <c r="O6909" s="27" t="str">
        <f>HYPERLINK("https://www.ncbi.nlm.nih.gov/nuccore/NZ_CP013129.1?report=graph&amp;from=1196430&amp;to=1196434", "TTA_codon")</f>
        <v>TTA_codon</v>
      </c>
    </row>
    <row r="6910" spans="1:15" x14ac:dyDescent="0.15">
      <c r="A6910" t="s">
        <v>21</v>
      </c>
      <c r="B6910">
        <v>1001110</v>
      </c>
      <c r="C6910">
        <v>360542</v>
      </c>
      <c r="F6910" s="7">
        <v>2</v>
      </c>
      <c r="G6910" s="7" t="s">
        <v>4902</v>
      </c>
      <c r="H6910" s="8" t="s">
        <v>4903</v>
      </c>
      <c r="J6910" t="s">
        <v>23</v>
      </c>
      <c r="K6910" s="7">
        <v>2286</v>
      </c>
      <c r="L6910" s="9">
        <v>-1</v>
      </c>
      <c r="M6910" t="s">
        <v>121</v>
      </c>
      <c r="N6910" t="s">
        <v>122</v>
      </c>
      <c r="O6910" s="27" t="str">
        <f>HYPERLINK("https://www.ncbi.nlm.nih.gov/nuccore/NZ_CP016279.1?report=graph&amp;from=6943976&amp;to=6943992", "TTA_codon")</f>
        <v>TTA_codon</v>
      </c>
    </row>
    <row r="6911" spans="1:15" x14ac:dyDescent="0.15">
      <c r="A6911" t="s">
        <v>21</v>
      </c>
      <c r="B6911">
        <v>1001110</v>
      </c>
      <c r="C6911">
        <v>363868</v>
      </c>
      <c r="F6911" s="7">
        <v>1</v>
      </c>
      <c r="G6911" s="7">
        <v>391</v>
      </c>
      <c r="H6911" s="8">
        <v>379</v>
      </c>
      <c r="J6911" t="s">
        <v>23</v>
      </c>
      <c r="K6911" s="7">
        <v>2433</v>
      </c>
      <c r="L6911" s="9">
        <v>-1</v>
      </c>
      <c r="M6911" t="s">
        <v>101</v>
      </c>
      <c r="N6911" t="s">
        <v>102</v>
      </c>
      <c r="O6911" s="27" t="str">
        <f>HYPERLINK("https://www.ncbi.nlm.nih.gov/nuccore/NZ_CP019458.1?report=graph&amp;from=2006482&amp;to=2006486", "TTA_codon")</f>
        <v>TTA_codon</v>
      </c>
    </row>
    <row r="6912" spans="1:15" x14ac:dyDescent="0.15">
      <c r="A6912" t="s">
        <v>21</v>
      </c>
      <c r="B6912" t="s">
        <v>4904</v>
      </c>
    </row>
    <row r="6913" spans="1:15" x14ac:dyDescent="0.15">
      <c r="A6913" t="s">
        <v>21</v>
      </c>
      <c r="B6913">
        <v>1001023</v>
      </c>
      <c r="C6913">
        <v>354506</v>
      </c>
      <c r="F6913" s="7">
        <v>1</v>
      </c>
      <c r="G6913" s="7">
        <v>271</v>
      </c>
      <c r="H6913" s="8">
        <v>268</v>
      </c>
      <c r="J6913" t="s">
        <v>23</v>
      </c>
      <c r="K6913" s="7">
        <v>366</v>
      </c>
      <c r="L6913" s="9">
        <v>-1</v>
      </c>
      <c r="M6913" t="s">
        <v>764</v>
      </c>
      <c r="N6913" t="s">
        <v>142</v>
      </c>
      <c r="O6913" s="27" t="str">
        <f>HYPERLINK("https://www.ncbi.nlm.nih.gov/nuccore/NZ_JOEI01000001.1?report=graph&amp;from=234550&amp;to=234554", "TTA_codon")</f>
        <v>TTA_codon</v>
      </c>
    </row>
    <row r="6914" spans="1:15" x14ac:dyDescent="0.15">
      <c r="A6914" t="s">
        <v>21</v>
      </c>
      <c r="B6914">
        <v>1001023</v>
      </c>
      <c r="C6914">
        <v>364178</v>
      </c>
      <c r="F6914" s="7">
        <v>1</v>
      </c>
      <c r="G6914" s="7">
        <v>271</v>
      </c>
      <c r="H6914" s="8">
        <v>271</v>
      </c>
      <c r="J6914" t="s">
        <v>23</v>
      </c>
      <c r="K6914" s="7">
        <v>369</v>
      </c>
      <c r="L6914" s="9">
        <v>-1</v>
      </c>
      <c r="M6914" t="s">
        <v>254</v>
      </c>
      <c r="N6914" t="s">
        <v>255</v>
      </c>
      <c r="O6914" s="27" t="str">
        <f>HYPERLINK("https://www.ncbi.nlm.nih.gov/nuccore/NZ_CP018047.1?report=graph&amp;from=1457070&amp;to=1457074", "TTA_codon")</f>
        <v>TTA_codon</v>
      </c>
    </row>
    <row r="6915" spans="1:15" x14ac:dyDescent="0.15">
      <c r="A6915" t="s">
        <v>21</v>
      </c>
      <c r="B6915" t="s">
        <v>4905</v>
      </c>
    </row>
    <row r="6916" spans="1:15" x14ac:dyDescent="0.15">
      <c r="A6916" t="s">
        <v>21</v>
      </c>
      <c r="B6916">
        <v>1001014</v>
      </c>
      <c r="C6916">
        <v>354348</v>
      </c>
      <c r="F6916" s="7">
        <v>1</v>
      </c>
      <c r="G6916" s="7">
        <v>259</v>
      </c>
      <c r="H6916" s="8">
        <v>259</v>
      </c>
      <c r="J6916" t="s">
        <v>23</v>
      </c>
      <c r="K6916" s="7">
        <v>1323</v>
      </c>
      <c r="L6916" s="9">
        <v>-1</v>
      </c>
      <c r="M6916" t="s">
        <v>4906</v>
      </c>
      <c r="N6916" t="s">
        <v>142</v>
      </c>
      <c r="O6916" s="27" t="str">
        <f>HYPERLINK("https://www.ncbi.nlm.nih.gov/nuccore/NZ_JOEI01000030.1?report=graph&amp;from=83321&amp;to=83325", "TTA_codon")</f>
        <v>TTA_codon</v>
      </c>
    </row>
    <row r="6917" spans="1:15" x14ac:dyDescent="0.15">
      <c r="A6917" t="s">
        <v>21</v>
      </c>
      <c r="B6917">
        <v>1001014</v>
      </c>
      <c r="C6917">
        <v>363658</v>
      </c>
      <c r="F6917" s="7">
        <v>1</v>
      </c>
      <c r="G6917" s="7">
        <v>115</v>
      </c>
      <c r="H6917" s="8">
        <v>115</v>
      </c>
      <c r="J6917" t="s">
        <v>23</v>
      </c>
      <c r="K6917" s="7">
        <v>1323</v>
      </c>
      <c r="L6917" s="9">
        <v>-1</v>
      </c>
      <c r="M6917" t="s">
        <v>101</v>
      </c>
      <c r="N6917" t="s">
        <v>102</v>
      </c>
      <c r="O6917" s="27" t="str">
        <f>HYPERLINK("https://www.ncbi.nlm.nih.gov/nuccore/NZ_CP019458.1?report=graph&amp;from=9843307&amp;to=9843311", "TTA_codon")</f>
        <v>TTA_codon</v>
      </c>
    </row>
    <row r="6918" spans="1:15" x14ac:dyDescent="0.15">
      <c r="A6918" t="s">
        <v>21</v>
      </c>
      <c r="B6918">
        <v>1001014</v>
      </c>
      <c r="C6918">
        <v>365959</v>
      </c>
      <c r="F6918" s="7">
        <v>1</v>
      </c>
      <c r="G6918" s="7">
        <v>241</v>
      </c>
      <c r="H6918" s="8">
        <v>235</v>
      </c>
      <c r="J6918" t="s">
        <v>23</v>
      </c>
      <c r="K6918" s="7">
        <v>1296</v>
      </c>
      <c r="L6918" s="9">
        <v>-1</v>
      </c>
      <c r="M6918" t="s">
        <v>2156</v>
      </c>
      <c r="N6918" t="s">
        <v>115</v>
      </c>
      <c r="O6918" s="27" t="str">
        <f>HYPERLINK("https://www.ncbi.nlm.nih.gov/nuccore/NZ_FODD01000030.1?report=graph&amp;from=86841&amp;to=86845", "TTA_codon")</f>
        <v>TTA_codon</v>
      </c>
    </row>
    <row r="6919" spans="1:15" x14ac:dyDescent="0.15">
      <c r="A6919" t="s">
        <v>21</v>
      </c>
      <c r="B6919">
        <v>1001014</v>
      </c>
      <c r="C6919">
        <v>366197</v>
      </c>
      <c r="F6919" s="7">
        <v>1</v>
      </c>
      <c r="G6919" s="7">
        <v>241</v>
      </c>
      <c r="H6919" s="8">
        <v>241</v>
      </c>
      <c r="J6919" t="s">
        <v>23</v>
      </c>
      <c r="K6919" s="7">
        <v>1323</v>
      </c>
      <c r="L6919" s="9">
        <v>-1</v>
      </c>
      <c r="M6919" t="s">
        <v>4907</v>
      </c>
      <c r="N6919" t="s">
        <v>178</v>
      </c>
      <c r="O6919" s="27" t="str">
        <f>HYPERLINK("https://www.ncbi.nlm.nih.gov/nuccore/NZ_FOGO01000011.1?report=graph&amp;from=2985&amp;to=2989", "TTA_codon")</f>
        <v>TTA_codon</v>
      </c>
    </row>
    <row r="6920" spans="1:15" x14ac:dyDescent="0.15">
      <c r="A6920" t="s">
        <v>21</v>
      </c>
      <c r="B6920" t="s">
        <v>4908</v>
      </c>
    </row>
    <row r="6921" spans="1:15" x14ac:dyDescent="0.15">
      <c r="A6921" t="s">
        <v>21</v>
      </c>
      <c r="B6921">
        <v>1001054</v>
      </c>
      <c r="C6921">
        <v>354861</v>
      </c>
      <c r="F6921" s="7">
        <v>1</v>
      </c>
      <c r="G6921" s="7">
        <v>391</v>
      </c>
      <c r="H6921" s="8">
        <v>367</v>
      </c>
      <c r="J6921" t="s">
        <v>23</v>
      </c>
      <c r="K6921" s="7">
        <v>1152</v>
      </c>
      <c r="L6921" s="9">
        <v>1</v>
      </c>
      <c r="M6921" t="s">
        <v>2324</v>
      </c>
      <c r="N6921" t="s">
        <v>25</v>
      </c>
      <c r="O6921" s="27" t="str">
        <f>HYPERLINK("https://www.ncbi.nlm.nih.gov/nuccore/NZ_JOFU01000023.1?report=graph&amp;from=38223&amp;to=38227", "TTA_codon")</f>
        <v>TTA_codon</v>
      </c>
    </row>
    <row r="6922" spans="1:15" x14ac:dyDescent="0.15">
      <c r="A6922" t="s">
        <v>21</v>
      </c>
      <c r="B6922">
        <v>1001054</v>
      </c>
      <c r="C6922">
        <v>361163</v>
      </c>
      <c r="F6922" s="7">
        <v>1</v>
      </c>
      <c r="G6922" s="7">
        <v>265</v>
      </c>
      <c r="H6922" s="8">
        <v>241</v>
      </c>
      <c r="J6922" t="s">
        <v>23</v>
      </c>
      <c r="K6922" s="7">
        <v>1152</v>
      </c>
      <c r="L6922" s="9">
        <v>1</v>
      </c>
      <c r="M6922" t="s">
        <v>98</v>
      </c>
      <c r="N6922" t="s">
        <v>99</v>
      </c>
      <c r="O6922" s="27" t="str">
        <f>HYPERLINK("https://www.ncbi.nlm.nih.gov/nuccore/NZ_CP016438.1?report=graph&amp;from=5331937&amp;to=5331941", "TTA_codon")</f>
        <v>TTA_codon</v>
      </c>
    </row>
    <row r="6923" spans="1:15" x14ac:dyDescent="0.15">
      <c r="A6923" t="s">
        <v>195</v>
      </c>
      <c r="B6923" t="s">
        <v>4909</v>
      </c>
    </row>
    <row r="6924" spans="1:15" x14ac:dyDescent="0.15">
      <c r="A6924" t="s">
        <v>195</v>
      </c>
      <c r="B6924">
        <v>1000102</v>
      </c>
      <c r="C6924">
        <v>346676</v>
      </c>
      <c r="F6924" s="7">
        <v>1</v>
      </c>
      <c r="G6924" s="7">
        <v>451</v>
      </c>
      <c r="H6924" s="8">
        <v>430</v>
      </c>
      <c r="J6924" t="s">
        <v>23</v>
      </c>
      <c r="K6924" s="7">
        <v>2784</v>
      </c>
      <c r="L6924" s="9">
        <v>-1</v>
      </c>
      <c r="M6924" t="s">
        <v>4910</v>
      </c>
      <c r="N6924" t="s">
        <v>87</v>
      </c>
      <c r="O6924" s="27" t="str">
        <f>HYPERLINK("https://www.ncbi.nlm.nih.gov/nuccore/NZ_LIQS01000066.1?report=graph&amp;from=5975&amp;to=5979", "TTA_codon")</f>
        <v>TTA_codon</v>
      </c>
    </row>
    <row r="6925" spans="1:15" x14ac:dyDescent="0.15">
      <c r="A6925" t="s">
        <v>21</v>
      </c>
      <c r="B6925">
        <v>1000102</v>
      </c>
      <c r="C6925">
        <v>356027</v>
      </c>
      <c r="F6925" s="7">
        <v>1</v>
      </c>
      <c r="G6925" s="7">
        <v>451</v>
      </c>
      <c r="H6925" s="8">
        <v>424</v>
      </c>
      <c r="J6925" t="s">
        <v>23</v>
      </c>
      <c r="K6925" s="7">
        <v>3315</v>
      </c>
      <c r="L6925" s="9">
        <v>-1</v>
      </c>
      <c r="M6925" t="s">
        <v>3714</v>
      </c>
      <c r="N6925" t="s">
        <v>146</v>
      </c>
      <c r="O6925" s="27" t="str">
        <f>HYPERLINK("https://www.ncbi.nlm.nih.gov/nuccore/NZ_JOFH01000016.1?report=graph&amp;from=147886&amp;to=147890", "TTA_codon")</f>
        <v>TTA_codon</v>
      </c>
    </row>
    <row r="6926" spans="1:15" x14ac:dyDescent="0.15">
      <c r="A6926" t="s">
        <v>21</v>
      </c>
      <c r="B6926">
        <v>1000102</v>
      </c>
      <c r="C6926">
        <v>358367</v>
      </c>
      <c r="F6926" s="7">
        <v>1</v>
      </c>
      <c r="G6926" s="7">
        <v>451</v>
      </c>
      <c r="H6926" s="8">
        <v>451</v>
      </c>
      <c r="J6926" t="s">
        <v>23</v>
      </c>
      <c r="K6926" s="7">
        <v>3627</v>
      </c>
      <c r="L6926" s="9">
        <v>-1</v>
      </c>
      <c r="M6926" t="s">
        <v>4911</v>
      </c>
      <c r="N6926" t="s">
        <v>85</v>
      </c>
      <c r="O6926" s="27" t="str">
        <f>HYPERLINK("https://www.ncbi.nlm.nih.gov/nuccore/NZ_LIQX01000333.1?report=graph&amp;from=9135&amp;to=9139", "TTA_codon")</f>
        <v>TTA_codon</v>
      </c>
    </row>
    <row r="6927" spans="1:15" x14ac:dyDescent="0.15">
      <c r="A6927" t="s">
        <v>21</v>
      </c>
      <c r="B6927">
        <v>1000102</v>
      </c>
      <c r="C6927">
        <v>359052</v>
      </c>
      <c r="F6927" s="7">
        <v>1</v>
      </c>
      <c r="G6927" s="7">
        <v>451</v>
      </c>
      <c r="H6927" s="8">
        <v>445</v>
      </c>
      <c r="J6927" t="s">
        <v>23</v>
      </c>
      <c r="K6927" s="7">
        <v>2955</v>
      </c>
      <c r="L6927" s="9">
        <v>-1</v>
      </c>
      <c r="M6927" t="s">
        <v>4912</v>
      </c>
      <c r="N6927" t="s">
        <v>451</v>
      </c>
      <c r="O6927" s="27" t="str">
        <f>HYPERLINK("https://www.ncbi.nlm.nih.gov/nuccore/NZ_LIQZ01000233.1?report=graph&amp;from=20385&amp;to=20389", "TTA_codon")</f>
        <v>TTA_codon</v>
      </c>
    </row>
    <row r="6928" spans="1:15" x14ac:dyDescent="0.15">
      <c r="A6928" t="s">
        <v>21</v>
      </c>
      <c r="B6928" t="s">
        <v>4913</v>
      </c>
    </row>
    <row r="6929" spans="1:15" x14ac:dyDescent="0.15">
      <c r="A6929" t="s">
        <v>21</v>
      </c>
      <c r="B6929">
        <v>1001144</v>
      </c>
      <c r="C6929">
        <v>356166</v>
      </c>
      <c r="F6929" s="7">
        <v>1</v>
      </c>
      <c r="G6929" s="7">
        <v>502</v>
      </c>
      <c r="H6929" s="8">
        <v>502</v>
      </c>
      <c r="J6929" t="s">
        <v>23</v>
      </c>
      <c r="K6929" s="7">
        <v>1614</v>
      </c>
      <c r="L6929" s="9">
        <v>1</v>
      </c>
      <c r="M6929" t="s">
        <v>1259</v>
      </c>
      <c r="N6929" t="s">
        <v>77</v>
      </c>
      <c r="O6929" s="27" t="str">
        <f>HYPERLINK("https://www.ncbi.nlm.nih.gov/nuccore/NZ_JNXD01000003.1?report=graph&amp;from=292050&amp;to=292054", "TTA_codon")</f>
        <v>TTA_codon</v>
      </c>
    </row>
    <row r="6930" spans="1:15" x14ac:dyDescent="0.15">
      <c r="A6930" t="s">
        <v>21</v>
      </c>
      <c r="B6930">
        <v>1001144</v>
      </c>
      <c r="C6930">
        <v>357691</v>
      </c>
      <c r="F6930" s="7">
        <v>1</v>
      </c>
      <c r="G6930" s="7">
        <v>502</v>
      </c>
      <c r="H6930" s="8">
        <v>502</v>
      </c>
      <c r="J6930" t="s">
        <v>23</v>
      </c>
      <c r="K6930" s="7">
        <v>1623</v>
      </c>
      <c r="L6930" s="9">
        <v>1</v>
      </c>
      <c r="M6930" t="s">
        <v>1260</v>
      </c>
      <c r="N6930" t="s">
        <v>83</v>
      </c>
      <c r="O6930" s="27" t="str">
        <f>HYPERLINK("https://www.ncbi.nlm.nih.gov/nuccore/NZ_DF968186.1?report=graph&amp;from=41526&amp;to=41530", "TTA_codon")</f>
        <v>TTA_codon</v>
      </c>
    </row>
    <row r="6931" spans="1:15" x14ac:dyDescent="0.15">
      <c r="A6931" t="s">
        <v>21</v>
      </c>
      <c r="B6931">
        <v>1001144</v>
      </c>
      <c r="C6931">
        <v>361094</v>
      </c>
      <c r="F6931" s="7">
        <v>1</v>
      </c>
      <c r="G6931" s="7">
        <v>502</v>
      </c>
      <c r="H6931" s="8">
        <v>496</v>
      </c>
      <c r="J6931" t="s">
        <v>23</v>
      </c>
      <c r="K6931" s="7">
        <v>1593</v>
      </c>
      <c r="L6931" s="9">
        <v>1</v>
      </c>
      <c r="M6931" t="s">
        <v>98</v>
      </c>
      <c r="N6931" t="s">
        <v>99</v>
      </c>
      <c r="O6931" s="27" t="str">
        <f>HYPERLINK("https://www.ncbi.nlm.nih.gov/nuccore/NZ_CP016438.1?report=graph&amp;from=9247189&amp;to=9247193", "TTA_codon")</f>
        <v>TTA_codon</v>
      </c>
    </row>
    <row r="6932" spans="1:15" x14ac:dyDescent="0.15">
      <c r="A6932" t="s">
        <v>195</v>
      </c>
      <c r="B6932" t="s">
        <v>4914</v>
      </c>
    </row>
    <row r="6933" spans="1:15" x14ac:dyDescent="0.15">
      <c r="A6933" t="s">
        <v>195</v>
      </c>
      <c r="B6933">
        <v>1000139</v>
      </c>
      <c r="C6933">
        <v>346970</v>
      </c>
      <c r="F6933" s="7">
        <v>1</v>
      </c>
      <c r="G6933" s="7">
        <v>259</v>
      </c>
      <c r="H6933" s="8">
        <v>259</v>
      </c>
      <c r="J6933" t="s">
        <v>23</v>
      </c>
      <c r="K6933" s="7">
        <v>3264</v>
      </c>
      <c r="L6933" s="9">
        <v>1</v>
      </c>
      <c r="M6933" t="s">
        <v>157</v>
      </c>
      <c r="N6933" t="s">
        <v>158</v>
      </c>
      <c r="O6933" s="27" t="str">
        <f>HYPERLINK("https://www.ncbi.nlm.nih.gov/nuccore/NZ_CP015588.1?report=graph&amp;from=8023285&amp;to=8023289", "TTA_codon")</f>
        <v>TTA_codon</v>
      </c>
    </row>
    <row r="6934" spans="1:15" x14ac:dyDescent="0.15">
      <c r="A6934" t="s">
        <v>21</v>
      </c>
      <c r="B6934">
        <v>1000139</v>
      </c>
      <c r="C6934">
        <v>353254</v>
      </c>
      <c r="F6934" s="7">
        <v>1</v>
      </c>
      <c r="G6934" s="7">
        <v>259</v>
      </c>
      <c r="H6934" s="8">
        <v>55</v>
      </c>
      <c r="J6934" t="s">
        <v>23</v>
      </c>
      <c r="K6934" s="7">
        <v>2799</v>
      </c>
      <c r="L6934" s="9">
        <v>1</v>
      </c>
      <c r="M6934" t="s">
        <v>318</v>
      </c>
      <c r="N6934" t="s">
        <v>169</v>
      </c>
      <c r="O6934" s="27" t="str">
        <f>HYPERLINK("https://www.ncbi.nlm.nih.gov/nuccore/NZ_JNWJ01000031.1?report=graph&amp;from=14720&amp;to=14724", "TTA_codon")</f>
        <v>TTA_codon</v>
      </c>
    </row>
    <row r="6935" spans="1:15" x14ac:dyDescent="0.15">
      <c r="A6935" t="s">
        <v>21</v>
      </c>
      <c r="B6935">
        <v>1000139</v>
      </c>
      <c r="C6935">
        <v>366174</v>
      </c>
      <c r="F6935" s="7">
        <v>1</v>
      </c>
      <c r="G6935" s="7">
        <v>259</v>
      </c>
      <c r="H6935" s="8">
        <v>55</v>
      </c>
      <c r="J6935" t="s">
        <v>23</v>
      </c>
      <c r="K6935" s="7">
        <v>2886</v>
      </c>
      <c r="L6935" s="9">
        <v>1</v>
      </c>
      <c r="M6935" t="s">
        <v>1837</v>
      </c>
      <c r="N6935" t="s">
        <v>178</v>
      </c>
      <c r="O6935" s="27" t="str">
        <f>HYPERLINK("https://www.ncbi.nlm.nih.gov/nuccore/NZ_FOGO01000009.1?report=graph&amp;from=210565&amp;to=210569", "TTA_codon")</f>
        <v>TTA_codon</v>
      </c>
    </row>
    <row r="6936" spans="1:15" x14ac:dyDescent="0.15">
      <c r="A6936" t="s">
        <v>21</v>
      </c>
      <c r="B6936" t="s">
        <v>4915</v>
      </c>
    </row>
    <row r="6937" spans="1:15" x14ac:dyDescent="0.15">
      <c r="A6937" t="s">
        <v>21</v>
      </c>
      <c r="B6937">
        <v>1001098</v>
      </c>
      <c r="C6937">
        <v>355565</v>
      </c>
      <c r="F6937" s="7">
        <v>1</v>
      </c>
      <c r="G6937" s="7">
        <v>61</v>
      </c>
      <c r="H6937" s="8">
        <v>61</v>
      </c>
      <c r="J6937" t="s">
        <v>23</v>
      </c>
      <c r="K6937" s="7">
        <v>663</v>
      </c>
      <c r="L6937" s="9">
        <v>-1</v>
      </c>
      <c r="M6937" t="s">
        <v>4916</v>
      </c>
      <c r="N6937" t="s">
        <v>198</v>
      </c>
      <c r="O6937" s="27" t="str">
        <f>HYPERLINK("https://www.ncbi.nlm.nih.gov/nuccore/NZ_JOFL01000032.1?report=graph&amp;from=62827&amp;to=62831", "TTA_codon")</f>
        <v>TTA_codon</v>
      </c>
    </row>
    <row r="6938" spans="1:15" x14ac:dyDescent="0.15">
      <c r="A6938" t="s">
        <v>21</v>
      </c>
      <c r="B6938">
        <v>1001098</v>
      </c>
      <c r="C6938">
        <v>360578</v>
      </c>
      <c r="F6938" s="7">
        <v>1</v>
      </c>
      <c r="G6938" s="7">
        <v>82</v>
      </c>
      <c r="H6938" s="8">
        <v>82</v>
      </c>
      <c r="J6938" t="s">
        <v>23</v>
      </c>
      <c r="K6938" s="7">
        <v>624</v>
      </c>
      <c r="L6938" s="9">
        <v>-1</v>
      </c>
      <c r="M6938" t="s">
        <v>121</v>
      </c>
      <c r="N6938" t="s">
        <v>122</v>
      </c>
      <c r="O6938" s="27" t="str">
        <f>HYPERLINK("https://www.ncbi.nlm.nih.gov/nuccore/NZ_CP016279.1?report=graph&amp;from=9684863&amp;to=9684867", "TTA_codon")</f>
        <v>TTA_codon</v>
      </c>
    </row>
    <row r="6939" spans="1:15" x14ac:dyDescent="0.15">
      <c r="A6939" t="s">
        <v>21</v>
      </c>
      <c r="B6939">
        <v>1001098</v>
      </c>
      <c r="C6939">
        <v>364176</v>
      </c>
      <c r="F6939" s="7">
        <v>1</v>
      </c>
      <c r="G6939" s="7">
        <v>82</v>
      </c>
      <c r="H6939" s="8">
        <v>82</v>
      </c>
      <c r="J6939" t="s">
        <v>23</v>
      </c>
      <c r="K6939" s="7">
        <v>666</v>
      </c>
      <c r="L6939" s="9">
        <v>-1</v>
      </c>
      <c r="M6939" t="s">
        <v>254</v>
      </c>
      <c r="N6939" t="s">
        <v>255</v>
      </c>
      <c r="O6939" s="27" t="str">
        <f>HYPERLINK("https://www.ncbi.nlm.nih.gov/nuccore/NZ_CP018047.1?report=graph&amp;from=5185429&amp;to=5185433", "TTA_codon")</f>
        <v>TTA_codon</v>
      </c>
    </row>
    <row r="6940" spans="1:15" x14ac:dyDescent="0.15">
      <c r="A6940" t="s">
        <v>21</v>
      </c>
      <c r="B6940" t="s">
        <v>4917</v>
      </c>
    </row>
    <row r="6941" spans="1:15" x14ac:dyDescent="0.15">
      <c r="A6941" t="s">
        <v>21</v>
      </c>
      <c r="B6941">
        <v>1000269</v>
      </c>
      <c r="C6941">
        <v>347765</v>
      </c>
      <c r="F6941" s="7">
        <v>1</v>
      </c>
      <c r="G6941" s="7">
        <v>79</v>
      </c>
      <c r="H6941" s="8">
        <v>40</v>
      </c>
      <c r="J6941" t="s">
        <v>23</v>
      </c>
      <c r="K6941" s="7">
        <v>915</v>
      </c>
      <c r="L6941" s="9">
        <v>-1</v>
      </c>
      <c r="M6941" t="s">
        <v>57</v>
      </c>
      <c r="N6941" t="s">
        <v>58</v>
      </c>
      <c r="O6941" s="27" t="str">
        <f>HYPERLINK("https://www.ncbi.nlm.nih.gov/nuccore/NC_013929.1?report=graph&amp;from=358780&amp;to=358784", "TTA_codon")</f>
        <v>TTA_codon</v>
      </c>
    </row>
    <row r="6942" spans="1:15" x14ac:dyDescent="0.15">
      <c r="A6942" t="s">
        <v>21</v>
      </c>
      <c r="B6942">
        <v>1000269</v>
      </c>
      <c r="C6942">
        <v>349594</v>
      </c>
      <c r="F6942" s="7">
        <v>1</v>
      </c>
      <c r="G6942" s="7">
        <v>94</v>
      </c>
      <c r="H6942" s="8">
        <v>82</v>
      </c>
      <c r="J6942" t="s">
        <v>23</v>
      </c>
      <c r="K6942" s="7">
        <v>975</v>
      </c>
      <c r="L6942" s="9">
        <v>-1</v>
      </c>
      <c r="M6942" t="s">
        <v>4918</v>
      </c>
      <c r="N6942" t="s">
        <v>335</v>
      </c>
      <c r="O6942" s="27" t="str">
        <f>HYPERLINK("https://www.ncbi.nlm.nih.gov/nuccore/NZ_AGBF01000013.1?report=graph&amp;from=48176&amp;to=48180", "TTA_codon")</f>
        <v>TTA_codon</v>
      </c>
    </row>
    <row r="6943" spans="1:15" x14ac:dyDescent="0.15">
      <c r="A6943" t="s">
        <v>21</v>
      </c>
      <c r="B6943">
        <v>1000269</v>
      </c>
      <c r="C6943">
        <v>363089</v>
      </c>
      <c r="F6943" s="7">
        <v>1</v>
      </c>
      <c r="G6943" s="7">
        <v>100</v>
      </c>
      <c r="H6943" s="8">
        <v>100</v>
      </c>
      <c r="J6943" t="s">
        <v>23</v>
      </c>
      <c r="K6943" s="7">
        <v>930</v>
      </c>
      <c r="L6943" s="9">
        <v>-1</v>
      </c>
      <c r="M6943" t="s">
        <v>635</v>
      </c>
      <c r="N6943" t="s">
        <v>401</v>
      </c>
      <c r="O6943" s="27" t="str">
        <f>HYPERLINK("https://www.ncbi.nlm.nih.gov/nuccore/NZ_LFBV01000002.1?report=graph&amp;from=827935&amp;to=827939", "TTA_codon")</f>
        <v>TTA_codon</v>
      </c>
    </row>
    <row r="6944" spans="1:15" x14ac:dyDescent="0.15">
      <c r="A6944" t="s">
        <v>21</v>
      </c>
      <c r="B6944" t="s">
        <v>4919</v>
      </c>
    </row>
    <row r="6945" spans="1:15" x14ac:dyDescent="0.15">
      <c r="A6945" t="s">
        <v>21</v>
      </c>
      <c r="B6945">
        <v>1000625</v>
      </c>
      <c r="C6945">
        <v>350426</v>
      </c>
      <c r="F6945" s="7">
        <v>1</v>
      </c>
      <c r="G6945" s="7">
        <v>430</v>
      </c>
      <c r="H6945" s="8">
        <v>310</v>
      </c>
      <c r="J6945" t="s">
        <v>23</v>
      </c>
      <c r="K6945" s="7">
        <v>6831</v>
      </c>
      <c r="L6945" s="9">
        <v>1</v>
      </c>
      <c r="M6945" t="s">
        <v>770</v>
      </c>
      <c r="N6945" t="s">
        <v>36</v>
      </c>
      <c r="O6945" s="27" t="str">
        <f>HYPERLINK("https://www.ncbi.nlm.nih.gov/nuccore/NZ_JH725391.1?report=graph&amp;from=16762&amp;to=16766", "TTA_codon")</f>
        <v>TTA_codon</v>
      </c>
    </row>
    <row r="6946" spans="1:15" x14ac:dyDescent="0.15">
      <c r="A6946" t="s">
        <v>21</v>
      </c>
      <c r="B6946">
        <v>1000625</v>
      </c>
      <c r="C6946">
        <v>362151</v>
      </c>
      <c r="F6946" s="7">
        <v>2</v>
      </c>
      <c r="G6946" s="7" t="s">
        <v>4920</v>
      </c>
      <c r="H6946" s="8" t="s">
        <v>4921</v>
      </c>
      <c r="J6946" t="s">
        <v>23</v>
      </c>
      <c r="K6946" s="7">
        <v>6822</v>
      </c>
      <c r="L6946" s="9">
        <v>1</v>
      </c>
      <c r="M6946" t="s">
        <v>1342</v>
      </c>
      <c r="N6946" t="s">
        <v>187</v>
      </c>
      <c r="O6946" s="27" t="str">
        <f>HYPERLINK("https://www.ncbi.nlm.nih.gov/nuccore/NZ_MAXF01000223.1?report=graph&amp;from=4882&amp;to=10208", "TTA_codon")</f>
        <v>TTA_codon</v>
      </c>
    </row>
    <row r="6947" spans="1:15" x14ac:dyDescent="0.15">
      <c r="A6947" t="s">
        <v>195</v>
      </c>
      <c r="B6947" t="s">
        <v>4922</v>
      </c>
    </row>
    <row r="6948" spans="1:15" x14ac:dyDescent="0.15">
      <c r="A6948" t="s">
        <v>195</v>
      </c>
      <c r="B6948">
        <v>1000124</v>
      </c>
      <c r="C6948">
        <v>346871</v>
      </c>
      <c r="F6948" s="7">
        <v>1</v>
      </c>
      <c r="G6948" s="7">
        <v>61</v>
      </c>
      <c r="H6948" s="8">
        <v>58</v>
      </c>
      <c r="J6948" t="s">
        <v>23</v>
      </c>
      <c r="K6948" s="7">
        <v>822</v>
      </c>
      <c r="L6948" s="9">
        <v>1</v>
      </c>
      <c r="M6948" t="s">
        <v>1859</v>
      </c>
      <c r="N6948" t="s">
        <v>187</v>
      </c>
      <c r="O6948" s="27" t="str">
        <f>HYPERLINK("https://www.ncbi.nlm.nih.gov/nuccore/NZ_MAXF01000038.1?report=graph&amp;from=166369&amp;to=166373", "TTA_codon")</f>
        <v>TTA_codon</v>
      </c>
    </row>
    <row r="6949" spans="1:15" x14ac:dyDescent="0.15">
      <c r="A6949" t="s">
        <v>21</v>
      </c>
      <c r="B6949">
        <v>1000124</v>
      </c>
      <c r="C6949">
        <v>347608</v>
      </c>
      <c r="F6949" s="7">
        <v>1</v>
      </c>
      <c r="G6949" s="7">
        <v>103</v>
      </c>
      <c r="H6949" s="8">
        <v>100</v>
      </c>
      <c r="J6949" t="s">
        <v>23</v>
      </c>
      <c r="K6949" s="7">
        <v>813</v>
      </c>
      <c r="L6949" s="9">
        <v>1</v>
      </c>
      <c r="M6949" t="s">
        <v>55</v>
      </c>
      <c r="N6949" t="s">
        <v>56</v>
      </c>
      <c r="O6949" s="27" t="str">
        <f>HYPERLINK("https://www.ncbi.nlm.nih.gov/nuccore/NC_010572.1?report=graph&amp;from=5925682&amp;to=5925686", "TTA_codon")</f>
        <v>TTA_codon</v>
      </c>
    </row>
    <row r="6950" spans="1:15" x14ac:dyDescent="0.15">
      <c r="A6950" t="s">
        <v>21</v>
      </c>
      <c r="B6950">
        <v>1000124</v>
      </c>
      <c r="C6950">
        <v>347975</v>
      </c>
      <c r="F6950" s="7">
        <v>1</v>
      </c>
      <c r="G6950" s="7">
        <v>61</v>
      </c>
      <c r="H6950" s="8">
        <v>61</v>
      </c>
      <c r="J6950" t="s">
        <v>23</v>
      </c>
      <c r="K6950" s="7">
        <v>825</v>
      </c>
      <c r="L6950" s="9">
        <v>1</v>
      </c>
      <c r="M6950" t="s">
        <v>59</v>
      </c>
      <c r="N6950" t="s">
        <v>60</v>
      </c>
      <c r="O6950" s="27" t="str">
        <f>HYPERLINK("https://www.ncbi.nlm.nih.gov/nuccore/NC_016582.1?report=graph&amp;from=8839757&amp;to=8839761", "TTA_codon")</f>
        <v>TTA_codon</v>
      </c>
    </row>
    <row r="6951" spans="1:15" x14ac:dyDescent="0.15">
      <c r="A6951" t="s">
        <v>21</v>
      </c>
      <c r="B6951">
        <v>1000124</v>
      </c>
      <c r="C6951">
        <v>349914</v>
      </c>
      <c r="F6951" s="7">
        <v>1</v>
      </c>
      <c r="G6951" s="7">
        <v>70</v>
      </c>
      <c r="H6951" s="8">
        <v>67</v>
      </c>
      <c r="J6951" t="s">
        <v>23</v>
      </c>
      <c r="K6951" s="7">
        <v>813</v>
      </c>
      <c r="L6951" s="9">
        <v>1</v>
      </c>
      <c r="M6951" t="s">
        <v>4337</v>
      </c>
      <c r="N6951" t="s">
        <v>249</v>
      </c>
      <c r="O6951" s="27" t="str">
        <f>HYPERLINK("https://www.ncbi.nlm.nih.gov/nuccore/NZ_AHBF01000056.1?report=graph&amp;from=109855&amp;to=109859", "TTA_codon")</f>
        <v>TTA_codon</v>
      </c>
    </row>
    <row r="6952" spans="1:15" x14ac:dyDescent="0.15">
      <c r="A6952" t="s">
        <v>21</v>
      </c>
      <c r="B6952">
        <v>1000124</v>
      </c>
      <c r="C6952">
        <v>350477</v>
      </c>
      <c r="F6952" s="7">
        <v>1</v>
      </c>
      <c r="G6952" s="7">
        <v>103</v>
      </c>
      <c r="H6952" s="8">
        <v>100</v>
      </c>
      <c r="J6952" t="s">
        <v>23</v>
      </c>
      <c r="K6952" s="7">
        <v>825</v>
      </c>
      <c r="L6952" s="9">
        <v>1</v>
      </c>
      <c r="M6952" t="s">
        <v>2373</v>
      </c>
      <c r="N6952" t="s">
        <v>134</v>
      </c>
      <c r="O6952" s="27" t="str">
        <f>HYPERLINK("https://www.ncbi.nlm.nih.gov/nuccore/NZ_AJSZ01000555.1?report=graph&amp;from=19586&amp;to=19590", "TTA_codon")</f>
        <v>TTA_codon</v>
      </c>
    </row>
    <row r="6953" spans="1:15" x14ac:dyDescent="0.15">
      <c r="A6953" t="s">
        <v>21</v>
      </c>
      <c r="B6953">
        <v>1000124</v>
      </c>
      <c r="C6953">
        <v>350478</v>
      </c>
      <c r="F6953" s="7">
        <v>1</v>
      </c>
      <c r="G6953" s="7">
        <v>70</v>
      </c>
      <c r="H6953" s="8">
        <v>70</v>
      </c>
      <c r="J6953" t="s">
        <v>23</v>
      </c>
      <c r="K6953" s="7">
        <v>828</v>
      </c>
      <c r="L6953" s="9">
        <v>1</v>
      </c>
      <c r="M6953" t="s">
        <v>4923</v>
      </c>
      <c r="N6953" t="s">
        <v>134</v>
      </c>
      <c r="O6953" s="27" t="str">
        <f>HYPERLINK("https://www.ncbi.nlm.nih.gov/nuccore/NZ_AJSZ01000544.1?report=graph&amp;from=2607&amp;to=2611", "TTA_codon")</f>
        <v>TTA_codon</v>
      </c>
    </row>
    <row r="6954" spans="1:15" x14ac:dyDescent="0.15">
      <c r="A6954" t="s">
        <v>21</v>
      </c>
      <c r="B6954">
        <v>1000124</v>
      </c>
      <c r="C6954">
        <v>350708</v>
      </c>
      <c r="F6954" s="7">
        <v>1</v>
      </c>
      <c r="G6954" s="7">
        <v>61</v>
      </c>
      <c r="H6954" s="8">
        <v>61</v>
      </c>
      <c r="J6954" t="s">
        <v>23</v>
      </c>
      <c r="K6954" s="7">
        <v>816</v>
      </c>
      <c r="L6954" s="9">
        <v>1</v>
      </c>
      <c r="M6954" t="s">
        <v>4924</v>
      </c>
      <c r="N6954" t="s">
        <v>51</v>
      </c>
      <c r="O6954" s="27" t="str">
        <f>HYPERLINK("https://www.ncbi.nlm.nih.gov/nuccore/NZ_AEJB01000410.1?report=graph&amp;from=13126&amp;to=13130", "TTA_codon")</f>
        <v>TTA_codon</v>
      </c>
    </row>
    <row r="6955" spans="1:15" x14ac:dyDescent="0.15">
      <c r="A6955" t="s">
        <v>21</v>
      </c>
      <c r="B6955">
        <v>1000124</v>
      </c>
      <c r="C6955">
        <v>361540</v>
      </c>
      <c r="F6955" s="7">
        <v>1</v>
      </c>
      <c r="G6955" s="7">
        <v>70</v>
      </c>
      <c r="H6955" s="8">
        <v>67</v>
      </c>
      <c r="J6955" t="s">
        <v>23</v>
      </c>
      <c r="K6955" s="7">
        <v>813</v>
      </c>
      <c r="L6955" s="9">
        <v>1</v>
      </c>
      <c r="M6955" t="s">
        <v>37</v>
      </c>
      <c r="N6955" t="s">
        <v>38</v>
      </c>
      <c r="O6955" s="27" t="str">
        <f>HYPERLINK("https://www.ncbi.nlm.nih.gov/nuccore/NZ_CP011533.1?report=graph&amp;from=4616432&amp;to=4616436", "TTA_codon")</f>
        <v>TTA_codon</v>
      </c>
    </row>
    <row r="6956" spans="1:15" x14ac:dyDescent="0.15">
      <c r="A6956" t="s">
        <v>21</v>
      </c>
      <c r="B6956">
        <v>1000124</v>
      </c>
      <c r="C6956">
        <v>363909</v>
      </c>
      <c r="F6956" s="7">
        <v>2</v>
      </c>
      <c r="G6956" s="7" t="s">
        <v>4925</v>
      </c>
      <c r="H6956" s="8" t="s">
        <v>4926</v>
      </c>
      <c r="J6956" t="s">
        <v>23</v>
      </c>
      <c r="K6956" s="7">
        <v>813</v>
      </c>
      <c r="L6956" s="9">
        <v>1</v>
      </c>
      <c r="M6956" t="s">
        <v>541</v>
      </c>
      <c r="N6956" t="s">
        <v>104</v>
      </c>
      <c r="O6956" s="27" t="str">
        <f>HYPERLINK("https://www.ncbi.nlm.nih.gov/nuccore/NZ_MVFC01000025.1?report=graph&amp;from=16645&amp;to=17399", "TTA_codon")</f>
        <v>TTA_codon</v>
      </c>
    </row>
    <row r="6957" spans="1:15" x14ac:dyDescent="0.15">
      <c r="A6957" t="s">
        <v>21</v>
      </c>
      <c r="B6957" t="s">
        <v>4927</v>
      </c>
    </row>
    <row r="6958" spans="1:15" x14ac:dyDescent="0.15">
      <c r="A6958" t="s">
        <v>21</v>
      </c>
      <c r="B6958">
        <v>1001060</v>
      </c>
      <c r="C6958">
        <v>354970</v>
      </c>
      <c r="F6958" s="7">
        <v>1</v>
      </c>
      <c r="G6958" s="7">
        <v>178</v>
      </c>
      <c r="H6958" s="8">
        <v>133</v>
      </c>
      <c r="J6958" t="s">
        <v>23</v>
      </c>
      <c r="K6958" s="7">
        <v>1467</v>
      </c>
      <c r="L6958" s="9">
        <v>1</v>
      </c>
      <c r="M6958" t="s">
        <v>1033</v>
      </c>
      <c r="N6958" t="s">
        <v>25</v>
      </c>
      <c r="O6958" s="27" t="str">
        <f>HYPERLINK("https://www.ncbi.nlm.nih.gov/nuccore/NZ_JOFU01000010.1?report=graph&amp;from=102809&amp;to=102813", "TTA_codon")</f>
        <v>TTA_codon</v>
      </c>
    </row>
    <row r="6959" spans="1:15" x14ac:dyDescent="0.15">
      <c r="A6959" t="s">
        <v>21</v>
      </c>
      <c r="B6959">
        <v>1001060</v>
      </c>
      <c r="C6959">
        <v>360210</v>
      </c>
      <c r="F6959" s="7">
        <v>1</v>
      </c>
      <c r="G6959" s="7">
        <v>244</v>
      </c>
      <c r="H6959" s="8">
        <v>214</v>
      </c>
      <c r="J6959" t="s">
        <v>23</v>
      </c>
      <c r="K6959" s="7">
        <v>1482</v>
      </c>
      <c r="L6959" s="9">
        <v>1</v>
      </c>
      <c r="M6959" t="s">
        <v>3174</v>
      </c>
      <c r="N6959" t="s">
        <v>125</v>
      </c>
      <c r="O6959" s="27" t="str">
        <f>HYPERLINK("https://www.ncbi.nlm.nih.gov/nuccore/NZ_KQ948475.1?report=graph&amp;from=84093&amp;to=84097", "TTA_codon")</f>
        <v>TTA_codon</v>
      </c>
    </row>
    <row r="6960" spans="1:15" x14ac:dyDescent="0.15">
      <c r="A6960" t="s">
        <v>21</v>
      </c>
      <c r="B6960" t="s">
        <v>4928</v>
      </c>
    </row>
    <row r="6961" spans="1:15" x14ac:dyDescent="0.15">
      <c r="A6961" t="s">
        <v>21</v>
      </c>
      <c r="B6961">
        <v>1000801</v>
      </c>
      <c r="C6961">
        <v>352015</v>
      </c>
      <c r="F6961" s="7">
        <v>1</v>
      </c>
      <c r="G6961" s="7">
        <v>592</v>
      </c>
      <c r="H6961" s="8">
        <v>547</v>
      </c>
      <c r="J6961" t="s">
        <v>23</v>
      </c>
      <c r="K6961" s="7">
        <v>1269</v>
      </c>
      <c r="L6961" s="9">
        <v>-1</v>
      </c>
      <c r="M6961" t="s">
        <v>1125</v>
      </c>
      <c r="N6961" t="s">
        <v>68</v>
      </c>
      <c r="O6961" s="27" t="str">
        <f>HYPERLINK("https://www.ncbi.nlm.nih.gov/nuccore/NZ_BARG01000124.1?report=graph&amp;from=14592&amp;to=14596", "TTA_codon")</f>
        <v>TTA_codon</v>
      </c>
    </row>
    <row r="6962" spans="1:15" x14ac:dyDescent="0.15">
      <c r="A6962" t="s">
        <v>21</v>
      </c>
      <c r="B6962">
        <v>1000801</v>
      </c>
      <c r="C6962">
        <v>357198</v>
      </c>
      <c r="F6962" s="7">
        <v>1</v>
      </c>
      <c r="G6962" s="7">
        <v>646</v>
      </c>
      <c r="H6962" s="8">
        <v>643</v>
      </c>
      <c r="J6962" t="s">
        <v>23</v>
      </c>
      <c r="K6962" s="7">
        <v>1308</v>
      </c>
      <c r="L6962" s="9">
        <v>-1</v>
      </c>
      <c r="M6962" t="s">
        <v>205</v>
      </c>
      <c r="N6962" t="s">
        <v>206</v>
      </c>
      <c r="O6962" s="27" t="str">
        <f>HYPERLINK("https://www.ncbi.nlm.nih.gov/nuccore/NZ_CP010407.1?report=graph&amp;from=6345995&amp;to=6345999", "TTA_codon")</f>
        <v>TTA_codon</v>
      </c>
    </row>
    <row r="6963" spans="1:15" x14ac:dyDescent="0.15">
      <c r="A6963" t="s">
        <v>21</v>
      </c>
      <c r="B6963">
        <v>1000801</v>
      </c>
      <c r="C6963">
        <v>359576</v>
      </c>
      <c r="F6963" s="7">
        <v>1</v>
      </c>
      <c r="G6963" s="7">
        <v>646</v>
      </c>
      <c r="H6963" s="8">
        <v>637</v>
      </c>
      <c r="J6963" t="s">
        <v>23</v>
      </c>
      <c r="K6963" s="7">
        <v>1302</v>
      </c>
      <c r="L6963" s="9">
        <v>-1</v>
      </c>
      <c r="M6963" t="s">
        <v>151</v>
      </c>
      <c r="N6963" t="s">
        <v>152</v>
      </c>
      <c r="O6963" s="27" t="str">
        <f>HYPERLINK("https://www.ncbi.nlm.nih.gov/nuccore/NZ_CP013129.1?report=graph&amp;from=7733523&amp;to=7733527", "TTA_codon")</f>
        <v>TTA_codon</v>
      </c>
    </row>
    <row r="6964" spans="1:15" x14ac:dyDescent="0.15">
      <c r="A6964" t="s">
        <v>21</v>
      </c>
      <c r="B6964">
        <v>1000801</v>
      </c>
      <c r="C6964">
        <v>360142</v>
      </c>
      <c r="F6964" s="7">
        <v>1</v>
      </c>
      <c r="G6964" s="7">
        <v>646</v>
      </c>
      <c r="H6964" s="8">
        <v>613</v>
      </c>
      <c r="J6964" t="s">
        <v>23</v>
      </c>
      <c r="K6964" s="7">
        <v>1278</v>
      </c>
      <c r="L6964" s="9">
        <v>-1</v>
      </c>
      <c r="M6964" t="s">
        <v>373</v>
      </c>
      <c r="N6964" t="s">
        <v>125</v>
      </c>
      <c r="O6964" s="27" t="str">
        <f>HYPERLINK("https://www.ncbi.nlm.nih.gov/nuccore/NZ_KQ948482.1?report=graph&amp;from=16040&amp;to=16044", "TTA_codon")</f>
        <v>TTA_codon</v>
      </c>
    </row>
    <row r="6965" spans="1:15" x14ac:dyDescent="0.15">
      <c r="A6965" t="s">
        <v>21</v>
      </c>
      <c r="B6965">
        <v>1000801</v>
      </c>
      <c r="C6965">
        <v>363370</v>
      </c>
      <c r="F6965" s="7">
        <v>1</v>
      </c>
      <c r="G6965" s="7">
        <v>592</v>
      </c>
      <c r="H6965" s="8">
        <v>547</v>
      </c>
      <c r="J6965" t="s">
        <v>23</v>
      </c>
      <c r="K6965" s="7">
        <v>1269</v>
      </c>
      <c r="L6965" s="9">
        <v>-1</v>
      </c>
      <c r="M6965" t="s">
        <v>2803</v>
      </c>
      <c r="N6965" t="s">
        <v>28</v>
      </c>
      <c r="O6965" s="27" t="str">
        <f>HYPERLINK("https://www.ncbi.nlm.nih.gov/nuccore/NZ_JUJA01000146.1?report=graph&amp;from=25812&amp;to=25816", "TTA_codon")</f>
        <v>TTA_codon</v>
      </c>
    </row>
    <row r="6966" spans="1:15" x14ac:dyDescent="0.15">
      <c r="A6966" t="s">
        <v>21</v>
      </c>
      <c r="B6966">
        <v>1000801</v>
      </c>
      <c r="C6966">
        <v>366489</v>
      </c>
      <c r="F6966" s="7">
        <v>1</v>
      </c>
      <c r="G6966" s="7">
        <v>592</v>
      </c>
      <c r="H6966" s="8">
        <v>550</v>
      </c>
      <c r="J6966" t="s">
        <v>23</v>
      </c>
      <c r="K6966" s="7">
        <v>1275</v>
      </c>
      <c r="L6966" s="9">
        <v>-1</v>
      </c>
      <c r="M6966" t="s">
        <v>374</v>
      </c>
      <c r="N6966" t="s">
        <v>375</v>
      </c>
      <c r="O6966" s="27" t="str">
        <f>HYPERLINK("https://www.ncbi.nlm.nih.gov/nuccore/NZ_FONG01000025.1?report=graph&amp;from=34065&amp;to=34069", "TTA_codon")</f>
        <v>TTA_codon</v>
      </c>
    </row>
    <row r="6967" spans="1:15" x14ac:dyDescent="0.15">
      <c r="A6967" t="s">
        <v>21</v>
      </c>
      <c r="B6967" t="s">
        <v>4929</v>
      </c>
    </row>
    <row r="6968" spans="1:15" x14ac:dyDescent="0.15">
      <c r="A6968" t="s">
        <v>21</v>
      </c>
      <c r="B6968">
        <v>1001531</v>
      </c>
      <c r="C6968">
        <v>357500</v>
      </c>
      <c r="F6968" s="7">
        <v>1</v>
      </c>
      <c r="G6968" s="7">
        <v>304</v>
      </c>
      <c r="H6968" s="8">
        <v>304</v>
      </c>
      <c r="J6968" t="s">
        <v>23</v>
      </c>
      <c r="K6968" s="7">
        <v>1431</v>
      </c>
      <c r="L6968" s="9">
        <v>-1</v>
      </c>
      <c r="M6968" t="s">
        <v>80</v>
      </c>
      <c r="N6968" t="s">
        <v>81</v>
      </c>
      <c r="O6968" s="27" t="str">
        <f>HYPERLINK("https://www.ncbi.nlm.nih.gov/nuccore/NZ_LN831790.1?report=graph&amp;from=1693695&amp;to=1693699", "TTA_codon")</f>
        <v>TTA_codon</v>
      </c>
    </row>
    <row r="6969" spans="1:15" x14ac:dyDescent="0.15">
      <c r="A6969" t="s">
        <v>21</v>
      </c>
      <c r="B6969">
        <v>1001531</v>
      </c>
      <c r="C6969">
        <v>366872</v>
      </c>
      <c r="F6969" s="7">
        <v>1</v>
      </c>
      <c r="G6969" s="7">
        <v>328</v>
      </c>
      <c r="H6969" s="8">
        <v>304</v>
      </c>
      <c r="J6969" t="s">
        <v>23</v>
      </c>
      <c r="K6969" s="7">
        <v>1410</v>
      </c>
      <c r="L6969" s="9">
        <v>-1</v>
      </c>
      <c r="M6969" t="s">
        <v>4930</v>
      </c>
      <c r="N6969" t="s">
        <v>209</v>
      </c>
      <c r="O6969" s="27" t="str">
        <f>HYPERLINK("https://www.ncbi.nlm.nih.gov/nuccore/NZ_FZOF01000003.1?report=graph&amp;from=115301&amp;to=115305", "TTA_codon")</f>
        <v>TTA_codon</v>
      </c>
    </row>
    <row r="6970" spans="1:15" x14ac:dyDescent="0.15">
      <c r="A6970" t="s">
        <v>195</v>
      </c>
      <c r="B6970" t="s">
        <v>4931</v>
      </c>
    </row>
    <row r="6971" spans="1:15" x14ac:dyDescent="0.15">
      <c r="A6971" t="s">
        <v>195</v>
      </c>
      <c r="B6971">
        <v>1000045</v>
      </c>
      <c r="C6971">
        <v>346223</v>
      </c>
      <c r="F6971" s="7">
        <v>1</v>
      </c>
      <c r="G6971" s="7">
        <v>340</v>
      </c>
      <c r="H6971" s="8">
        <v>340</v>
      </c>
      <c r="J6971" t="s">
        <v>23</v>
      </c>
      <c r="K6971" s="7">
        <v>381</v>
      </c>
      <c r="L6971" s="9">
        <v>1</v>
      </c>
      <c r="M6971" t="s">
        <v>65</v>
      </c>
      <c r="N6971" t="s">
        <v>66</v>
      </c>
      <c r="O6971" s="27" t="str">
        <f>HYPERLINK("https://www.ncbi.nlm.nih.gov/nuccore/NC_020504.1?report=graph&amp;from=9425926&amp;to=9425930", "TTA_codon")</f>
        <v>TTA_codon</v>
      </c>
    </row>
    <row r="6972" spans="1:15" x14ac:dyDescent="0.15">
      <c r="A6972" t="s">
        <v>21</v>
      </c>
      <c r="B6972">
        <v>1000045</v>
      </c>
      <c r="C6972">
        <v>351294</v>
      </c>
      <c r="F6972" s="7">
        <v>1</v>
      </c>
      <c r="G6972" s="7">
        <v>340</v>
      </c>
      <c r="H6972" s="8">
        <v>340</v>
      </c>
      <c r="J6972" t="s">
        <v>23</v>
      </c>
      <c r="K6972" s="7">
        <v>381</v>
      </c>
      <c r="L6972" s="9">
        <v>1</v>
      </c>
      <c r="M6972" t="s">
        <v>667</v>
      </c>
      <c r="N6972" t="s">
        <v>66</v>
      </c>
      <c r="O6972" s="27" t="str">
        <f>HYPERLINK("https://www.ncbi.nlm.nih.gov/nuccore/NC_020545.1?report=graph&amp;from=59532&amp;to=59536", "TTA_codon")</f>
        <v>TTA_codon</v>
      </c>
    </row>
    <row r="6973" spans="1:15" x14ac:dyDescent="0.15">
      <c r="A6973" t="s">
        <v>21</v>
      </c>
      <c r="B6973" t="s">
        <v>4932</v>
      </c>
    </row>
    <row r="6974" spans="1:15" x14ac:dyDescent="0.15">
      <c r="A6974" t="s">
        <v>21</v>
      </c>
      <c r="B6974">
        <v>1000274</v>
      </c>
      <c r="C6974">
        <v>347777</v>
      </c>
      <c r="F6974" s="7">
        <v>1</v>
      </c>
      <c r="G6974" s="7">
        <v>49</v>
      </c>
      <c r="H6974" s="8">
        <v>49</v>
      </c>
      <c r="J6974" t="s">
        <v>23</v>
      </c>
      <c r="K6974" s="7">
        <v>2484</v>
      </c>
      <c r="L6974" s="9">
        <v>-1</v>
      </c>
      <c r="M6974" t="s">
        <v>57</v>
      </c>
      <c r="N6974" t="s">
        <v>58</v>
      </c>
      <c r="O6974" s="27" t="str">
        <f>HYPERLINK("https://www.ncbi.nlm.nih.gov/nuccore/NC_013929.1?report=graph&amp;from=1883411&amp;to=1883415", "TTA_codon")</f>
        <v>TTA_codon</v>
      </c>
    </row>
    <row r="6975" spans="1:15" x14ac:dyDescent="0.15">
      <c r="A6975" t="s">
        <v>21</v>
      </c>
      <c r="B6975">
        <v>1000274</v>
      </c>
      <c r="C6975">
        <v>358359</v>
      </c>
      <c r="F6975" s="7">
        <v>1</v>
      </c>
      <c r="G6975" s="7">
        <v>40</v>
      </c>
      <c r="H6975" s="8">
        <v>40</v>
      </c>
      <c r="J6975" t="s">
        <v>23</v>
      </c>
      <c r="K6975" s="7">
        <v>2478</v>
      </c>
      <c r="L6975" s="9">
        <v>-1</v>
      </c>
      <c r="M6975" t="s">
        <v>4933</v>
      </c>
      <c r="N6975" t="s">
        <v>85</v>
      </c>
      <c r="O6975" s="27" t="str">
        <f>HYPERLINK("https://www.ncbi.nlm.nih.gov/nuccore/NZ_LIQX01000234.1?report=graph&amp;from=5858&amp;to=5862", "TTA_codon")</f>
        <v>TTA_codon</v>
      </c>
    </row>
    <row r="6976" spans="1:15" x14ac:dyDescent="0.15">
      <c r="A6976" t="s">
        <v>21</v>
      </c>
      <c r="B6976" t="s">
        <v>4934</v>
      </c>
    </row>
    <row r="6977" spans="1:15" x14ac:dyDescent="0.15">
      <c r="A6977" t="s">
        <v>21</v>
      </c>
      <c r="B6977">
        <v>1001420</v>
      </c>
      <c r="C6977">
        <v>354974</v>
      </c>
      <c r="F6977" s="7">
        <v>3</v>
      </c>
      <c r="G6977" s="7" t="s">
        <v>4935</v>
      </c>
      <c r="H6977" s="8" t="s">
        <v>4936</v>
      </c>
      <c r="J6977" t="s">
        <v>23</v>
      </c>
      <c r="K6977" s="7">
        <v>3117</v>
      </c>
      <c r="L6977" s="9">
        <v>1</v>
      </c>
      <c r="M6977" t="s">
        <v>4937</v>
      </c>
      <c r="N6977" t="s">
        <v>25</v>
      </c>
      <c r="O6977" s="27" t="str">
        <f>HYPERLINK("https://www.ncbi.nlm.nih.gov/nuccore/NZ_JOFU01000104.1?report=graph&amp;from=7712&amp;to=8721", "TTA_codon")</f>
        <v>TTA_codon</v>
      </c>
    </row>
    <row r="6978" spans="1:15" x14ac:dyDescent="0.15">
      <c r="A6978" t="s">
        <v>21</v>
      </c>
      <c r="B6978">
        <v>1001420</v>
      </c>
      <c r="C6978">
        <v>362467</v>
      </c>
      <c r="F6978" s="7">
        <v>6</v>
      </c>
      <c r="G6978" s="7" t="s">
        <v>4938</v>
      </c>
      <c r="H6978" s="8" t="s">
        <v>4939</v>
      </c>
      <c r="J6978" t="s">
        <v>23</v>
      </c>
      <c r="K6978" s="7">
        <v>3594</v>
      </c>
      <c r="L6978" s="9">
        <v>1</v>
      </c>
      <c r="M6978" t="s">
        <v>32</v>
      </c>
      <c r="N6978" t="s">
        <v>33</v>
      </c>
      <c r="O6978" s="27" t="str">
        <f>HYPERLINK("https://www.ncbi.nlm.nih.gov/nuccore/NZ_CP017248.1?report=graph&amp;from=2144828&amp;to=2145939", "TTA_codon")</f>
        <v>TTA_codon</v>
      </c>
    </row>
    <row r="6979" spans="1:15" x14ac:dyDescent="0.15">
      <c r="A6979" t="s">
        <v>21</v>
      </c>
      <c r="B6979" t="s">
        <v>4940</v>
      </c>
    </row>
    <row r="6980" spans="1:15" x14ac:dyDescent="0.15">
      <c r="A6980" t="s">
        <v>21</v>
      </c>
      <c r="B6980">
        <v>1000551</v>
      </c>
      <c r="C6980">
        <v>349785</v>
      </c>
      <c r="F6980" s="7">
        <v>1</v>
      </c>
      <c r="G6980" s="7">
        <v>910</v>
      </c>
      <c r="H6980" s="8">
        <v>910</v>
      </c>
      <c r="J6980" t="s">
        <v>23</v>
      </c>
      <c r="K6980" s="7">
        <v>1155</v>
      </c>
      <c r="L6980" s="9">
        <v>-1</v>
      </c>
      <c r="M6980" t="s">
        <v>265</v>
      </c>
      <c r="N6980" t="s">
        <v>266</v>
      </c>
      <c r="O6980" s="27" t="str">
        <f>HYPERLINK("https://www.ncbi.nlm.nih.gov/nuccore/NC_017586.1?report=graph&amp;from=1562733&amp;to=1562737", "TTA_codon")</f>
        <v>TTA_codon</v>
      </c>
    </row>
    <row r="6981" spans="1:15" x14ac:dyDescent="0.15">
      <c r="A6981" t="s">
        <v>21</v>
      </c>
      <c r="B6981">
        <v>1000551</v>
      </c>
      <c r="C6981">
        <v>355439</v>
      </c>
      <c r="F6981" s="7">
        <v>1</v>
      </c>
      <c r="G6981" s="7">
        <v>652</v>
      </c>
      <c r="H6981" s="8">
        <v>652</v>
      </c>
      <c r="J6981" t="s">
        <v>23</v>
      </c>
      <c r="K6981" s="7">
        <v>1155</v>
      </c>
      <c r="L6981" s="9">
        <v>-1</v>
      </c>
      <c r="M6981" t="s">
        <v>573</v>
      </c>
      <c r="N6981" t="s">
        <v>198</v>
      </c>
      <c r="O6981" s="27" t="str">
        <f>HYPERLINK("https://www.ncbi.nlm.nih.gov/nuccore/NZ_JOFL01000002.1?report=graph&amp;from=17772&amp;to=17776", "TTA_codon")</f>
        <v>TTA_codon</v>
      </c>
    </row>
    <row r="6982" spans="1:15" x14ac:dyDescent="0.15">
      <c r="A6982" t="s">
        <v>21</v>
      </c>
      <c r="B6982">
        <v>1000551</v>
      </c>
      <c r="C6982">
        <v>364853</v>
      </c>
      <c r="F6982" s="7">
        <v>1</v>
      </c>
      <c r="G6982" s="7">
        <v>796</v>
      </c>
      <c r="H6982" s="8">
        <v>796</v>
      </c>
      <c r="J6982" t="s">
        <v>23</v>
      </c>
      <c r="K6982" s="7">
        <v>1155</v>
      </c>
      <c r="L6982" s="9">
        <v>-1</v>
      </c>
      <c r="M6982" t="s">
        <v>126</v>
      </c>
      <c r="N6982" t="s">
        <v>127</v>
      </c>
      <c r="O6982" s="27" t="str">
        <f>HYPERLINK("https://www.ncbi.nlm.nih.gov/nuccore/NZ_CP021748.1?report=graph&amp;from=2787640&amp;to=2787644", "TTA_codon")</f>
        <v>TTA_codon</v>
      </c>
    </row>
  </sheetData>
  <mergeCells count="14">
    <mergeCell ref="O3:O4"/>
    <mergeCell ref="P3:P4"/>
    <mergeCell ref="Q3:Q4"/>
    <mergeCell ref="R3:R4"/>
    <mergeCell ref="I3:I4"/>
    <mergeCell ref="J3:K3"/>
    <mergeCell ref="L3:L4"/>
    <mergeCell ref="M3:M4"/>
    <mergeCell ref="N3:N4"/>
    <mergeCell ref="A3:A4"/>
    <mergeCell ref="B3:B4"/>
    <mergeCell ref="C3:C4"/>
    <mergeCell ref="D3:E3"/>
    <mergeCell ref="F3:H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Collection_TTA_codons_in_cluste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104</cp:revision>
  <dcterms:modified xsi:type="dcterms:W3CDTF">2023-03-29T00:01:27Z</dcterms:modified>
  <dc:language>en-US</dc:language>
</cp:coreProperties>
</file>