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varda\Downloads\"/>
    </mc:Choice>
  </mc:AlternateContent>
  <xr:revisionPtr revIDLastSave="0" documentId="13_ncr:1_{AC7D7936-7808-4F7E-8C0D-BF7BD9BD6050}" xr6:coauthVersionLast="47" xr6:coauthVersionMax="47" xr10:uidLastSave="{00000000-0000-0000-0000-000000000000}"/>
  <bookViews>
    <workbookView xWindow="-110" yWindow="-110" windowWidth="19420" windowHeight="10420" xr2:uid="{26D4546B-D2A1-4444-8EAF-A6228F96F0C1}"/>
  </bookViews>
  <sheets>
    <sheet name="NZ Staff" sheetId="1" r:id="rId1"/>
    <sheet name="IND Staff" sheetId="2" r:id="rId2"/>
    <sheet name="All Staff" sheetId="3" r:id="rId3"/>
    <sheet name="Male vs. Female" sheetId="5" r:id="rId4"/>
    <sheet name="Salary Spread" sheetId="6" r:id="rId5"/>
    <sheet name="Salary vs. Rating" sheetId="7" r:id="rId6"/>
    <sheet name="Sheet6" sheetId="8" r:id="rId7"/>
    <sheet name="Running Total" sheetId="9" r:id="rId8"/>
    <sheet name="NZ vs IND" sheetId="10" r:id="rId9"/>
    <sheet name="Sheet9" sheetId="11" r:id="rId10"/>
  </sheets>
  <definedNames>
    <definedName name="_xlnm._FilterDatabase" localSheetId="1" hidden="1">'IND Staff'!$B$2:$H$114</definedName>
    <definedName name="_xlnm._FilterDatabase" localSheetId="0" hidden="1">'NZ Staff'!$C$5:$I$105</definedName>
    <definedName name="_xlchart.v1.0" hidden="1">'All Staff'!$G$2:$G$184</definedName>
    <definedName name="_xlchart.v1.1" hidden="1">'All Staff'!$G$2:$G$184</definedName>
    <definedName name="_xlcn.WorksheetConnection_blankdatafile.xlsxStaff1" hidden="1">Staff[]</definedName>
    <definedName name="ExternalData_1" localSheetId="2" hidden="1">'All Staff'!$A$1:$H$184</definedName>
    <definedName name="Slicer_Country">#N/A</definedName>
  </definedNames>
  <calcPr calcId="181029"/>
  <pivotCaches>
    <pivotCache cacheId="0" r:id="rId11"/>
    <pivotCache cacheId="1" r:id="rId12"/>
    <pivotCache cacheId="2" r:id="rId13"/>
    <pivotCache cacheId="3" r:id="rId14"/>
    <pivotCache cacheId="4" r:id="rId15"/>
  </pivotCaches>
  <extLst>
    <ext xmlns:x14="http://schemas.microsoft.com/office/spreadsheetml/2009/9/main" uri="{876F7934-8845-4945-9796-88D515C7AA90}">
      <x14:pivotCaches>
        <pivotCache cacheId="5"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blank-data-file.xlsx!Staff"/>
        </x15:modelTables>
        <x15:extLst>
          <ext xmlns:x16="http://schemas.microsoft.com/office/spreadsheetml/2014/11/main" uri="{9835A34E-60A6-4A7C-AAB8-D5F71C897F49}">
            <x16:modelTimeGroupings>
              <x16:modelTimeGrouping tableName="Staff" columnName="Date Joined" columnId="Date Joined">
                <x16:calculatedTimeColumn columnName="Date Joined (Year)" columnId="Date Joined (Year)" contentType="yea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Lst>
</workbook>
</file>

<file path=xl/calcChain.xml><?xml version="1.0" encoding="utf-8"?>
<calcChain xmlns="http://schemas.openxmlformats.org/spreadsheetml/2006/main">
  <c r="N4" i="10" l="1"/>
  <c r="L4" i="10"/>
  <c r="J4" i="10"/>
  <c r="G4" i="10"/>
  <c r="E4" i="10"/>
  <c r="C4" i="10"/>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3"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3" i="9"/>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N25" i="3"/>
  <c r="N24" i="3"/>
  <c r="N23" i="3"/>
  <c r="N22" i="3"/>
  <c r="N21" i="3"/>
  <c r="N20" i="3"/>
  <c r="N19" i="3"/>
  <c r="O5" i="3"/>
  <c r="N12" i="3"/>
  <c r="N8" i="3"/>
  <c r="I162" i="3"/>
  <c r="J162" i="3" s="1"/>
  <c r="I18" i="3"/>
  <c r="J18" i="3" s="1"/>
  <c r="I142" i="3"/>
  <c r="J142" i="3" s="1"/>
  <c r="I20" i="3"/>
  <c r="J20" i="3" s="1"/>
  <c r="I175" i="3"/>
  <c r="J175" i="3" s="1"/>
  <c r="I46" i="3"/>
  <c r="J46" i="3" s="1"/>
  <c r="I130" i="3"/>
  <c r="J130" i="3" s="1"/>
  <c r="I124" i="3"/>
  <c r="J124" i="3" s="1"/>
  <c r="I90" i="3"/>
  <c r="J90" i="3" s="1"/>
  <c r="I156" i="3"/>
  <c r="J156" i="3" s="1"/>
  <c r="I146" i="3"/>
  <c r="J146" i="3" s="1"/>
  <c r="I134" i="3"/>
  <c r="J134" i="3" s="1"/>
  <c r="I24" i="3"/>
  <c r="J24" i="3" s="1"/>
  <c r="I8" i="3"/>
  <c r="J8" i="3" s="1"/>
  <c r="I163" i="3"/>
  <c r="J163" i="3" s="1"/>
  <c r="I32" i="3"/>
  <c r="I181" i="3"/>
  <c r="J181" i="3" s="1"/>
  <c r="I82" i="3"/>
  <c r="J82" i="3" s="1"/>
  <c r="I108" i="3"/>
  <c r="J108" i="3" s="1"/>
  <c r="I102" i="3"/>
  <c r="J102" i="3" s="1"/>
  <c r="I44" i="3"/>
  <c r="J44" i="3" s="1"/>
  <c r="I120" i="3"/>
  <c r="J120" i="3" s="1"/>
  <c r="I6" i="3"/>
  <c r="J6" i="3" s="1"/>
  <c r="I92" i="3"/>
  <c r="J92" i="3" s="1"/>
  <c r="I10" i="3"/>
  <c r="J10" i="3" s="1"/>
  <c r="I140" i="3"/>
  <c r="J140" i="3" s="1"/>
  <c r="I50" i="3"/>
  <c r="J50" i="3" s="1"/>
  <c r="I171" i="3"/>
  <c r="J171" i="3" s="1"/>
  <c r="I12" i="3"/>
  <c r="J12" i="3" s="1"/>
  <c r="I160" i="3"/>
  <c r="J160" i="3" s="1"/>
  <c r="I22" i="3"/>
  <c r="J22" i="3" s="1"/>
  <c r="I70" i="3"/>
  <c r="J70" i="3" s="1"/>
  <c r="I138" i="3"/>
  <c r="J138" i="3" s="1"/>
  <c r="I110" i="3"/>
  <c r="J110" i="3" s="1"/>
  <c r="I34" i="3"/>
  <c r="J34" i="3" s="1"/>
  <c r="I158" i="3"/>
  <c r="J158" i="3" s="1"/>
  <c r="I183" i="3"/>
  <c r="J183" i="3" s="1"/>
  <c r="I165" i="3"/>
  <c r="J165" i="3" s="1"/>
  <c r="I173" i="3"/>
  <c r="J173" i="3" s="1"/>
  <c r="I30" i="3"/>
  <c r="J30" i="3" s="1"/>
  <c r="I98" i="3"/>
  <c r="J98" i="3" s="1"/>
  <c r="I36" i="3"/>
  <c r="J36" i="3" s="1"/>
  <c r="I114" i="3"/>
  <c r="J114" i="3" s="1"/>
  <c r="I2" i="3"/>
  <c r="J2" i="3" s="1"/>
  <c r="I94" i="3"/>
  <c r="J94" i="3" s="1"/>
  <c r="I52" i="3"/>
  <c r="J52" i="3" s="1"/>
  <c r="I148" i="3"/>
  <c r="J148" i="3" s="1"/>
  <c r="I48" i="3"/>
  <c r="J48" i="3" s="1"/>
  <c r="I126" i="3"/>
  <c r="J126" i="3" s="1"/>
  <c r="I84" i="3"/>
  <c r="J84" i="3" s="1"/>
  <c r="I100" i="3"/>
  <c r="J100" i="3" s="1"/>
  <c r="I122" i="3"/>
  <c r="J122" i="3" s="1"/>
  <c r="I60" i="3"/>
  <c r="J60" i="3" s="1"/>
  <c r="I177" i="3"/>
  <c r="J177" i="3" s="1"/>
  <c r="I66" i="3"/>
  <c r="J66" i="3" s="1"/>
  <c r="I64" i="3"/>
  <c r="J64" i="3" s="1"/>
  <c r="I128" i="3"/>
  <c r="J128" i="3" s="1"/>
  <c r="I28" i="3"/>
  <c r="J28" i="3" s="1"/>
  <c r="I112" i="3"/>
  <c r="J112" i="3" s="1"/>
  <c r="I118" i="3"/>
  <c r="J118" i="3" s="1"/>
  <c r="I76" i="3"/>
  <c r="J76" i="3" s="1"/>
  <c r="I38" i="3"/>
  <c r="J38" i="3" s="1"/>
  <c r="I16" i="3"/>
  <c r="J16" i="3" s="1"/>
  <c r="I154" i="3"/>
  <c r="J154" i="3" s="1"/>
  <c r="I136" i="3"/>
  <c r="J136" i="3" s="1"/>
  <c r="I14" i="3"/>
  <c r="J14" i="3" s="1"/>
  <c r="I88" i="3"/>
  <c r="J88" i="3" s="1"/>
  <c r="I167" i="3"/>
  <c r="J167" i="3" s="1"/>
  <c r="I116" i="3"/>
  <c r="J116" i="3" s="1"/>
  <c r="I39" i="3"/>
  <c r="J39" i="3" s="1"/>
  <c r="I78" i="3"/>
  <c r="J78" i="3" s="1"/>
  <c r="I72" i="3"/>
  <c r="J72" i="3" s="1"/>
  <c r="I80" i="3"/>
  <c r="J80" i="3" s="1"/>
  <c r="I58" i="3"/>
  <c r="J58" i="3" s="1"/>
  <c r="I150" i="3"/>
  <c r="J150" i="3" s="1"/>
  <c r="I179" i="3"/>
  <c r="J179" i="3" s="1"/>
  <c r="I104" i="3"/>
  <c r="J104" i="3" s="1"/>
  <c r="I169" i="3"/>
  <c r="J169" i="3" s="1"/>
  <c r="I144" i="3"/>
  <c r="J144" i="3" s="1"/>
  <c r="I74" i="3"/>
  <c r="J74" i="3" s="1"/>
  <c r="I4" i="3"/>
  <c r="J4" i="3" s="1"/>
  <c r="I62" i="3"/>
  <c r="J62" i="3" s="1"/>
  <c r="I152" i="3"/>
  <c r="J152" i="3" s="1"/>
  <c r="I68" i="3"/>
  <c r="J68" i="3" s="1"/>
  <c r="I96" i="3"/>
  <c r="J96" i="3" s="1"/>
  <c r="I42" i="3"/>
  <c r="J42" i="3" s="1"/>
  <c r="I106" i="3"/>
  <c r="J106" i="3" s="1"/>
  <c r="I54" i="3"/>
  <c r="J54" i="3" s="1"/>
  <c r="I86" i="3"/>
  <c r="J86" i="3" s="1"/>
  <c r="I56" i="3"/>
  <c r="J56" i="3" s="1"/>
  <c r="I26" i="3"/>
  <c r="J26" i="3" s="1"/>
  <c r="I132" i="3"/>
  <c r="J132" i="3" s="1"/>
  <c r="I166" i="3"/>
  <c r="J166" i="3" s="1"/>
  <c r="I87" i="3"/>
  <c r="J87" i="3" s="1"/>
  <c r="I37" i="3"/>
  <c r="J37" i="3" s="1"/>
  <c r="I176" i="3"/>
  <c r="J176" i="3" s="1"/>
  <c r="I40" i="3"/>
  <c r="J40" i="3" s="1"/>
  <c r="I161" i="3"/>
  <c r="J161" i="3" s="1"/>
  <c r="I27" i="3"/>
  <c r="J27" i="3" s="1"/>
  <c r="I63" i="3"/>
  <c r="J63" i="3" s="1"/>
  <c r="I43" i="3"/>
  <c r="J43" i="3" s="1"/>
  <c r="I184" i="3"/>
  <c r="J184" i="3" s="1"/>
  <c r="I159" i="3"/>
  <c r="J159" i="3" s="1"/>
  <c r="I69" i="3"/>
  <c r="J69" i="3" s="1"/>
  <c r="I79" i="3"/>
  <c r="J79" i="3" s="1"/>
  <c r="I153" i="3"/>
  <c r="J153" i="3" s="1"/>
  <c r="I19" i="3"/>
  <c r="J19" i="3" s="1"/>
  <c r="I137" i="3"/>
  <c r="J137" i="3" s="1"/>
  <c r="I9" i="3"/>
  <c r="J9" i="3" s="1"/>
  <c r="I49" i="3"/>
  <c r="J49" i="3" s="1"/>
  <c r="I15" i="3"/>
  <c r="J15" i="3" s="1"/>
  <c r="I99" i="3"/>
  <c r="J99" i="3" s="1"/>
  <c r="I53" i="3"/>
  <c r="J53" i="3" s="1"/>
  <c r="I73" i="3"/>
  <c r="J73" i="3" s="1"/>
  <c r="I51" i="3"/>
  <c r="J51" i="3" s="1"/>
  <c r="I31" i="3"/>
  <c r="J31" i="3" s="1"/>
  <c r="I65" i="3"/>
  <c r="J65" i="3" s="1"/>
  <c r="I93" i="3"/>
  <c r="J93" i="3" s="1"/>
  <c r="I119" i="3"/>
  <c r="J119" i="3" s="1"/>
  <c r="I5" i="3"/>
  <c r="J5" i="3" s="1"/>
  <c r="I101" i="3"/>
  <c r="J101" i="3" s="1"/>
  <c r="I59" i="3"/>
  <c r="J59" i="3" s="1"/>
  <c r="I97" i="3"/>
  <c r="J97" i="3" s="1"/>
  <c r="I178" i="3"/>
  <c r="J178" i="3" s="1"/>
  <c r="I107" i="3"/>
  <c r="J107" i="3" s="1"/>
  <c r="I157" i="3"/>
  <c r="J157" i="3" s="1"/>
  <c r="I33" i="3"/>
  <c r="J33" i="3" s="1"/>
  <c r="I139" i="3"/>
  <c r="J139" i="3" s="1"/>
  <c r="I133" i="3"/>
  <c r="J133" i="3" s="1"/>
  <c r="I143" i="3"/>
  <c r="J143" i="3" s="1"/>
  <c r="I29" i="3"/>
  <c r="J29" i="3" s="1"/>
  <c r="I35" i="3"/>
  <c r="J35" i="3" s="1"/>
  <c r="I105" i="3"/>
  <c r="J105" i="3" s="1"/>
  <c r="I117" i="3"/>
  <c r="J117" i="3" s="1"/>
  <c r="I113" i="3"/>
  <c r="J113" i="3" s="1"/>
  <c r="I129" i="3"/>
  <c r="J129" i="3" s="1"/>
  <c r="I164" i="3"/>
  <c r="J164" i="3" s="1"/>
  <c r="I109" i="3"/>
  <c r="J109" i="3" s="1"/>
  <c r="I77" i="3"/>
  <c r="J77" i="3" s="1"/>
  <c r="I111" i="3"/>
  <c r="J111" i="3" s="1"/>
  <c r="I55" i="3"/>
  <c r="J55" i="3" s="1"/>
  <c r="I182" i="3"/>
  <c r="J182" i="3" s="1"/>
  <c r="I25" i="3"/>
  <c r="J25" i="3" s="1"/>
  <c r="I21" i="3"/>
  <c r="J21" i="3" s="1"/>
  <c r="I174" i="3"/>
  <c r="J174" i="3" s="1"/>
  <c r="I83" i="3"/>
  <c r="J83" i="3" s="1"/>
  <c r="I89" i="3"/>
  <c r="J89" i="3" s="1"/>
  <c r="I155" i="3"/>
  <c r="J155" i="3" s="1"/>
  <c r="I168" i="3"/>
  <c r="J168" i="3" s="1"/>
  <c r="I81" i="3"/>
  <c r="J81" i="3" s="1"/>
  <c r="I180" i="3"/>
  <c r="J180" i="3" s="1"/>
  <c r="I103" i="3"/>
  <c r="J103" i="3" s="1"/>
  <c r="I172" i="3"/>
  <c r="J172" i="3" s="1"/>
  <c r="I125" i="3"/>
  <c r="J125" i="3" s="1"/>
  <c r="I149" i="3"/>
  <c r="J149" i="3" s="1"/>
  <c r="I45" i="3"/>
  <c r="J45" i="3" s="1"/>
  <c r="I123" i="3"/>
  <c r="J123" i="3" s="1"/>
  <c r="I47" i="3"/>
  <c r="J47" i="3" s="1"/>
  <c r="I131" i="3"/>
  <c r="J131" i="3" s="1"/>
  <c r="I71" i="3"/>
  <c r="J71" i="3" s="1"/>
  <c r="I23" i="3"/>
  <c r="J23" i="3" s="1"/>
  <c r="I61" i="3"/>
  <c r="J61" i="3" s="1"/>
  <c r="I145" i="3"/>
  <c r="J145" i="3" s="1"/>
  <c r="I121" i="3"/>
  <c r="J121" i="3" s="1"/>
  <c r="I141" i="3"/>
  <c r="J141" i="3" s="1"/>
  <c r="I170" i="3"/>
  <c r="J170" i="3" s="1"/>
  <c r="I3" i="3"/>
  <c r="J3" i="3" s="1"/>
  <c r="I151" i="3"/>
  <c r="J151" i="3" s="1"/>
  <c r="I11" i="3"/>
  <c r="J11" i="3" s="1"/>
  <c r="I127" i="3"/>
  <c r="J127" i="3" s="1"/>
  <c r="I7" i="3"/>
  <c r="J7" i="3" s="1"/>
  <c r="I147" i="3"/>
  <c r="J147" i="3" s="1"/>
  <c r="I135" i="3"/>
  <c r="J135" i="3" s="1"/>
  <c r="I115" i="3"/>
  <c r="J115" i="3" s="1"/>
  <c r="I17" i="3"/>
  <c r="J17" i="3" s="1"/>
  <c r="I57" i="3"/>
  <c r="J57" i="3" s="1"/>
  <c r="I67" i="3"/>
  <c r="J67" i="3" s="1"/>
  <c r="I13" i="3"/>
  <c r="J13" i="3" s="1"/>
  <c r="I95" i="3"/>
  <c r="J95" i="3" s="1"/>
  <c r="I91" i="3"/>
  <c r="J91" i="3" s="1"/>
  <c r="I75" i="3"/>
  <c r="J75" i="3" s="1"/>
  <c r="I85" i="3"/>
  <c r="J85" i="3" s="1"/>
  <c r="I41" i="3"/>
  <c r="J41" i="3" s="1"/>
  <c r="N5" i="3"/>
  <c r="N4" i="3"/>
  <c r="N3" i="3"/>
  <c r="F106" i="1"/>
  <c r="H106" i="1"/>
  <c r="I106" i="1"/>
  <c r="N26" i="3" l="1"/>
  <c r="N9" i="3"/>
  <c r="N13" i="3"/>
  <c r="J32" i="3"/>
  <c r="O6" i="3"/>
  <c r="N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D71B03-4F04-4D98-835A-BAAB5CE32A31}" keepAlive="1" name="Query - india_staff" description="Connection to the 'india_staff' query in the workbook." type="5" refreshedVersion="0" background="1">
    <dbPr connection="Provider=Microsoft.Mashup.OleDb.1;Data Source=$Workbook$;Location=india_staff;Extended Properties=&quot;&quot;" command="SELECT * FROM [india_staff]"/>
  </connection>
  <connection id="2" xr16:uid="{2E481CE0-B2C5-41CF-9D31-43655A6B85E0}" keepAlive="1" name="Query - nz_staff" description="Connection to the 'nz_staff' query in the workbook." type="5" refreshedVersion="0" background="1">
    <dbPr connection="Provider=Microsoft.Mashup.OleDb.1;Data Source=$Workbook$;Location=nz_staff;Extended Properties=&quot;&quot;" command="SELECT * FROM [nz_staff]"/>
  </connection>
  <connection id="3" xr16:uid="{8B8EA05D-2A3A-49B4-AB47-2D271A80F7BF}" keepAlive="1" name="Query - Staff" description="Connection to the 'Staff' query in the workbook." type="5" refreshedVersion="6" background="1" saveData="1">
    <dbPr connection="Provider=Microsoft.Mashup.OleDb.1;Data Source=$Workbook$;Location=Staff;Extended Properties=&quot;&quot;" command="SELECT * FROM [Staff]"/>
  </connection>
  <connection id="4" xr16:uid="{6C731ECB-23E8-412B-B186-49258A3B119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E52BE428-D100-40FA-9B19-41D8C70FCF24}" name="WorksheetConnection_blank-data-file.xlsx!Staff" type="102" refreshedVersion="6" minRefreshableVersion="5">
    <extLst>
      <ext xmlns:x15="http://schemas.microsoft.com/office/spreadsheetml/2010/11/main" uri="{DE250136-89BD-433C-8126-D09CA5730AF9}">
        <x15:connection id="Staff" autoDelete="1">
          <x15:rangePr sourceName="_xlcn.WorksheetConnection_blankdatafile.xlsxStaff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Staff].[Country].&amp;[IND]}"/>
    <s v="{[Staff].[Country].&amp;[NZ]}"/>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<sst xmlns="http://schemas.openxmlformats.org/spreadsheetml/2006/main" count="1886" uniqueCount="251">
  <si>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</si>
  <si>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</si>
  <si>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</si>
  <si>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</si>
  <si>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</si>
  <si>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</si>
  <si>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</si>
  <si>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</si>
  <si>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</si>
  <si>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</si>
  <si>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</si>
  <si>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</si>
  <si>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</si>
  <si>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</si>
  <si>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</si>
  <si>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</si>
  <si>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</si>
  <si>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</si>
  <si>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</si>
  <si>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</si>
  <si>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</si>
  <si>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</si>
  <si>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</si>
  <si>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</si>
  <si>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</si>
  <si>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</si>
  <si>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</si>
  <si>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</si>
  <si>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</si>
  <si>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</si>
  <si>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</si>
  <si>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</si>
  <si>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</si>
  <si>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</si>
  <si>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</si>
  <si>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</si>
  <si>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</si>
  <si>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</si>
  <si>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</si>
  <si>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</si>
  <si>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</si>
  <si>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</si>
  <si>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</si>
  <si>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</si>
  <si>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</si>
  <si>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</si>
  <si>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</si>
  <si>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</si>
  <si>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</si>
  <si>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</si>
  <si>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</si>
  <si>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</si>
  <si>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</si>
  <si>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</si>
  <si>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</si>
  <si>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</si>
  <si>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</si>
  <si>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</si>
  <si>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</si>
  <si>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</si>
  <si>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</si>
  <si>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</si>
  <si>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</si>
  <si>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</si>
  <si>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</si>
  <si>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</si>
  <si>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</si>
  <si>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</si>
  <si>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</si>
  <si>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</si>
  <si>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</si>
  <si>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</si>
  <si>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</si>
  <si>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</si>
  <si>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</si>
  <si>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</si>
  <si>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</si>
  <si>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</si>
  <si>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</si>
  <si>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</si>
  <si>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</si>
  <si>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</si>
  <si>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</si>
  <si>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</si>
  <si>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</si>
  <si>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</si>
  <si>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</si>
  <si>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</si>
  <si>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</si>
  <si>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</si>
  <si>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</si>
  <si>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</si>
  <si>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</si>
  <si>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</si>
  <si>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</si>
  <si>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</si>
  <si>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</si>
  <si>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</si>
  <si>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</si>
  <si>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</si>
  <si>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</si>
  <si>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</si>
  <si>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</si>
  <si>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</si>
  <si>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</si>
  <si>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</si>
  <si>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</si>
  <si>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</si>
  <si>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</si>
  <si>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</si>
  <si>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</si>
  <si>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</si>
  <si>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</si>
  <si>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</si>
  <si>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</si>
  <si>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</si>
  <si>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</si>
  <si>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</si>
  <si>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</si>
  <si>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</si>
  <si>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</si>
  <si>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</si>
  <si>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</si>
  <si>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</si>
  <si>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</si>
  <si>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</si>
  <si>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</si>
  <si>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</si>
  <si>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</si>
  <si>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</si>
  <si>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</si>
  <si>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</si>
  <si>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</si>
  <si>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</si>
  <si>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</si>
  <si>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</si>
  <si>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</si>
  <si>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</si>
  <si>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</si>
  <si>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</si>
  <si>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</si>
  <si>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</si>
  <si>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</si>
  <si>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</si>
  <si>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</si>
  <si>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</si>
  <si>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</si>
  <si>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</si>
  <si>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</si>
  <si>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</si>
  <si>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</si>
  <si>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</si>
  <si>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</si>
  <si>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</si>
  <si>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</si>
  <si>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</si>
  <si>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</si>
  <si>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</si>
  <si>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</si>
  <si>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</si>
  <si>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</si>
  <si>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</si>
  <si>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</si>
  <si>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</si>
  <si>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</si>
  <si>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</si>
  <si>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</si>
  <si>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</si>
  <si>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</si>
  <si>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</si>
  <si>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</si>
  <si>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</si>
  <si>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</si>
  <si>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</si>
  <si>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</si>
  <si>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</si>
  <si>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</si>
  <si>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</si>
  <si>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</si>
  <si>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</si>
  <si>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</si>
  <si>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</si>
  <si>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</si>
  <si>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</si>
  <si>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</si>
  <si>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</si>
  <si>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</si>
  <si>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</si>
  <si>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</si>
  <si>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</si>
  <si>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</si>
  <si>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</si>
  <si>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</si>
  <si>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</si>
  <si>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</si>
  <si>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</si>
  <si>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</si>
  <si>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</si>
  <si>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</si>
  <si>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</si>
  <si>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</si>
  <si>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</si>
  <si>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</si>
  <si>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</si>
  <si>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Country</t>
  </si>
  <si>
    <t>IND</t>
  </si>
  <si>
    <t>Other</t>
  </si>
  <si>
    <t>NZ</t>
  </si>
  <si>
    <t>Count of employees</t>
  </si>
  <si>
    <t>Average Salary</t>
  </si>
  <si>
    <t>Average Age</t>
  </si>
  <si>
    <t>Average Tenure</t>
  </si>
  <si>
    <t>Female Ratio %</t>
  </si>
  <si>
    <t>Tenure</t>
  </si>
  <si>
    <t>Female Count</t>
  </si>
  <si>
    <t>Ratio %</t>
  </si>
  <si>
    <t>Ratio of &gt;$90,000</t>
  </si>
  <si>
    <t>&gt;$90,000 Count</t>
  </si>
  <si>
    <t>Column Labels</t>
  </si>
  <si>
    <t>Grand Total</t>
  </si>
  <si>
    <t>Count of Name</t>
  </si>
  <si>
    <t>Values</t>
  </si>
  <si>
    <t>Average of Age</t>
  </si>
  <si>
    <t>Average of Salary</t>
  </si>
  <si>
    <t>Average of Tenure</t>
  </si>
  <si>
    <t>Male vs. Female</t>
  </si>
  <si>
    <t>Bonus</t>
  </si>
  <si>
    <t>Row Labels</t>
  </si>
  <si>
    <t>Rating as number</t>
  </si>
  <si>
    <t>Jan</t>
  </si>
  <si>
    <t>Feb</t>
  </si>
  <si>
    <t>Mar</t>
  </si>
  <si>
    <t>Apr</t>
  </si>
  <si>
    <t>May</t>
  </si>
  <si>
    <t>Jun</t>
  </si>
  <si>
    <t>Jul</t>
  </si>
  <si>
    <t>Aug</t>
  </si>
  <si>
    <t>Sep</t>
  </si>
  <si>
    <t>Oct</t>
  </si>
  <si>
    <t>Nov</t>
  </si>
  <si>
    <t>Dec</t>
  </si>
  <si>
    <t>2020</t>
  </si>
  <si>
    <t>2021</t>
  </si>
  <si>
    <t>2022</t>
  </si>
  <si>
    <t>2023</t>
  </si>
  <si>
    <t>Month</t>
  </si>
  <si>
    <t>Headcount</t>
  </si>
  <si>
    <t>Running Total</t>
  </si>
  <si>
    <t>Headcount By Department</t>
  </si>
  <si>
    <t>NEW ZEALAND</t>
  </si>
  <si>
    <t>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</si>
</sst>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 #,##0.00;[Red]&quot;₹&quot;\ \-#,##0.00"/>
    <numFmt numFmtId="164" formatCode="_-[$$-409]* #,##0.00_ ;_-[$$-409]* \-#,##0.00\ ;_-[$$-409]* &quot;-&quot;??_ ;_-@_ "/>
    <numFmt numFmtId="165" formatCode="[$$-409]#,##0.00"/>
    <numFmt numFmtId="166" formatCode="_-[$$-409]* #,##0_ ;_-[$$-409]* \-#,##0\ ;_-[$$-409]* &quot;-&quot;??_ ;_-@_ "/>
  </numFmts>
  <fonts count="10" x14ac:knownFonts="1">
    <font>
      <sz val="11"/>
      <color theme="1"/>
      <name val="Calibri"/>
      <family val="2"/>
      <scheme val="minor"/>
    </font>
    <font>
      <sz val="28"/>
      <color theme="1"/>
      <name val="Segoe UI Light"/>
      <family val="2"/>
    </font>
    <font>
      <sz val="11"/>
      <color theme="1"/>
      <name val="Calibri"/>
      <family val="2"/>
      <scheme val="minor"/>
    </font>
    <font>
      <sz val="8"/>
      <name val="Calibri"/>
      <family val="2"/>
      <scheme val="minor"/>
    </font>
    <font>
      <b/>
      <sz val="14"/>
      <name val="Calibri"/>
      <family val="2"/>
      <scheme val="minor"/>
    </font>
    <font>
      <b/>
      <sz val="36"/>
      <color theme="0"/>
      <name val="Calibri"/>
      <family val="2"/>
      <scheme val="minor"/>
    </font>
    <font>
      <sz val="16"/>
      <color theme="1"/>
      <name val="Calibri"/>
      <family val="2"/>
      <scheme val="minor"/>
    </font>
    <font>
      <sz val="20"/>
      <color theme="1"/>
      <name val="Calibri"/>
      <family val="2"/>
      <scheme val="minor"/>
    </font>
    <font>
      <b/>
      <sz val="12"/>
      <color theme="0"/>
      <name val="Calibri"/>
      <family val="2"/>
      <scheme val="minor"/>
    </font>
    <font>
      <b/>
      <sz val="20"/>
      <color theme="0"/>
      <name val="Calibri"/>
      <family val="2"/>
      <scheme val="minor"/>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7"/>
        <bgColor indexed="64"/>
      </patternFill>
    </fill>
    <fill>
      <patternFill patternType="solid">
        <fgColor theme="7"/>
        <bgColor theme="9" tint="0.79998168889431442"/>
      </patternFill>
    </fill>
    <fill>
      <patternFill patternType="solid">
        <fgColor theme="5"/>
        <bgColor indexed="64"/>
      </patternFill>
    </fill>
    <fill>
      <patternFill patternType="solid">
        <fgColor theme="0" tint="-0.14999847407452621"/>
        <bgColor indexed="64"/>
      </patternFill>
    </fill>
  </fills>
  <borders count="8">
    <border>
      <left/>
      <right/>
      <top/>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36">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8" fontId="0" fillId="0" borderId="0" xfId="0" applyNumberFormat="1"/>
    <xf numFmtId="14" fontId="0" fillId="0" borderId="0" xfId="0" applyNumberFormat="1"/>
    <xf numFmtId="164" fontId="0" fillId="0" borderId="0" xfId="0" applyNumberFormat="1"/>
    <xf numFmtId="2"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0" borderId="0" xfId="0" applyAlignment="1">
      <alignment horizontal="left" indent="1"/>
    </xf>
    <xf numFmtId="17"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5" fillId="2" borderId="0" xfId="0" applyFont="1" applyFill="1" applyAlignment="1">
      <alignment horizontal="center" vertical="center"/>
    </xf>
    <xf numFmtId="9" fontId="5" fillId="2" borderId="0" xfId="0" applyNumberFormat="1" applyFont="1" applyFill="1" applyAlignment="1">
      <alignment horizontal="center" vertical="center"/>
    </xf>
    <xf numFmtId="0" fontId="5" fillId="6" borderId="0" xfId="0" applyFont="1" applyFill="1" applyAlignment="1">
      <alignment horizontal="center" vertical="center"/>
    </xf>
    <xf numFmtId="9" fontId="5" fillId="6" borderId="0" xfId="0" applyNumberFormat="1" applyFont="1" applyFill="1" applyAlignment="1">
      <alignment horizontal="center" vertical="center"/>
    </xf>
    <xf numFmtId="0" fontId="8" fillId="2" borderId="1" xfId="0" applyFont="1" applyFill="1" applyBorder="1"/>
    <xf numFmtId="166" fontId="9" fillId="2" borderId="0" xfId="0" applyNumberFormat="1" applyFont="1" applyFill="1" applyAlignment="1">
      <alignment vertical="center"/>
    </xf>
    <xf numFmtId="166" fontId="9" fillId="6" borderId="0" xfId="0" applyNumberFormat="1" applyFont="1" applyFill="1" applyAlignment="1">
      <alignment vertical="center"/>
    </xf>
    <xf numFmtId="0" fontId="4" fillId="4" borderId="0" xfId="0" applyFont="1" applyFill="1" applyAlignment="1">
      <alignment horizontal="center"/>
    </xf>
    <xf numFmtId="0" fontId="6" fillId="7" borderId="0" xfId="0" applyFont="1" applyFill="1" applyAlignment="1">
      <alignment horizontal="center" vertical="center"/>
    </xf>
    <xf numFmtId="0" fontId="7" fillId="7" borderId="0" xfId="0" applyFont="1" applyFill="1" applyAlignment="1">
      <alignment horizontal="center" vertical="center"/>
    </xf>
    <xf numFmtId="0" fontId="0" fillId="0" borderId="7" xfId="0" applyBorder="1"/>
    <xf numFmtId="164" fontId="0" fillId="0" borderId="7" xfId="0" applyNumberFormat="1" applyBorder="1"/>
    <xf numFmtId="2" fontId="0" fillId="0" borderId="7" xfId="0" applyNumberFormat="1" applyBorder="1"/>
    <xf numFmtId="9" fontId="0" fillId="0" borderId="7" xfId="1" applyFont="1" applyBorder="1"/>
    <xf numFmtId="0" fontId="0" fillId="5" borderId="7" xfId="0" applyFill="1" applyBorder="1"/>
    <xf numFmtId="14" fontId="0" fillId="0" borderId="7" xfId="0" applyNumberFormat="1" applyBorder="1"/>
  </cellXfs>
  <cellStyles count="2">
    <cellStyle name="Normal" xfId="0" builtinId="0"/>
    <cellStyle name="Percent" xfId="1" builtinId="5"/>
  </cellStyles>
  <dxfs count="13">
    <dxf>
      <font>
        <color rgb="FF9C0006"/>
      </font>
      <fill>
        <patternFill>
          <bgColor rgb="FFFFC7CE"/>
        </patternFill>
      </fill>
    </dxf>
    <dxf>
      <numFmt numFmtId="164" formatCode="_-[$$-409]* #,##0.00_ ;_-[$$-409]* \-#,##0.00\ ;_-[$$-409]* &quot;-&quot;??_ ;_-@_ "/>
    </dxf>
    <dxf>
      <numFmt numFmtId="0" formatCode="General"/>
    </dxf>
    <dxf>
      <numFmt numFmtId="166" formatCode="_-[$$-409]* #,##0_ ;_-[$$-409]* \-#,##0\ ;_-[$$-409]* &quot;-&quot;??_ ;_-@_ "/>
    </dxf>
    <dxf>
      <numFmt numFmtId="2" formatCode="0.00"/>
    </dxf>
    <dxf>
      <numFmt numFmtId="166" formatCode="_-[$$-409]* #,##0_ ;_-[$$-409]* \-#,##0\ ;_-[$$-409]* &quot;-&quot;??_ ;_-@_ "/>
    </dxf>
    <dxf>
      <numFmt numFmtId="0" formatCode="General"/>
    </dxf>
    <dxf>
      <numFmt numFmtId="19" formatCode="dd/mm/yyyy"/>
    </dxf>
    <dxf>
      <numFmt numFmtId="0" formatCode="General"/>
    </dxf>
    <dxf>
      <numFmt numFmtId="0" formatCode="General"/>
    </dxf>
    <dxf>
      <numFmt numFmtId="12" formatCode="&quot;₹&quot;\ #,##0.00;[Red]&quot;₹&quot;\ \-#,##0.00"/>
    </dxf>
    <dxf>
      <numFmt numFmtId="20" formatCode="dd/mmm/yy"/>
    </dxf>
    <dxf>
      <numFmt numFmtId="12" formatCode="&quot;₹&quot;\ #,##0.00;[Red]&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styles" Target="style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heetMetadata" Target="metadata.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 vs.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 Staff'!$G$2:$G$184</c:f>
              <c:numCache>
                <c:formatCode>_-[$$-409]* #,##0_ ;_-[$$-409]* \-#,##0\ ;_-[$$-409]* "-"??_ ;_-@_ </c:formatCode>
                <c:ptCount val="183"/>
                <c:pt idx="0">
                  <c:v>33920</c:v>
                </c:pt>
                <c:pt idx="1">
                  <c:v>33920</c:v>
                </c:pt>
                <c:pt idx="2">
                  <c:v>34980</c:v>
                </c:pt>
                <c:pt idx="3">
                  <c:v>34980</c:v>
                </c:pt>
                <c:pt idx="4">
                  <c:v>36040</c:v>
                </c:pt>
                <c:pt idx="5">
                  <c:v>36040</c:v>
                </c:pt>
                <c:pt idx="6">
                  <c:v>37920</c:v>
                </c:pt>
                <c:pt idx="7">
                  <c:v>37920</c:v>
                </c:pt>
                <c:pt idx="8">
                  <c:v>40400</c:v>
                </c:pt>
                <c:pt idx="9">
                  <c:v>40400</c:v>
                </c:pt>
                <c:pt idx="10">
                  <c:v>41570</c:v>
                </c:pt>
                <c:pt idx="11">
                  <c:v>41570</c:v>
                </c:pt>
                <c:pt idx="12">
                  <c:v>41980</c:v>
                </c:pt>
                <c:pt idx="13">
                  <c:v>41980</c:v>
                </c:pt>
                <c:pt idx="14">
                  <c:v>43510</c:v>
                </c:pt>
                <c:pt idx="15">
                  <c:v>43510</c:v>
                </c:pt>
                <c:pt idx="16">
                  <c:v>43840</c:v>
                </c:pt>
                <c:pt idx="17">
                  <c:v>43840</c:v>
                </c:pt>
                <c:pt idx="18">
                  <c:v>45510</c:v>
                </c:pt>
                <c:pt idx="19">
                  <c:v>45510</c:v>
                </c:pt>
                <c:pt idx="20">
                  <c:v>47360</c:v>
                </c:pt>
                <c:pt idx="21">
                  <c:v>47360</c:v>
                </c:pt>
                <c:pt idx="22">
                  <c:v>48170</c:v>
                </c:pt>
                <c:pt idx="23">
                  <c:v>48170</c:v>
                </c:pt>
                <c:pt idx="24">
                  <c:v>48530</c:v>
                </c:pt>
                <c:pt idx="25">
                  <c:v>48530</c:v>
                </c:pt>
                <c:pt idx="26">
                  <c:v>48950</c:v>
                </c:pt>
                <c:pt idx="27">
                  <c:v>48950</c:v>
                </c:pt>
                <c:pt idx="28">
                  <c:v>48980</c:v>
                </c:pt>
                <c:pt idx="29">
                  <c:v>48980</c:v>
                </c:pt>
                <c:pt idx="30">
                  <c:v>49630</c:v>
                </c:pt>
                <c:pt idx="31">
                  <c:v>49630</c:v>
                </c:pt>
                <c:pt idx="32">
                  <c:v>52610</c:v>
                </c:pt>
                <c:pt idx="33">
                  <c:v>52610</c:v>
                </c:pt>
                <c:pt idx="34">
                  <c:v>53240</c:v>
                </c:pt>
                <c:pt idx="35">
                  <c:v>53240</c:v>
                </c:pt>
                <c:pt idx="36">
                  <c:v>53540</c:v>
                </c:pt>
                <c:pt idx="37">
                  <c:v>53540</c:v>
                </c:pt>
                <c:pt idx="38">
                  <c:v>53540</c:v>
                </c:pt>
                <c:pt idx="39">
                  <c:v>53540</c:v>
                </c:pt>
                <c:pt idx="40">
                  <c:v>53870</c:v>
                </c:pt>
                <c:pt idx="41">
                  <c:v>53870</c:v>
                </c:pt>
                <c:pt idx="42">
                  <c:v>54970</c:v>
                </c:pt>
                <c:pt idx="43">
                  <c:v>54970</c:v>
                </c:pt>
                <c:pt idx="44">
                  <c:v>56870</c:v>
                </c:pt>
                <c:pt idx="45">
                  <c:v>56870</c:v>
                </c:pt>
                <c:pt idx="46">
                  <c:v>57090</c:v>
                </c:pt>
                <c:pt idx="47">
                  <c:v>57090</c:v>
                </c:pt>
                <c:pt idx="48">
                  <c:v>58100</c:v>
                </c:pt>
                <c:pt idx="49">
                  <c:v>58100</c:v>
                </c:pt>
                <c:pt idx="50">
                  <c:v>58940</c:v>
                </c:pt>
                <c:pt idx="51">
                  <c:v>58940</c:v>
                </c:pt>
                <c:pt idx="52">
                  <c:v>58960</c:v>
                </c:pt>
                <c:pt idx="53">
                  <c:v>58960</c:v>
                </c:pt>
                <c:pt idx="54">
                  <c:v>59430</c:v>
                </c:pt>
                <c:pt idx="55">
                  <c:v>59430</c:v>
                </c:pt>
                <c:pt idx="56">
                  <c:v>60130</c:v>
                </c:pt>
                <c:pt idx="57">
                  <c:v>60130</c:v>
                </c:pt>
                <c:pt idx="58">
                  <c:v>60570</c:v>
                </c:pt>
                <c:pt idx="59">
                  <c:v>60570</c:v>
                </c:pt>
                <c:pt idx="60">
                  <c:v>62780</c:v>
                </c:pt>
                <c:pt idx="61">
                  <c:v>62780</c:v>
                </c:pt>
                <c:pt idx="62">
                  <c:v>64000</c:v>
                </c:pt>
                <c:pt idx="63">
                  <c:v>64000</c:v>
                </c:pt>
                <c:pt idx="64">
                  <c:v>65360</c:v>
                </c:pt>
                <c:pt idx="65">
                  <c:v>65360</c:v>
                </c:pt>
                <c:pt idx="66">
                  <c:v>65700</c:v>
                </c:pt>
                <c:pt idx="67">
                  <c:v>65700</c:v>
                </c:pt>
                <c:pt idx="68">
                  <c:v>65920</c:v>
                </c:pt>
                <c:pt idx="69">
                  <c:v>65920</c:v>
                </c:pt>
                <c:pt idx="70">
                  <c:v>67910</c:v>
                </c:pt>
                <c:pt idx="71">
                  <c:v>67910</c:v>
                </c:pt>
                <c:pt idx="72">
                  <c:v>67950</c:v>
                </c:pt>
                <c:pt idx="73">
                  <c:v>67950</c:v>
                </c:pt>
                <c:pt idx="74">
                  <c:v>68900</c:v>
                </c:pt>
                <c:pt idx="75">
                  <c:v>68900</c:v>
                </c:pt>
                <c:pt idx="76">
                  <c:v>69070</c:v>
                </c:pt>
                <c:pt idx="77">
                  <c:v>69070</c:v>
                </c:pt>
                <c:pt idx="78">
                  <c:v>69120</c:v>
                </c:pt>
                <c:pt idx="79">
                  <c:v>69120</c:v>
                </c:pt>
                <c:pt idx="80">
                  <c:v>69710</c:v>
                </c:pt>
                <c:pt idx="81">
                  <c:v>69710</c:v>
                </c:pt>
                <c:pt idx="82">
                  <c:v>70270</c:v>
                </c:pt>
                <c:pt idx="83">
                  <c:v>70270</c:v>
                </c:pt>
                <c:pt idx="84">
                  <c:v>70610</c:v>
                </c:pt>
                <c:pt idx="85">
                  <c:v>70610</c:v>
                </c:pt>
                <c:pt idx="86">
                  <c:v>71380</c:v>
                </c:pt>
                <c:pt idx="87">
                  <c:v>71380</c:v>
                </c:pt>
                <c:pt idx="88">
                  <c:v>74550</c:v>
                </c:pt>
                <c:pt idx="89">
                  <c:v>74550</c:v>
                </c:pt>
                <c:pt idx="90">
                  <c:v>75000</c:v>
                </c:pt>
                <c:pt idx="91">
                  <c:v>75000</c:v>
                </c:pt>
                <c:pt idx="92">
                  <c:v>75280</c:v>
                </c:pt>
                <c:pt idx="93">
                  <c:v>75280</c:v>
                </c:pt>
                <c:pt idx="94">
                  <c:v>75480</c:v>
                </c:pt>
                <c:pt idx="95">
                  <c:v>75480</c:v>
                </c:pt>
                <c:pt idx="96">
                  <c:v>75880</c:v>
                </c:pt>
                <c:pt idx="97">
                  <c:v>75880</c:v>
                </c:pt>
                <c:pt idx="98">
                  <c:v>75970</c:v>
                </c:pt>
                <c:pt idx="99">
                  <c:v>75970</c:v>
                </c:pt>
                <c:pt idx="100">
                  <c:v>76900</c:v>
                </c:pt>
                <c:pt idx="101">
                  <c:v>76900</c:v>
                </c:pt>
                <c:pt idx="102">
                  <c:v>78390</c:v>
                </c:pt>
                <c:pt idx="103">
                  <c:v>78390</c:v>
                </c:pt>
                <c:pt idx="104">
                  <c:v>78540</c:v>
                </c:pt>
                <c:pt idx="105">
                  <c:v>78540</c:v>
                </c:pt>
                <c:pt idx="106">
                  <c:v>79570</c:v>
                </c:pt>
                <c:pt idx="107">
                  <c:v>79570</c:v>
                </c:pt>
                <c:pt idx="108">
                  <c:v>80700</c:v>
                </c:pt>
                <c:pt idx="109">
                  <c:v>80700</c:v>
                </c:pt>
                <c:pt idx="110">
                  <c:v>83750</c:v>
                </c:pt>
                <c:pt idx="111">
                  <c:v>83750</c:v>
                </c:pt>
                <c:pt idx="112">
                  <c:v>85000</c:v>
                </c:pt>
                <c:pt idx="113">
                  <c:v>85000</c:v>
                </c:pt>
                <c:pt idx="114">
                  <c:v>86570</c:v>
                </c:pt>
                <c:pt idx="115">
                  <c:v>86570</c:v>
                </c:pt>
                <c:pt idx="116">
                  <c:v>87620</c:v>
                </c:pt>
                <c:pt idx="117">
                  <c:v>87620</c:v>
                </c:pt>
                <c:pt idx="118">
                  <c:v>88050</c:v>
                </c:pt>
                <c:pt idx="119">
                  <c:v>88050</c:v>
                </c:pt>
                <c:pt idx="120">
                  <c:v>90700</c:v>
                </c:pt>
                <c:pt idx="121">
                  <c:v>90700</c:v>
                </c:pt>
                <c:pt idx="122">
                  <c:v>91310</c:v>
                </c:pt>
                <c:pt idx="123">
                  <c:v>91310</c:v>
                </c:pt>
                <c:pt idx="124">
                  <c:v>91650</c:v>
                </c:pt>
                <c:pt idx="125">
                  <c:v>91650</c:v>
                </c:pt>
                <c:pt idx="126">
                  <c:v>92450</c:v>
                </c:pt>
                <c:pt idx="127">
                  <c:v>92450</c:v>
                </c:pt>
                <c:pt idx="128">
                  <c:v>92700</c:v>
                </c:pt>
                <c:pt idx="129">
                  <c:v>92700</c:v>
                </c:pt>
                <c:pt idx="130">
                  <c:v>96140</c:v>
                </c:pt>
                <c:pt idx="131">
                  <c:v>96140</c:v>
                </c:pt>
                <c:pt idx="132">
                  <c:v>96800</c:v>
                </c:pt>
                <c:pt idx="133">
                  <c:v>96800</c:v>
                </c:pt>
                <c:pt idx="134">
                  <c:v>99750</c:v>
                </c:pt>
                <c:pt idx="135">
                  <c:v>99750</c:v>
                </c:pt>
                <c:pt idx="136">
                  <c:v>99970</c:v>
                </c:pt>
                <c:pt idx="137">
                  <c:v>99970</c:v>
                </c:pt>
                <c:pt idx="138">
                  <c:v>100420</c:v>
                </c:pt>
                <c:pt idx="139">
                  <c:v>100420</c:v>
                </c:pt>
                <c:pt idx="140">
                  <c:v>103550</c:v>
                </c:pt>
                <c:pt idx="141">
                  <c:v>103550</c:v>
                </c:pt>
                <c:pt idx="142">
                  <c:v>104120</c:v>
                </c:pt>
                <c:pt idx="143">
                  <c:v>104120</c:v>
                </c:pt>
                <c:pt idx="144">
                  <c:v>104410</c:v>
                </c:pt>
                <c:pt idx="145">
                  <c:v>104410</c:v>
                </c:pt>
                <c:pt idx="146">
                  <c:v>104770</c:v>
                </c:pt>
                <c:pt idx="147">
                  <c:v>104770</c:v>
                </c:pt>
                <c:pt idx="148">
                  <c:v>106460</c:v>
                </c:pt>
                <c:pt idx="149">
                  <c:v>106460</c:v>
                </c:pt>
                <c:pt idx="150">
                  <c:v>107700</c:v>
                </c:pt>
                <c:pt idx="151">
                  <c:v>107700</c:v>
                </c:pt>
                <c:pt idx="152">
                  <c:v>109160</c:v>
                </c:pt>
                <c:pt idx="153">
                  <c:v>109160</c:v>
                </c:pt>
                <c:pt idx="154">
                  <c:v>109190</c:v>
                </c:pt>
                <c:pt idx="155">
                  <c:v>109190</c:v>
                </c:pt>
                <c:pt idx="156">
                  <c:v>112110</c:v>
                </c:pt>
                <c:pt idx="157">
                  <c:v>112110</c:v>
                </c:pt>
                <c:pt idx="158">
                  <c:v>112570</c:v>
                </c:pt>
                <c:pt idx="159">
                  <c:v>112570</c:v>
                </c:pt>
                <c:pt idx="160">
                  <c:v>112650</c:v>
                </c:pt>
                <c:pt idx="161">
                  <c:v>112650</c:v>
                </c:pt>
                <c:pt idx="162">
                  <c:v>112650</c:v>
                </c:pt>
                <c:pt idx="163">
                  <c:v>112780</c:v>
                </c:pt>
                <c:pt idx="164">
                  <c:v>112780</c:v>
                </c:pt>
                <c:pt idx="165">
                  <c:v>113280</c:v>
                </c:pt>
                <c:pt idx="166">
                  <c:v>113280</c:v>
                </c:pt>
                <c:pt idx="167">
                  <c:v>114180</c:v>
                </c:pt>
                <c:pt idx="168">
                  <c:v>114180</c:v>
                </c:pt>
                <c:pt idx="169">
                  <c:v>114870</c:v>
                </c:pt>
                <c:pt idx="170">
                  <c:v>114870</c:v>
                </c:pt>
                <c:pt idx="171">
                  <c:v>114890</c:v>
                </c:pt>
                <c:pt idx="172">
                  <c:v>114890</c:v>
                </c:pt>
                <c:pt idx="173">
                  <c:v>115440</c:v>
                </c:pt>
                <c:pt idx="174">
                  <c:v>115440</c:v>
                </c:pt>
                <c:pt idx="175">
                  <c:v>115920</c:v>
                </c:pt>
                <c:pt idx="176">
                  <c:v>115920</c:v>
                </c:pt>
                <c:pt idx="177">
                  <c:v>118100</c:v>
                </c:pt>
                <c:pt idx="178">
                  <c:v>118100</c:v>
                </c:pt>
                <c:pt idx="179">
                  <c:v>118840</c:v>
                </c:pt>
                <c:pt idx="180">
                  <c:v>118840</c:v>
                </c:pt>
                <c:pt idx="181">
                  <c:v>119110</c:v>
                </c:pt>
                <c:pt idx="182">
                  <c:v>119110</c:v>
                </c:pt>
              </c:numCache>
            </c:numRef>
          </c:xVal>
          <c:yVal>
            <c:numRef>
              <c:f>'All Staff'!$K$2:$K$184</c:f>
              <c:numCache>
                <c:formatCode>General</c:formatCode>
                <c:ptCount val="183"/>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1</c:v>
                </c:pt>
                <c:pt idx="15">
                  <c:v>1</c:v>
                </c:pt>
                <c:pt idx="16">
                  <c:v>4</c:v>
                </c:pt>
                <c:pt idx="17">
                  <c:v>4</c:v>
                </c:pt>
                <c:pt idx="18">
                  <c:v>3</c:v>
                </c:pt>
                <c:pt idx="19">
                  <c:v>3</c:v>
                </c:pt>
                <c:pt idx="20">
                  <c:v>3</c:v>
                </c:pt>
                <c:pt idx="21">
                  <c:v>3</c:v>
                </c:pt>
                <c:pt idx="22">
                  <c:v>4</c:v>
                </c:pt>
                <c:pt idx="23">
                  <c:v>4</c:v>
                </c:pt>
                <c:pt idx="24">
                  <c:v>4</c:v>
                </c:pt>
                <c:pt idx="25">
                  <c:v>4</c:v>
                </c:pt>
                <c:pt idx="26">
                  <c:v>3</c:v>
                </c:pt>
                <c:pt idx="27">
                  <c:v>3</c:v>
                </c:pt>
                <c:pt idx="28">
                  <c:v>3</c:v>
                </c:pt>
                <c:pt idx="29">
                  <c:v>3</c:v>
                </c:pt>
                <c:pt idx="30">
                  <c:v>2</c:v>
                </c:pt>
                <c:pt idx="31">
                  <c:v>2</c:v>
                </c:pt>
                <c:pt idx="32">
                  <c:v>2</c:v>
                </c:pt>
                <c:pt idx="33">
                  <c:v>2</c:v>
                </c:pt>
                <c:pt idx="34">
                  <c:v>3</c:v>
                </c:pt>
                <c:pt idx="35">
                  <c:v>3</c:v>
                </c:pt>
                <c:pt idx="36">
                  <c:v>3</c:v>
                </c:pt>
                <c:pt idx="37">
                  <c:v>3</c:v>
                </c:pt>
                <c:pt idx="38">
                  <c:v>3</c:v>
                </c:pt>
                <c:pt idx="39">
                  <c:v>3</c:v>
                </c:pt>
                <c:pt idx="40">
                  <c:v>3</c:v>
                </c:pt>
                <c:pt idx="41">
                  <c:v>3</c:v>
                </c:pt>
                <c:pt idx="42">
                  <c:v>3</c:v>
                </c:pt>
                <c:pt idx="43">
                  <c:v>3</c:v>
                </c:pt>
                <c:pt idx="44">
                  <c:v>4</c:v>
                </c:pt>
                <c:pt idx="45">
                  <c:v>4</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3</c:v>
                </c:pt>
                <c:pt idx="73">
                  <c:v>3</c:v>
                </c:pt>
                <c:pt idx="74">
                  <c:v>2</c:v>
                </c:pt>
                <c:pt idx="75">
                  <c:v>2</c:v>
                </c:pt>
                <c:pt idx="76">
                  <c:v>3</c:v>
                </c:pt>
                <c:pt idx="77">
                  <c:v>3</c:v>
                </c:pt>
                <c:pt idx="78">
                  <c:v>3</c:v>
                </c:pt>
                <c:pt idx="79">
                  <c:v>3</c:v>
                </c:pt>
                <c:pt idx="80">
                  <c:v>3</c:v>
                </c:pt>
                <c:pt idx="81">
                  <c:v>3</c:v>
                </c:pt>
                <c:pt idx="82">
                  <c:v>2</c:v>
                </c:pt>
                <c:pt idx="83">
                  <c:v>2</c:v>
                </c:pt>
                <c:pt idx="84">
                  <c:v>3</c:v>
                </c:pt>
                <c:pt idx="85">
                  <c:v>3</c:v>
                </c:pt>
                <c:pt idx="86">
                  <c:v>3</c:v>
                </c:pt>
                <c:pt idx="87">
                  <c:v>3</c:v>
                </c:pt>
                <c:pt idx="88">
                  <c:v>3</c:v>
                </c:pt>
                <c:pt idx="89">
                  <c:v>3</c:v>
                </c:pt>
                <c:pt idx="90">
                  <c:v>5</c:v>
                </c:pt>
                <c:pt idx="91">
                  <c:v>5</c:v>
                </c:pt>
                <c:pt idx="92">
                  <c:v>3</c:v>
                </c:pt>
                <c:pt idx="93">
                  <c:v>3</c:v>
                </c:pt>
                <c:pt idx="94">
                  <c:v>1</c:v>
                </c:pt>
                <c:pt idx="95">
                  <c:v>1</c:v>
                </c:pt>
                <c:pt idx="96">
                  <c:v>3</c:v>
                </c:pt>
                <c:pt idx="97">
                  <c:v>3</c:v>
                </c:pt>
                <c:pt idx="98">
                  <c:v>3</c:v>
                </c:pt>
                <c:pt idx="99">
                  <c:v>3</c:v>
                </c:pt>
                <c:pt idx="100">
                  <c:v>4</c:v>
                </c:pt>
                <c:pt idx="101">
                  <c:v>4</c:v>
                </c:pt>
                <c:pt idx="102">
                  <c:v>3</c:v>
                </c:pt>
                <c:pt idx="103">
                  <c:v>3</c:v>
                </c:pt>
                <c:pt idx="104">
                  <c:v>3</c:v>
                </c:pt>
                <c:pt idx="105">
                  <c:v>3</c:v>
                </c:pt>
                <c:pt idx="106">
                  <c:v>3</c:v>
                </c:pt>
                <c:pt idx="107">
                  <c:v>3</c:v>
                </c:pt>
                <c:pt idx="108">
                  <c:v>4</c:v>
                </c:pt>
                <c:pt idx="109">
                  <c:v>4</c:v>
                </c:pt>
                <c:pt idx="110">
                  <c:v>3</c:v>
                </c:pt>
                <c:pt idx="111">
                  <c:v>3</c:v>
                </c:pt>
                <c:pt idx="112">
                  <c:v>3</c:v>
                </c:pt>
                <c:pt idx="113">
                  <c:v>3</c:v>
                </c:pt>
                <c:pt idx="114">
                  <c:v>3</c:v>
                </c:pt>
                <c:pt idx="115">
                  <c:v>3</c:v>
                </c:pt>
                <c:pt idx="116">
                  <c:v>3</c:v>
                </c:pt>
                <c:pt idx="117">
                  <c:v>3</c:v>
                </c:pt>
                <c:pt idx="118">
                  <c:v>2</c:v>
                </c:pt>
                <c:pt idx="119">
                  <c:v>2</c:v>
                </c:pt>
                <c:pt idx="120">
                  <c:v>4</c:v>
                </c:pt>
                <c:pt idx="121">
                  <c:v>4</c:v>
                </c:pt>
                <c:pt idx="122">
                  <c:v>3</c:v>
                </c:pt>
                <c:pt idx="123">
                  <c:v>3</c:v>
                </c:pt>
                <c:pt idx="124">
                  <c:v>4</c:v>
                </c:pt>
                <c:pt idx="125">
                  <c:v>4</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5</c:v>
                </c:pt>
                <c:pt idx="153">
                  <c:v>5</c:v>
                </c:pt>
                <c:pt idx="154">
                  <c:v>4</c:v>
                </c:pt>
                <c:pt idx="155">
                  <c:v>4</c:v>
                </c:pt>
                <c:pt idx="156">
                  <c:v>2</c:v>
                </c:pt>
                <c:pt idx="157">
                  <c:v>2</c:v>
                </c:pt>
                <c:pt idx="158">
                  <c:v>3</c:v>
                </c:pt>
                <c:pt idx="159">
                  <c:v>3</c:v>
                </c:pt>
                <c:pt idx="160">
                  <c:v>3</c:v>
                </c:pt>
                <c:pt idx="161">
                  <c:v>3</c:v>
                </c:pt>
                <c:pt idx="162">
                  <c:v>3</c:v>
                </c:pt>
                <c:pt idx="163">
                  <c:v>4</c:v>
                </c:pt>
                <c:pt idx="164">
                  <c:v>4</c:v>
                </c:pt>
                <c:pt idx="165">
                  <c:v>1</c:v>
                </c:pt>
                <c:pt idx="166">
                  <c:v>1</c:v>
                </c:pt>
                <c:pt idx="167">
                  <c:v>3</c:v>
                </c:pt>
                <c:pt idx="168">
                  <c:v>3</c:v>
                </c:pt>
                <c:pt idx="169">
                  <c:v>3</c:v>
                </c:pt>
                <c:pt idx="170">
                  <c:v>3</c:v>
                </c:pt>
                <c:pt idx="171">
                  <c:v>3</c:v>
                </c:pt>
                <c:pt idx="172">
                  <c:v>3</c:v>
                </c:pt>
                <c:pt idx="173">
                  <c:v>2</c:v>
                </c:pt>
                <c:pt idx="174">
                  <c:v>2</c:v>
                </c:pt>
                <c:pt idx="175">
                  <c:v>3</c:v>
                </c:pt>
                <c:pt idx="176">
                  <c:v>3</c:v>
                </c:pt>
                <c:pt idx="177">
                  <c:v>3</c:v>
                </c:pt>
                <c:pt idx="178">
                  <c:v>3</c:v>
                </c:pt>
                <c:pt idx="179">
                  <c:v>3</c:v>
                </c:pt>
                <c:pt idx="180">
                  <c:v>3</c:v>
                </c:pt>
                <c:pt idx="181">
                  <c:v>3</c:v>
                </c:pt>
                <c:pt idx="182">
                  <c:v>3</c:v>
                </c:pt>
              </c:numCache>
            </c:numRef>
          </c:yVal>
          <c:smooth val="0"/>
          <c:extLst>
            <c:ext xmlns:c16="http://schemas.microsoft.com/office/drawing/2014/chart" uri="{C3380CC4-5D6E-409C-BE32-E72D297353CC}">
              <c16:uniqueId val="{00000000-5E38-456E-A9BC-E0AD3333B6D3}"/>
            </c:ext>
          </c:extLst>
        </c:ser>
        <c:dLbls>
          <c:showLegendKey val="0"/>
          <c:showVal val="0"/>
          <c:showCatName val="0"/>
          <c:showSerName val="0"/>
          <c:showPercent val="0"/>
          <c:showBubbleSize val="0"/>
        </c:dLbls>
        <c:axId val="1067456608"/>
        <c:axId val="639652528"/>
      </c:scatterChart>
      <c:valAx>
        <c:axId val="1067456608"/>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652528"/>
        <c:crosses val="autoZero"/>
        <c:crossBetween val="midCat"/>
      </c:valAx>
      <c:valAx>
        <c:axId val="63965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4566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Analysis.xlsx]Running Total!PivotTable9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'Running Total'!$C$2</c:f>
              <c:strCache>
                <c:ptCount val="1"/>
                <c:pt idx="0">
                  <c:v>Total</c:v>
                </c:pt>
              </c:strCache>
            </c:strRef>
          </c:tx>
          <c:spPr>
            <a:ln w="28575" cap="rnd">
              <a:solidFill>
                <a:schemeClr val="accent1"/>
              </a:solidFill>
              <a:round/>
            </a:ln>
            <a:effectLst/>
          </c:spPr>
          <c:marker>
            <c:symbol val="none"/>
          </c:marker>
          <c:cat>
            <c:multiLvlStrRef>
              <c:f>'Running Total'!$B$3:$B$39</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'Running Total'!$C$3:$C$39</c:f>
              <c:numCache>
                <c:formatCode>General</c:formatCode>
                <c:ptCount val="32"/>
                <c:pt idx="0">
                  <c:v>3</c:v>
                </c:pt>
                <c:pt idx="1">
                  <c:v>4</c:v>
                </c:pt>
                <c:pt idx="2">
                  <c:v>9</c:v>
                </c:pt>
                <c:pt idx="3">
                  <c:v>12</c:v>
                </c:pt>
                <c:pt idx="4">
                  <c:v>18</c:v>
                </c:pt>
                <c:pt idx="5">
                  <c:v>24</c:v>
                </c:pt>
                <c:pt idx="6">
                  <c:v>30</c:v>
                </c:pt>
                <c:pt idx="7">
                  <c:v>37</c:v>
                </c:pt>
                <c:pt idx="8">
                  <c:v>6</c:v>
                </c:pt>
                <c:pt idx="9">
                  <c:v>10</c:v>
                </c:pt>
                <c:pt idx="10">
                  <c:v>19</c:v>
                </c:pt>
                <c:pt idx="11">
                  <c:v>24</c:v>
                </c:pt>
                <c:pt idx="12">
                  <c:v>34</c:v>
                </c:pt>
                <c:pt idx="13">
                  <c:v>40</c:v>
                </c:pt>
                <c:pt idx="14">
                  <c:v>53</c:v>
                </c:pt>
                <c:pt idx="15">
                  <c:v>57</c:v>
                </c:pt>
                <c:pt idx="16">
                  <c:v>68</c:v>
                </c:pt>
                <c:pt idx="17">
                  <c:v>71</c:v>
                </c:pt>
                <c:pt idx="18">
                  <c:v>75</c:v>
                </c:pt>
                <c:pt idx="19">
                  <c:v>82</c:v>
                </c:pt>
                <c:pt idx="20">
                  <c:v>3</c:v>
                </c:pt>
                <c:pt idx="21">
                  <c:v>13</c:v>
                </c:pt>
                <c:pt idx="22">
                  <c:v>22</c:v>
                </c:pt>
                <c:pt idx="23">
                  <c:v>31</c:v>
                </c:pt>
                <c:pt idx="24">
                  <c:v>40</c:v>
                </c:pt>
                <c:pt idx="25">
                  <c:v>47</c:v>
                </c:pt>
                <c:pt idx="26">
                  <c:v>52</c:v>
                </c:pt>
                <c:pt idx="27">
                  <c:v>57</c:v>
                </c:pt>
                <c:pt idx="28">
                  <c:v>59</c:v>
                </c:pt>
                <c:pt idx="29">
                  <c:v>62</c:v>
                </c:pt>
                <c:pt idx="30">
                  <c:v>1</c:v>
                </c:pt>
                <c:pt idx="31">
                  <c:v>2</c:v>
                </c:pt>
              </c:numCache>
            </c:numRef>
          </c:val>
          <c:smooth val="0"/>
          <c:extLst>
            <c:ext xmlns:c16="http://schemas.microsoft.com/office/drawing/2014/chart" uri="{C3380CC4-5D6E-409C-BE32-E72D297353CC}">
              <c16:uniqueId val="{00000000-BA40-494A-9383-B4DD2FBFB9F1}"/>
            </c:ext>
          </c:extLst>
        </c:ser>
        <c:dLbls>
          <c:showLegendKey val="0"/>
          <c:showVal val="0"/>
          <c:showCatName val="0"/>
          <c:showSerName val="0"/>
          <c:showPercent val="0"/>
          <c:showBubbleSize val="0"/>
        </c:dLbls>
        <c:smooth val="0"/>
        <c:axId val="1067467008"/>
        <c:axId val="816954000"/>
      </c:lineChart>
      <c:catAx>
        <c:axId val="106746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954000"/>
        <c:crosses val="autoZero"/>
        <c:auto val="1"/>
        <c:lblAlgn val="ctr"/>
        <c:lblOffset val="100"/>
        <c:noMultiLvlLbl val="0"/>
      </c:catAx>
      <c:valAx>
        <c:axId val="81695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46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'Running Total'!$M$2</c:f>
              <c:strCache>
                <c:ptCount val="1"/>
                <c:pt idx="0">
                  <c:v>Running Total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'Running Total'!$K$3:$K$39</c:f>
              <c:numCache>
                <c:formatCode>mmm\-yy</c:formatCode>
                <c:ptCount val="37"/>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pt idx="36">
                  <c:v>45047</c:v>
                </c:pt>
              </c:numCache>
            </c:numRef>
          </c:xVal>
          <c:yVal>
            <c:numRef>
              <c:f>'Running Total'!$M$3:$M$39</c:f>
              <c:numCache>
                <c:formatCode>General</c:formatCode>
                <c:ptCount val="37"/>
                <c:pt idx="0">
                  <c:v>3</c:v>
                </c:pt>
                <c:pt idx="1">
                  <c:v>4</c:v>
                </c:pt>
                <c:pt idx="2">
                  <c:v>9</c:v>
                </c:pt>
                <c:pt idx="3">
                  <c:v>12</c:v>
                </c:pt>
                <c:pt idx="4">
                  <c:v>18</c:v>
                </c:pt>
                <c:pt idx="5">
                  <c:v>24</c:v>
                </c:pt>
                <c:pt idx="6">
                  <c:v>30</c:v>
                </c:pt>
                <c:pt idx="7">
                  <c:v>37</c:v>
                </c:pt>
                <c:pt idx="8">
                  <c:v>43</c:v>
                </c:pt>
                <c:pt idx="9">
                  <c:v>47</c:v>
                </c:pt>
                <c:pt idx="10">
                  <c:v>56</c:v>
                </c:pt>
                <c:pt idx="11">
                  <c:v>61</c:v>
                </c:pt>
                <c:pt idx="12">
                  <c:v>71</c:v>
                </c:pt>
                <c:pt idx="13">
                  <c:v>77</c:v>
                </c:pt>
                <c:pt idx="14">
                  <c:v>90</c:v>
                </c:pt>
                <c:pt idx="15">
                  <c:v>94</c:v>
                </c:pt>
                <c:pt idx="16">
                  <c:v>105</c:v>
                </c:pt>
                <c:pt idx="17">
                  <c:v>108</c:v>
                </c:pt>
                <c:pt idx="18">
                  <c:v>112</c:v>
                </c:pt>
                <c:pt idx="19">
                  <c:v>119</c:v>
                </c:pt>
                <c:pt idx="20">
                  <c:v>122</c:v>
                </c:pt>
                <c:pt idx="21">
                  <c:v>132</c:v>
                </c:pt>
                <c:pt idx="22">
                  <c:v>141</c:v>
                </c:pt>
                <c:pt idx="23">
                  <c:v>150</c:v>
                </c:pt>
                <c:pt idx="24">
                  <c:v>159</c:v>
                </c:pt>
                <c:pt idx="25">
                  <c:v>166</c:v>
                </c:pt>
                <c:pt idx="26">
                  <c:v>171</c:v>
                </c:pt>
                <c:pt idx="27">
                  <c:v>176</c:v>
                </c:pt>
                <c:pt idx="28">
                  <c:v>178</c:v>
                </c:pt>
                <c:pt idx="29">
                  <c:v>181</c:v>
                </c:pt>
                <c:pt idx="30">
                  <c:v>181</c:v>
                </c:pt>
                <c:pt idx="31">
                  <c:v>181</c:v>
                </c:pt>
                <c:pt idx="32">
                  <c:v>181</c:v>
                </c:pt>
                <c:pt idx="33">
                  <c:v>182</c:v>
                </c:pt>
                <c:pt idx="34">
                  <c:v>182</c:v>
                </c:pt>
                <c:pt idx="35">
                  <c:v>183</c:v>
                </c:pt>
                <c:pt idx="36">
                  <c:v>183</c:v>
                </c:pt>
              </c:numCache>
            </c:numRef>
          </c:yVal>
          <c:smooth val="0"/>
          <c:extLst>
            <c:ext xmlns:c16="http://schemas.microsoft.com/office/drawing/2014/chart" uri="{C3380CC4-5D6E-409C-BE32-E72D297353CC}">
              <c16:uniqueId val="{00000000-9CF6-4B79-A433-7DC70E23179F}"/>
            </c:ext>
          </c:extLst>
        </c:ser>
        <c:dLbls>
          <c:showLegendKey val="0"/>
          <c:showVal val="0"/>
          <c:showCatName val="0"/>
          <c:showSerName val="0"/>
          <c:showPercent val="0"/>
          <c:showBubbleSize val="0"/>
        </c:dLbls>
        <c:axId val="1022081040"/>
        <c:axId val="813341232"/>
      </c:scatterChart>
      <c:valAx>
        <c:axId val="1022081040"/>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341232"/>
        <c:crosses val="autoZero"/>
        <c:crossBetween val="midCat"/>
      </c:valAx>
      <c:valAx>
        <c:axId val="81334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0810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Analysis.xlsx]Sheet9!PivotTable12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Sheet9!$A$4:$A$9</c:f>
              <c:strCache>
                <c:ptCount val="5"/>
                <c:pt idx="0">
                  <c:v>Procurement</c:v>
                </c:pt>
                <c:pt idx="1">
                  <c:v>Website</c:v>
                </c:pt>
                <c:pt idx="2">
                  <c:v>Finance</c:v>
                </c:pt>
                <c:pt idx="3">
                  <c:v>Sales</c:v>
                </c:pt>
                <c:pt idx="4">
                  <c:v>HR</c:v>
                </c:pt>
              </c:strCache>
            </c:strRef>
          </c:cat>
          <c:val>
            <c:numRef>
              <c:f>Sheet9!$B$4:$B$9</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3792-4622-AD31-7060A85464D7}"/>
            </c:ext>
          </c:extLst>
        </c:ser>
        <c:dLbls>
          <c:showLegendKey val="0"/>
          <c:showVal val="0"/>
          <c:showCatName val="0"/>
          <c:showSerName val="0"/>
          <c:showPercent val="0"/>
          <c:showBubbleSize val="0"/>
        </c:dLbls>
        <c:gapWidth val="115"/>
        <c:overlap val="-20"/>
        <c:axId val="83383040"/>
        <c:axId val="1062436352"/>
      </c:barChart>
      <c:catAx>
        <c:axId val="833830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2436352"/>
        <c:crosses val="autoZero"/>
        <c:auto val="1"/>
        <c:lblAlgn val="ctr"/>
        <c:lblOffset val="100"/>
        <c:noMultiLvlLbl val="0"/>
      </c:catAx>
      <c:valAx>
        <c:axId val="10624363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38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Analysis.xlsx]Sheet9!PivotTable13</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Sheet9!$F$3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Sheet9!$E$4:$E$9</c:f>
              <c:strCache>
                <c:ptCount val="5"/>
                <c:pt idx="0">
                  <c:v>Website</c:v>
                </c:pt>
                <c:pt idx="1">
                  <c:v>Procurement</c:v>
                </c:pt>
                <c:pt idx="2">
                  <c:v>Finance</c:v>
                </c:pt>
                <c:pt idx="3">
                  <c:v>Sales</c:v>
                </c:pt>
                <c:pt idx="4">
                  <c:v>HR</c:v>
                </c:pt>
              </c:strCache>
            </c:strRef>
          </c:cat>
          <c:val>
            <c:numRef>
              <c:f>Sheet9!$F$4:$F$9</c:f>
              <c:numCache>
                <c:formatCode>General</c:formatCode>
                <c:ptCount val="5"/>
                <c:pt idx="0">
                  <c:v>27</c:v>
                </c:pt>
                <c:pt idx="1">
                  <c:v>27</c:v>
                </c:pt>
                <c:pt idx="2">
                  <c:v>19</c:v>
                </c:pt>
                <c:pt idx="3">
                  <c:v>14</c:v>
                </c:pt>
                <c:pt idx="4">
                  <c:v>4</c:v>
                </c:pt>
              </c:numCache>
            </c:numRef>
          </c:val>
          <c:extLst>
            <c:ext xmlns:c16="http://schemas.microsoft.com/office/drawing/2014/chart" uri="{C3380CC4-5D6E-409C-BE32-E72D297353CC}">
              <c16:uniqueId val="{00000000-7C98-4EE9-9EA9-41A26BCFFC27}"/>
            </c:ext>
          </c:extLst>
        </c:ser>
        <c:dLbls>
          <c:showLegendKey val="0"/>
          <c:showVal val="0"/>
          <c:showCatName val="0"/>
          <c:showSerName val="0"/>
          <c:showPercent val="0"/>
          <c:showBubbleSize val="0"/>
        </c:dLbls>
        <c:gapWidth val="115"/>
        <c:overlap val="-20"/>
        <c:axId val="1067444608"/>
        <c:axId val="816933616"/>
      </c:barChart>
      <c:catAx>
        <c:axId val="10674446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933616"/>
        <c:crosses val="autoZero"/>
        <c:auto val="1"/>
        <c:lblAlgn val="ctr"/>
        <c:lblOffset val="100"/>
        <c:noMultiLvlLbl val="0"/>
      </c:catAx>
      <c:valAx>
        <c:axId val="8169336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744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Salary Spread - by $10k</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 by $10k</a:t>
          </a:r>
        </a:p>
      </cx:txPr>
    </cx:title>
    <cx:plotArea>
      <cx:plotAreaRegion>
        <cx:series layoutId="clusteredColumn" uniqueId="{23E295C4-27F4-4E7A-B035-D570AA473049}">
          <cx:dataId val="0"/>
          <cx:layoutPr>
            <cx:binning intervalClosed="r" underflow="40000">
              <cx:binSize val="10000"/>
            </cx:binning>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Salary Spread - Box Chart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 Box Chart</a:t>
          </a:r>
        </a:p>
      </cx:txPr>
    </cx:title>
    <cx:plotArea>
      <cx:plotAreaRegion>
        <cx:series layoutId="boxWhisker" uniqueId="{7C526B16-D3DF-4538-BDEE-4641512459BD}">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622300</xdr:colOff>
      <xdr:row>2</xdr:row>
      <xdr:rowOff>69851</xdr:rowOff>
    </xdr:from>
    <xdr:to>
      <xdr:col>5</xdr:col>
      <xdr:colOff>800100</xdr:colOff>
      <xdr:row>7</xdr:row>
      <xdr:rowOff>107951</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2C3EED39-E4E7-49B3-8D39-39406D81486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505200" y="495301"/>
              <a:ext cx="1828800" cy="958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304800</xdr:colOff>
      <xdr:row>15</xdr:row>
      <xdr:rowOff>165100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05AA098-CB28-49BD-B817-ECB24E20F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600" y="1841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1</xdr:row>
      <xdr:rowOff>0</xdr:rowOff>
    </xdr:from>
    <xdr:to>
      <xdr:col>17</xdr:col>
      <xdr:colOff>304800</xdr:colOff>
      <xdr:row>21</xdr:row>
      <xdr:rowOff>158750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C1135A5-B087-42EC-9CB1-9B6E4A75AB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96000" y="184150"/>
              <a:ext cx="4572000" cy="3841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304800</xdr:colOff>
      <xdr:row>15</xdr:row>
      <xdr:rowOff>165100</xdr:rowOff>
    </xdr:to>
    <xdr:graphicFrame macro="">
      <xdr:nvGraphicFramePr>
        <xdr:cNvPr id="2" name="Chart 1">
          <a:extLst>
            <a:ext uri="{FF2B5EF4-FFF2-40B4-BE49-F238E27FC236}">
              <a16:creationId xmlns:a16="http://schemas.microsoft.com/office/drawing/2014/main" id="{53DCF8AA-3972-49A1-8B1C-AA7A62932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304800</xdr:colOff>
      <xdr:row>1</xdr:row>
      <xdr:rowOff>22224</xdr:rowOff>
    </xdr:from>
    <xdr:to>
      <xdr:col>7</xdr:col>
      <xdr:colOff>889000</xdr:colOff>
      <xdr:row>16</xdr:row>
      <xdr:rowOff>177799</xdr:rowOff>
    </xdr:to>
    <xdr:graphicFrame macro="">
      <xdr:nvGraphicFramePr>
        <xdr:cNvPr id="2" name="Chart 1">
          <a:extLst>
            <a:ext uri="{FF2B5EF4-FFF2-40B4-BE49-F238E27FC236}">
              <a16:creationId xmlns:a16="http://schemas.microsoft.com/office/drawing/2014/main" id="{693D9879-7DD4-4EC0-AAE0-C23DF2DCF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301625</xdr:colOff>
      <xdr:row>2</xdr:row>
      <xdr:rowOff>15875</xdr:rowOff>
    </xdr:from>
    <xdr:to>
      <xdr:col>17</xdr:col>
      <xdr:colOff>606425</xdr:colOff>
      <xdr:row>16</xdr:row>
      <xdr:rowOff>180975</xdr:rowOff>
    </xdr:to>
    <xdr:graphicFrame macro="">
      <xdr:nvGraphicFramePr>
        <xdr:cNvPr id="3" name="Chart 2">
          <a:extLst>
            <a:ext uri="{FF2B5EF4-FFF2-40B4-BE49-F238E27FC236}">
              <a16:creationId xmlns:a16="http://schemas.microsoft.com/office/drawing/2014/main" id="{DA604E1A-B4B1-4243-80E5-AD1906850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7939</xdr:colOff>
      <xdr:row>9</xdr:row>
      <xdr:rowOff>3176</xdr:rowOff>
    </xdr:from>
    <xdr:to>
      <xdr:col>14</xdr:col>
      <xdr:colOff>7938</xdr:colOff>
      <xdr:row>19</xdr:row>
      <xdr:rowOff>174626</xdr:rowOff>
    </xdr:to>
    <xdr:graphicFrame macro="">
      <xdr:nvGraphicFramePr>
        <xdr:cNvPr id="2" name="Chart 1">
          <a:extLst>
            <a:ext uri="{FF2B5EF4-FFF2-40B4-BE49-F238E27FC236}">
              <a16:creationId xmlns:a16="http://schemas.microsoft.com/office/drawing/2014/main" id="{4A64A214-85B9-4203-AD07-3AA7A9264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601660</xdr:colOff>
      <xdr:row>8</xdr:row>
      <xdr:rowOff>174625</xdr:rowOff>
    </xdr:from>
    <xdr:to>
      <xdr:col>6</xdr:col>
      <xdr:colOff>1079498</xdr:colOff>
      <xdr:row>19</xdr:row>
      <xdr:rowOff>174625</xdr:rowOff>
    </xdr:to>
    <xdr:graphicFrame macro="">
      <xdr:nvGraphicFramePr>
        <xdr:cNvPr id="3" name="Chart 2">
          <a:extLst>
            <a:ext uri="{FF2B5EF4-FFF2-40B4-BE49-F238E27FC236}">
              <a16:creationId xmlns:a16="http://schemas.microsoft.com/office/drawing/2014/main" id="{87235EF1-C563-4A71-8FEA-209041F83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daan Chauhan" refreshedDate="45126.491481134261" backgroundQuery="1" createdVersion="6" refreshedVersion="6" minRefreshableVersion="3" recordCount="0" supportSubquery="1" supportAdvancedDrill="1" xr:uid="{63D398E7-AF06-4854-9D83-6A7A7D3AF554}">
  <cacheSource type="external" connectionId="4"/>
  <cacheFields count="3">
    <cacheField name="[Staff].[Rating].[Rating]" caption="Rating" numFmtId="0" hierarchy="3" level="1">
      <sharedItems count="5">
        <s v="Above average"/>
        <s v="Average"/>
        <s v="Exceptional"/>
        <s v="Poor"/>
        <s v="Very poor"/>
      </sharedItems>
    </cacheField>
    <cacheField name="[Measures].[Count of Name]" caption="Count of Name" numFmtId="0" hierarchy="14" level="32767"/>
    <cacheField name="[Measures].[Average of Salary]" caption="Average of Salary" numFmtId="0" hierarchy="20" level="32767"/>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2" memberValueDatatype="130" unbalanced="0">
      <fieldsUsage count="2">
        <fieldUsage x="-1"/>
        <fieldUsage x="0"/>
      </fieldsUsage>
    </cacheHierarchy>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Distinct Count of Tenure]" caption="Distinct Count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oneField="1" hidden="1">
      <fieldsUsage count="1">
        <fieldUsage x="2"/>
      </fieldsUsage>
      <extLst>
        <ext xmlns:x15="http://schemas.microsoft.com/office/spreadsheetml/2010/11/main" uri="{B97F6D7D-B522-45F9-BDA1-12C45D357490}">
          <x15:cacheHierarchy aggregatedColumn="6"/>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daan Chauhan" refreshedDate="45126.610469212967" backgroundQuery="1" createdVersion="6" refreshedVersion="6" minRefreshableVersion="3" recordCount="0" supportSubquery="1" supportAdvancedDrill="1" xr:uid="{066B5817-291B-4445-8C5F-E3A9ED4865C6}">
  <cacheSource type="external" connectionId="4"/>
  <cacheFields count="4">
    <cacheField name="[Staff].[Date Joined].[Date Joined]" caption="Date Joined" numFmtId="0" hierarchy="4" level="1">
      <sharedItems containsSemiMixedTypes="0" containsNonDate="0" containsDate="1" containsString="0" minDate="2020-05-07T00:00:00" maxDate="2023-04-30T00:00:00" count="160">
        <d v="2020-05-07T00:00:00"/>
        <d v="2020-05-11T00:00:00"/>
        <d v="2020-05-29T00:00:00"/>
        <d v="2020-06-24T00:00:00"/>
        <d v="2020-07-07T00:00:00"/>
        <d v="2020-07-11T00:00:00"/>
        <d v="2020-07-29T00:00:00"/>
        <d v="2020-07-30T00:00:00"/>
        <d v="2020-08-18T00:00:00"/>
        <d v="2020-08-24T00:00:00"/>
        <d v="2020-08-30T00:00:00"/>
        <d v="2020-09-10T00:00:00"/>
        <d v="2020-09-11T00:00:00"/>
        <d v="2020-09-13T00:00:00"/>
        <d v="2020-09-29T00:00:00"/>
        <d v="2020-09-30T00:00:00"/>
        <d v="2020-10-15T00:00:00"/>
        <d v="2020-10-18T00:00:00"/>
        <d v="2020-10-20T00:00:00"/>
        <d v="2020-10-25T00:00:00"/>
        <d v="2020-10-30T00:00:00"/>
        <d v="2020-11-09T00:00:00"/>
        <d v="2020-11-10T00:00:00"/>
        <d v="2020-11-11T00:00:00"/>
        <d v="2020-11-13T00:00:00"/>
        <d v="2020-11-29T00:00:00"/>
        <d v="2020-12-09T00:00:00"/>
        <d v="2020-12-15T00:00:00"/>
        <d v="2020-12-16T00:00:00"/>
        <d v="2020-12-18T00:00:00"/>
        <d v="2020-12-20T00:00:00"/>
        <d v="2020-12-25T00:00:00"/>
        <d v="2021-01-08T00:00:00"/>
        <d v="2021-01-09T00:00:00"/>
        <d v="2021-01-16T00:00:00"/>
        <d v="2021-01-18T00:00:00"/>
        <d v="2021-01-22T00:00:00"/>
        <d v="2021-01-29T00:00:00"/>
        <d v="2021-02-09T00:00:00"/>
        <d v="2021-02-15T00:00:00"/>
        <d v="2021-02-16T00:00:00"/>
        <d v="2021-02-26T00:00:00"/>
        <d v="2021-03-01T00:00:00"/>
        <d v="2021-03-08T00:00:00"/>
        <d v="2021-03-13T00:00:00"/>
        <d v="2021-03-16T00:00:00"/>
        <d v="2021-03-17T00:00:00"/>
        <d v="2021-03-18T00:00:00"/>
        <d v="2021-03-21T00:00:00"/>
        <d v="2021-03-22T00:00:00"/>
        <d v="2021-04-07T00:00:00"/>
        <d v="2021-04-10T00:00:00"/>
        <d v="2021-04-26T00:00:00"/>
        <d v="2021-04-27T00:00:00"/>
        <d v="2021-04-30T00:00:00"/>
        <d v="2021-05-01T00:00:00"/>
        <d v="2021-05-04T00:00:00"/>
        <d v="2021-05-06T00:00:00"/>
        <d v="2021-05-08T00:00:00"/>
        <d v="2021-05-12T00:00:00"/>
        <d v="2021-05-13T00:00:00"/>
        <d v="2021-05-17T00:00:00"/>
        <d v="2021-05-21T00:00:00"/>
        <d v="2021-05-22T00:00:00"/>
        <d v="2021-05-23T00:00:00"/>
        <d v="2021-06-03T00:00:00"/>
        <d v="2021-06-07T00:00:00"/>
        <d v="2021-06-10T00:00:00"/>
        <d v="2021-06-27T00:00:00"/>
        <d v="2021-06-28T00:00:00"/>
        <d v="2021-06-30T00:00:00"/>
        <d v="2021-07-01T00:00:00"/>
        <d v="2021-07-04T00:00:00"/>
        <d v="2021-07-06T00:00:00"/>
        <d v="2021-07-07T00:00:00"/>
        <d v="2021-07-08T00:00:00"/>
        <d v="2021-07-11T00:00:00"/>
        <d v="2021-07-12T00:00:00"/>
        <d v="2021-07-20T00:00:00"/>
        <d v="2021-07-23T00:00:00"/>
        <d v="2021-07-26T00:00:00"/>
        <d v="2021-08-03T00:00:00"/>
        <d v="2021-08-17T00:00:00"/>
        <d v="2021-08-25T00:00:00"/>
        <d v="2021-08-28T00:00:00"/>
        <d v="2021-09-01T00:00:00"/>
        <d v="2021-09-06T00:00:00"/>
        <d v="2021-09-07T00:00:00"/>
        <d v="2021-09-09T00:00:00"/>
        <d v="2021-09-11T00:00:00"/>
        <d v="2021-09-12T00:00:00"/>
        <d v="2021-09-20T00:00:00"/>
        <d v="2021-09-26T00:00:00"/>
        <d v="2021-09-29T00:00:00"/>
        <d v="2021-10-07T00:00:00"/>
        <d v="2021-10-17T00:00:00"/>
        <d v="2021-10-25T00:00:00"/>
        <d v="2021-11-06T00:00:00"/>
        <d v="2021-11-09T00:00:00"/>
        <d v="2021-11-11T00:00:00"/>
        <d v="2021-11-29T00:00:00"/>
        <d v="2021-12-05T00:00:00"/>
        <d v="2021-12-07T00:00:00"/>
        <d v="2021-12-14T00:00:00"/>
        <d v="2021-12-17T00:00:00"/>
        <d v="2021-12-19T00:00:00"/>
        <d v="2021-12-20T00:00:00"/>
        <d v="2021-12-28T00:00:00"/>
        <d v="2022-01-06T00:00:00"/>
        <d v="2022-01-10T00:00:00"/>
        <d v="2022-01-29T00:00:00"/>
        <d v="2022-02-02T00:00:00"/>
        <d v="2022-02-05T00:00:00"/>
        <d v="2022-02-12T00:00:00"/>
        <d v="2022-02-14T00:00:00"/>
        <d v="2022-02-15T00:00:00"/>
        <d v="2022-02-17T00:00:00"/>
        <d v="2022-02-19T00:00:00"/>
        <d v="2022-02-20T00:00:00"/>
        <d v="2022-02-27T00:00:00"/>
        <d v="2022-02-28T00:00:00"/>
        <d v="2022-03-05T00:00:00"/>
        <d v="2022-03-10T00:00:00"/>
        <d v="2022-03-13T00:00:00"/>
        <d v="2022-03-20T00:00:00"/>
        <d v="2022-03-22T00:00:00"/>
        <d v="2022-03-29T00:00:00"/>
        <d v="2022-04-02T00:00:00"/>
        <d v="2022-04-09T00:00:00"/>
        <d v="2022-04-12T00:00:00"/>
        <d v="2022-04-14T00:00:00"/>
        <d v="2022-04-15T00:00:00"/>
        <d v="2022-04-19T00:00:00"/>
        <d v="2022-04-27T00:00:00"/>
        <d v="2022-05-02T00:00:00"/>
        <d v="2022-05-05T00:00:00"/>
        <d v="2022-05-13T00:00:00"/>
        <d v="2022-05-16T00:00:00"/>
        <d v="2022-05-20T00:00:00"/>
        <d v="2022-06-01T00:00:00"/>
        <d v="2022-06-06T00:00:00"/>
        <d v="2022-06-09T00:00:00"/>
        <d v="2022-06-12T00:00:00"/>
        <d v="2022-06-14T00:00:00"/>
        <d v="2022-06-15T00:00:00"/>
        <d v="2022-06-19T00:00:00"/>
        <d v="2022-07-02T00:00:00"/>
        <d v="2022-07-05T00:00:00"/>
        <d v="2022-07-16T00:00:00"/>
        <d v="2022-07-20T00:00:00"/>
        <d v="2022-08-01T00:00:00"/>
        <d v="2022-08-06T00:00:00"/>
        <d v="2022-08-16T00:00:00"/>
        <d v="2022-08-27T00:00:00"/>
        <d v="2022-09-05T00:00:00"/>
        <d v="2022-09-16T00:00:00"/>
        <d v="2022-10-16T00:00:00"/>
        <d v="2022-10-27T00:00:00"/>
        <d v="2023-02-28T00:00:00"/>
        <d v="2023-04-29T00:00:00"/>
      </sharedItems>
    </cacheField>
    <cacheField name="[Measures].[Count of Name]" caption="Count of Name" numFmtId="0" hierarchy="14" level="32767"/>
    <cacheField name="[Staff].[Date Joined (Month)].[Date Joined (Month)]" caption="Date Joined (Month)" numFmtId="0" hierarchy="10" level="1">
      <sharedItems count="12">
        <s v="May"/>
        <s v="Jun"/>
        <s v="Jul"/>
        <s v="Aug"/>
        <s v="Sep"/>
        <s v="Oct"/>
        <s v="Nov"/>
        <s v="Dec"/>
        <s v="Jan"/>
        <s v="Feb"/>
        <s v="Mar"/>
        <s v="Apr"/>
      </sharedItems>
    </cacheField>
    <cacheField name="[Staff].[Date Joined (Year)].[Date Joined (Year)]" caption="Date Joined (Year)" numFmtId="0" hierarchy="9" level="1">
      <sharedItems count="4">
        <s v="2020"/>
        <s v="2021"/>
        <s v="2022"/>
        <s v="2023"/>
      </sharedItems>
    </cacheField>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2" memberValueDatatype="7" unbalanced="0">
      <fieldsUsage count="2">
        <fieldUsage x="-1"/>
        <fieldUsage x="0"/>
      </fieldsUsage>
    </cacheHierarchy>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2" memberValueDatatype="130" unbalanced="0">
      <fieldsUsage count="2">
        <fieldUsage x="-1"/>
        <fieldUsage x="3"/>
      </fieldsUsage>
    </cacheHierarchy>
    <cacheHierarchy uniqueName="[Staff].[Date Joined (Month)]" caption="Date Joined (Month)" attribute="1" defaultMemberUniqueName="[Staff].[Date Joined (Month)].[All]" allUniqueName="[Staff].[Date Joined (Month)].[All]" dimensionUniqueName="[Staff]" displayFolder="" count="2" memberValueDatatype="130" unbalanced="0">
      <fieldsUsage count="2">
        <fieldUsage x="-1"/>
        <fieldUsage x="2"/>
      </fieldsUsage>
    </cacheHierarchy>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Distinct Count of Tenure]" caption="Distinct Count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daan Chauhan" refreshedDate="45126.635083564812" backgroundQuery="1" createdVersion="6" refreshedVersion="6" minRefreshableVersion="3" recordCount="0" supportSubquery="1" supportAdvancedDrill="1" xr:uid="{1CBCD76F-8DF3-45DC-8EC0-F3441534CC1E}">
  <cacheSource type="external" connectionId="4"/>
  <cacheFields count="3">
    <cacheField name="[Staff].[Department].[Department]" caption="Department" numFmtId="0" hierarchy="5" level="1">
      <sharedItems count="5">
        <s v="Finance"/>
        <s v="HR"/>
        <s v="Procurement"/>
        <s v="Sales"/>
        <s v="Website"/>
      </sharedItems>
    </cacheField>
    <cacheField name="[Measures].[Count of Name]" caption="Count of Name" numFmtId="0" hierarchy="14" level="32767"/>
    <cacheField name="[Staff].[Country].[Country]" caption="Country" numFmtId="0" hierarchy="7" level="1">
      <sharedItems containsSemiMixedTypes="0" containsNonDate="0" containsString="0"/>
    </cacheField>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2"/>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Distinct Count of Tenure]" caption="Distinct Count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daan Chauhan" refreshedDate="45128.49962696759" backgroundQuery="1" createdVersion="6" refreshedVersion="8" minRefreshableVersion="3" recordCount="0" supportSubquery="1" supportAdvancedDrill="1" xr:uid="{AC673445-00A0-4F38-A4A6-B4AF06FD5D2F}">
  <cacheSource type="external" connectionId="4"/>
  <cacheFields count="6">
    <cacheField name="[Staff].[Gender].[Gender]" caption="Gender" numFmtId="0" hierarchy="1" level="1">
      <sharedItems count="2">
        <s v="Female"/>
        <s v="Male"/>
      </sharedItems>
    </cacheField>
    <cacheField name="[Measures].[Count of Name]" caption="Count of Name" numFmtId="0" hierarchy="14" level="32767"/>
    <cacheField name="[Staff].[Country].[Country]" caption="Country" numFmtId="0" hierarchy="7" level="1">
      <sharedItems containsSemiMixedTypes="0" containsNonDate="0" containsString="0"/>
    </cacheField>
    <cacheField name="[Measures].[Average of Tenure]" caption="Average of Tenure" numFmtId="0" hierarchy="19" level="32767"/>
    <cacheField name="[Measures].[Average of Salary]" caption="Average of Salary" numFmtId="0" hierarchy="20" level="32767"/>
    <cacheField name="[Measures].[Average of Age]" caption="Average of Age" numFmtId="0" hierarchy="21" level="32767"/>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2"/>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Distinct Count of Tenure]" caption="Distinct Count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oneField="1" hidden="1">
      <fieldsUsage count="1">
        <fieldUsage x="3"/>
      </fieldsUsage>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oneField="1" hidden="1">
      <fieldsUsage count="1">
        <fieldUsage x="4"/>
      </fieldsUsage>
      <extLst>
        <ext xmlns:x15="http://schemas.microsoft.com/office/spreadsheetml/2010/11/main" uri="{B97F6D7D-B522-45F9-BDA1-12C45D357490}">
          <x15:cacheHierarchy aggregatedColumn="6"/>
        </ext>
      </extLst>
    </cacheHierarchy>
    <cacheHierarchy uniqueName="[Measures].[Average of Age]" caption="Average of Age" measure="1" displayFolder="" measureGroup="Staff" count="0" oneField="1" hidden="1">
      <fieldsUsage count="1">
        <fieldUsage x="5"/>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daan Chauhan" refreshedDate="45128.505132754632" backgroundQuery="1" createdVersion="6" refreshedVersion="8" minRefreshableVersion="3" recordCount="0" supportSubquery="1" supportAdvancedDrill="1" xr:uid="{A5BDECDD-EA65-4218-B4FC-0C13CB41FC0B}">
  <cacheSource type="external" connectionId="4"/>
  <cacheFields count="3">
    <cacheField name="[Staff].[Department].[Department]" caption="Department" numFmtId="0" hierarchy="5" level="1">
      <sharedItems count="5">
        <s v="Finance"/>
        <s v="HR"/>
        <s v="Procurement"/>
        <s v="Sales"/>
        <s v="Website"/>
      </sharedItems>
    </cacheField>
    <cacheField name="[Measures].[Count of Name]" caption="Count of Name" numFmtId="0" hierarchy="14" level="32767"/>
    <cacheField name="[Staff].[Country].[Country]" caption="Country" numFmtId="0" hierarchy="7" level="1">
      <sharedItems containsSemiMixedTypes="0" containsNonDate="0" containsString="0"/>
    </cacheField>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2"/>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Distinct Count of Tenure]" caption="Distinct Count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daan Chauhan" refreshedDate="45126.491482523146" backgroundQuery="1" createdVersion="3" refreshedVersion="6" minRefreshableVersion="3" recordCount="0" supportSubquery="1" supportAdvancedDrill="1" xr:uid="{069B0DC4-BA21-4499-A04E-6D6AF41AB402}">
  <cacheSource type="external" connectionId="4">
    <extLst>
      <ext xmlns:x14="http://schemas.microsoft.com/office/spreadsheetml/2009/9/main" uri="{F057638F-6D5F-4e77-A914-E7F072B9BCA8}">
        <x14:sourceConnection name="ThisWorkbookDataModel"/>
      </ext>
    </extLst>
  </cacheSource>
  <cacheFields count="0"/>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Distinct Count of Tenure]" caption="Distinct Count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94449837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3BEBA4-AF03-415A-A404-6607E9E6A325}" name="PivotTable2" cacheId="3" dataOnRows="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location ref="A3:C8" firstHeaderRow="1" firstDataRow="2" firstDataCol="1"/>
  <pivotFields count="6">
    <pivotField axis="axisCol"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Tenure" fld="3" subtotal="average" baseField="0" baseItem="0" numFmtId="2"/>
    <dataField name="Average of Salary" fld="4" subtotal="average" baseField="0" baseItem="0" numFmtId="165"/>
    <dataField name="Average of Age" fld="5" subtotal="average" baseField="0" baseItem="0" numFmtId="2"/>
  </dataFields>
  <pivotHierarchies count="22">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Country].&amp;[IND]"/>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Tenure"/>
    <pivotHierarchy dragToData="1" caption="Average of Tenure"/>
    <pivotHierarchy dragToData="1" caption="Average of Salary"/>
    <pivotHierarchy dragToData="1" caption="Average of Age"/>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9EBD24-C450-4090-A0E6-A7A7636719BA}"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D8" firstHeaderRow="0" firstDataRow="1" firstDataCol="1"/>
  <pivotFields count="3">
    <pivotField axis="axisRow" allDrilled="1" subtotalTop="0" showAll="0" defaultSubtotal="0" defaultAttributeDrillState="1">
      <items count="5">
        <item x="2"/>
        <item x="0"/>
        <item x="1"/>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Count of Name" fld="1" subtotal="count" baseField="0" baseItem="0"/>
    <dataField name="Average of Salary" fld="2" subtotal="average" baseField="0" baseItem="0" numFmtId="164"/>
  </dataFields>
  <formats count="1">
    <format dxfId="1">
      <pivotArea outline="0" collapsedLevelsAreSubtotals="1" fieldPosition="0">
        <references count="1">
          <reference field="4294967294" count="1" selected="0">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Salary"/>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17B2C6-9895-4C00-9208-6FD4573B5AFD}" name="PivotTable9" cacheId="1" applyNumberFormats="0" applyBorderFormats="0" applyFontFormats="0" applyPatternFormats="0" applyAlignmentFormats="0" applyWidthHeightFormats="1" dataCaption="Values" tag="76e9e0c3-8b9e-46cb-af9c-85098fc9f818" updatedVersion="6" minRefreshableVersion="3" useAutoFormatting="1" itemPrintTitles="1" createdVersion="6" indent="0" outline="1" outlineData="1" multipleFieldFilters="0" chartFormat="1">
  <location ref="B2:C39" firstHeaderRow="1" firstDataRow="1" firstDataCol="1"/>
  <pivotFields count="4">
    <pivotField axis="axisRow" allDrilled="1" subtotalTop="0" showAll="0" dataSourceSort="1" defaultSubtotal="0" defaultAttributeDrillState="1">
      <items count="1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s>
    </pivotField>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4">
        <item x="0"/>
        <item x="1"/>
        <item x="2"/>
        <item x="3"/>
      </items>
    </pivotField>
  </pivotFields>
  <rowFields count="3">
    <field x="3"/>
    <field x="2"/>
    <field x="0"/>
  </rowFields>
  <rowItems count="37">
    <i>
      <x/>
    </i>
    <i r="1">
      <x/>
    </i>
    <i r="1">
      <x v="1"/>
    </i>
    <i r="1">
      <x v="2"/>
    </i>
    <i r="1">
      <x v="3"/>
    </i>
    <i r="1">
      <x v="4"/>
    </i>
    <i r="1">
      <x v="5"/>
    </i>
    <i r="1">
      <x v="6"/>
    </i>
    <i r="1">
      <x v="7"/>
    </i>
    <i>
      <x v="1"/>
    </i>
    <i r="1">
      <x v="8"/>
    </i>
    <i r="1">
      <x v="9"/>
    </i>
    <i r="1">
      <x v="10"/>
    </i>
    <i r="1">
      <x v="11"/>
    </i>
    <i r="1">
      <x/>
    </i>
    <i r="1">
      <x v="1"/>
    </i>
    <i r="1">
      <x v="2"/>
    </i>
    <i r="1">
      <x v="3"/>
    </i>
    <i r="1">
      <x v="4"/>
    </i>
    <i r="1">
      <x v="5"/>
    </i>
    <i r="1">
      <x v="6"/>
    </i>
    <i r="1">
      <x v="7"/>
    </i>
    <i>
      <x v="2"/>
    </i>
    <i r="1">
      <x v="8"/>
    </i>
    <i r="1">
      <x v="9"/>
    </i>
    <i r="1">
      <x v="10"/>
    </i>
    <i r="1">
      <x v="11"/>
    </i>
    <i r="1">
      <x/>
    </i>
    <i r="1">
      <x v="1"/>
    </i>
    <i r="1">
      <x v="2"/>
    </i>
    <i r="1">
      <x v="3"/>
    </i>
    <i r="1">
      <x v="4"/>
    </i>
    <i r="1">
      <x v="5"/>
    </i>
    <i>
      <x v="3"/>
    </i>
    <i r="1">
      <x v="9"/>
    </i>
    <i r="1">
      <x v="11"/>
    </i>
    <i t="grand">
      <x/>
    </i>
  </rowItems>
  <colItems count="1">
    <i/>
  </colItems>
  <dataFields count="1">
    <dataField name="Count of Name" fld="1" subtotal="count" showDataAs="runTotal" baseField="2" baseItem="0"/>
  </dataFields>
  <chartFormats count="1">
    <chartFormat chart="0"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9"/>
    <rowHierarchyUsage hierarchyUsage="10"/>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4E51B8-76E0-4A8E-A904-E680392DFEB3}" name="PivotTable13" cacheId="2" applyNumberFormats="0" applyBorderFormats="0" applyFontFormats="0" applyPatternFormats="0" applyAlignmentFormats="0" applyWidthHeightFormats="1" dataCaption="Values" tag="df89fb1e-b312-4099-864a-f0e0a43249c8" updatedVersion="6" minRefreshableVersion="3" useAutoFormatting="1" itemPrintTitles="1" createdVersion="6" indent="0" outline="1" outlineData="1" multipleFieldFilters="0" chartFormat="3">
  <location ref="E3:F9" firstHeaderRow="1" firstDataRow="1" firstDataCol="1" rowPageCount="1" colPageCount="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6">
    <i>
      <x v="4"/>
    </i>
    <i>
      <x v="2"/>
    </i>
    <i>
      <x/>
    </i>
    <i>
      <x v="3"/>
    </i>
    <i>
      <x v="1"/>
    </i>
    <i t="grand">
      <x/>
    </i>
  </rowItems>
  <colItems count="1">
    <i/>
  </colItems>
  <pageFields count="1">
    <pageField fld="2" hier="7" name="[Staff].[Country].&amp;[NZ]" cap="NZ"/>
  </pageFields>
  <dataFields count="1">
    <dataField name="Count of Name"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59F260-66B8-45CD-AD47-E4874C1C9233}" name="PivotTable12" cacheId="4" applyNumberFormats="0" applyBorderFormats="0" applyFontFormats="0" applyPatternFormats="0" applyAlignmentFormats="0" applyWidthHeightFormats="1" dataCaption="Values" tag="2d126ff7-286d-4e8e-acd4-e6f5b10a4ff2" updatedVersion="8" minRefreshableVersion="3" useAutoFormatting="1" itemPrintTitles="1" createdVersion="6" indent="0" outline="1" outlineData="1" multipleFieldFilters="0" chartFormat="3">
  <location ref="A3:B9" firstHeaderRow="1" firstDataRow="1" firstDataCol="1" rowPageCount="1" colPageCount="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6">
    <i>
      <x v="2"/>
    </i>
    <i>
      <x v="4"/>
    </i>
    <i>
      <x/>
    </i>
    <i>
      <x v="3"/>
    </i>
    <i>
      <x v="1"/>
    </i>
    <i t="grand">
      <x/>
    </i>
  </rowItems>
  <colItems count="1">
    <i/>
  </colItems>
  <pageFields count="1">
    <pageField fld="2" hier="7" name="[Staff].[Country].&amp;[IND]" cap="IND"/>
  </pageFields>
  <dataFields count="1">
    <dataField name="Count of Name"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E529F9C3-6A7C-4529-8590-42A7D0F51629}" autoFormatId="16" applyNumberFormats="0" applyBorderFormats="0" applyFontFormats="0" applyPatternFormats="0" applyAlignmentFormats="0" applyWidthHeightFormats="0">
  <queryTableRefresh nextId="12" unboundColumnsRight="3">
    <queryTableFields count="11">
      <queryTableField id="1" name="Name" tableColumnId="9"/>
      <queryTableField id="2" name="Gender" tableColumnId="2"/>
      <queryTableField id="3" name="Age" tableColumnId="3"/>
      <queryTableField id="4" name="Rating" tableColumnId="4"/>
      <queryTableField id="5" name="Date Joined" tableColumnId="5"/>
      <queryTableField id="6" name="Department" tableColumnId="6"/>
      <queryTableField id="7" name="Salary" tableColumnId="7"/>
      <queryTableField id="8" name="Country" tableColumnId="8"/>
      <queryTableField id="9" dataBound="0" tableColumnId="10"/>
      <queryTableField id="10" dataBound="0" tableColumnId="11"/>
      <queryTableField id="11"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1FBDC47-ADC7-4EAC-A575-32675D71C21C}" sourceName="[Staff].[Country]">
  <pivotTables>
    <pivotTable tabId="5" name="PivotTable2"/>
  </pivotTables>
  <data>
    <olap pivotCacheId="944498376">
      <levels count="2">
        <level uniqueName="[Staff].[Country].[(All)]" sourceCaption="(All)" count="0"/>
        <level uniqueName="[Staff].[Country].[Country]" sourceCaption="Country" count="2">
          <ranges>
            <range startItem="0">
              <i n="[Staff].[Country].&amp;[IND]" c="IND"/>
              <i n="[Staff].[Country].&amp;[NZ]" c="NZ"/>
            </range>
          </ranges>
        </level>
      </levels>
      <selections count="1">
        <selection n="[Staff].[Country].&amp;[IN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1067DF1-3D18-4832-BDDA-08031A13E1D6}" cache="Slicer_Country" caption="Country"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23DB4C-1ED7-4F82-BEA2-977F88392509}" name="nz_staff" displayName="nz_staff" ref="C5:I106" totalsRowCount="1">
  <autoFilter ref="C5:I105" xr:uid="{096F89E3-75E4-41A4-B112-8EE2887E4E1D}"/>
  <tableColumns count="7">
    <tableColumn id="1" xr3:uid="{C5F9B28A-30DE-400E-8B83-1A7FE7A157CD}" name="Name" totalsRowLabel="Total"/>
    <tableColumn id="2" xr3:uid="{6A2CF130-CF2E-4E5B-BD8F-F692071293AE}" name="Gender"/>
    <tableColumn id="3" xr3:uid="{0C202DE1-5852-4864-A19A-DB517F97CD0B}" name="Department"/>
    <tableColumn id="4" xr3:uid="{9041DE40-E9B6-42C0-98D6-4C5BD9490C0B}" name="Age" totalsRowFunction="average"/>
    <tableColumn id="5" xr3:uid="{223D5063-9731-48EA-974A-EBB5DC433663}" name="Date Joined"/>
    <tableColumn id="6" xr3:uid="{7864E96A-FF96-43CA-9F7A-869438AB58AE}" name="Salary" totalsRowFunction="average" dataDxfId="12"/>
    <tableColumn id="7" xr3:uid="{10F58641-4EF3-42E4-82FB-4AA2F775A024}" name="Rating" totalsRowFunction="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B4EE33-CA73-46FE-A05F-44D0F68A5428}" name="india_staff" displayName="india_staff" ref="B2:H114" totalsRowShown="0">
  <autoFilter ref="B2:H114" xr:uid="{02C696BD-8967-4435-A5B2-AE9879AB1FD0}"/>
  <tableColumns count="7">
    <tableColumn id="1" xr3:uid="{9A7DF617-B579-45AB-BA9D-52BA2432F00A}" name="Name"/>
    <tableColumn id="2" xr3:uid="{C10DA456-E70E-4C88-9A82-CA34D358B0EE}" name="Gender"/>
    <tableColumn id="3" xr3:uid="{3A3BD375-B486-4060-9E09-808D786BAAE7}" name="Age"/>
    <tableColumn id="4" xr3:uid="{E79EBA49-5D0E-4E87-AA67-5BB21F465345}" name="Rating"/>
    <tableColumn id="5" xr3:uid="{BADBB3C0-7B54-42A7-ACA4-0A60CD88C004}" name="Date Joined" dataDxfId="11"/>
    <tableColumn id="6" xr3:uid="{3A0E219A-5BE4-4641-9874-C1A9BB583AB2}" name="Department"/>
    <tableColumn id="7" xr3:uid="{219DB84F-26C3-4EE9-AF07-92AD5E1AED83}" name="Salary" dataDxfId="10"/>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135E64-4C42-43C1-B0F5-D2964DF131D3}" name="Staff" displayName="Staff" ref="A1:K184" tableType="queryTable" totalsRowShown="0">
  <autoFilter ref="A1:K184" xr:uid="{A6B08C29-A0A4-43CF-B092-E6CCB56EED3C}"/>
  <sortState xmlns:xlrd2="http://schemas.microsoft.com/office/spreadsheetml/2017/richdata2" ref="A2:J184">
    <sortCondition ref="G1:G184"/>
  </sortState>
  <tableColumns count="11">
    <tableColumn id="9" xr3:uid="{7F4A6D53-B7C9-451B-BFE6-3E57B9B7FFDB}" uniqueName="9" name="Name" queryTableFieldId="1" dataDxfId="9"/>
    <tableColumn id="2" xr3:uid="{81C9705C-82D3-4FB4-B229-610E1EE4899B}" uniqueName="2" name="Gender" queryTableFieldId="2" dataDxfId="8"/>
    <tableColumn id="3" xr3:uid="{511926C8-0BF8-4E79-A95A-D369B08FE099}" uniqueName="3" name="Age" queryTableFieldId="3"/>
    <tableColumn id="4" xr3:uid="{18744F25-458C-4264-AD42-11011B56911E}" uniqueName="4" name="Rating" queryTableFieldId="4"/>
    <tableColumn id="5" xr3:uid="{43B1B4B4-8B07-4F73-A813-6966187A41E4}" uniqueName="5" name="Date Joined" queryTableFieldId="5" dataDxfId="7"/>
    <tableColumn id="6" xr3:uid="{A93D0D87-A601-4334-9F74-1453CA61AE3F}" uniqueName="6" name="Department" queryTableFieldId="6" dataDxfId="6"/>
    <tableColumn id="7" xr3:uid="{7DE84B14-807C-440A-92A7-9BAE376D173A}" uniqueName="7" name="Salary" queryTableFieldId="7" dataDxfId="5"/>
    <tableColumn id="8" xr3:uid="{B82F8520-1FAA-4397-862B-16BE3165EDEA}" uniqueName="8" name="Country" queryTableFieldId="8"/>
    <tableColumn id="10" xr3:uid="{933DA023-7300-497B-822F-CC8784DC0A10}" uniqueName="10" name="Tenure" queryTableFieldId="9" dataDxfId="4">
      <calculatedColumnFormula>(TODAY()-Staff[[#This Row],[Date Joined]])/365</calculatedColumnFormula>
    </tableColumn>
    <tableColumn id="11" xr3:uid="{F0EE7E34-430B-4C9A-99E5-24048573D897}" uniqueName="11" name="Bonus" queryTableFieldId="10" dataDxfId="3">
      <calculatedColumnFormula>IF(Staff[[#This Row],[Tenure]]&gt;2,3%,2%)*Staff[[#This Row],[Salary]]</calculatedColumnFormula>
    </tableColumn>
    <tableColumn id="12" xr3:uid="{DA24117D-586C-4C9C-90DB-FE91681C172F}" uniqueName="12" name="Rating as number" queryTableFieldId="11" dataDxfId="2">
      <calculatedColumnFormula>INDEX(Sheet6!$B$2:$C$6,MATCH(Staff[[#This Row],[Rating]],Sheet6!$B$2:$B$6,0),2)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I106"/>
  <sheetViews>
    <sheetView showGridLines="0" tabSelected="1" workbookViewId="0">
      <selection activeCell="C2" sqref="C2"/>
    </sheetView>
  </sheetViews>
  <sheetFormatPr defaultRowHeight="14.5" x14ac:dyDescent="0.35"/>
  <cols>
    <col min="1" max="1" width="1.7265625" customWidth="1"/>
    <col min="2" max="2" width="3.7265625" customWidth="1"/>
    <col min="3" max="3" width="24.6328125" customWidth="1"/>
    <col min="4" max="4" width="9.26953125" bestFit="1" customWidth="1"/>
    <col min="5" max="5" width="13.36328125" bestFit="1" customWidth="1"/>
    <col min="6" max="6" width="6.1796875" bestFit="1" customWidth="1"/>
    <col min="7" max="7" width="12.90625" bestFit="1" customWidth="1"/>
    <col min="8" max="8" width="11.7265625" bestFit="1" customWidth="1"/>
    <col min="9" max="9" width="13.1796875" bestFit="1" customWidth="1"/>
  </cols>
  <sheetData>
    <row r="1" spans="1:9" s="2" customFormat="1" ht="52.5" customHeight="1" x14ac:dyDescent="0.35">
      <c r="A1" s="1"/>
      <c r="C1" s="3" t="s">
        <v>110</v>
      </c>
    </row>
    <row r="5" spans="1:9" x14ac:dyDescent="0.35">
      <c r="C5" t="s">
        <v>0</v>
      </c>
      <c r="D5" t="s">
        <v>1</v>
      </c>
      <c r="E5" t="s">
        <v>2</v>
      </c>
      <c r="F5" t="s">
        <v>3</v>
      </c>
      <c r="G5" s="4" t="s">
        <v>4</v>
      </c>
      <c r="H5" t="s">
        <v>5</v>
      </c>
      <c r="I5" t="s">
        <v>6</v>
      </c>
    </row>
    <row r="6" spans="1:9" x14ac:dyDescent="0.35">
      <c r="C6" t="s">
        <v>58</v>
      </c>
      <c r="D6" t="s">
        <v>15</v>
      </c>
      <c r="E6" t="s">
        <v>19</v>
      </c>
      <c r="F6">
        <v>22</v>
      </c>
      <c r="G6" s="4">
        <v>44446</v>
      </c>
      <c r="H6" s="5">
        <v>112780</v>
      </c>
      <c r="I6" t="s">
        <v>13</v>
      </c>
    </row>
    <row r="7" spans="1:9" x14ac:dyDescent="0.35">
      <c r="C7" t="s">
        <v>70</v>
      </c>
      <c r="D7" t="s">
        <v>15</v>
      </c>
      <c r="E7" t="s">
        <v>9</v>
      </c>
      <c r="F7">
        <v>46</v>
      </c>
      <c r="G7" s="4">
        <v>44758</v>
      </c>
      <c r="H7" s="5">
        <v>70610</v>
      </c>
      <c r="I7" t="s">
        <v>16</v>
      </c>
    </row>
    <row r="8" spans="1:9" x14ac:dyDescent="0.35">
      <c r="C8" t="s">
        <v>75</v>
      </c>
      <c r="D8" t="s">
        <v>8</v>
      </c>
      <c r="E8" t="s">
        <v>19</v>
      </c>
      <c r="F8">
        <v>28</v>
      </c>
      <c r="G8" s="4">
        <v>44357</v>
      </c>
      <c r="H8" s="5">
        <v>53240</v>
      </c>
      <c r="I8" t="s">
        <v>16</v>
      </c>
    </row>
    <row r="9" spans="1:9" x14ac:dyDescent="0.35">
      <c r="C9" t="s">
        <v>49</v>
      </c>
      <c r="E9" t="s">
        <v>21</v>
      </c>
      <c r="F9">
        <v>37</v>
      </c>
      <c r="G9" s="4">
        <v>44146</v>
      </c>
      <c r="H9" s="5">
        <v>115440</v>
      </c>
      <c r="I9" t="s">
        <v>24</v>
      </c>
    </row>
    <row r="10" spans="1:9" x14ac:dyDescent="0.35">
      <c r="C10" t="s">
        <v>65</v>
      </c>
      <c r="D10" t="s">
        <v>15</v>
      </c>
      <c r="E10" t="s">
        <v>19</v>
      </c>
      <c r="F10">
        <v>32</v>
      </c>
      <c r="G10" s="4">
        <v>44465</v>
      </c>
      <c r="H10" s="5">
        <v>53540</v>
      </c>
      <c r="I10" t="s">
        <v>16</v>
      </c>
    </row>
    <row r="11" spans="1:9" x14ac:dyDescent="0.35">
      <c r="C11" t="s">
        <v>81</v>
      </c>
      <c r="D11" t="s">
        <v>8</v>
      </c>
      <c r="E11" t="s">
        <v>9</v>
      </c>
      <c r="F11">
        <v>30</v>
      </c>
      <c r="G11" s="4">
        <v>44861</v>
      </c>
      <c r="H11" s="5">
        <v>112570</v>
      </c>
      <c r="I11" t="s">
        <v>16</v>
      </c>
    </row>
    <row r="12" spans="1:9" x14ac:dyDescent="0.35">
      <c r="C12" t="s">
        <v>51</v>
      </c>
      <c r="D12" t="s">
        <v>15</v>
      </c>
      <c r="E12" t="s">
        <v>9</v>
      </c>
      <c r="F12">
        <v>33</v>
      </c>
      <c r="G12" s="4">
        <v>44701</v>
      </c>
      <c r="H12" s="5">
        <v>48530</v>
      </c>
      <c r="I12" t="s">
        <v>13</v>
      </c>
    </row>
    <row r="13" spans="1:9" x14ac:dyDescent="0.35">
      <c r="C13" t="s">
        <v>61</v>
      </c>
      <c r="D13" t="s">
        <v>8</v>
      </c>
      <c r="E13" t="s">
        <v>12</v>
      </c>
      <c r="F13">
        <v>24</v>
      </c>
      <c r="G13" s="4">
        <v>44148</v>
      </c>
      <c r="H13" s="5">
        <v>62780</v>
      </c>
      <c r="I13" t="s">
        <v>16</v>
      </c>
    </row>
    <row r="14" spans="1:9" x14ac:dyDescent="0.35">
      <c r="C14" t="s">
        <v>82</v>
      </c>
      <c r="D14" t="s">
        <v>15</v>
      </c>
      <c r="E14" t="s">
        <v>12</v>
      </c>
      <c r="F14">
        <v>33</v>
      </c>
      <c r="G14" s="4">
        <v>44509</v>
      </c>
      <c r="H14" s="5">
        <v>53870</v>
      </c>
      <c r="I14" t="s">
        <v>16</v>
      </c>
    </row>
    <row r="15" spans="1:9" x14ac:dyDescent="0.35">
      <c r="C15" t="s">
        <v>60</v>
      </c>
      <c r="D15" t="s">
        <v>8</v>
      </c>
      <c r="E15" t="s">
        <v>56</v>
      </c>
      <c r="F15">
        <v>27</v>
      </c>
      <c r="G15" s="4">
        <v>44122</v>
      </c>
      <c r="H15" s="5">
        <v>119110</v>
      </c>
      <c r="I15" t="s">
        <v>16</v>
      </c>
    </row>
    <row r="16" spans="1:9" x14ac:dyDescent="0.35">
      <c r="C16" t="s">
        <v>87</v>
      </c>
      <c r="D16" t="s">
        <v>15</v>
      </c>
      <c r="E16" t="s">
        <v>12</v>
      </c>
      <c r="F16">
        <v>29</v>
      </c>
      <c r="G16" s="4">
        <v>44180</v>
      </c>
      <c r="H16" s="5">
        <v>112110</v>
      </c>
      <c r="I16" t="s">
        <v>24</v>
      </c>
    </row>
    <row r="17" spans="3:9" x14ac:dyDescent="0.35">
      <c r="C17" t="s">
        <v>76</v>
      </c>
      <c r="D17" t="s">
        <v>15</v>
      </c>
      <c r="E17" t="s">
        <v>19</v>
      </c>
      <c r="F17">
        <v>25</v>
      </c>
      <c r="G17" s="4">
        <v>44383</v>
      </c>
      <c r="H17" s="5">
        <v>65700</v>
      </c>
      <c r="I17" t="s">
        <v>16</v>
      </c>
    </row>
    <row r="18" spans="3:9" x14ac:dyDescent="0.35">
      <c r="C18" t="s">
        <v>97</v>
      </c>
      <c r="D18" t="s">
        <v>15</v>
      </c>
      <c r="E18" t="s">
        <v>12</v>
      </c>
      <c r="F18">
        <v>37</v>
      </c>
      <c r="G18" s="4">
        <v>44701</v>
      </c>
      <c r="H18" s="5">
        <v>69070</v>
      </c>
      <c r="I18" t="s">
        <v>16</v>
      </c>
    </row>
    <row r="19" spans="3:9" x14ac:dyDescent="0.35">
      <c r="C19" t="s">
        <v>22</v>
      </c>
      <c r="D19" t="s">
        <v>15</v>
      </c>
      <c r="E19" t="s">
        <v>12</v>
      </c>
      <c r="F19">
        <v>20</v>
      </c>
      <c r="G19" s="4">
        <v>44459</v>
      </c>
      <c r="H19" s="5">
        <v>107700</v>
      </c>
      <c r="I19" t="s">
        <v>16</v>
      </c>
    </row>
    <row r="20" spans="3:9" x14ac:dyDescent="0.35">
      <c r="C20" t="s">
        <v>84</v>
      </c>
      <c r="D20" t="s">
        <v>8</v>
      </c>
      <c r="E20" t="s">
        <v>12</v>
      </c>
      <c r="F20">
        <v>32</v>
      </c>
      <c r="G20" s="4">
        <v>44354</v>
      </c>
      <c r="H20" s="5">
        <v>43840</v>
      </c>
      <c r="I20" t="s">
        <v>13</v>
      </c>
    </row>
    <row r="21" spans="3:9" x14ac:dyDescent="0.35">
      <c r="C21" t="s">
        <v>105</v>
      </c>
      <c r="D21" t="s">
        <v>15</v>
      </c>
      <c r="E21" t="s">
        <v>9</v>
      </c>
      <c r="F21">
        <v>40</v>
      </c>
      <c r="G21" s="4">
        <v>44263</v>
      </c>
      <c r="H21" s="5">
        <v>99750</v>
      </c>
      <c r="I21" t="s">
        <v>16</v>
      </c>
    </row>
    <row r="22" spans="3:9" x14ac:dyDescent="0.35">
      <c r="C22" t="s">
        <v>47</v>
      </c>
      <c r="D22" t="s">
        <v>15</v>
      </c>
      <c r="E22" t="s">
        <v>9</v>
      </c>
      <c r="F22">
        <v>21</v>
      </c>
      <c r="G22" s="4">
        <v>44104</v>
      </c>
      <c r="H22" s="5">
        <v>37920</v>
      </c>
      <c r="I22" t="s">
        <v>16</v>
      </c>
    </row>
    <row r="23" spans="3:9" x14ac:dyDescent="0.35">
      <c r="C23" t="s">
        <v>31</v>
      </c>
      <c r="D23" t="s">
        <v>15</v>
      </c>
      <c r="E23" t="s">
        <v>9</v>
      </c>
      <c r="F23">
        <v>21</v>
      </c>
      <c r="G23" s="4">
        <v>44762</v>
      </c>
      <c r="H23" s="5">
        <v>57090</v>
      </c>
      <c r="I23" t="s">
        <v>16</v>
      </c>
    </row>
    <row r="24" spans="3:9" x14ac:dyDescent="0.35">
      <c r="C24" t="s">
        <v>30</v>
      </c>
      <c r="D24" t="s">
        <v>8</v>
      </c>
      <c r="E24" t="s">
        <v>12</v>
      </c>
      <c r="F24">
        <v>31</v>
      </c>
      <c r="G24" s="4">
        <v>44145</v>
      </c>
      <c r="H24" s="5">
        <v>41980</v>
      </c>
      <c r="I24" t="s">
        <v>16</v>
      </c>
    </row>
    <row r="25" spans="3:9" x14ac:dyDescent="0.35">
      <c r="C25" t="s">
        <v>78</v>
      </c>
      <c r="D25" t="s">
        <v>15</v>
      </c>
      <c r="E25" t="s">
        <v>56</v>
      </c>
      <c r="F25">
        <v>21</v>
      </c>
      <c r="G25" s="4">
        <v>44242</v>
      </c>
      <c r="H25" s="5">
        <v>75880</v>
      </c>
      <c r="I25" t="s">
        <v>16</v>
      </c>
    </row>
    <row r="26" spans="3:9" x14ac:dyDescent="0.35">
      <c r="C26" t="s">
        <v>36</v>
      </c>
      <c r="D26" t="s">
        <v>8</v>
      </c>
      <c r="E26" t="s">
        <v>21</v>
      </c>
      <c r="F26">
        <v>34</v>
      </c>
      <c r="G26" s="4">
        <v>44653</v>
      </c>
      <c r="H26" s="5">
        <v>58940</v>
      </c>
      <c r="I26" t="s">
        <v>16</v>
      </c>
    </row>
    <row r="27" spans="3:9" x14ac:dyDescent="0.35">
      <c r="C27" t="s">
        <v>27</v>
      </c>
      <c r="D27" t="s">
        <v>8</v>
      </c>
      <c r="E27" t="s">
        <v>21</v>
      </c>
      <c r="F27">
        <v>30</v>
      </c>
      <c r="G27" s="4">
        <v>44389</v>
      </c>
      <c r="H27" s="5">
        <v>67910</v>
      </c>
      <c r="I27" t="s">
        <v>24</v>
      </c>
    </row>
    <row r="28" spans="3:9" x14ac:dyDescent="0.35">
      <c r="C28" t="s">
        <v>26</v>
      </c>
      <c r="D28" t="s">
        <v>8</v>
      </c>
      <c r="E28" t="s">
        <v>12</v>
      </c>
      <c r="F28">
        <v>31</v>
      </c>
      <c r="G28" s="4">
        <v>44663</v>
      </c>
      <c r="H28" s="5">
        <v>58100</v>
      </c>
      <c r="I28" t="s">
        <v>16</v>
      </c>
    </row>
    <row r="29" spans="3:9" x14ac:dyDescent="0.35">
      <c r="C29" t="s">
        <v>53</v>
      </c>
      <c r="D29" t="s">
        <v>15</v>
      </c>
      <c r="E29" t="s">
        <v>21</v>
      </c>
      <c r="F29">
        <v>27</v>
      </c>
      <c r="G29" s="4">
        <v>44567</v>
      </c>
      <c r="H29" s="5">
        <v>48980</v>
      </c>
      <c r="I29" t="s">
        <v>16</v>
      </c>
    </row>
    <row r="30" spans="3:9" x14ac:dyDescent="0.35">
      <c r="C30" t="s">
        <v>20</v>
      </c>
      <c r="E30" t="s">
        <v>21</v>
      </c>
      <c r="F30">
        <v>30</v>
      </c>
      <c r="G30" s="4">
        <v>44597</v>
      </c>
      <c r="H30" s="5">
        <v>64000</v>
      </c>
      <c r="I30" t="s">
        <v>16</v>
      </c>
    </row>
    <row r="31" spans="3:9" x14ac:dyDescent="0.35">
      <c r="C31" t="s">
        <v>7</v>
      </c>
      <c r="D31" t="s">
        <v>8</v>
      </c>
      <c r="E31" t="s">
        <v>9</v>
      </c>
      <c r="F31">
        <v>42</v>
      </c>
      <c r="G31" s="4">
        <v>44779</v>
      </c>
      <c r="H31" s="5">
        <v>75000</v>
      </c>
      <c r="I31" t="s">
        <v>10</v>
      </c>
    </row>
    <row r="32" spans="3:9" x14ac:dyDescent="0.35">
      <c r="C32" t="s">
        <v>74</v>
      </c>
      <c r="D32" t="s">
        <v>8</v>
      </c>
      <c r="E32" t="s">
        <v>12</v>
      </c>
      <c r="F32">
        <v>40</v>
      </c>
      <c r="G32" s="4">
        <v>44337</v>
      </c>
      <c r="H32" s="5">
        <v>87620</v>
      </c>
      <c r="I32" t="s">
        <v>16</v>
      </c>
    </row>
    <row r="33" spans="3:9" x14ac:dyDescent="0.35">
      <c r="C33" t="s">
        <v>44</v>
      </c>
      <c r="D33" t="s">
        <v>8</v>
      </c>
      <c r="E33" t="s">
        <v>12</v>
      </c>
      <c r="F33">
        <v>29</v>
      </c>
      <c r="G33" s="4">
        <v>44023</v>
      </c>
      <c r="H33" s="5">
        <v>34980</v>
      </c>
      <c r="I33" t="s">
        <v>16</v>
      </c>
    </row>
    <row r="34" spans="3:9" x14ac:dyDescent="0.35">
      <c r="C34" t="s">
        <v>35</v>
      </c>
      <c r="D34" t="s">
        <v>8</v>
      </c>
      <c r="E34" t="s">
        <v>21</v>
      </c>
      <c r="F34">
        <v>28</v>
      </c>
      <c r="G34" s="4">
        <v>44185</v>
      </c>
      <c r="H34" s="5">
        <v>75970</v>
      </c>
      <c r="I34" t="s">
        <v>16</v>
      </c>
    </row>
    <row r="35" spans="3:9" x14ac:dyDescent="0.35">
      <c r="C35" t="s">
        <v>38</v>
      </c>
      <c r="D35" t="s">
        <v>8</v>
      </c>
      <c r="E35" t="s">
        <v>21</v>
      </c>
      <c r="F35">
        <v>34</v>
      </c>
      <c r="G35" s="4">
        <v>44612</v>
      </c>
      <c r="H35" s="5">
        <v>60130</v>
      </c>
      <c r="I35" t="s">
        <v>16</v>
      </c>
    </row>
    <row r="36" spans="3:9" x14ac:dyDescent="0.35">
      <c r="C36" t="s">
        <v>41</v>
      </c>
      <c r="D36" t="s">
        <v>8</v>
      </c>
      <c r="E36" t="s">
        <v>12</v>
      </c>
      <c r="F36">
        <v>33</v>
      </c>
      <c r="G36" s="4">
        <v>44374</v>
      </c>
      <c r="H36" s="5">
        <v>75480</v>
      </c>
      <c r="I36" t="s">
        <v>42</v>
      </c>
    </row>
    <row r="37" spans="3:9" x14ac:dyDescent="0.35">
      <c r="C37" t="s">
        <v>40</v>
      </c>
      <c r="D37" t="s">
        <v>15</v>
      </c>
      <c r="E37" t="s">
        <v>9</v>
      </c>
      <c r="F37">
        <v>33</v>
      </c>
      <c r="G37" s="4">
        <v>44164</v>
      </c>
      <c r="H37" s="5">
        <v>115920</v>
      </c>
      <c r="I37" t="s">
        <v>16</v>
      </c>
    </row>
    <row r="38" spans="3:9" x14ac:dyDescent="0.35">
      <c r="C38" t="s">
        <v>48</v>
      </c>
      <c r="D38" t="s">
        <v>8</v>
      </c>
      <c r="E38" t="s">
        <v>19</v>
      </c>
      <c r="F38">
        <v>36</v>
      </c>
      <c r="G38" s="4">
        <v>44494</v>
      </c>
      <c r="H38" s="5">
        <v>78540</v>
      </c>
      <c r="I38" t="s">
        <v>16</v>
      </c>
    </row>
    <row r="39" spans="3:9" x14ac:dyDescent="0.35">
      <c r="C39" t="s">
        <v>34</v>
      </c>
      <c r="D39" t="s">
        <v>15</v>
      </c>
      <c r="E39" t="s">
        <v>9</v>
      </c>
      <c r="F39">
        <v>25</v>
      </c>
      <c r="G39" s="4">
        <v>44726</v>
      </c>
      <c r="H39" s="5">
        <v>109190</v>
      </c>
      <c r="I39" t="s">
        <v>13</v>
      </c>
    </row>
    <row r="40" spans="3:9" x14ac:dyDescent="0.35">
      <c r="C40" t="s">
        <v>73</v>
      </c>
      <c r="D40" t="s">
        <v>8</v>
      </c>
      <c r="E40" t="s">
        <v>19</v>
      </c>
      <c r="F40">
        <v>34</v>
      </c>
      <c r="G40" s="4">
        <v>44721</v>
      </c>
      <c r="H40" s="5">
        <v>49630</v>
      </c>
      <c r="I40" t="s">
        <v>24</v>
      </c>
    </row>
    <row r="41" spans="3:9" x14ac:dyDescent="0.35">
      <c r="C41" t="s">
        <v>107</v>
      </c>
      <c r="D41" t="s">
        <v>8</v>
      </c>
      <c r="E41" t="s">
        <v>9</v>
      </c>
      <c r="F41">
        <v>28</v>
      </c>
      <c r="G41" s="4">
        <v>44630</v>
      </c>
      <c r="H41" s="5">
        <v>99970</v>
      </c>
      <c r="I41" t="s">
        <v>16</v>
      </c>
    </row>
    <row r="42" spans="3:9" x14ac:dyDescent="0.35">
      <c r="C42" t="s">
        <v>71</v>
      </c>
      <c r="D42" t="s">
        <v>8</v>
      </c>
      <c r="E42" t="s">
        <v>12</v>
      </c>
      <c r="F42">
        <v>33</v>
      </c>
      <c r="G42" s="4">
        <v>44190</v>
      </c>
      <c r="H42" s="5">
        <v>96140</v>
      </c>
      <c r="I42" t="s">
        <v>16</v>
      </c>
    </row>
    <row r="43" spans="3:9" x14ac:dyDescent="0.35">
      <c r="C43" t="s">
        <v>50</v>
      </c>
      <c r="D43" t="s">
        <v>15</v>
      </c>
      <c r="E43" t="s">
        <v>9</v>
      </c>
      <c r="F43">
        <v>31</v>
      </c>
      <c r="G43" s="4">
        <v>44724</v>
      </c>
      <c r="H43" s="5">
        <v>103550</v>
      </c>
      <c r="I43" t="s">
        <v>16</v>
      </c>
    </row>
    <row r="44" spans="3:9" x14ac:dyDescent="0.35">
      <c r="C44" t="s">
        <v>14</v>
      </c>
      <c r="D44" t="s">
        <v>15</v>
      </c>
      <c r="E44" t="s">
        <v>12</v>
      </c>
      <c r="F44">
        <v>31</v>
      </c>
      <c r="G44" s="4">
        <v>44511</v>
      </c>
      <c r="H44" s="5">
        <v>48950</v>
      </c>
      <c r="I44" t="s">
        <v>16</v>
      </c>
    </row>
    <row r="45" spans="3:9" x14ac:dyDescent="0.35">
      <c r="C45" t="s">
        <v>63</v>
      </c>
      <c r="D45" t="s">
        <v>15</v>
      </c>
      <c r="E45" t="s">
        <v>21</v>
      </c>
      <c r="F45">
        <v>24</v>
      </c>
      <c r="G45" s="4">
        <v>44436</v>
      </c>
      <c r="H45" s="5">
        <v>52610</v>
      </c>
      <c r="I45" t="s">
        <v>24</v>
      </c>
    </row>
    <row r="46" spans="3:9" x14ac:dyDescent="0.35">
      <c r="C46" t="s">
        <v>72</v>
      </c>
      <c r="D46" t="s">
        <v>8</v>
      </c>
      <c r="E46" t="s">
        <v>9</v>
      </c>
      <c r="F46">
        <v>36</v>
      </c>
      <c r="G46" s="4">
        <v>44529</v>
      </c>
      <c r="H46" s="5">
        <v>78390</v>
      </c>
      <c r="I46" t="s">
        <v>16</v>
      </c>
    </row>
    <row r="47" spans="3:9" x14ac:dyDescent="0.35">
      <c r="C47" t="s">
        <v>88</v>
      </c>
      <c r="D47" t="s">
        <v>8</v>
      </c>
      <c r="E47" t="s">
        <v>21</v>
      </c>
      <c r="F47">
        <v>33</v>
      </c>
      <c r="G47" s="4">
        <v>44809</v>
      </c>
      <c r="H47" s="5">
        <v>86570</v>
      </c>
      <c r="I47" t="s">
        <v>16</v>
      </c>
    </row>
    <row r="48" spans="3:9" x14ac:dyDescent="0.35">
      <c r="C48" t="s">
        <v>92</v>
      </c>
      <c r="D48" t="s">
        <v>8</v>
      </c>
      <c r="E48" t="s">
        <v>12</v>
      </c>
      <c r="F48">
        <v>27</v>
      </c>
      <c r="G48" s="4">
        <v>44686</v>
      </c>
      <c r="H48" s="5">
        <v>83750</v>
      </c>
      <c r="I48" t="s">
        <v>16</v>
      </c>
    </row>
    <row r="49" spans="3:9" x14ac:dyDescent="0.35">
      <c r="C49" t="s">
        <v>102</v>
      </c>
      <c r="D49" t="s">
        <v>8</v>
      </c>
      <c r="E49" t="s">
        <v>21</v>
      </c>
      <c r="F49">
        <v>34</v>
      </c>
      <c r="G49" s="4">
        <v>44445</v>
      </c>
      <c r="H49" s="5">
        <v>92450</v>
      </c>
      <c r="I49" t="s">
        <v>16</v>
      </c>
    </row>
    <row r="50" spans="3:9" x14ac:dyDescent="0.35">
      <c r="C50" t="s">
        <v>64</v>
      </c>
      <c r="D50" t="s">
        <v>15</v>
      </c>
      <c r="E50" t="s">
        <v>12</v>
      </c>
      <c r="F50">
        <v>20</v>
      </c>
      <c r="G50" s="4">
        <v>44183</v>
      </c>
      <c r="H50" s="5">
        <v>112650</v>
      </c>
      <c r="I50" t="s">
        <v>16</v>
      </c>
    </row>
    <row r="51" spans="3:9" x14ac:dyDescent="0.35">
      <c r="C51" t="s">
        <v>104</v>
      </c>
      <c r="D51" t="s">
        <v>15</v>
      </c>
      <c r="E51" t="s">
        <v>9</v>
      </c>
      <c r="F51">
        <v>20</v>
      </c>
      <c r="G51" s="4">
        <v>44744</v>
      </c>
      <c r="H51" s="5">
        <v>79570</v>
      </c>
      <c r="I51" t="s">
        <v>16</v>
      </c>
    </row>
    <row r="52" spans="3:9" x14ac:dyDescent="0.35">
      <c r="C52" t="s">
        <v>91</v>
      </c>
      <c r="D52" t="s">
        <v>8</v>
      </c>
      <c r="E52" t="s">
        <v>19</v>
      </c>
      <c r="F52">
        <v>20</v>
      </c>
      <c r="G52" s="4">
        <v>44537</v>
      </c>
      <c r="H52" s="5">
        <v>68900</v>
      </c>
      <c r="I52" t="s">
        <v>24</v>
      </c>
    </row>
    <row r="53" spans="3:9" x14ac:dyDescent="0.35">
      <c r="C53" t="s">
        <v>39</v>
      </c>
      <c r="D53" t="s">
        <v>8</v>
      </c>
      <c r="E53" t="s">
        <v>12</v>
      </c>
      <c r="F53">
        <v>25</v>
      </c>
      <c r="G53" s="4">
        <v>44694</v>
      </c>
      <c r="H53" s="5">
        <v>80700</v>
      </c>
      <c r="I53" t="s">
        <v>13</v>
      </c>
    </row>
    <row r="54" spans="3:9" x14ac:dyDescent="0.35">
      <c r="C54" t="s">
        <v>100</v>
      </c>
      <c r="D54" t="s">
        <v>15</v>
      </c>
      <c r="E54" t="s">
        <v>9</v>
      </c>
      <c r="F54">
        <v>19</v>
      </c>
      <c r="G54" s="4">
        <v>44277</v>
      </c>
      <c r="H54" s="5">
        <v>58960</v>
      </c>
      <c r="I54" t="s">
        <v>16</v>
      </c>
    </row>
    <row r="55" spans="3:9" x14ac:dyDescent="0.35">
      <c r="C55" t="s">
        <v>106</v>
      </c>
      <c r="D55" t="s">
        <v>15</v>
      </c>
      <c r="E55" t="s">
        <v>12</v>
      </c>
      <c r="F55">
        <v>36</v>
      </c>
      <c r="G55" s="4">
        <v>44019</v>
      </c>
      <c r="H55" s="5">
        <v>118840</v>
      </c>
      <c r="I55" t="s">
        <v>16</v>
      </c>
    </row>
    <row r="56" spans="3:9" x14ac:dyDescent="0.35">
      <c r="C56" t="s">
        <v>29</v>
      </c>
      <c r="D56" t="s">
        <v>15</v>
      </c>
      <c r="E56" t="s">
        <v>21</v>
      </c>
      <c r="F56">
        <v>28</v>
      </c>
      <c r="G56" s="4">
        <v>44041</v>
      </c>
      <c r="H56" s="5">
        <v>48170</v>
      </c>
      <c r="I56" t="s">
        <v>13</v>
      </c>
    </row>
    <row r="57" spans="3:9" x14ac:dyDescent="0.35">
      <c r="C57" t="s">
        <v>108</v>
      </c>
      <c r="D57" t="s">
        <v>8</v>
      </c>
      <c r="E57" t="s">
        <v>56</v>
      </c>
      <c r="F57">
        <v>32</v>
      </c>
      <c r="G57" s="4">
        <v>44400</v>
      </c>
      <c r="H57" s="5">
        <v>45510</v>
      </c>
      <c r="I57" t="s">
        <v>16</v>
      </c>
    </row>
    <row r="58" spans="3:9" x14ac:dyDescent="0.35">
      <c r="C58" t="s">
        <v>64</v>
      </c>
      <c r="D58" t="s">
        <v>15</v>
      </c>
      <c r="E58" t="s">
        <v>9</v>
      </c>
      <c r="F58">
        <v>34</v>
      </c>
      <c r="G58" s="4">
        <v>44703</v>
      </c>
      <c r="H58" s="5">
        <v>112650</v>
      </c>
      <c r="I58" t="s">
        <v>16</v>
      </c>
    </row>
    <row r="59" spans="3:9" x14ac:dyDescent="0.35">
      <c r="C59" t="s">
        <v>83</v>
      </c>
      <c r="D59" t="s">
        <v>8</v>
      </c>
      <c r="E59" t="s">
        <v>9</v>
      </c>
      <c r="F59">
        <v>36</v>
      </c>
      <c r="G59" s="4">
        <v>44085</v>
      </c>
      <c r="H59" s="5">
        <v>114890</v>
      </c>
      <c r="I59" t="s">
        <v>16</v>
      </c>
    </row>
    <row r="60" spans="3:9" x14ac:dyDescent="0.35">
      <c r="C60" t="s">
        <v>67</v>
      </c>
      <c r="D60" t="s">
        <v>15</v>
      </c>
      <c r="E60" t="s">
        <v>12</v>
      </c>
      <c r="F60">
        <v>30</v>
      </c>
      <c r="G60" s="4">
        <v>44850</v>
      </c>
      <c r="H60" s="5">
        <v>69710</v>
      </c>
      <c r="I60" t="s">
        <v>16</v>
      </c>
    </row>
    <row r="61" spans="3:9" x14ac:dyDescent="0.35">
      <c r="C61" t="s">
        <v>94</v>
      </c>
      <c r="D61" t="s">
        <v>15</v>
      </c>
      <c r="E61" t="s">
        <v>21</v>
      </c>
      <c r="F61">
        <v>36</v>
      </c>
      <c r="G61" s="4">
        <v>44333</v>
      </c>
      <c r="H61" s="5">
        <v>71380</v>
      </c>
      <c r="I61" t="s">
        <v>16</v>
      </c>
    </row>
    <row r="62" spans="3:9" x14ac:dyDescent="0.35">
      <c r="C62" t="s">
        <v>33</v>
      </c>
      <c r="D62" t="s">
        <v>8</v>
      </c>
      <c r="E62" t="s">
        <v>19</v>
      </c>
      <c r="F62">
        <v>38</v>
      </c>
      <c r="G62" s="4">
        <v>44377</v>
      </c>
      <c r="H62" s="5">
        <v>109160</v>
      </c>
      <c r="I62" t="s">
        <v>10</v>
      </c>
    </row>
    <row r="63" spans="3:9" x14ac:dyDescent="0.35">
      <c r="C63" t="s">
        <v>98</v>
      </c>
      <c r="D63" t="s">
        <v>15</v>
      </c>
      <c r="E63" t="s">
        <v>9</v>
      </c>
      <c r="F63">
        <v>27</v>
      </c>
      <c r="G63" s="4">
        <v>44609</v>
      </c>
      <c r="H63" s="5">
        <v>113280</v>
      </c>
      <c r="I63" t="s">
        <v>42</v>
      </c>
    </row>
    <row r="64" spans="3:9" x14ac:dyDescent="0.35">
      <c r="C64" t="s">
        <v>25</v>
      </c>
      <c r="D64" t="s">
        <v>15</v>
      </c>
      <c r="E64" t="s">
        <v>12</v>
      </c>
      <c r="F64">
        <v>30</v>
      </c>
      <c r="G64" s="4">
        <v>44273</v>
      </c>
      <c r="H64" s="5">
        <v>69120</v>
      </c>
      <c r="I64" t="s">
        <v>16</v>
      </c>
    </row>
    <row r="65" spans="3:9" x14ac:dyDescent="0.35">
      <c r="C65" t="s">
        <v>55</v>
      </c>
      <c r="D65" t="s">
        <v>8</v>
      </c>
      <c r="E65" t="s">
        <v>56</v>
      </c>
      <c r="F65">
        <v>37</v>
      </c>
      <c r="G65" s="4">
        <v>44451</v>
      </c>
      <c r="H65" s="5">
        <v>118100</v>
      </c>
      <c r="I65" t="s">
        <v>16</v>
      </c>
    </row>
    <row r="66" spans="3:9" x14ac:dyDescent="0.35">
      <c r="C66" t="s">
        <v>62</v>
      </c>
      <c r="D66" t="s">
        <v>8</v>
      </c>
      <c r="E66" t="s">
        <v>9</v>
      </c>
      <c r="F66">
        <v>22</v>
      </c>
      <c r="G66" s="4">
        <v>44450</v>
      </c>
      <c r="H66" s="5">
        <v>76900</v>
      </c>
      <c r="I66" t="s">
        <v>13</v>
      </c>
    </row>
    <row r="67" spans="3:9" x14ac:dyDescent="0.35">
      <c r="C67" t="s">
        <v>17</v>
      </c>
      <c r="D67" t="s">
        <v>8</v>
      </c>
      <c r="E67" t="s">
        <v>12</v>
      </c>
      <c r="F67">
        <v>43</v>
      </c>
      <c r="G67" s="4">
        <v>45045</v>
      </c>
      <c r="H67" s="5">
        <v>114870</v>
      </c>
      <c r="I67" t="s">
        <v>16</v>
      </c>
    </row>
    <row r="68" spans="3:9" x14ac:dyDescent="0.35">
      <c r="C68" t="s">
        <v>52</v>
      </c>
      <c r="E68" t="s">
        <v>12</v>
      </c>
      <c r="F68">
        <v>32</v>
      </c>
      <c r="G68" s="4">
        <v>44774</v>
      </c>
      <c r="H68" s="5">
        <v>91310</v>
      </c>
      <c r="I68" t="s">
        <v>16</v>
      </c>
    </row>
    <row r="69" spans="3:9" x14ac:dyDescent="0.35">
      <c r="C69" t="s">
        <v>43</v>
      </c>
      <c r="D69" t="s">
        <v>8</v>
      </c>
      <c r="E69" t="s">
        <v>9</v>
      </c>
      <c r="F69">
        <v>28</v>
      </c>
      <c r="G69" s="4">
        <v>44486</v>
      </c>
      <c r="H69" s="5">
        <v>104770</v>
      </c>
      <c r="I69" t="s">
        <v>16</v>
      </c>
    </row>
    <row r="70" spans="3:9" x14ac:dyDescent="0.35">
      <c r="C70" t="s">
        <v>89</v>
      </c>
      <c r="D70" t="s">
        <v>15</v>
      </c>
      <c r="E70" t="s">
        <v>19</v>
      </c>
      <c r="F70">
        <v>27</v>
      </c>
      <c r="G70" s="4">
        <v>44134</v>
      </c>
      <c r="H70" s="5">
        <v>54970</v>
      </c>
      <c r="I70" t="s">
        <v>16</v>
      </c>
    </row>
    <row r="71" spans="3:9" x14ac:dyDescent="0.35">
      <c r="C71" t="s">
        <v>11</v>
      </c>
      <c r="E71" t="s">
        <v>12</v>
      </c>
      <c r="F71">
        <v>26</v>
      </c>
      <c r="G71" s="4">
        <v>44271</v>
      </c>
      <c r="H71" s="5">
        <v>90700</v>
      </c>
      <c r="I71" t="s">
        <v>13</v>
      </c>
    </row>
    <row r="72" spans="3:9" x14ac:dyDescent="0.35">
      <c r="C72" t="s">
        <v>109</v>
      </c>
      <c r="D72" t="s">
        <v>8</v>
      </c>
      <c r="E72" t="s">
        <v>19</v>
      </c>
      <c r="F72">
        <v>38</v>
      </c>
      <c r="G72" s="4">
        <v>44329</v>
      </c>
      <c r="H72" s="5">
        <v>56870</v>
      </c>
      <c r="I72" t="s">
        <v>13</v>
      </c>
    </row>
    <row r="73" spans="3:9" x14ac:dyDescent="0.35">
      <c r="C73" t="s">
        <v>77</v>
      </c>
      <c r="D73" t="s">
        <v>8</v>
      </c>
      <c r="E73" t="s">
        <v>19</v>
      </c>
      <c r="F73">
        <v>25</v>
      </c>
      <c r="G73" s="4">
        <v>44205</v>
      </c>
      <c r="H73" s="5">
        <v>92700</v>
      </c>
      <c r="I73" t="s">
        <v>16</v>
      </c>
    </row>
    <row r="74" spans="3:9" x14ac:dyDescent="0.35">
      <c r="C74" t="s">
        <v>32</v>
      </c>
      <c r="D74" t="s">
        <v>8</v>
      </c>
      <c r="E74" t="s">
        <v>21</v>
      </c>
      <c r="F74">
        <v>21</v>
      </c>
      <c r="G74" s="4">
        <v>44317</v>
      </c>
      <c r="H74" s="5">
        <v>65920</v>
      </c>
      <c r="I74" t="s">
        <v>16</v>
      </c>
    </row>
    <row r="75" spans="3:9" x14ac:dyDescent="0.35">
      <c r="C75" t="s">
        <v>59</v>
      </c>
      <c r="D75" t="s">
        <v>15</v>
      </c>
      <c r="E75" t="s">
        <v>9</v>
      </c>
      <c r="F75">
        <v>26</v>
      </c>
      <c r="G75" s="4">
        <v>44225</v>
      </c>
      <c r="H75" s="5">
        <v>47360</v>
      </c>
      <c r="I75" t="s">
        <v>16</v>
      </c>
    </row>
    <row r="76" spans="3:9" x14ac:dyDescent="0.35">
      <c r="C76" t="s">
        <v>37</v>
      </c>
      <c r="D76" t="s">
        <v>15</v>
      </c>
      <c r="E76" t="s">
        <v>9</v>
      </c>
      <c r="F76">
        <v>30</v>
      </c>
      <c r="G76" s="4">
        <v>44666</v>
      </c>
      <c r="H76" s="5">
        <v>60570</v>
      </c>
      <c r="I76" t="s">
        <v>16</v>
      </c>
    </row>
    <row r="77" spans="3:9" x14ac:dyDescent="0.35">
      <c r="C77" t="s">
        <v>96</v>
      </c>
      <c r="D77" t="s">
        <v>8</v>
      </c>
      <c r="E77" t="s">
        <v>9</v>
      </c>
      <c r="F77">
        <v>28</v>
      </c>
      <c r="G77" s="4">
        <v>44649</v>
      </c>
      <c r="H77" s="5">
        <v>104120</v>
      </c>
      <c r="I77" t="s">
        <v>16</v>
      </c>
    </row>
    <row r="78" spans="3:9" x14ac:dyDescent="0.35">
      <c r="C78" t="s">
        <v>23</v>
      </c>
      <c r="D78" t="s">
        <v>15</v>
      </c>
      <c r="E78" t="s">
        <v>12</v>
      </c>
      <c r="F78">
        <v>37</v>
      </c>
      <c r="G78" s="4">
        <v>44338</v>
      </c>
      <c r="H78" s="5">
        <v>88050</v>
      </c>
      <c r="I78" t="s">
        <v>24</v>
      </c>
    </row>
    <row r="79" spans="3:9" x14ac:dyDescent="0.35">
      <c r="C79" t="s">
        <v>103</v>
      </c>
      <c r="D79" t="s">
        <v>15</v>
      </c>
      <c r="E79" t="s">
        <v>12</v>
      </c>
      <c r="F79">
        <v>24</v>
      </c>
      <c r="G79" s="4">
        <v>44686</v>
      </c>
      <c r="H79" s="5">
        <v>100420</v>
      </c>
      <c r="I79" t="s">
        <v>16</v>
      </c>
    </row>
    <row r="80" spans="3:9" x14ac:dyDescent="0.35">
      <c r="C80" t="s">
        <v>54</v>
      </c>
      <c r="D80" t="s">
        <v>8</v>
      </c>
      <c r="E80" t="s">
        <v>9</v>
      </c>
      <c r="F80">
        <v>30</v>
      </c>
      <c r="G80" s="4">
        <v>44850</v>
      </c>
      <c r="H80" s="5">
        <v>114180</v>
      </c>
      <c r="I80" t="s">
        <v>16</v>
      </c>
    </row>
    <row r="81" spans="3:9" x14ac:dyDescent="0.35">
      <c r="C81" t="s">
        <v>86</v>
      </c>
      <c r="D81" t="s">
        <v>8</v>
      </c>
      <c r="E81" t="s">
        <v>12</v>
      </c>
      <c r="F81">
        <v>21</v>
      </c>
      <c r="G81" s="4">
        <v>44678</v>
      </c>
      <c r="H81" s="5">
        <v>33920</v>
      </c>
      <c r="I81" t="s">
        <v>16</v>
      </c>
    </row>
    <row r="82" spans="3:9" x14ac:dyDescent="0.35">
      <c r="C82" t="s">
        <v>69</v>
      </c>
      <c r="D82" t="s">
        <v>15</v>
      </c>
      <c r="E82" t="s">
        <v>9</v>
      </c>
      <c r="F82">
        <v>23</v>
      </c>
      <c r="G82" s="4">
        <v>44440</v>
      </c>
      <c r="H82" s="5">
        <v>106460</v>
      </c>
      <c r="I82" t="s">
        <v>16</v>
      </c>
    </row>
    <row r="83" spans="3:9" x14ac:dyDescent="0.35">
      <c r="C83" t="s">
        <v>57</v>
      </c>
      <c r="D83" t="s">
        <v>15</v>
      </c>
      <c r="E83" t="s">
        <v>9</v>
      </c>
      <c r="F83">
        <v>35</v>
      </c>
      <c r="G83" s="4">
        <v>44727</v>
      </c>
      <c r="H83" s="5">
        <v>40400</v>
      </c>
      <c r="I83" t="s">
        <v>16</v>
      </c>
    </row>
    <row r="84" spans="3:9" x14ac:dyDescent="0.35">
      <c r="C84" t="s">
        <v>68</v>
      </c>
      <c r="D84" t="s">
        <v>15</v>
      </c>
      <c r="E84" t="s">
        <v>21</v>
      </c>
      <c r="F84">
        <v>27</v>
      </c>
      <c r="G84" s="4">
        <v>44236</v>
      </c>
      <c r="H84" s="5">
        <v>91650</v>
      </c>
      <c r="I84" t="s">
        <v>13</v>
      </c>
    </row>
    <row r="85" spans="3:9" x14ac:dyDescent="0.35">
      <c r="C85" t="s">
        <v>99</v>
      </c>
      <c r="D85" t="s">
        <v>15</v>
      </c>
      <c r="E85" t="s">
        <v>19</v>
      </c>
      <c r="F85">
        <v>43</v>
      </c>
      <c r="G85" s="4">
        <v>44620</v>
      </c>
      <c r="H85" s="5">
        <v>36040</v>
      </c>
      <c r="I85" t="s">
        <v>16</v>
      </c>
    </row>
    <row r="86" spans="3:9" x14ac:dyDescent="0.35">
      <c r="C86" t="s">
        <v>101</v>
      </c>
      <c r="D86" t="s">
        <v>8</v>
      </c>
      <c r="E86" t="s">
        <v>12</v>
      </c>
      <c r="F86">
        <v>40</v>
      </c>
      <c r="G86" s="4">
        <v>44381</v>
      </c>
      <c r="H86" s="5">
        <v>104410</v>
      </c>
      <c r="I86" t="s">
        <v>16</v>
      </c>
    </row>
    <row r="87" spans="3:9" x14ac:dyDescent="0.35">
      <c r="C87" t="s">
        <v>85</v>
      </c>
      <c r="D87" t="s">
        <v>15</v>
      </c>
      <c r="E87" t="s">
        <v>21</v>
      </c>
      <c r="F87">
        <v>30</v>
      </c>
      <c r="G87" s="4">
        <v>44606</v>
      </c>
      <c r="H87" s="5">
        <v>96800</v>
      </c>
      <c r="I87" t="s">
        <v>16</v>
      </c>
    </row>
    <row r="88" spans="3:9" x14ac:dyDescent="0.35">
      <c r="C88" t="s">
        <v>28</v>
      </c>
      <c r="D88" t="s">
        <v>8</v>
      </c>
      <c r="E88" t="s">
        <v>21</v>
      </c>
      <c r="F88">
        <v>34</v>
      </c>
      <c r="G88" s="4">
        <v>44459</v>
      </c>
      <c r="H88" s="5">
        <v>85000</v>
      </c>
      <c r="I88" t="s">
        <v>16</v>
      </c>
    </row>
    <row r="89" spans="3:9" x14ac:dyDescent="0.35">
      <c r="C89" t="s">
        <v>80</v>
      </c>
      <c r="D89" t="s">
        <v>15</v>
      </c>
      <c r="E89" t="s">
        <v>19</v>
      </c>
      <c r="F89">
        <v>28</v>
      </c>
      <c r="G89" s="4">
        <v>44820</v>
      </c>
      <c r="H89" s="5">
        <v>43510</v>
      </c>
      <c r="I89" t="s">
        <v>42</v>
      </c>
    </row>
    <row r="90" spans="3:9" x14ac:dyDescent="0.35">
      <c r="C90" t="s">
        <v>79</v>
      </c>
      <c r="D90" t="s">
        <v>15</v>
      </c>
      <c r="E90" t="s">
        <v>21</v>
      </c>
      <c r="F90">
        <v>33</v>
      </c>
      <c r="G90" s="4">
        <v>44243</v>
      </c>
      <c r="H90" s="5">
        <v>59430</v>
      </c>
      <c r="I90" t="s">
        <v>16</v>
      </c>
    </row>
    <row r="91" spans="3:9" x14ac:dyDescent="0.35">
      <c r="C91" t="s">
        <v>93</v>
      </c>
      <c r="D91" t="s">
        <v>8</v>
      </c>
      <c r="E91" t="s">
        <v>21</v>
      </c>
      <c r="F91">
        <v>33</v>
      </c>
      <c r="G91" s="4">
        <v>44067</v>
      </c>
      <c r="H91" s="5">
        <v>65360</v>
      </c>
      <c r="I91" t="s">
        <v>16</v>
      </c>
    </row>
    <row r="92" spans="3:9" x14ac:dyDescent="0.35">
      <c r="C92" t="s">
        <v>66</v>
      </c>
      <c r="D92" t="s">
        <v>8</v>
      </c>
      <c r="E92" t="s">
        <v>9</v>
      </c>
      <c r="F92">
        <v>32</v>
      </c>
      <c r="G92" s="4">
        <v>44611</v>
      </c>
      <c r="H92" s="5">
        <v>41570</v>
      </c>
      <c r="I92" t="s">
        <v>16</v>
      </c>
    </row>
    <row r="93" spans="3:9" x14ac:dyDescent="0.35">
      <c r="C93" t="s">
        <v>95</v>
      </c>
      <c r="D93" t="s">
        <v>8</v>
      </c>
      <c r="E93" t="s">
        <v>12</v>
      </c>
      <c r="F93">
        <v>33</v>
      </c>
      <c r="G93" s="4">
        <v>44312</v>
      </c>
      <c r="H93" s="5">
        <v>75280</v>
      </c>
      <c r="I93" t="s">
        <v>16</v>
      </c>
    </row>
    <row r="94" spans="3:9" x14ac:dyDescent="0.35">
      <c r="C94" t="s">
        <v>18</v>
      </c>
      <c r="D94" t="s">
        <v>15</v>
      </c>
      <c r="E94" t="s">
        <v>19</v>
      </c>
      <c r="F94">
        <v>33</v>
      </c>
      <c r="G94" s="4">
        <v>44385</v>
      </c>
      <c r="H94" s="5">
        <v>74550</v>
      </c>
      <c r="I94" t="s">
        <v>16</v>
      </c>
    </row>
    <row r="95" spans="3:9" x14ac:dyDescent="0.35">
      <c r="C95" t="s">
        <v>45</v>
      </c>
      <c r="D95" t="s">
        <v>15</v>
      </c>
      <c r="E95" t="s">
        <v>9</v>
      </c>
      <c r="F95">
        <v>30</v>
      </c>
      <c r="G95" s="4">
        <v>44701</v>
      </c>
      <c r="H95" s="5">
        <v>67950</v>
      </c>
      <c r="I95" t="s">
        <v>16</v>
      </c>
    </row>
    <row r="96" spans="3:9" x14ac:dyDescent="0.35">
      <c r="C96" t="s">
        <v>90</v>
      </c>
      <c r="D96" t="s">
        <v>15</v>
      </c>
      <c r="E96" t="s">
        <v>21</v>
      </c>
      <c r="F96">
        <v>42</v>
      </c>
      <c r="G96" s="4">
        <v>44731</v>
      </c>
      <c r="H96" s="5">
        <v>70270</v>
      </c>
      <c r="I96" t="s">
        <v>24</v>
      </c>
    </row>
    <row r="97" spans="3:9" x14ac:dyDescent="0.35">
      <c r="C97" t="s">
        <v>46</v>
      </c>
      <c r="D97" t="s">
        <v>15</v>
      </c>
      <c r="E97" t="s">
        <v>9</v>
      </c>
      <c r="F97">
        <v>26</v>
      </c>
      <c r="G97" s="4">
        <v>44411</v>
      </c>
      <c r="H97" s="5">
        <v>53540</v>
      </c>
      <c r="I97" t="s">
        <v>16</v>
      </c>
    </row>
    <row r="98" spans="3:9" x14ac:dyDescent="0.35">
      <c r="C98" t="s">
        <v>58</v>
      </c>
      <c r="D98" t="s">
        <v>15</v>
      </c>
      <c r="E98" t="s">
        <v>19</v>
      </c>
      <c r="F98">
        <v>22</v>
      </c>
      <c r="G98" s="4">
        <v>44446</v>
      </c>
      <c r="H98" s="5">
        <v>112780</v>
      </c>
      <c r="I98" t="s">
        <v>13</v>
      </c>
    </row>
    <row r="99" spans="3:9" x14ac:dyDescent="0.35">
      <c r="C99" t="s">
        <v>70</v>
      </c>
      <c r="D99" t="s">
        <v>15</v>
      </c>
      <c r="E99" t="s">
        <v>9</v>
      </c>
      <c r="F99">
        <v>46</v>
      </c>
      <c r="G99" s="4">
        <v>44758</v>
      </c>
      <c r="H99" s="5">
        <v>70610</v>
      </c>
      <c r="I99" t="s">
        <v>16</v>
      </c>
    </row>
    <row r="100" spans="3:9" x14ac:dyDescent="0.35">
      <c r="C100" t="s">
        <v>75</v>
      </c>
      <c r="D100" t="s">
        <v>8</v>
      </c>
      <c r="E100" t="s">
        <v>19</v>
      </c>
      <c r="F100">
        <v>28</v>
      </c>
      <c r="G100" s="4">
        <v>44357</v>
      </c>
      <c r="H100" s="5">
        <v>53240</v>
      </c>
      <c r="I100" t="s">
        <v>16</v>
      </c>
    </row>
    <row r="101" spans="3:9" x14ac:dyDescent="0.35">
      <c r="C101" t="s">
        <v>49</v>
      </c>
      <c r="E101" t="s">
        <v>21</v>
      </c>
      <c r="F101">
        <v>37</v>
      </c>
      <c r="G101" s="4">
        <v>44146</v>
      </c>
      <c r="H101" s="5">
        <v>115440</v>
      </c>
      <c r="I101" t="s">
        <v>24</v>
      </c>
    </row>
    <row r="102" spans="3:9" x14ac:dyDescent="0.35">
      <c r="C102" t="s">
        <v>65</v>
      </c>
      <c r="D102" t="s">
        <v>15</v>
      </c>
      <c r="E102" t="s">
        <v>19</v>
      </c>
      <c r="F102">
        <v>32</v>
      </c>
      <c r="G102" s="4">
        <v>44465</v>
      </c>
      <c r="H102" s="5">
        <v>53540</v>
      </c>
      <c r="I102" t="s">
        <v>16</v>
      </c>
    </row>
    <row r="103" spans="3:9" x14ac:dyDescent="0.35">
      <c r="C103" t="s">
        <v>81</v>
      </c>
      <c r="D103" t="s">
        <v>8</v>
      </c>
      <c r="E103" t="s">
        <v>9</v>
      </c>
      <c r="F103">
        <v>30</v>
      </c>
      <c r="G103" s="4">
        <v>44861</v>
      </c>
      <c r="H103" s="5">
        <v>112570</v>
      </c>
      <c r="I103" t="s">
        <v>16</v>
      </c>
    </row>
    <row r="104" spans="3:9" x14ac:dyDescent="0.35">
      <c r="C104" t="s">
        <v>51</v>
      </c>
      <c r="D104" t="s">
        <v>15</v>
      </c>
      <c r="E104" t="s">
        <v>9</v>
      </c>
      <c r="F104">
        <v>33</v>
      </c>
      <c r="G104" s="4">
        <v>44701</v>
      </c>
      <c r="H104" s="5">
        <v>48530</v>
      </c>
      <c r="I104" t="s">
        <v>13</v>
      </c>
    </row>
    <row r="105" spans="3:9" x14ac:dyDescent="0.35">
      <c r="C105" t="s">
        <v>61</v>
      </c>
      <c r="D105" t="s">
        <v>8</v>
      </c>
      <c r="E105" t="s">
        <v>12</v>
      </c>
      <c r="F105">
        <v>24</v>
      </c>
      <c r="G105" s="4">
        <v>44148</v>
      </c>
      <c r="H105" s="5">
        <v>62780</v>
      </c>
      <c r="I105" t="s">
        <v>16</v>
      </c>
    </row>
    <row r="106" spans="3:9" x14ac:dyDescent="0.35">
      <c r="C106" t="s">
        <v>203</v>
      </c>
      <c r="F106">
        <f>SUBTOTAL(101,nz_staff[Age])</f>
        <v>30.52</v>
      </c>
      <c r="H106">
        <f>SUBTOTAL(101,nz_staff[Salary])</f>
        <v>77472.100000000006</v>
      </c>
      <c r="I106">
        <f>SUBTOTAL(103,nz_staff[Rating])</f>
        <v>100</v>
      </c>
    </row>
  </sheetData>
  <conditionalFormatting sqref="C6:C105">
    <cfRule type="duplicateValues" dxfId="0" priority="1"/>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C4851-3EDC-40A3-9C47-98BB4D52E147}">
  <dimension ref="A1:F9"/>
  <sheetViews>
    <sheetView workbookViewId="0">
      <selection activeCell="B14" sqref="B14"/>
    </sheetView>
  </sheetViews>
  <sheetFormatPr defaultRowHeight="14.5" x14ac:dyDescent="0.35"/>
  <cols>
    <col min="1" max="1" width="12.36328125" bestFit="1" customWidth="1"/>
    <col min="2" max="2" width="13.54296875" bestFit="1" customWidth="1"/>
    <col min="5" max="5" width="12.36328125" bestFit="1" customWidth="1"/>
    <col min="6" max="6" width="13.54296875" bestFit="1" customWidth="1"/>
  </cols>
  <sheetData>
    <row r="1" spans="1:6" x14ac:dyDescent="0.35">
      <c r="A1" s="9" t="s">
        <v>204</v>
      </c>
      <c r="B1" t="s" vm="1">
        <v>205</v>
      </c>
      <c r="E1" s="9" t="s">
        <v>204</v>
      </c>
      <c r="F1" t="s" vm="2">
        <v>207</v>
      </c>
    </row>
    <row r="3" spans="1:6" x14ac:dyDescent="0.35">
      <c r="A3" s="9" t="s">
        <v>227</v>
      </c>
      <c r="B3" t="s">
        <v>220</v>
      </c>
      <c r="E3" s="9" t="s">
        <v>227</v>
      </c>
      <c r="F3" t="s">
        <v>220</v>
      </c>
    </row>
    <row r="4" spans="1:6" x14ac:dyDescent="0.35">
      <c r="A4" s="10" t="s">
        <v>9</v>
      </c>
      <c r="B4">
        <v>28</v>
      </c>
      <c r="E4" s="10" t="s">
        <v>12</v>
      </c>
      <c r="F4">
        <v>27</v>
      </c>
    </row>
    <row r="5" spans="1:6" x14ac:dyDescent="0.35">
      <c r="A5" s="10" t="s">
        <v>12</v>
      </c>
      <c r="B5">
        <v>27</v>
      </c>
      <c r="E5" s="10" t="s">
        <v>9</v>
      </c>
      <c r="F5">
        <v>27</v>
      </c>
    </row>
    <row r="6" spans="1:6" x14ac:dyDescent="0.35">
      <c r="A6" s="10" t="s">
        <v>21</v>
      </c>
      <c r="B6">
        <v>19</v>
      </c>
      <c r="E6" s="10" t="s">
        <v>21</v>
      </c>
      <c r="F6">
        <v>19</v>
      </c>
    </row>
    <row r="7" spans="1:6" x14ac:dyDescent="0.35">
      <c r="A7" s="10" t="s">
        <v>19</v>
      </c>
      <c r="B7">
        <v>14</v>
      </c>
      <c r="E7" s="10" t="s">
        <v>19</v>
      </c>
      <c r="F7">
        <v>14</v>
      </c>
    </row>
    <row r="8" spans="1:6" x14ac:dyDescent="0.35">
      <c r="A8" s="10" t="s">
        <v>56</v>
      </c>
      <c r="B8">
        <v>4</v>
      </c>
      <c r="E8" s="10" t="s">
        <v>56</v>
      </c>
      <c r="F8">
        <v>4</v>
      </c>
    </row>
    <row r="9" spans="1:6" x14ac:dyDescent="0.35">
      <c r="A9" s="10" t="s">
        <v>219</v>
      </c>
      <c r="B9">
        <v>92</v>
      </c>
      <c r="E9" s="10" t="s">
        <v>219</v>
      </c>
      <c r="F9">
        <v>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C4-DDE2-4CB7-AC70-5AB590F93835}">
  <dimension ref="B2:H114"/>
  <sheetViews>
    <sheetView workbookViewId="0">
      <selection activeCell="B5" sqref="B5"/>
    </sheetView>
  </sheetViews>
  <sheetFormatPr defaultRowHeight="14.5" x14ac:dyDescent="0.35"/>
  <cols>
    <col min="2" max="2" width="28.1796875" bestFit="1" customWidth="1"/>
    <col min="3" max="3" width="9.26953125" bestFit="1" customWidth="1"/>
    <col min="4" max="4" width="6.1796875" bestFit="1" customWidth="1"/>
    <col min="5" max="5" width="13.1796875" bestFit="1" customWidth="1"/>
    <col min="6" max="6" width="12.90625" bestFit="1" customWidth="1"/>
    <col min="7" max="7" width="13.36328125" bestFit="1" customWidth="1"/>
    <col min="8" max="8" width="11.7265625" bestFit="1" customWidth="1"/>
  </cols>
  <sheetData>
    <row r="2" spans="2:8" x14ac:dyDescent="0.35">
      <c r="B2" t="s">
        <v>0</v>
      </c>
      <c r="C2" t="s">
        <v>1</v>
      </c>
      <c r="D2" t="s">
        <v>3</v>
      </c>
      <c r="E2" t="s">
        <v>6</v>
      </c>
      <c r="F2" t="s">
        <v>4</v>
      </c>
      <c r="G2" t="s">
        <v>2</v>
      </c>
      <c r="H2" t="s">
        <v>5</v>
      </c>
    </row>
    <row r="3" spans="2:8" x14ac:dyDescent="0.35">
      <c r="B3" t="s">
        <v>156</v>
      </c>
      <c r="C3" t="s">
        <v>15</v>
      </c>
      <c r="D3">
        <v>20</v>
      </c>
      <c r="E3" t="s">
        <v>16</v>
      </c>
      <c r="F3" s="4">
        <v>44122</v>
      </c>
      <c r="G3" t="s">
        <v>12</v>
      </c>
      <c r="H3" s="5">
        <v>112650</v>
      </c>
    </row>
    <row r="4" spans="2:8" x14ac:dyDescent="0.35">
      <c r="B4" t="s">
        <v>176</v>
      </c>
      <c r="C4" t="s">
        <v>8</v>
      </c>
      <c r="D4">
        <v>32</v>
      </c>
      <c r="E4" t="s">
        <v>13</v>
      </c>
      <c r="F4" s="4">
        <v>44293</v>
      </c>
      <c r="G4" t="s">
        <v>12</v>
      </c>
      <c r="H4" s="5">
        <v>43840</v>
      </c>
    </row>
    <row r="5" spans="2:8" x14ac:dyDescent="0.35">
      <c r="B5" t="s">
        <v>143</v>
      </c>
      <c r="C5" t="s">
        <v>15</v>
      </c>
      <c r="D5">
        <v>31</v>
      </c>
      <c r="E5" t="s">
        <v>16</v>
      </c>
      <c r="F5" s="4">
        <v>44663</v>
      </c>
      <c r="G5" t="s">
        <v>9</v>
      </c>
      <c r="H5" s="5">
        <v>103550</v>
      </c>
    </row>
    <row r="6" spans="2:8" x14ac:dyDescent="0.35">
      <c r="B6" t="s">
        <v>201</v>
      </c>
      <c r="C6" t="s">
        <v>8</v>
      </c>
      <c r="D6">
        <v>32</v>
      </c>
      <c r="E6" t="s">
        <v>16</v>
      </c>
      <c r="F6" s="4">
        <v>44339</v>
      </c>
      <c r="G6" t="s">
        <v>56</v>
      </c>
      <c r="H6" s="5">
        <v>45510</v>
      </c>
    </row>
    <row r="7" spans="2:8" x14ac:dyDescent="0.35">
      <c r="B7" t="s">
        <v>142</v>
      </c>
      <c r="D7">
        <v>37</v>
      </c>
      <c r="E7" t="s">
        <v>24</v>
      </c>
      <c r="F7" s="4">
        <v>44085</v>
      </c>
      <c r="G7" t="s">
        <v>21</v>
      </c>
      <c r="H7" s="5">
        <v>115440</v>
      </c>
    </row>
    <row r="8" spans="2:8" x14ac:dyDescent="0.35">
      <c r="B8" t="s">
        <v>202</v>
      </c>
      <c r="C8" t="s">
        <v>8</v>
      </c>
      <c r="D8">
        <v>38</v>
      </c>
      <c r="E8" t="s">
        <v>13</v>
      </c>
      <c r="F8" s="4">
        <v>44268</v>
      </c>
      <c r="G8" t="s">
        <v>19</v>
      </c>
      <c r="H8" s="5">
        <v>56870</v>
      </c>
    </row>
    <row r="9" spans="2:8" x14ac:dyDescent="0.35">
      <c r="B9" t="s">
        <v>169</v>
      </c>
      <c r="C9" t="s">
        <v>8</v>
      </c>
      <c r="D9">
        <v>25</v>
      </c>
      <c r="E9" t="s">
        <v>16</v>
      </c>
      <c r="F9" s="4">
        <v>44144</v>
      </c>
      <c r="G9" t="s">
        <v>19</v>
      </c>
      <c r="H9" s="5">
        <v>92700</v>
      </c>
    </row>
    <row r="10" spans="2:8" x14ac:dyDescent="0.35">
      <c r="B10" t="s">
        <v>145</v>
      </c>
      <c r="D10">
        <v>32</v>
      </c>
      <c r="E10" t="s">
        <v>16</v>
      </c>
      <c r="F10" s="4">
        <v>44713</v>
      </c>
      <c r="G10" t="s">
        <v>12</v>
      </c>
      <c r="H10" s="5">
        <v>91310</v>
      </c>
    </row>
    <row r="11" spans="2:8" x14ac:dyDescent="0.35">
      <c r="B11" t="s">
        <v>115</v>
      </c>
      <c r="C11" t="s">
        <v>15</v>
      </c>
      <c r="D11">
        <v>33</v>
      </c>
      <c r="E11" t="s">
        <v>16</v>
      </c>
      <c r="F11" s="4">
        <v>44324</v>
      </c>
      <c r="G11" t="s">
        <v>19</v>
      </c>
      <c r="H11" s="5">
        <v>74550</v>
      </c>
    </row>
    <row r="12" spans="2:8" x14ac:dyDescent="0.35">
      <c r="B12" t="s">
        <v>128</v>
      </c>
      <c r="C12" t="s">
        <v>15</v>
      </c>
      <c r="D12">
        <v>25</v>
      </c>
      <c r="E12" t="s">
        <v>13</v>
      </c>
      <c r="F12" s="4">
        <v>44665</v>
      </c>
      <c r="G12" t="s">
        <v>9</v>
      </c>
      <c r="H12" s="5">
        <v>109190</v>
      </c>
    </row>
    <row r="13" spans="2:8" x14ac:dyDescent="0.35">
      <c r="B13" t="s">
        <v>194</v>
      </c>
      <c r="C13" t="s">
        <v>8</v>
      </c>
      <c r="D13">
        <v>40</v>
      </c>
      <c r="E13" t="s">
        <v>16</v>
      </c>
      <c r="F13" s="4">
        <v>44320</v>
      </c>
      <c r="G13" t="s">
        <v>12</v>
      </c>
      <c r="H13" s="5">
        <v>104410</v>
      </c>
    </row>
    <row r="14" spans="2:8" x14ac:dyDescent="0.35">
      <c r="B14" t="s">
        <v>177</v>
      </c>
      <c r="C14" t="s">
        <v>15</v>
      </c>
      <c r="D14">
        <v>30</v>
      </c>
      <c r="E14" t="s">
        <v>16</v>
      </c>
      <c r="F14" s="4">
        <v>44544</v>
      </c>
      <c r="G14" t="s">
        <v>21</v>
      </c>
      <c r="H14" s="5">
        <v>96800</v>
      </c>
    </row>
    <row r="15" spans="2:8" x14ac:dyDescent="0.35">
      <c r="B15" t="s">
        <v>123</v>
      </c>
      <c r="C15" t="s">
        <v>15</v>
      </c>
      <c r="D15">
        <v>28</v>
      </c>
      <c r="E15" t="s">
        <v>13</v>
      </c>
      <c r="F15" s="4">
        <v>43980</v>
      </c>
      <c r="G15" t="s">
        <v>21</v>
      </c>
      <c r="H15" s="5">
        <v>48170</v>
      </c>
    </row>
    <row r="16" spans="2:8" x14ac:dyDescent="0.35">
      <c r="B16" t="s">
        <v>140</v>
      </c>
      <c r="C16" t="s">
        <v>15</v>
      </c>
      <c r="D16">
        <v>21</v>
      </c>
      <c r="E16" t="s">
        <v>16</v>
      </c>
      <c r="F16" s="4">
        <v>44042</v>
      </c>
      <c r="G16" t="s">
        <v>9</v>
      </c>
      <c r="H16" s="5">
        <v>37920</v>
      </c>
    </row>
    <row r="17" spans="2:8" x14ac:dyDescent="0.35">
      <c r="B17" t="s">
        <v>178</v>
      </c>
      <c r="C17" t="s">
        <v>15</v>
      </c>
      <c r="D17">
        <v>34</v>
      </c>
      <c r="E17" t="s">
        <v>16</v>
      </c>
      <c r="F17" s="4">
        <v>44642</v>
      </c>
      <c r="G17" t="s">
        <v>9</v>
      </c>
      <c r="H17" s="5">
        <v>112650</v>
      </c>
    </row>
    <row r="18" spans="2:8" x14ac:dyDescent="0.35">
      <c r="B18" t="s">
        <v>165</v>
      </c>
      <c r="C18" t="s">
        <v>8</v>
      </c>
      <c r="D18">
        <v>34</v>
      </c>
      <c r="E18" t="s">
        <v>24</v>
      </c>
      <c r="F18" s="4">
        <v>44660</v>
      </c>
      <c r="G18" t="s">
        <v>19</v>
      </c>
      <c r="H18" s="5">
        <v>49630</v>
      </c>
    </row>
    <row r="19" spans="2:8" x14ac:dyDescent="0.35">
      <c r="B19" t="s">
        <v>199</v>
      </c>
      <c r="C19" t="s">
        <v>15</v>
      </c>
      <c r="D19">
        <v>36</v>
      </c>
      <c r="E19" t="s">
        <v>16</v>
      </c>
      <c r="F19" s="4">
        <v>43958</v>
      </c>
      <c r="G19" t="s">
        <v>12</v>
      </c>
      <c r="H19" s="5">
        <v>118840</v>
      </c>
    </row>
    <row r="20" spans="2:8" x14ac:dyDescent="0.35">
      <c r="B20" t="s">
        <v>159</v>
      </c>
      <c r="C20" t="s">
        <v>15</v>
      </c>
      <c r="D20">
        <v>30</v>
      </c>
      <c r="E20" t="s">
        <v>16</v>
      </c>
      <c r="F20" s="4">
        <v>44789</v>
      </c>
      <c r="G20" t="s">
        <v>12</v>
      </c>
      <c r="H20" s="5">
        <v>69710</v>
      </c>
    </row>
    <row r="21" spans="2:8" x14ac:dyDescent="0.35">
      <c r="B21" t="s">
        <v>197</v>
      </c>
      <c r="C21" t="s">
        <v>15</v>
      </c>
      <c r="D21">
        <v>20</v>
      </c>
      <c r="E21" t="s">
        <v>16</v>
      </c>
      <c r="F21" s="4">
        <v>44683</v>
      </c>
      <c r="G21" t="s">
        <v>9</v>
      </c>
      <c r="H21" s="5">
        <v>79570</v>
      </c>
    </row>
    <row r="22" spans="2:8" x14ac:dyDescent="0.35">
      <c r="B22" t="s">
        <v>154</v>
      </c>
      <c r="C22" t="s">
        <v>8</v>
      </c>
      <c r="D22">
        <v>22</v>
      </c>
      <c r="E22" t="s">
        <v>13</v>
      </c>
      <c r="F22" s="4">
        <v>44388</v>
      </c>
      <c r="G22" t="s">
        <v>9</v>
      </c>
      <c r="H22" s="5">
        <v>76900</v>
      </c>
    </row>
    <row r="23" spans="2:8" x14ac:dyDescent="0.35">
      <c r="B23" t="s">
        <v>182</v>
      </c>
      <c r="C23" t="s">
        <v>15</v>
      </c>
      <c r="D23">
        <v>27</v>
      </c>
      <c r="E23" t="s">
        <v>16</v>
      </c>
      <c r="F23" s="4">
        <v>44073</v>
      </c>
      <c r="G23" t="s">
        <v>19</v>
      </c>
      <c r="H23" s="5">
        <v>54970</v>
      </c>
    </row>
    <row r="24" spans="2:8" x14ac:dyDescent="0.35">
      <c r="B24" t="s">
        <v>118</v>
      </c>
      <c r="C24" t="s">
        <v>15</v>
      </c>
      <c r="D24">
        <v>37</v>
      </c>
      <c r="E24" t="s">
        <v>24</v>
      </c>
      <c r="F24" s="4">
        <v>44277</v>
      </c>
      <c r="G24" t="s">
        <v>12</v>
      </c>
      <c r="H24" s="5">
        <v>88050</v>
      </c>
    </row>
    <row r="25" spans="2:8" x14ac:dyDescent="0.35">
      <c r="B25" t="s">
        <v>192</v>
      </c>
      <c r="C25" t="s">
        <v>15</v>
      </c>
      <c r="D25">
        <v>43</v>
      </c>
      <c r="E25" t="s">
        <v>16</v>
      </c>
      <c r="F25" s="4">
        <v>44558</v>
      </c>
      <c r="G25" t="s">
        <v>19</v>
      </c>
      <c r="H25" s="5">
        <v>36040</v>
      </c>
    </row>
    <row r="26" spans="2:8" x14ac:dyDescent="0.35">
      <c r="B26" t="s">
        <v>111</v>
      </c>
      <c r="C26" t="s">
        <v>8</v>
      </c>
      <c r="D26">
        <v>42</v>
      </c>
      <c r="E26" t="s">
        <v>10</v>
      </c>
      <c r="F26" s="4">
        <v>44718</v>
      </c>
      <c r="G26" t="s">
        <v>9</v>
      </c>
      <c r="H26" s="5">
        <v>75000</v>
      </c>
    </row>
    <row r="27" spans="2:8" x14ac:dyDescent="0.35">
      <c r="B27" t="s">
        <v>149</v>
      </c>
      <c r="C27" t="s">
        <v>15</v>
      </c>
      <c r="D27">
        <v>35</v>
      </c>
      <c r="E27" t="s">
        <v>16</v>
      </c>
      <c r="F27" s="4">
        <v>44666</v>
      </c>
      <c r="G27" t="s">
        <v>9</v>
      </c>
      <c r="H27" s="5">
        <v>40400</v>
      </c>
    </row>
    <row r="28" spans="2:8" x14ac:dyDescent="0.35">
      <c r="B28" t="s">
        <v>196</v>
      </c>
      <c r="C28" t="s">
        <v>15</v>
      </c>
      <c r="D28">
        <v>24</v>
      </c>
      <c r="E28" t="s">
        <v>16</v>
      </c>
      <c r="F28" s="4">
        <v>44625</v>
      </c>
      <c r="G28" t="s">
        <v>12</v>
      </c>
      <c r="H28" s="5">
        <v>100420</v>
      </c>
    </row>
    <row r="29" spans="2:8" x14ac:dyDescent="0.35">
      <c r="B29" t="s">
        <v>120</v>
      </c>
      <c r="C29" t="s">
        <v>8</v>
      </c>
      <c r="D29">
        <v>31</v>
      </c>
      <c r="E29" t="s">
        <v>16</v>
      </c>
      <c r="F29" s="4">
        <v>44604</v>
      </c>
      <c r="G29" t="s">
        <v>12</v>
      </c>
      <c r="H29" s="5">
        <v>58100</v>
      </c>
    </row>
    <row r="30" spans="2:8" x14ac:dyDescent="0.35">
      <c r="B30" t="s">
        <v>114</v>
      </c>
      <c r="C30" t="s">
        <v>8</v>
      </c>
      <c r="D30">
        <v>44</v>
      </c>
      <c r="E30" t="s">
        <v>16</v>
      </c>
      <c r="F30" s="4">
        <v>44985</v>
      </c>
      <c r="G30" t="s">
        <v>12</v>
      </c>
      <c r="H30" s="5">
        <v>114870</v>
      </c>
    </row>
    <row r="31" spans="2:8" x14ac:dyDescent="0.35">
      <c r="B31" t="s">
        <v>158</v>
      </c>
      <c r="C31" t="s">
        <v>8</v>
      </c>
      <c r="D31">
        <v>32</v>
      </c>
      <c r="E31" t="s">
        <v>16</v>
      </c>
      <c r="F31" s="4">
        <v>44549</v>
      </c>
      <c r="G31" t="s">
        <v>9</v>
      </c>
      <c r="H31" s="5">
        <v>41570</v>
      </c>
    </row>
    <row r="32" spans="2:8" x14ac:dyDescent="0.35">
      <c r="B32" t="s">
        <v>173</v>
      </c>
      <c r="C32" t="s">
        <v>8</v>
      </c>
      <c r="D32">
        <v>30</v>
      </c>
      <c r="E32" t="s">
        <v>16</v>
      </c>
      <c r="F32" s="4">
        <v>44800</v>
      </c>
      <c r="G32" t="s">
        <v>9</v>
      </c>
      <c r="H32" s="5">
        <v>112570</v>
      </c>
    </row>
    <row r="33" spans="2:8" x14ac:dyDescent="0.35">
      <c r="B33" t="s">
        <v>151</v>
      </c>
      <c r="C33" t="s">
        <v>15</v>
      </c>
      <c r="D33">
        <v>26</v>
      </c>
      <c r="E33" t="s">
        <v>16</v>
      </c>
      <c r="F33" s="4">
        <v>44164</v>
      </c>
      <c r="G33" t="s">
        <v>9</v>
      </c>
      <c r="H33" s="5">
        <v>47360</v>
      </c>
    </row>
    <row r="34" spans="2:8" x14ac:dyDescent="0.35">
      <c r="B34" t="s">
        <v>126</v>
      </c>
      <c r="C34" t="s">
        <v>8</v>
      </c>
      <c r="D34">
        <v>21</v>
      </c>
      <c r="E34" t="s">
        <v>16</v>
      </c>
      <c r="F34" s="4">
        <v>44256</v>
      </c>
      <c r="G34" t="s">
        <v>21</v>
      </c>
      <c r="H34" s="5">
        <v>65920</v>
      </c>
    </row>
    <row r="35" spans="2:8" x14ac:dyDescent="0.35">
      <c r="B35" t="s">
        <v>200</v>
      </c>
      <c r="C35" t="s">
        <v>8</v>
      </c>
      <c r="D35">
        <v>28</v>
      </c>
      <c r="E35" t="s">
        <v>16</v>
      </c>
      <c r="F35" s="4">
        <v>44571</v>
      </c>
      <c r="G35" t="s">
        <v>9</v>
      </c>
      <c r="H35" s="5">
        <v>99970</v>
      </c>
    </row>
    <row r="36" spans="2:8" x14ac:dyDescent="0.35">
      <c r="B36" t="s">
        <v>133</v>
      </c>
      <c r="C36" t="s">
        <v>8</v>
      </c>
      <c r="D36">
        <v>25</v>
      </c>
      <c r="E36" t="s">
        <v>13</v>
      </c>
      <c r="F36" s="4">
        <v>44633</v>
      </c>
      <c r="G36" t="s">
        <v>12</v>
      </c>
      <c r="H36" s="5">
        <v>80700</v>
      </c>
    </row>
    <row r="37" spans="2:8" x14ac:dyDescent="0.35">
      <c r="B37" t="s">
        <v>155</v>
      </c>
      <c r="C37" t="s">
        <v>15</v>
      </c>
      <c r="D37">
        <v>24</v>
      </c>
      <c r="E37" t="s">
        <v>24</v>
      </c>
      <c r="F37" s="4">
        <v>44375</v>
      </c>
      <c r="G37" t="s">
        <v>21</v>
      </c>
      <c r="H37" s="5">
        <v>52610</v>
      </c>
    </row>
    <row r="38" spans="2:8" x14ac:dyDescent="0.35">
      <c r="B38" t="s">
        <v>180</v>
      </c>
      <c r="C38" t="s">
        <v>15</v>
      </c>
      <c r="D38">
        <v>29</v>
      </c>
      <c r="E38" t="s">
        <v>24</v>
      </c>
      <c r="F38" s="4">
        <v>44119</v>
      </c>
      <c r="G38" t="s">
        <v>12</v>
      </c>
      <c r="H38" s="5">
        <v>112110</v>
      </c>
    </row>
    <row r="39" spans="2:8" x14ac:dyDescent="0.35">
      <c r="B39" t="s">
        <v>152</v>
      </c>
      <c r="C39" t="s">
        <v>8</v>
      </c>
      <c r="D39">
        <v>27</v>
      </c>
      <c r="E39" t="s">
        <v>16</v>
      </c>
      <c r="F39" s="4">
        <v>44061</v>
      </c>
      <c r="G39" t="s">
        <v>56</v>
      </c>
      <c r="H39" s="5">
        <v>119110</v>
      </c>
    </row>
    <row r="40" spans="2:8" x14ac:dyDescent="0.35">
      <c r="B40" t="s">
        <v>150</v>
      </c>
      <c r="C40" t="s">
        <v>15</v>
      </c>
      <c r="D40">
        <v>22</v>
      </c>
      <c r="E40" t="s">
        <v>13</v>
      </c>
      <c r="F40" s="4">
        <v>44384</v>
      </c>
      <c r="G40" t="s">
        <v>19</v>
      </c>
      <c r="H40" s="5">
        <v>112780</v>
      </c>
    </row>
    <row r="41" spans="2:8" x14ac:dyDescent="0.35">
      <c r="B41" t="s">
        <v>175</v>
      </c>
      <c r="C41" t="s">
        <v>8</v>
      </c>
      <c r="D41">
        <v>36</v>
      </c>
      <c r="E41" t="s">
        <v>16</v>
      </c>
      <c r="F41" s="4">
        <v>44023</v>
      </c>
      <c r="G41" t="s">
        <v>9</v>
      </c>
      <c r="H41" s="5">
        <v>114890</v>
      </c>
    </row>
    <row r="42" spans="2:8" x14ac:dyDescent="0.35">
      <c r="B42" t="s">
        <v>146</v>
      </c>
      <c r="C42" t="s">
        <v>15</v>
      </c>
      <c r="D42">
        <v>27</v>
      </c>
      <c r="E42" t="s">
        <v>16</v>
      </c>
      <c r="F42" s="4">
        <v>44506</v>
      </c>
      <c r="G42" t="s">
        <v>21</v>
      </c>
      <c r="H42" s="5">
        <v>48980</v>
      </c>
    </row>
    <row r="43" spans="2:8" x14ac:dyDescent="0.35">
      <c r="B43" t="s">
        <v>170</v>
      </c>
      <c r="C43" t="s">
        <v>15</v>
      </c>
      <c r="D43">
        <v>21</v>
      </c>
      <c r="E43" t="s">
        <v>16</v>
      </c>
      <c r="F43" s="4">
        <v>44180</v>
      </c>
      <c r="G43" t="s">
        <v>56</v>
      </c>
      <c r="H43" s="5">
        <v>75880</v>
      </c>
    </row>
    <row r="44" spans="2:8" x14ac:dyDescent="0.35">
      <c r="B44" t="s">
        <v>167</v>
      </c>
      <c r="C44" t="s">
        <v>8</v>
      </c>
      <c r="D44">
        <v>28</v>
      </c>
      <c r="E44" t="s">
        <v>16</v>
      </c>
      <c r="F44" s="4">
        <v>44296</v>
      </c>
      <c r="G44" t="s">
        <v>19</v>
      </c>
      <c r="H44" s="5">
        <v>53240</v>
      </c>
    </row>
    <row r="45" spans="2:8" x14ac:dyDescent="0.35">
      <c r="B45" t="s">
        <v>122</v>
      </c>
      <c r="C45" t="s">
        <v>8</v>
      </c>
      <c r="D45">
        <v>34</v>
      </c>
      <c r="E45" t="s">
        <v>16</v>
      </c>
      <c r="F45" s="4">
        <v>44397</v>
      </c>
      <c r="G45" t="s">
        <v>21</v>
      </c>
      <c r="H45" s="5">
        <v>85000</v>
      </c>
    </row>
    <row r="46" spans="2:8" x14ac:dyDescent="0.35">
      <c r="B46" t="s">
        <v>179</v>
      </c>
      <c r="C46" t="s">
        <v>8</v>
      </c>
      <c r="D46">
        <v>21</v>
      </c>
      <c r="E46" t="s">
        <v>16</v>
      </c>
      <c r="F46" s="4">
        <v>44619</v>
      </c>
      <c r="G46" t="s">
        <v>12</v>
      </c>
      <c r="H46" s="5">
        <v>33920</v>
      </c>
    </row>
    <row r="47" spans="2:8" x14ac:dyDescent="0.35">
      <c r="B47" t="s">
        <v>188</v>
      </c>
      <c r="C47" t="s">
        <v>8</v>
      </c>
      <c r="D47">
        <v>33</v>
      </c>
      <c r="E47" t="s">
        <v>16</v>
      </c>
      <c r="F47" s="4">
        <v>44253</v>
      </c>
      <c r="G47" t="s">
        <v>12</v>
      </c>
      <c r="H47" s="5">
        <v>75280</v>
      </c>
    </row>
    <row r="48" spans="2:8" x14ac:dyDescent="0.35">
      <c r="B48" t="s">
        <v>130</v>
      </c>
      <c r="C48" t="s">
        <v>8</v>
      </c>
      <c r="D48">
        <v>34</v>
      </c>
      <c r="E48" t="s">
        <v>16</v>
      </c>
      <c r="F48" s="4">
        <v>44594</v>
      </c>
      <c r="G48" t="s">
        <v>21</v>
      </c>
      <c r="H48" s="5">
        <v>58940</v>
      </c>
    </row>
    <row r="49" spans="2:8" x14ac:dyDescent="0.35">
      <c r="B49" t="s">
        <v>136</v>
      </c>
      <c r="C49" t="s">
        <v>8</v>
      </c>
      <c r="D49">
        <v>28</v>
      </c>
      <c r="E49" t="s">
        <v>16</v>
      </c>
      <c r="F49" s="4">
        <v>44425</v>
      </c>
      <c r="G49" t="s">
        <v>9</v>
      </c>
      <c r="H49" s="5">
        <v>104770</v>
      </c>
    </row>
    <row r="50" spans="2:8" x14ac:dyDescent="0.35">
      <c r="B50" t="s">
        <v>125</v>
      </c>
      <c r="C50" t="s">
        <v>15</v>
      </c>
      <c r="D50">
        <v>21</v>
      </c>
      <c r="E50" t="s">
        <v>16</v>
      </c>
      <c r="F50" s="4">
        <v>44701</v>
      </c>
      <c r="G50" t="s">
        <v>9</v>
      </c>
      <c r="H50" s="5">
        <v>57090</v>
      </c>
    </row>
    <row r="51" spans="2:8" x14ac:dyDescent="0.35">
      <c r="B51" t="s">
        <v>160</v>
      </c>
      <c r="C51" t="s">
        <v>15</v>
      </c>
      <c r="D51">
        <v>27</v>
      </c>
      <c r="E51" t="s">
        <v>13</v>
      </c>
      <c r="F51" s="4">
        <v>44174</v>
      </c>
      <c r="G51" t="s">
        <v>21</v>
      </c>
      <c r="H51" s="5">
        <v>91650</v>
      </c>
    </row>
    <row r="52" spans="2:8" x14ac:dyDescent="0.35">
      <c r="B52" t="s">
        <v>183</v>
      </c>
      <c r="C52" t="s">
        <v>15</v>
      </c>
      <c r="D52">
        <v>42</v>
      </c>
      <c r="E52" t="s">
        <v>24</v>
      </c>
      <c r="F52" s="4">
        <v>44670</v>
      </c>
      <c r="G52" t="s">
        <v>21</v>
      </c>
      <c r="H52" s="5">
        <v>70270</v>
      </c>
    </row>
    <row r="53" spans="2:8" x14ac:dyDescent="0.35">
      <c r="B53" t="s">
        <v>129</v>
      </c>
      <c r="C53" t="s">
        <v>8</v>
      </c>
      <c r="D53">
        <v>28</v>
      </c>
      <c r="E53" t="s">
        <v>16</v>
      </c>
      <c r="F53" s="4">
        <v>44124</v>
      </c>
      <c r="G53" t="s">
        <v>21</v>
      </c>
      <c r="H53" s="5">
        <v>75970</v>
      </c>
    </row>
    <row r="54" spans="2:8" x14ac:dyDescent="0.35">
      <c r="B54" t="s">
        <v>112</v>
      </c>
      <c r="D54">
        <v>27</v>
      </c>
      <c r="E54" t="s">
        <v>13</v>
      </c>
      <c r="F54" s="4">
        <v>44212</v>
      </c>
      <c r="G54" t="s">
        <v>12</v>
      </c>
      <c r="H54" s="5">
        <v>90700</v>
      </c>
    </row>
    <row r="55" spans="2:8" x14ac:dyDescent="0.35">
      <c r="B55" t="s">
        <v>131</v>
      </c>
      <c r="C55" t="s">
        <v>15</v>
      </c>
      <c r="D55">
        <v>30</v>
      </c>
      <c r="E55" t="s">
        <v>16</v>
      </c>
      <c r="F55" s="4">
        <v>44607</v>
      </c>
      <c r="G55" t="s">
        <v>9</v>
      </c>
      <c r="H55" s="5">
        <v>60570</v>
      </c>
    </row>
    <row r="56" spans="2:8" x14ac:dyDescent="0.35">
      <c r="B56" t="s">
        <v>134</v>
      </c>
      <c r="C56" t="s">
        <v>15</v>
      </c>
      <c r="D56">
        <v>33</v>
      </c>
      <c r="E56" t="s">
        <v>16</v>
      </c>
      <c r="F56" s="4">
        <v>44103</v>
      </c>
      <c r="G56" t="s">
        <v>9</v>
      </c>
      <c r="H56" s="5">
        <v>115920</v>
      </c>
    </row>
    <row r="57" spans="2:8" x14ac:dyDescent="0.35">
      <c r="B57" t="s">
        <v>186</v>
      </c>
      <c r="C57" t="s">
        <v>8</v>
      </c>
      <c r="D57">
        <v>33</v>
      </c>
      <c r="E57" t="s">
        <v>16</v>
      </c>
      <c r="F57" s="4">
        <v>44006</v>
      </c>
      <c r="G57" t="s">
        <v>21</v>
      </c>
      <c r="H57" s="5">
        <v>65360</v>
      </c>
    </row>
    <row r="58" spans="2:8" x14ac:dyDescent="0.35">
      <c r="B58" t="s">
        <v>116</v>
      </c>
      <c r="D58">
        <v>30</v>
      </c>
      <c r="E58" t="s">
        <v>16</v>
      </c>
      <c r="F58" s="4">
        <v>44535</v>
      </c>
      <c r="G58" t="s">
        <v>21</v>
      </c>
      <c r="H58" s="5">
        <v>64000</v>
      </c>
    </row>
    <row r="59" spans="2:8" x14ac:dyDescent="0.35">
      <c r="B59" t="s">
        <v>195</v>
      </c>
      <c r="C59" t="s">
        <v>8</v>
      </c>
      <c r="D59">
        <v>34</v>
      </c>
      <c r="E59" t="s">
        <v>16</v>
      </c>
      <c r="F59" s="4">
        <v>44383</v>
      </c>
      <c r="G59" t="s">
        <v>21</v>
      </c>
      <c r="H59" s="5">
        <v>92450</v>
      </c>
    </row>
    <row r="60" spans="2:8" x14ac:dyDescent="0.35">
      <c r="B60" t="s">
        <v>113</v>
      </c>
      <c r="C60" t="s">
        <v>15</v>
      </c>
      <c r="D60">
        <v>31</v>
      </c>
      <c r="E60" t="s">
        <v>16</v>
      </c>
      <c r="F60" s="4">
        <v>44450</v>
      </c>
      <c r="G60" t="s">
        <v>12</v>
      </c>
      <c r="H60" s="5">
        <v>48950</v>
      </c>
    </row>
    <row r="61" spans="2:8" x14ac:dyDescent="0.35">
      <c r="B61" t="s">
        <v>185</v>
      </c>
      <c r="C61" t="s">
        <v>8</v>
      </c>
      <c r="D61">
        <v>27</v>
      </c>
      <c r="E61" t="s">
        <v>16</v>
      </c>
      <c r="F61" s="4">
        <v>44625</v>
      </c>
      <c r="G61" t="s">
        <v>12</v>
      </c>
      <c r="H61" s="5">
        <v>83750</v>
      </c>
    </row>
    <row r="62" spans="2:8" x14ac:dyDescent="0.35">
      <c r="B62" t="s">
        <v>166</v>
      </c>
      <c r="C62" t="s">
        <v>8</v>
      </c>
      <c r="D62">
        <v>40</v>
      </c>
      <c r="E62" t="s">
        <v>16</v>
      </c>
      <c r="F62" s="4">
        <v>44276</v>
      </c>
      <c r="G62" t="s">
        <v>12</v>
      </c>
      <c r="H62" s="5">
        <v>87620</v>
      </c>
    </row>
    <row r="63" spans="2:8" x14ac:dyDescent="0.35">
      <c r="B63" t="s">
        <v>184</v>
      </c>
      <c r="C63" t="s">
        <v>8</v>
      </c>
      <c r="D63">
        <v>20</v>
      </c>
      <c r="E63" t="s">
        <v>24</v>
      </c>
      <c r="F63" s="4">
        <v>44476</v>
      </c>
      <c r="G63" t="s">
        <v>19</v>
      </c>
      <c r="H63" s="5">
        <v>68900</v>
      </c>
    </row>
    <row r="64" spans="2:8" x14ac:dyDescent="0.35">
      <c r="B64" t="s">
        <v>157</v>
      </c>
      <c r="C64" t="s">
        <v>15</v>
      </c>
      <c r="D64">
        <v>32</v>
      </c>
      <c r="E64" t="s">
        <v>16</v>
      </c>
      <c r="F64" s="4">
        <v>44403</v>
      </c>
      <c r="G64" t="s">
        <v>19</v>
      </c>
      <c r="H64" s="5">
        <v>53540</v>
      </c>
    </row>
    <row r="65" spans="2:8" x14ac:dyDescent="0.35">
      <c r="B65" t="s">
        <v>172</v>
      </c>
      <c r="C65" t="s">
        <v>15</v>
      </c>
      <c r="D65">
        <v>28</v>
      </c>
      <c r="E65" t="s">
        <v>42</v>
      </c>
      <c r="F65" s="4">
        <v>44758</v>
      </c>
      <c r="G65" t="s">
        <v>19</v>
      </c>
      <c r="H65" s="5">
        <v>43510</v>
      </c>
    </row>
    <row r="66" spans="2:8" x14ac:dyDescent="0.35">
      <c r="B66" t="s">
        <v>127</v>
      </c>
      <c r="C66" t="s">
        <v>8</v>
      </c>
      <c r="D66">
        <v>38</v>
      </c>
      <c r="E66" t="s">
        <v>10</v>
      </c>
      <c r="F66" s="4">
        <v>44316</v>
      </c>
      <c r="G66" t="s">
        <v>19</v>
      </c>
      <c r="H66" s="5">
        <v>109160</v>
      </c>
    </row>
    <row r="67" spans="2:8" x14ac:dyDescent="0.35">
      <c r="B67" t="s">
        <v>198</v>
      </c>
      <c r="C67" t="s">
        <v>15</v>
      </c>
      <c r="D67">
        <v>40</v>
      </c>
      <c r="E67" t="s">
        <v>16</v>
      </c>
      <c r="F67" s="4">
        <v>44204</v>
      </c>
      <c r="G67" t="s">
        <v>9</v>
      </c>
      <c r="H67" s="5">
        <v>99750</v>
      </c>
    </row>
    <row r="68" spans="2:8" x14ac:dyDescent="0.35">
      <c r="B68" t="s">
        <v>124</v>
      </c>
      <c r="C68" t="s">
        <v>8</v>
      </c>
      <c r="D68">
        <v>31</v>
      </c>
      <c r="E68" t="s">
        <v>16</v>
      </c>
      <c r="F68" s="4">
        <v>44084</v>
      </c>
      <c r="G68" t="s">
        <v>12</v>
      </c>
      <c r="H68" s="5">
        <v>41980</v>
      </c>
    </row>
    <row r="69" spans="2:8" x14ac:dyDescent="0.35">
      <c r="B69" t="s">
        <v>187</v>
      </c>
      <c r="C69" t="s">
        <v>15</v>
      </c>
      <c r="D69">
        <v>36</v>
      </c>
      <c r="E69" t="s">
        <v>16</v>
      </c>
      <c r="F69" s="4">
        <v>44272</v>
      </c>
      <c r="G69" t="s">
        <v>21</v>
      </c>
      <c r="H69" s="5">
        <v>71380</v>
      </c>
    </row>
    <row r="70" spans="2:8" x14ac:dyDescent="0.35">
      <c r="B70" t="s">
        <v>191</v>
      </c>
      <c r="C70" t="s">
        <v>15</v>
      </c>
      <c r="D70">
        <v>27</v>
      </c>
      <c r="E70" t="s">
        <v>42</v>
      </c>
      <c r="F70" s="4">
        <v>44547</v>
      </c>
      <c r="G70" t="s">
        <v>9</v>
      </c>
      <c r="H70" s="5">
        <v>113280</v>
      </c>
    </row>
    <row r="71" spans="2:8" x14ac:dyDescent="0.35">
      <c r="B71" t="s">
        <v>181</v>
      </c>
      <c r="C71" t="s">
        <v>8</v>
      </c>
      <c r="D71">
        <v>33</v>
      </c>
      <c r="E71" t="s">
        <v>16</v>
      </c>
      <c r="F71" s="4">
        <v>44747</v>
      </c>
      <c r="G71" t="s">
        <v>21</v>
      </c>
      <c r="H71" s="5">
        <v>86570</v>
      </c>
    </row>
    <row r="72" spans="2:8" x14ac:dyDescent="0.35">
      <c r="B72" t="s">
        <v>139</v>
      </c>
      <c r="C72" t="s">
        <v>15</v>
      </c>
      <c r="D72">
        <v>26</v>
      </c>
      <c r="E72" t="s">
        <v>16</v>
      </c>
      <c r="F72" s="4">
        <v>44350</v>
      </c>
      <c r="G72" t="s">
        <v>9</v>
      </c>
      <c r="H72" s="5">
        <v>53540</v>
      </c>
    </row>
    <row r="73" spans="2:8" x14ac:dyDescent="0.35">
      <c r="B73" t="s">
        <v>190</v>
      </c>
      <c r="C73" t="s">
        <v>15</v>
      </c>
      <c r="D73">
        <v>37</v>
      </c>
      <c r="E73" t="s">
        <v>16</v>
      </c>
      <c r="F73" s="4">
        <v>44640</v>
      </c>
      <c r="G73" t="s">
        <v>12</v>
      </c>
      <c r="H73" s="5">
        <v>69070</v>
      </c>
    </row>
    <row r="74" spans="2:8" x14ac:dyDescent="0.35">
      <c r="B74" t="s">
        <v>121</v>
      </c>
      <c r="C74" t="s">
        <v>8</v>
      </c>
      <c r="D74">
        <v>30</v>
      </c>
      <c r="E74" t="s">
        <v>24</v>
      </c>
      <c r="F74" s="4">
        <v>44328</v>
      </c>
      <c r="G74" t="s">
        <v>21</v>
      </c>
      <c r="H74" s="5">
        <v>67910</v>
      </c>
    </row>
    <row r="75" spans="2:8" x14ac:dyDescent="0.35">
      <c r="B75" t="s">
        <v>119</v>
      </c>
      <c r="C75" t="s">
        <v>15</v>
      </c>
      <c r="D75">
        <v>30</v>
      </c>
      <c r="E75" t="s">
        <v>16</v>
      </c>
      <c r="F75" s="4">
        <v>44214</v>
      </c>
      <c r="G75" t="s">
        <v>12</v>
      </c>
      <c r="H75" s="5">
        <v>69120</v>
      </c>
    </row>
    <row r="76" spans="2:8" x14ac:dyDescent="0.35">
      <c r="B76" t="s">
        <v>132</v>
      </c>
      <c r="C76" t="s">
        <v>8</v>
      </c>
      <c r="D76">
        <v>34</v>
      </c>
      <c r="E76" t="s">
        <v>16</v>
      </c>
      <c r="F76" s="4">
        <v>44550</v>
      </c>
      <c r="G76" t="s">
        <v>21</v>
      </c>
      <c r="H76" s="5">
        <v>60130</v>
      </c>
    </row>
    <row r="77" spans="2:8" x14ac:dyDescent="0.35">
      <c r="B77" t="s">
        <v>161</v>
      </c>
      <c r="C77" t="s">
        <v>15</v>
      </c>
      <c r="D77">
        <v>23</v>
      </c>
      <c r="E77" t="s">
        <v>16</v>
      </c>
      <c r="F77" s="4">
        <v>44378</v>
      </c>
      <c r="G77" t="s">
        <v>9</v>
      </c>
      <c r="H77" s="5">
        <v>106460</v>
      </c>
    </row>
    <row r="78" spans="2:8" x14ac:dyDescent="0.35">
      <c r="B78" t="s">
        <v>148</v>
      </c>
      <c r="C78" t="s">
        <v>8</v>
      </c>
      <c r="D78">
        <v>37</v>
      </c>
      <c r="E78" t="s">
        <v>16</v>
      </c>
      <c r="F78" s="4">
        <v>44389</v>
      </c>
      <c r="G78" t="s">
        <v>56</v>
      </c>
      <c r="H78" s="5">
        <v>118100</v>
      </c>
    </row>
    <row r="79" spans="2:8" x14ac:dyDescent="0.35">
      <c r="B79" t="s">
        <v>164</v>
      </c>
      <c r="C79" t="s">
        <v>8</v>
      </c>
      <c r="D79">
        <v>36</v>
      </c>
      <c r="E79" t="s">
        <v>16</v>
      </c>
      <c r="F79" s="4">
        <v>44468</v>
      </c>
      <c r="G79" t="s">
        <v>9</v>
      </c>
      <c r="H79" s="5">
        <v>78390</v>
      </c>
    </row>
    <row r="80" spans="2:8" x14ac:dyDescent="0.35">
      <c r="B80" t="s">
        <v>147</v>
      </c>
      <c r="C80" t="s">
        <v>8</v>
      </c>
      <c r="D80">
        <v>30</v>
      </c>
      <c r="E80" t="s">
        <v>16</v>
      </c>
      <c r="F80" s="4">
        <v>44789</v>
      </c>
      <c r="G80" t="s">
        <v>9</v>
      </c>
      <c r="H80" s="5">
        <v>114180</v>
      </c>
    </row>
    <row r="81" spans="2:8" x14ac:dyDescent="0.35">
      <c r="B81" t="s">
        <v>189</v>
      </c>
      <c r="C81" t="s">
        <v>8</v>
      </c>
      <c r="D81">
        <v>28</v>
      </c>
      <c r="E81" t="s">
        <v>16</v>
      </c>
      <c r="F81" s="4">
        <v>44590</v>
      </c>
      <c r="G81" t="s">
        <v>9</v>
      </c>
      <c r="H81" s="5">
        <v>104120</v>
      </c>
    </row>
    <row r="82" spans="2:8" x14ac:dyDescent="0.35">
      <c r="B82" t="s">
        <v>138</v>
      </c>
      <c r="C82" t="s">
        <v>15</v>
      </c>
      <c r="D82">
        <v>30</v>
      </c>
      <c r="E82" t="s">
        <v>16</v>
      </c>
      <c r="F82" s="4">
        <v>44640</v>
      </c>
      <c r="G82" t="s">
        <v>9</v>
      </c>
      <c r="H82" s="5">
        <v>67950</v>
      </c>
    </row>
    <row r="83" spans="2:8" x14ac:dyDescent="0.35">
      <c r="B83" t="s">
        <v>137</v>
      </c>
      <c r="C83" t="s">
        <v>8</v>
      </c>
      <c r="D83">
        <v>29</v>
      </c>
      <c r="E83" t="s">
        <v>16</v>
      </c>
      <c r="F83" s="4">
        <v>43962</v>
      </c>
      <c r="G83" t="s">
        <v>12</v>
      </c>
      <c r="H83" s="5">
        <v>34980</v>
      </c>
    </row>
    <row r="84" spans="2:8" x14ac:dyDescent="0.35">
      <c r="B84" t="s">
        <v>153</v>
      </c>
      <c r="C84" t="s">
        <v>8</v>
      </c>
      <c r="D84">
        <v>24</v>
      </c>
      <c r="E84" t="s">
        <v>16</v>
      </c>
      <c r="F84" s="4">
        <v>44087</v>
      </c>
      <c r="G84" t="s">
        <v>12</v>
      </c>
      <c r="H84" s="5">
        <v>62780</v>
      </c>
    </row>
    <row r="85" spans="2:8" x14ac:dyDescent="0.35">
      <c r="B85" t="s">
        <v>117</v>
      </c>
      <c r="C85" t="s">
        <v>15</v>
      </c>
      <c r="D85">
        <v>20</v>
      </c>
      <c r="E85" t="s">
        <v>16</v>
      </c>
      <c r="F85" s="4">
        <v>44397</v>
      </c>
      <c r="G85" t="s">
        <v>12</v>
      </c>
      <c r="H85" s="5">
        <v>107700</v>
      </c>
    </row>
    <row r="86" spans="2:8" x14ac:dyDescent="0.35">
      <c r="B86" t="s">
        <v>168</v>
      </c>
      <c r="C86" t="s">
        <v>15</v>
      </c>
      <c r="D86">
        <v>25</v>
      </c>
      <c r="E86" t="s">
        <v>16</v>
      </c>
      <c r="F86" s="4">
        <v>44322</v>
      </c>
      <c r="G86" t="s">
        <v>19</v>
      </c>
      <c r="H86" s="5">
        <v>65700</v>
      </c>
    </row>
    <row r="87" spans="2:8" x14ac:dyDescent="0.35">
      <c r="B87" t="s">
        <v>135</v>
      </c>
      <c r="C87" t="s">
        <v>8</v>
      </c>
      <c r="D87">
        <v>33</v>
      </c>
      <c r="E87" t="s">
        <v>42</v>
      </c>
      <c r="F87" s="4">
        <v>44313</v>
      </c>
      <c r="G87" t="s">
        <v>12</v>
      </c>
      <c r="H87" s="5">
        <v>75480</v>
      </c>
    </row>
    <row r="88" spans="2:8" x14ac:dyDescent="0.35">
      <c r="B88" t="s">
        <v>174</v>
      </c>
      <c r="C88" t="s">
        <v>15</v>
      </c>
      <c r="D88">
        <v>33</v>
      </c>
      <c r="E88" t="s">
        <v>16</v>
      </c>
      <c r="F88" s="4">
        <v>44448</v>
      </c>
      <c r="G88" t="s">
        <v>12</v>
      </c>
      <c r="H88" s="5">
        <v>53870</v>
      </c>
    </row>
    <row r="89" spans="2:8" x14ac:dyDescent="0.35">
      <c r="B89" t="s">
        <v>141</v>
      </c>
      <c r="C89" t="s">
        <v>8</v>
      </c>
      <c r="D89">
        <v>36</v>
      </c>
      <c r="E89" t="s">
        <v>16</v>
      </c>
      <c r="F89" s="4">
        <v>44433</v>
      </c>
      <c r="G89" t="s">
        <v>19</v>
      </c>
      <c r="H89" s="5">
        <v>78540</v>
      </c>
    </row>
    <row r="90" spans="2:8" x14ac:dyDescent="0.35">
      <c r="B90" t="s">
        <v>193</v>
      </c>
      <c r="C90" t="s">
        <v>15</v>
      </c>
      <c r="D90">
        <v>19</v>
      </c>
      <c r="E90" t="s">
        <v>16</v>
      </c>
      <c r="F90" s="4">
        <v>44218</v>
      </c>
      <c r="G90" t="s">
        <v>9</v>
      </c>
      <c r="H90" s="5">
        <v>58960</v>
      </c>
    </row>
    <row r="91" spans="2:8" x14ac:dyDescent="0.35">
      <c r="B91" t="s">
        <v>162</v>
      </c>
      <c r="C91" t="s">
        <v>15</v>
      </c>
      <c r="D91">
        <v>46</v>
      </c>
      <c r="E91" t="s">
        <v>16</v>
      </c>
      <c r="F91" s="4">
        <v>44697</v>
      </c>
      <c r="G91" t="s">
        <v>9</v>
      </c>
      <c r="H91" s="5">
        <v>70610</v>
      </c>
    </row>
    <row r="92" spans="2:8" x14ac:dyDescent="0.35">
      <c r="B92" t="s">
        <v>171</v>
      </c>
      <c r="C92" t="s">
        <v>15</v>
      </c>
      <c r="D92">
        <v>33</v>
      </c>
      <c r="E92" t="s">
        <v>16</v>
      </c>
      <c r="F92" s="4">
        <v>44181</v>
      </c>
      <c r="G92" t="s">
        <v>21</v>
      </c>
      <c r="H92" s="5">
        <v>59430</v>
      </c>
    </row>
    <row r="93" spans="2:8" x14ac:dyDescent="0.35">
      <c r="B93" t="s">
        <v>144</v>
      </c>
      <c r="C93" t="s">
        <v>15</v>
      </c>
      <c r="D93">
        <v>33</v>
      </c>
      <c r="E93" t="s">
        <v>13</v>
      </c>
      <c r="F93" s="4">
        <v>44640</v>
      </c>
      <c r="G93" t="s">
        <v>9</v>
      </c>
      <c r="H93" s="5">
        <v>48530</v>
      </c>
    </row>
    <row r="94" spans="2:8" x14ac:dyDescent="0.35">
      <c r="B94" t="s">
        <v>163</v>
      </c>
      <c r="C94" t="s">
        <v>8</v>
      </c>
      <c r="D94">
        <v>33</v>
      </c>
      <c r="E94" t="s">
        <v>16</v>
      </c>
      <c r="F94" s="4">
        <v>44129</v>
      </c>
      <c r="G94" t="s">
        <v>12</v>
      </c>
      <c r="H94" s="5">
        <v>96140</v>
      </c>
    </row>
    <row r="95" spans="2:8" x14ac:dyDescent="0.35">
      <c r="B95" t="s">
        <v>156</v>
      </c>
      <c r="C95" t="s">
        <v>15</v>
      </c>
      <c r="D95">
        <v>20</v>
      </c>
      <c r="E95" t="s">
        <v>16</v>
      </c>
      <c r="F95" s="4">
        <v>44122</v>
      </c>
      <c r="G95" t="s">
        <v>12</v>
      </c>
      <c r="H95" s="5">
        <v>112650</v>
      </c>
    </row>
    <row r="96" spans="2:8" x14ac:dyDescent="0.35">
      <c r="B96" t="s">
        <v>176</v>
      </c>
      <c r="C96" t="s">
        <v>8</v>
      </c>
      <c r="D96">
        <v>32</v>
      </c>
      <c r="E96" t="s">
        <v>13</v>
      </c>
      <c r="F96" s="4">
        <v>44293</v>
      </c>
      <c r="G96" t="s">
        <v>12</v>
      </c>
      <c r="H96" s="5">
        <v>43840</v>
      </c>
    </row>
    <row r="97" spans="2:8" x14ac:dyDescent="0.35">
      <c r="B97" t="s">
        <v>143</v>
      </c>
      <c r="C97" t="s">
        <v>15</v>
      </c>
      <c r="D97">
        <v>31</v>
      </c>
      <c r="E97" t="s">
        <v>16</v>
      </c>
      <c r="F97" s="4">
        <v>44663</v>
      </c>
      <c r="G97" t="s">
        <v>9</v>
      </c>
      <c r="H97" s="5">
        <v>103550</v>
      </c>
    </row>
    <row r="98" spans="2:8" x14ac:dyDescent="0.35">
      <c r="B98" t="s">
        <v>201</v>
      </c>
      <c r="C98" t="s">
        <v>8</v>
      </c>
      <c r="D98">
        <v>32</v>
      </c>
      <c r="E98" t="s">
        <v>16</v>
      </c>
      <c r="F98" s="4">
        <v>44339</v>
      </c>
      <c r="G98" t="s">
        <v>56</v>
      </c>
      <c r="H98" s="5">
        <v>45510</v>
      </c>
    </row>
    <row r="99" spans="2:8" x14ac:dyDescent="0.35">
      <c r="B99" t="s">
        <v>142</v>
      </c>
      <c r="D99">
        <v>37</v>
      </c>
      <c r="E99" t="s">
        <v>24</v>
      </c>
      <c r="F99" s="4">
        <v>44085</v>
      </c>
      <c r="G99" t="s">
        <v>21</v>
      </c>
      <c r="H99" s="5">
        <v>115440</v>
      </c>
    </row>
    <row r="100" spans="2:8" x14ac:dyDescent="0.35">
      <c r="B100" t="s">
        <v>202</v>
      </c>
      <c r="C100" t="s">
        <v>8</v>
      </c>
      <c r="D100">
        <v>38</v>
      </c>
      <c r="E100" t="s">
        <v>13</v>
      </c>
      <c r="F100" s="4">
        <v>44268</v>
      </c>
      <c r="G100" t="s">
        <v>19</v>
      </c>
      <c r="H100" s="5">
        <v>56870</v>
      </c>
    </row>
    <row r="101" spans="2:8" x14ac:dyDescent="0.35">
      <c r="B101" t="s">
        <v>169</v>
      </c>
      <c r="C101" t="s">
        <v>8</v>
      </c>
      <c r="D101">
        <v>25</v>
      </c>
      <c r="E101" t="s">
        <v>16</v>
      </c>
      <c r="F101" s="4">
        <v>44144</v>
      </c>
      <c r="G101" t="s">
        <v>19</v>
      </c>
      <c r="H101" s="5">
        <v>92700</v>
      </c>
    </row>
    <row r="102" spans="2:8" x14ac:dyDescent="0.35">
      <c r="B102" t="s">
        <v>145</v>
      </c>
      <c r="D102">
        <v>32</v>
      </c>
      <c r="E102" t="s">
        <v>16</v>
      </c>
      <c r="F102" s="4">
        <v>44713</v>
      </c>
      <c r="G102" t="s">
        <v>12</v>
      </c>
      <c r="H102" s="5">
        <v>91310</v>
      </c>
    </row>
    <row r="103" spans="2:8" x14ac:dyDescent="0.35">
      <c r="B103" t="s">
        <v>115</v>
      </c>
      <c r="C103" t="s">
        <v>15</v>
      </c>
      <c r="D103">
        <v>33</v>
      </c>
      <c r="E103" t="s">
        <v>16</v>
      </c>
      <c r="F103" s="4">
        <v>44324</v>
      </c>
      <c r="G103" t="s">
        <v>19</v>
      </c>
      <c r="H103" s="5">
        <v>74550</v>
      </c>
    </row>
    <row r="104" spans="2:8" x14ac:dyDescent="0.35">
      <c r="B104" t="s">
        <v>128</v>
      </c>
      <c r="C104" t="s">
        <v>15</v>
      </c>
      <c r="D104">
        <v>25</v>
      </c>
      <c r="E104" t="s">
        <v>13</v>
      </c>
      <c r="F104" s="4">
        <v>44665</v>
      </c>
      <c r="G104" t="s">
        <v>9</v>
      </c>
      <c r="H104" s="5">
        <v>109190</v>
      </c>
    </row>
    <row r="105" spans="2:8" x14ac:dyDescent="0.35">
      <c r="B105" t="s">
        <v>194</v>
      </c>
      <c r="C105" t="s">
        <v>8</v>
      </c>
      <c r="D105">
        <v>40</v>
      </c>
      <c r="E105" t="s">
        <v>16</v>
      </c>
      <c r="F105" s="4">
        <v>44320</v>
      </c>
      <c r="G105" t="s">
        <v>12</v>
      </c>
      <c r="H105" s="5">
        <v>104410</v>
      </c>
    </row>
    <row r="106" spans="2:8" x14ac:dyDescent="0.35">
      <c r="B106" t="s">
        <v>177</v>
      </c>
      <c r="C106" t="s">
        <v>15</v>
      </c>
      <c r="D106">
        <v>30</v>
      </c>
      <c r="E106" t="s">
        <v>16</v>
      </c>
      <c r="F106" s="4">
        <v>44544</v>
      </c>
      <c r="G106" t="s">
        <v>21</v>
      </c>
      <c r="H106" s="5">
        <v>96800</v>
      </c>
    </row>
    <row r="107" spans="2:8" x14ac:dyDescent="0.35">
      <c r="B107" t="s">
        <v>123</v>
      </c>
      <c r="C107" t="s">
        <v>15</v>
      </c>
      <c r="D107">
        <v>28</v>
      </c>
      <c r="E107" t="s">
        <v>13</v>
      </c>
      <c r="F107" s="4">
        <v>43980</v>
      </c>
      <c r="G107" t="s">
        <v>21</v>
      </c>
      <c r="H107" s="5">
        <v>48170</v>
      </c>
    </row>
    <row r="108" spans="2:8" x14ac:dyDescent="0.35">
      <c r="B108" t="s">
        <v>140</v>
      </c>
      <c r="C108" t="s">
        <v>15</v>
      </c>
      <c r="D108">
        <v>21</v>
      </c>
      <c r="E108" t="s">
        <v>16</v>
      </c>
      <c r="F108" s="4">
        <v>44042</v>
      </c>
      <c r="G108" t="s">
        <v>9</v>
      </c>
      <c r="H108" s="5">
        <v>37920</v>
      </c>
    </row>
    <row r="109" spans="2:8" x14ac:dyDescent="0.35">
      <c r="B109" t="s">
        <v>178</v>
      </c>
      <c r="C109" t="s">
        <v>15</v>
      </c>
      <c r="D109">
        <v>34</v>
      </c>
      <c r="E109" t="s">
        <v>16</v>
      </c>
      <c r="F109" s="4">
        <v>44642</v>
      </c>
      <c r="G109" t="s">
        <v>9</v>
      </c>
      <c r="H109" s="5">
        <v>112650</v>
      </c>
    </row>
    <row r="110" spans="2:8" x14ac:dyDescent="0.35">
      <c r="B110" t="s">
        <v>165</v>
      </c>
      <c r="C110" t="s">
        <v>8</v>
      </c>
      <c r="D110">
        <v>34</v>
      </c>
      <c r="E110" t="s">
        <v>24</v>
      </c>
      <c r="F110" s="4">
        <v>44660</v>
      </c>
      <c r="G110" t="s">
        <v>19</v>
      </c>
      <c r="H110" s="5">
        <v>49630</v>
      </c>
    </row>
    <row r="111" spans="2:8" x14ac:dyDescent="0.35">
      <c r="B111" t="s">
        <v>199</v>
      </c>
      <c r="C111" t="s">
        <v>15</v>
      </c>
      <c r="D111">
        <v>36</v>
      </c>
      <c r="E111" t="s">
        <v>16</v>
      </c>
      <c r="F111" s="4">
        <v>43958</v>
      </c>
      <c r="G111" t="s">
        <v>12</v>
      </c>
      <c r="H111" s="5">
        <v>118840</v>
      </c>
    </row>
    <row r="112" spans="2:8" x14ac:dyDescent="0.35">
      <c r="B112" t="s">
        <v>159</v>
      </c>
      <c r="C112" t="s">
        <v>15</v>
      </c>
      <c r="D112">
        <v>30</v>
      </c>
      <c r="E112" t="s">
        <v>16</v>
      </c>
      <c r="F112" s="4">
        <v>44789</v>
      </c>
      <c r="G112" t="s">
        <v>12</v>
      </c>
      <c r="H112" s="5">
        <v>69710</v>
      </c>
    </row>
    <row r="113" spans="2:8" x14ac:dyDescent="0.35">
      <c r="B113" t="s">
        <v>197</v>
      </c>
      <c r="C113" t="s">
        <v>15</v>
      </c>
      <c r="D113">
        <v>20</v>
      </c>
      <c r="E113" t="s">
        <v>16</v>
      </c>
      <c r="F113" s="4">
        <v>44683</v>
      </c>
      <c r="G113" t="s">
        <v>9</v>
      </c>
      <c r="H113" s="5">
        <v>79570</v>
      </c>
    </row>
    <row r="114" spans="2:8" x14ac:dyDescent="0.35">
      <c r="B114" t="s">
        <v>154</v>
      </c>
      <c r="C114" t="s">
        <v>8</v>
      </c>
      <c r="D114">
        <v>22</v>
      </c>
      <c r="E114" t="s">
        <v>13</v>
      </c>
      <c r="F114" s="4">
        <v>44388</v>
      </c>
      <c r="G114" t="s">
        <v>9</v>
      </c>
      <c r="H114" s="5">
        <v>76900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3D173-CAAD-4A20-8577-92FE3028E3CF}">
  <sheetPr>
    <tabColor theme="7"/>
  </sheetPr>
  <dimension ref="A1:O184"/>
  <sheetViews>
    <sheetView zoomScale="80" zoomScaleNormal="80" workbookViewId="0">
      <selection activeCell="M17" sqref="M17"/>
    </sheetView>
  </sheetViews>
  <sheetFormatPr defaultRowHeight="14.5" x14ac:dyDescent="0.35"/>
  <cols>
    <col min="1" max="1" width="28.1796875" bestFit="1" customWidth="1"/>
    <col min="2" max="2" width="9.26953125" bestFit="1" customWidth="1"/>
    <col min="3" max="3" width="6.1796875" bestFit="1" customWidth="1"/>
    <col min="4" max="4" width="13.1796875" bestFit="1" customWidth="1"/>
    <col min="5" max="5" width="12.90625" bestFit="1" customWidth="1"/>
    <col min="6" max="6" width="13.36328125" bestFit="1" customWidth="1"/>
    <col min="7" max="7" width="12.6328125" bestFit="1" customWidth="1"/>
    <col min="8" max="8" width="9.81640625" bestFit="1" customWidth="1"/>
    <col min="9" max="9" width="10.08984375" bestFit="1" customWidth="1"/>
    <col min="10" max="10" width="11" customWidth="1"/>
    <col min="11" max="11" width="18.453125" customWidth="1"/>
    <col min="12" max="12" width="14.81640625" customWidth="1"/>
    <col min="13" max="13" width="17.90625" bestFit="1" customWidth="1"/>
    <col min="14" max="14" width="13.453125" customWidth="1"/>
    <col min="15" max="15" width="4.6328125" bestFit="1" customWidth="1"/>
  </cols>
  <sheetData>
    <row r="1" spans="1:15" x14ac:dyDescent="0.35">
      <c r="A1" t="s">
        <v>0</v>
      </c>
      <c r="B1" t="s">
        <v>1</v>
      </c>
      <c r="C1" t="s">
        <v>3</v>
      </c>
      <c r="D1" t="s">
        <v>6</v>
      </c>
      <c r="E1" t="s">
        <v>4</v>
      </c>
      <c r="F1" t="s">
        <v>2</v>
      </c>
      <c r="G1" t="s">
        <v>5</v>
      </c>
      <c r="H1" t="s">
        <v>204</v>
      </c>
      <c r="I1" t="s">
        <v>213</v>
      </c>
      <c r="J1" t="s">
        <v>226</v>
      </c>
      <c r="K1" t="s">
        <v>228</v>
      </c>
    </row>
    <row r="2" spans="1:15" x14ac:dyDescent="0.35">
      <c r="A2" t="s">
        <v>179</v>
      </c>
      <c r="B2" t="s">
        <v>8</v>
      </c>
      <c r="C2">
        <v>21</v>
      </c>
      <c r="D2" t="s">
        <v>16</v>
      </c>
      <c r="E2" s="6">
        <v>44619</v>
      </c>
      <c r="F2" t="s">
        <v>12</v>
      </c>
      <c r="G2" s="12">
        <v>33920</v>
      </c>
      <c r="H2" t="s">
        <v>205</v>
      </c>
      <c r="I2" s="8">
        <f ca="1">(TODAY()-Staff[[#This Row],[Date Joined]])/365</f>
        <v>1.4109589041095891</v>
      </c>
      <c r="J2" s="12">
        <f ca="1">IF(Staff[[#This Row],[Tenure]]&gt;2,3%,2%)*Staff[[#This Row],[Salary]]</f>
        <v>678.4</v>
      </c>
      <c r="K2">
        <f>INDEX(Sheet6!$B$2:$C$6,MATCH(Staff[[#This Row],[Rating]],Sheet6!$B$2:$B$6,0),2)</f>
        <v>3</v>
      </c>
    </row>
    <row r="3" spans="1:15" x14ac:dyDescent="0.35">
      <c r="A3" t="s">
        <v>86</v>
      </c>
      <c r="B3" t="s">
        <v>8</v>
      </c>
      <c r="C3">
        <v>21</v>
      </c>
      <c r="D3" t="s">
        <v>16</v>
      </c>
      <c r="E3" s="6">
        <v>44678</v>
      </c>
      <c r="F3" t="s">
        <v>12</v>
      </c>
      <c r="G3" s="12">
        <v>33920</v>
      </c>
      <c r="H3" t="s">
        <v>207</v>
      </c>
      <c r="I3" s="8">
        <f ca="1">(TODAY()-Staff[[#This Row],[Date Joined]])/365</f>
        <v>1.2493150684931507</v>
      </c>
      <c r="J3" s="12">
        <f ca="1">IF(Staff[[#This Row],[Tenure]]&gt;2,3%,2%)*Staff[[#This Row],[Salary]]</f>
        <v>678.4</v>
      </c>
      <c r="K3">
        <f>INDEX(Sheet6!$B$2:$C$6,MATCH(Staff[[#This Row],[Rating]],Sheet6!$B$2:$B$6,0),2)</f>
        <v>3</v>
      </c>
      <c r="M3" s="30" t="s">
        <v>208</v>
      </c>
      <c r="N3" s="30">
        <f>COUNTA(Staff[Name])</f>
        <v>183</v>
      </c>
      <c r="O3" s="30"/>
    </row>
    <row r="4" spans="1:15" x14ac:dyDescent="0.35">
      <c r="A4" t="s">
        <v>137</v>
      </c>
      <c r="B4" t="s">
        <v>8</v>
      </c>
      <c r="C4">
        <v>29</v>
      </c>
      <c r="D4" t="s">
        <v>16</v>
      </c>
      <c r="E4" s="6">
        <v>43962</v>
      </c>
      <c r="F4" t="s">
        <v>12</v>
      </c>
      <c r="G4" s="12">
        <v>34980</v>
      </c>
      <c r="H4" t="s">
        <v>205</v>
      </c>
      <c r="I4" s="8">
        <f ca="1">(TODAY()-Staff[[#This Row],[Date Joined]])/365</f>
        <v>3.2109589041095892</v>
      </c>
      <c r="J4" s="12">
        <f ca="1">IF(Staff[[#This Row],[Tenure]]&gt;2,3%,2%)*Staff[[#This Row],[Salary]]</f>
        <v>1049.3999999999999</v>
      </c>
      <c r="K4">
        <f>INDEX(Sheet6!$B$2:$C$6,MATCH(Staff[[#This Row],[Rating]],Sheet6!$B$2:$B$6,0),2)</f>
        <v>3</v>
      </c>
      <c r="M4" s="30" t="s">
        <v>209</v>
      </c>
      <c r="N4" s="31">
        <f>AVERAGE(Staff[Salary])</f>
        <v>77173.715846994543</v>
      </c>
      <c r="O4" s="30"/>
    </row>
    <row r="5" spans="1:15" x14ac:dyDescent="0.35">
      <c r="A5" t="s">
        <v>44</v>
      </c>
      <c r="B5" t="s">
        <v>8</v>
      </c>
      <c r="C5">
        <v>29</v>
      </c>
      <c r="D5" t="s">
        <v>16</v>
      </c>
      <c r="E5" s="6">
        <v>44023</v>
      </c>
      <c r="F5" t="s">
        <v>12</v>
      </c>
      <c r="G5" s="12">
        <v>34980</v>
      </c>
      <c r="H5" t="s">
        <v>207</v>
      </c>
      <c r="I5" s="8">
        <f ca="1">(TODAY()-Staff[[#This Row],[Date Joined]])/365</f>
        <v>3.043835616438356</v>
      </c>
      <c r="J5" s="12">
        <f ca="1">IF(Staff[[#This Row],[Tenure]]&gt;2,3%,2%)*Staff[[#This Row],[Salary]]</f>
        <v>1049.3999999999999</v>
      </c>
      <c r="K5">
        <f>INDEX(Sheet6!$B$2:$C$6,MATCH(Staff[[#This Row],[Rating]],Sheet6!$B$2:$B$6,0),2)</f>
        <v>3</v>
      </c>
      <c r="M5" s="30" t="s">
        <v>210</v>
      </c>
      <c r="N5" s="32">
        <f>AVERAGE(Staff[Age])</f>
        <v>30.42622950819672</v>
      </c>
      <c r="O5" s="30">
        <f>MEDIAN(Staff[Age])</f>
        <v>30</v>
      </c>
    </row>
    <row r="6" spans="1:15" x14ac:dyDescent="0.35">
      <c r="A6" t="s">
        <v>192</v>
      </c>
      <c r="B6" t="s">
        <v>15</v>
      </c>
      <c r="C6">
        <v>43</v>
      </c>
      <c r="D6" t="s">
        <v>16</v>
      </c>
      <c r="E6" s="6">
        <v>44558</v>
      </c>
      <c r="F6" t="s">
        <v>19</v>
      </c>
      <c r="G6" s="12">
        <v>36040</v>
      </c>
      <c r="H6" t="s">
        <v>205</v>
      </c>
      <c r="I6" s="8">
        <f ca="1">(TODAY()-Staff[[#This Row],[Date Joined]])/365</f>
        <v>1.5780821917808219</v>
      </c>
      <c r="J6" s="12">
        <f ca="1">IF(Staff[[#This Row],[Tenure]]&gt;2,3%,2%)*Staff[[#This Row],[Salary]]</f>
        <v>720.80000000000007</v>
      </c>
      <c r="K6">
        <f>INDEX(Sheet6!$B$2:$C$6,MATCH(Staff[[#This Row],[Rating]],Sheet6!$B$2:$B$6,0),2)</f>
        <v>3</v>
      </c>
      <c r="M6" s="30" t="s">
        <v>211</v>
      </c>
      <c r="N6" s="32">
        <f ca="1">AVERAGE(Staff[Tenure])</f>
        <v>1.9204581181226141</v>
      </c>
      <c r="O6" s="32">
        <f ca="1">MEDIAN(Staff[Tenure])</f>
        <v>1.9424657534246574</v>
      </c>
    </row>
    <row r="7" spans="1:15" x14ac:dyDescent="0.35">
      <c r="A7" t="s">
        <v>99</v>
      </c>
      <c r="B7" t="s">
        <v>15</v>
      </c>
      <c r="C7">
        <v>43</v>
      </c>
      <c r="D7" t="s">
        <v>16</v>
      </c>
      <c r="E7" s="6">
        <v>44620</v>
      </c>
      <c r="F7" t="s">
        <v>19</v>
      </c>
      <c r="G7" s="12">
        <v>36040</v>
      </c>
      <c r="H7" t="s">
        <v>207</v>
      </c>
      <c r="I7" s="8">
        <f ca="1">(TODAY()-Staff[[#This Row],[Date Joined]])/365</f>
        <v>1.4082191780821918</v>
      </c>
      <c r="J7" s="12">
        <f ca="1">IF(Staff[[#This Row],[Tenure]]&gt;2,3%,2%)*Staff[[#This Row],[Salary]]</f>
        <v>720.80000000000007</v>
      </c>
      <c r="K7">
        <f>INDEX(Sheet6!$B$2:$C$6,MATCH(Staff[[#This Row],[Rating]],Sheet6!$B$2:$B$6,0),2)</f>
        <v>3</v>
      </c>
      <c r="M7" s="30" t="s">
        <v>212</v>
      </c>
      <c r="N7" s="30"/>
      <c r="O7" s="30"/>
    </row>
    <row r="8" spans="1:15" x14ac:dyDescent="0.35">
      <c r="A8" t="s">
        <v>140</v>
      </c>
      <c r="B8" t="s">
        <v>15</v>
      </c>
      <c r="C8">
        <v>21</v>
      </c>
      <c r="D8" t="s">
        <v>16</v>
      </c>
      <c r="E8" s="6">
        <v>44042</v>
      </c>
      <c r="F8" t="s">
        <v>9</v>
      </c>
      <c r="G8" s="12">
        <v>37920</v>
      </c>
      <c r="H8" t="s">
        <v>205</v>
      </c>
      <c r="I8" s="8">
        <f ca="1">(TODAY()-Staff[[#This Row],[Date Joined]])/365</f>
        <v>2.9917808219178084</v>
      </c>
      <c r="J8" s="12">
        <f ca="1">IF(Staff[[#This Row],[Tenure]]&gt;2,3%,2%)*Staff[[#This Row],[Salary]]</f>
        <v>1137.5999999999999</v>
      </c>
      <c r="K8">
        <f>INDEX(Sheet6!$B$2:$C$6,MATCH(Staff[[#This Row],[Rating]],Sheet6!$B$2:$B$6,0),2)</f>
        <v>3</v>
      </c>
      <c r="M8" s="30" t="s">
        <v>214</v>
      </c>
      <c r="N8" s="30">
        <f>COUNTIFS(Staff[Gender], "Female")</f>
        <v>86</v>
      </c>
      <c r="O8" s="30"/>
    </row>
    <row r="9" spans="1:15" x14ac:dyDescent="0.35">
      <c r="A9" t="s">
        <v>47</v>
      </c>
      <c r="B9" t="s">
        <v>15</v>
      </c>
      <c r="C9">
        <v>21</v>
      </c>
      <c r="D9" t="s">
        <v>16</v>
      </c>
      <c r="E9" s="6">
        <v>44104</v>
      </c>
      <c r="F9" t="s">
        <v>9</v>
      </c>
      <c r="G9" s="12">
        <v>37920</v>
      </c>
      <c r="H9" t="s">
        <v>207</v>
      </c>
      <c r="I9" s="8">
        <f ca="1">(TODAY()-Staff[[#This Row],[Date Joined]])/365</f>
        <v>2.8219178082191783</v>
      </c>
      <c r="J9" s="12">
        <f ca="1">IF(Staff[[#This Row],[Tenure]]&gt;2,3%,2%)*Staff[[#This Row],[Salary]]</f>
        <v>1137.5999999999999</v>
      </c>
      <c r="K9">
        <f>INDEX(Sheet6!$B$2:$C$6,MATCH(Staff[[#This Row],[Rating]],Sheet6!$B$2:$B$6,0),2)</f>
        <v>3</v>
      </c>
      <c r="M9" s="30" t="s">
        <v>215</v>
      </c>
      <c r="N9" s="33">
        <f>N8/N3</f>
        <v>0.46994535519125685</v>
      </c>
      <c r="O9" s="30"/>
    </row>
    <row r="10" spans="1:15" x14ac:dyDescent="0.35">
      <c r="A10" t="s">
        <v>149</v>
      </c>
      <c r="B10" t="s">
        <v>15</v>
      </c>
      <c r="C10">
        <v>35</v>
      </c>
      <c r="D10" t="s">
        <v>16</v>
      </c>
      <c r="E10" s="6">
        <v>44666</v>
      </c>
      <c r="F10" t="s">
        <v>9</v>
      </c>
      <c r="G10" s="12">
        <v>40400</v>
      </c>
      <c r="H10" t="s">
        <v>205</v>
      </c>
      <c r="I10" s="8">
        <f ca="1">(TODAY()-Staff[[#This Row],[Date Joined]])/365</f>
        <v>1.2821917808219179</v>
      </c>
      <c r="J10" s="12">
        <f ca="1">IF(Staff[[#This Row],[Tenure]]&gt;2,3%,2%)*Staff[[#This Row],[Salary]]</f>
        <v>808</v>
      </c>
      <c r="K10">
        <f>INDEX(Sheet6!$B$2:$C$6,MATCH(Staff[[#This Row],[Rating]],Sheet6!$B$2:$B$6,0),2)</f>
        <v>3</v>
      </c>
      <c r="M10" s="30"/>
      <c r="N10" s="30"/>
      <c r="O10" s="30"/>
    </row>
    <row r="11" spans="1:15" x14ac:dyDescent="0.35">
      <c r="A11" t="s">
        <v>57</v>
      </c>
      <c r="B11" t="s">
        <v>15</v>
      </c>
      <c r="C11">
        <v>35</v>
      </c>
      <c r="D11" t="s">
        <v>16</v>
      </c>
      <c r="E11" s="6">
        <v>44727</v>
      </c>
      <c r="F11" t="s">
        <v>9</v>
      </c>
      <c r="G11" s="12">
        <v>40400</v>
      </c>
      <c r="H11" t="s">
        <v>207</v>
      </c>
      <c r="I11" s="8">
        <f ca="1">(TODAY()-Staff[[#This Row],[Date Joined]])/365</f>
        <v>1.1150684931506849</v>
      </c>
      <c r="J11" s="12">
        <f ca="1">IF(Staff[[#This Row],[Tenure]]&gt;2,3%,2%)*Staff[[#This Row],[Salary]]</f>
        <v>808</v>
      </c>
      <c r="K11">
        <f>INDEX(Sheet6!$B$2:$C$6,MATCH(Staff[[#This Row],[Rating]],Sheet6!$B$2:$B$6,0),2)</f>
        <v>3</v>
      </c>
      <c r="M11" s="30" t="s">
        <v>216</v>
      </c>
      <c r="N11" s="30"/>
      <c r="O11" s="30"/>
    </row>
    <row r="12" spans="1:15" x14ac:dyDescent="0.35">
      <c r="A12" t="s">
        <v>158</v>
      </c>
      <c r="B12" t="s">
        <v>8</v>
      </c>
      <c r="C12">
        <v>32</v>
      </c>
      <c r="D12" t="s">
        <v>16</v>
      </c>
      <c r="E12" s="6">
        <v>44549</v>
      </c>
      <c r="F12" t="s">
        <v>9</v>
      </c>
      <c r="G12" s="12">
        <v>41570</v>
      </c>
      <c r="H12" t="s">
        <v>205</v>
      </c>
      <c r="I12" s="8">
        <f ca="1">(TODAY()-Staff[[#This Row],[Date Joined]])/365</f>
        <v>1.6027397260273972</v>
      </c>
      <c r="J12" s="12">
        <f ca="1">IF(Staff[[#This Row],[Tenure]]&gt;2,3%,2%)*Staff[[#This Row],[Salary]]</f>
        <v>831.4</v>
      </c>
      <c r="K12">
        <f>INDEX(Sheet6!$B$2:$C$6,MATCH(Staff[[#This Row],[Rating]],Sheet6!$B$2:$B$6,0),2)</f>
        <v>3</v>
      </c>
      <c r="M12" s="30" t="s">
        <v>217</v>
      </c>
      <c r="N12" s="30">
        <f>COUNTIFS(Staff[Salary],"&gt;90000")</f>
        <v>63</v>
      </c>
      <c r="O12" s="30"/>
    </row>
    <row r="13" spans="1:15" x14ac:dyDescent="0.35">
      <c r="A13" t="s">
        <v>66</v>
      </c>
      <c r="B13" t="s">
        <v>8</v>
      </c>
      <c r="C13">
        <v>32</v>
      </c>
      <c r="D13" t="s">
        <v>16</v>
      </c>
      <c r="E13" s="6">
        <v>44611</v>
      </c>
      <c r="F13" t="s">
        <v>9</v>
      </c>
      <c r="G13" s="12">
        <v>41570</v>
      </c>
      <c r="H13" t="s">
        <v>207</v>
      </c>
      <c r="I13" s="8">
        <f ca="1">(TODAY()-Staff[[#This Row],[Date Joined]])/365</f>
        <v>1.4328767123287671</v>
      </c>
      <c r="J13" s="12">
        <f ca="1">IF(Staff[[#This Row],[Tenure]]&gt;2,3%,2%)*Staff[[#This Row],[Salary]]</f>
        <v>831.4</v>
      </c>
      <c r="K13">
        <f>INDEX(Sheet6!$B$2:$C$6,MATCH(Staff[[#This Row],[Rating]],Sheet6!$B$2:$B$6,0),2)</f>
        <v>3</v>
      </c>
      <c r="M13" s="30" t="s">
        <v>215</v>
      </c>
      <c r="N13" s="33">
        <f>N12/N3</f>
        <v>0.34426229508196721</v>
      </c>
      <c r="O13" s="30"/>
    </row>
    <row r="14" spans="1:15" x14ac:dyDescent="0.35">
      <c r="A14" t="s">
        <v>124</v>
      </c>
      <c r="B14" t="s">
        <v>8</v>
      </c>
      <c r="C14">
        <v>31</v>
      </c>
      <c r="D14" t="s">
        <v>16</v>
      </c>
      <c r="E14" s="6">
        <v>44084</v>
      </c>
      <c r="F14" t="s">
        <v>12</v>
      </c>
      <c r="G14" s="12">
        <v>41980</v>
      </c>
      <c r="H14" t="s">
        <v>205</v>
      </c>
      <c r="I14" s="8">
        <f ca="1">(TODAY()-Staff[[#This Row],[Date Joined]])/365</f>
        <v>2.8767123287671232</v>
      </c>
      <c r="J14" s="12">
        <f ca="1">IF(Staff[[#This Row],[Tenure]]&gt;2,3%,2%)*Staff[[#This Row],[Salary]]</f>
        <v>1259.3999999999999</v>
      </c>
      <c r="K14">
        <f>INDEX(Sheet6!$B$2:$C$6,MATCH(Staff[[#This Row],[Rating]],Sheet6!$B$2:$B$6,0),2)</f>
        <v>3</v>
      </c>
    </row>
    <row r="15" spans="1:15" x14ac:dyDescent="0.35">
      <c r="A15" t="s">
        <v>30</v>
      </c>
      <c r="B15" t="s">
        <v>8</v>
      </c>
      <c r="C15">
        <v>31</v>
      </c>
      <c r="D15" t="s">
        <v>16</v>
      </c>
      <c r="E15" s="6">
        <v>44145</v>
      </c>
      <c r="F15" t="s">
        <v>12</v>
      </c>
      <c r="G15" s="12">
        <v>41980</v>
      </c>
      <c r="H15" t="s">
        <v>207</v>
      </c>
      <c r="I15" s="8">
        <f ca="1">(TODAY()-Staff[[#This Row],[Date Joined]])/365</f>
        <v>2.7095890410958905</v>
      </c>
      <c r="J15" s="12">
        <f ca="1">IF(Staff[[#This Row],[Tenure]]&gt;2,3%,2%)*Staff[[#This Row],[Salary]]</f>
        <v>1259.3999999999999</v>
      </c>
      <c r="K15">
        <f>INDEX(Sheet6!$B$2:$C$6,MATCH(Staff[[#This Row],[Rating]],Sheet6!$B$2:$B$6,0),2)</f>
        <v>3</v>
      </c>
    </row>
    <row r="16" spans="1:15" x14ac:dyDescent="0.35">
      <c r="A16" t="s">
        <v>172</v>
      </c>
      <c r="B16" t="s">
        <v>15</v>
      </c>
      <c r="C16">
        <v>28</v>
      </c>
      <c r="D16" t="s">
        <v>42</v>
      </c>
      <c r="E16" s="6">
        <v>44758</v>
      </c>
      <c r="F16" t="s">
        <v>19</v>
      </c>
      <c r="G16" s="12">
        <v>43510</v>
      </c>
      <c r="H16" t="s">
        <v>205</v>
      </c>
      <c r="I16" s="8">
        <f ca="1">(TODAY()-Staff[[#This Row],[Date Joined]])/365</f>
        <v>1.0301369863013699</v>
      </c>
      <c r="J16" s="12">
        <f ca="1">IF(Staff[[#This Row],[Tenure]]&gt;2,3%,2%)*Staff[[#This Row],[Salary]]</f>
        <v>870.2</v>
      </c>
      <c r="K16">
        <f>INDEX(Sheet6!$B$2:$C$6,MATCH(Staff[[#This Row],[Rating]],Sheet6!$B$2:$B$6,0),2)</f>
        <v>1</v>
      </c>
    </row>
    <row r="17" spans="1:14" x14ac:dyDescent="0.35">
      <c r="A17" t="s">
        <v>80</v>
      </c>
      <c r="B17" t="s">
        <v>15</v>
      </c>
      <c r="C17">
        <v>28</v>
      </c>
      <c r="D17" t="s">
        <v>42</v>
      </c>
      <c r="E17" s="6">
        <v>44820</v>
      </c>
      <c r="F17" t="s">
        <v>19</v>
      </c>
      <c r="G17" s="12">
        <v>43510</v>
      </c>
      <c r="H17" t="s">
        <v>207</v>
      </c>
      <c r="I17" s="8">
        <f ca="1">(TODAY()-Staff[[#This Row],[Date Joined]])/365</f>
        <v>0.86027397260273974</v>
      </c>
      <c r="J17" s="12">
        <f ca="1">IF(Staff[[#This Row],[Tenure]]&gt;2,3%,2%)*Staff[[#This Row],[Salary]]</f>
        <v>870.2</v>
      </c>
      <c r="K17">
        <f>INDEX(Sheet6!$B$2:$C$6,MATCH(Staff[[#This Row],[Rating]],Sheet6!$B$2:$B$6,0),2)</f>
        <v>1</v>
      </c>
      <c r="M17" s="34" t="s">
        <v>84</v>
      </c>
      <c r="N17" s="30"/>
    </row>
    <row r="18" spans="1:14" x14ac:dyDescent="0.35">
      <c r="A18" t="s">
        <v>176</v>
      </c>
      <c r="B18" t="s">
        <v>8</v>
      </c>
      <c r="C18">
        <v>32</v>
      </c>
      <c r="D18" t="s">
        <v>13</v>
      </c>
      <c r="E18" s="6">
        <v>44293</v>
      </c>
      <c r="F18" t="s">
        <v>12</v>
      </c>
      <c r="G18" s="12">
        <v>43840</v>
      </c>
      <c r="H18" t="s">
        <v>205</v>
      </c>
      <c r="I18" s="8">
        <f ca="1">(TODAY()-Staff[[#This Row],[Date Joined]])/365</f>
        <v>2.3041095890410959</v>
      </c>
      <c r="J18" s="12">
        <f ca="1">IF(Staff[[#This Row],[Tenure]]&gt;2,3%,2%)*Staff[[#This Row],[Salary]]</f>
        <v>1315.2</v>
      </c>
      <c r="K18">
        <f>INDEX(Sheet6!$B$2:$C$6,MATCH(Staff[[#This Row],[Rating]],Sheet6!$B$2:$B$6,0),2)</f>
        <v>4</v>
      </c>
      <c r="M18" s="30"/>
      <c r="N18" s="30"/>
    </row>
    <row r="19" spans="1:14" x14ac:dyDescent="0.35">
      <c r="A19" t="s">
        <v>84</v>
      </c>
      <c r="B19" t="s">
        <v>8</v>
      </c>
      <c r="C19">
        <v>32</v>
      </c>
      <c r="D19" t="s">
        <v>13</v>
      </c>
      <c r="E19" s="6">
        <v>44354</v>
      </c>
      <c r="F19" t="s">
        <v>12</v>
      </c>
      <c r="G19" s="12">
        <v>43840</v>
      </c>
      <c r="H19" t="s">
        <v>207</v>
      </c>
      <c r="I19" s="8">
        <f ca="1">(TODAY()-Staff[[#This Row],[Date Joined]])/365</f>
        <v>2.1369863013698631</v>
      </c>
      <c r="J19" s="12">
        <f ca="1">IF(Staff[[#This Row],[Tenure]]&gt;2,3%,2%)*Staff[[#This Row],[Salary]]</f>
        <v>1315.2</v>
      </c>
      <c r="K19">
        <f>INDEX(Sheet6!$B$2:$C$6,MATCH(Staff[[#This Row],[Rating]],Sheet6!$B$2:$B$6,0),2)</f>
        <v>4</v>
      </c>
      <c r="M19" s="30" t="s">
        <v>1</v>
      </c>
      <c r="N19" s="30" t="str">
        <f>VLOOKUP($M$17, Staff[#All], 2, FALSE)</f>
        <v>Female</v>
      </c>
    </row>
    <row r="20" spans="1:14" x14ac:dyDescent="0.35">
      <c r="A20" t="s">
        <v>201</v>
      </c>
      <c r="B20" t="s">
        <v>8</v>
      </c>
      <c r="C20">
        <v>32</v>
      </c>
      <c r="D20" t="s">
        <v>16</v>
      </c>
      <c r="E20" s="6">
        <v>44339</v>
      </c>
      <c r="F20" t="s">
        <v>56</v>
      </c>
      <c r="G20" s="12">
        <v>45510</v>
      </c>
      <c r="H20" t="s">
        <v>205</v>
      </c>
      <c r="I20" s="8">
        <f ca="1">(TODAY()-Staff[[#This Row],[Date Joined]])/365</f>
        <v>2.1780821917808217</v>
      </c>
      <c r="J20" s="12">
        <f ca="1">IF(Staff[[#This Row],[Tenure]]&gt;2,3%,2%)*Staff[[#This Row],[Salary]]</f>
        <v>1365.3</v>
      </c>
      <c r="K20">
        <f>INDEX(Sheet6!$B$2:$C$6,MATCH(Staff[[#This Row],[Rating]],Sheet6!$B$2:$B$6,0),2)</f>
        <v>3</v>
      </c>
      <c r="M20" s="30" t="s">
        <v>3</v>
      </c>
      <c r="N20" s="30">
        <f>VLOOKUP($M$17, Staff[#All], 3, FALSE)</f>
        <v>32</v>
      </c>
    </row>
    <row r="21" spans="1:14" x14ac:dyDescent="0.35">
      <c r="A21" t="s">
        <v>108</v>
      </c>
      <c r="B21" t="s">
        <v>8</v>
      </c>
      <c r="C21">
        <v>32</v>
      </c>
      <c r="D21" t="s">
        <v>16</v>
      </c>
      <c r="E21" s="6">
        <v>44400</v>
      </c>
      <c r="F21" t="s">
        <v>56</v>
      </c>
      <c r="G21" s="12">
        <v>45510</v>
      </c>
      <c r="H21" t="s">
        <v>207</v>
      </c>
      <c r="I21" s="8">
        <f ca="1">(TODAY()-Staff[[#This Row],[Date Joined]])/365</f>
        <v>2.010958904109589</v>
      </c>
      <c r="J21" s="12">
        <f ca="1">IF(Staff[[#This Row],[Tenure]]&gt;2,3%,2%)*Staff[[#This Row],[Salary]]</f>
        <v>1365.3</v>
      </c>
      <c r="K21">
        <f>INDEX(Sheet6!$B$2:$C$6,MATCH(Staff[[#This Row],[Rating]],Sheet6!$B$2:$B$6,0),2)</f>
        <v>3</v>
      </c>
      <c r="M21" s="30" t="s">
        <v>6</v>
      </c>
      <c r="N21" s="30" t="str">
        <f>VLOOKUP($M$17, Staff[#All], 4, FALSE)</f>
        <v>Above average</v>
      </c>
    </row>
    <row r="22" spans="1:14" x14ac:dyDescent="0.35">
      <c r="A22" t="s">
        <v>151</v>
      </c>
      <c r="B22" t="s">
        <v>15</v>
      </c>
      <c r="C22">
        <v>26</v>
      </c>
      <c r="D22" t="s">
        <v>16</v>
      </c>
      <c r="E22" s="6">
        <v>44164</v>
      </c>
      <c r="F22" t="s">
        <v>9</v>
      </c>
      <c r="G22" s="12">
        <v>47360</v>
      </c>
      <c r="H22" t="s">
        <v>205</v>
      </c>
      <c r="I22" s="8">
        <f ca="1">(TODAY()-Staff[[#This Row],[Date Joined]])/365</f>
        <v>2.6575342465753424</v>
      </c>
      <c r="J22" s="12">
        <f ca="1">IF(Staff[[#This Row],[Tenure]]&gt;2,3%,2%)*Staff[[#This Row],[Salary]]</f>
        <v>1420.8</v>
      </c>
      <c r="K22">
        <f>INDEX(Sheet6!$B$2:$C$6,MATCH(Staff[[#This Row],[Rating]],Sheet6!$B$2:$B$6,0),2)</f>
        <v>3</v>
      </c>
      <c r="M22" s="30" t="s">
        <v>4</v>
      </c>
      <c r="N22" s="35">
        <f>VLOOKUP($M$17, Staff[#All], 5, FALSE)</f>
        <v>44354</v>
      </c>
    </row>
    <row r="23" spans="1:14" x14ac:dyDescent="0.35">
      <c r="A23" t="s">
        <v>59</v>
      </c>
      <c r="B23" t="s">
        <v>15</v>
      </c>
      <c r="C23">
        <v>26</v>
      </c>
      <c r="D23" t="s">
        <v>16</v>
      </c>
      <c r="E23" s="6">
        <v>44225</v>
      </c>
      <c r="F23" t="s">
        <v>9</v>
      </c>
      <c r="G23" s="12">
        <v>47360</v>
      </c>
      <c r="H23" t="s">
        <v>207</v>
      </c>
      <c r="I23" s="8">
        <f ca="1">(TODAY()-Staff[[#This Row],[Date Joined]])/365</f>
        <v>2.4904109589041097</v>
      </c>
      <c r="J23" s="12">
        <f ca="1">IF(Staff[[#This Row],[Tenure]]&gt;2,3%,2%)*Staff[[#This Row],[Salary]]</f>
        <v>1420.8</v>
      </c>
      <c r="K23">
        <f>INDEX(Sheet6!$B$2:$C$6,MATCH(Staff[[#This Row],[Rating]],Sheet6!$B$2:$B$6,0),2)</f>
        <v>3</v>
      </c>
      <c r="M23" s="30" t="s">
        <v>2</v>
      </c>
      <c r="N23" s="30" t="str">
        <f>VLOOKUP($M$17, Staff[#All], 6, FALSE)</f>
        <v>Website</v>
      </c>
    </row>
    <row r="24" spans="1:14" x14ac:dyDescent="0.35">
      <c r="A24" t="s">
        <v>123</v>
      </c>
      <c r="B24" t="s">
        <v>15</v>
      </c>
      <c r="C24">
        <v>28</v>
      </c>
      <c r="D24" t="s">
        <v>13</v>
      </c>
      <c r="E24" s="6">
        <v>43980</v>
      </c>
      <c r="F24" t="s">
        <v>21</v>
      </c>
      <c r="G24" s="12">
        <v>48170</v>
      </c>
      <c r="H24" t="s">
        <v>205</v>
      </c>
      <c r="I24" s="8">
        <f ca="1">(TODAY()-Staff[[#This Row],[Date Joined]])/365</f>
        <v>3.1616438356164385</v>
      </c>
      <c r="J24" s="12">
        <f ca="1">IF(Staff[[#This Row],[Tenure]]&gt;2,3%,2%)*Staff[[#This Row],[Salary]]</f>
        <v>1445.1</v>
      </c>
      <c r="K24">
        <f>INDEX(Sheet6!$B$2:$C$6,MATCH(Staff[[#This Row],[Rating]],Sheet6!$B$2:$B$6,0),2)</f>
        <v>4</v>
      </c>
      <c r="M24" s="30" t="s">
        <v>5</v>
      </c>
      <c r="N24" s="31">
        <f>VLOOKUP($M$17, Staff[#All], 7, FALSE)</f>
        <v>43840</v>
      </c>
    </row>
    <row r="25" spans="1:14" x14ac:dyDescent="0.35">
      <c r="A25" t="s">
        <v>29</v>
      </c>
      <c r="B25" t="s">
        <v>15</v>
      </c>
      <c r="C25">
        <v>28</v>
      </c>
      <c r="D25" t="s">
        <v>13</v>
      </c>
      <c r="E25" s="6">
        <v>44041</v>
      </c>
      <c r="F25" t="s">
        <v>21</v>
      </c>
      <c r="G25" s="12">
        <v>48170</v>
      </c>
      <c r="H25" t="s">
        <v>207</v>
      </c>
      <c r="I25" s="8">
        <f ca="1">(TODAY()-Staff[[#This Row],[Date Joined]])/365</f>
        <v>2.9945205479452053</v>
      </c>
      <c r="J25" s="12">
        <f ca="1">IF(Staff[[#This Row],[Tenure]]&gt;2,3%,2%)*Staff[[#This Row],[Salary]]</f>
        <v>1445.1</v>
      </c>
      <c r="K25">
        <f>INDEX(Sheet6!$B$2:$C$6,MATCH(Staff[[#This Row],[Rating]],Sheet6!$B$2:$B$6,0),2)</f>
        <v>4</v>
      </c>
      <c r="M25" s="30" t="s">
        <v>204</v>
      </c>
      <c r="N25" s="30" t="str">
        <f>VLOOKUP($M$17, Staff[#All], 8, FALSE)</f>
        <v>NZ</v>
      </c>
    </row>
    <row r="26" spans="1:14" x14ac:dyDescent="0.35">
      <c r="A26" t="s">
        <v>144</v>
      </c>
      <c r="B26" t="s">
        <v>15</v>
      </c>
      <c r="C26">
        <v>33</v>
      </c>
      <c r="D26" t="s">
        <v>13</v>
      </c>
      <c r="E26" s="6">
        <v>44640</v>
      </c>
      <c r="F26" t="s">
        <v>9</v>
      </c>
      <c r="G26" s="12">
        <v>48530</v>
      </c>
      <c r="H26" t="s">
        <v>205</v>
      </c>
      <c r="I26" s="8">
        <f ca="1">(TODAY()-Staff[[#This Row],[Date Joined]])/365</f>
        <v>1.3534246575342466</v>
      </c>
      <c r="J26" s="12">
        <f ca="1">IF(Staff[[#This Row],[Tenure]]&gt;2,3%,2%)*Staff[[#This Row],[Salary]]</f>
        <v>970.6</v>
      </c>
      <c r="K26">
        <f>INDEX(Sheet6!$B$2:$C$6,MATCH(Staff[[#This Row],[Rating]],Sheet6!$B$2:$B$6,0),2)</f>
        <v>4</v>
      </c>
      <c r="M26" s="30" t="s">
        <v>213</v>
      </c>
      <c r="N26" s="32">
        <f ca="1">VLOOKUP($M$17, Staff[#All], 9, FALSE)</f>
        <v>2.1369863013698631</v>
      </c>
    </row>
    <row r="27" spans="1:14" x14ac:dyDescent="0.35">
      <c r="A27" t="s">
        <v>51</v>
      </c>
      <c r="B27" t="s">
        <v>15</v>
      </c>
      <c r="C27">
        <v>33</v>
      </c>
      <c r="D27" t="s">
        <v>13</v>
      </c>
      <c r="E27" s="6">
        <v>44701</v>
      </c>
      <c r="F27" t="s">
        <v>9</v>
      </c>
      <c r="G27" s="12">
        <v>48530</v>
      </c>
      <c r="H27" t="s">
        <v>207</v>
      </c>
      <c r="I27" s="8">
        <f ca="1">(TODAY()-Staff[[#This Row],[Date Joined]])/365</f>
        <v>1.1863013698630136</v>
      </c>
      <c r="J27" s="12">
        <f ca="1">IF(Staff[[#This Row],[Tenure]]&gt;2,3%,2%)*Staff[[#This Row],[Salary]]</f>
        <v>970.6</v>
      </c>
      <c r="K27">
        <f>INDEX(Sheet6!$B$2:$C$6,MATCH(Staff[[#This Row],[Rating]],Sheet6!$B$2:$B$6,0),2)</f>
        <v>4</v>
      </c>
    </row>
    <row r="28" spans="1:14" x14ac:dyDescent="0.35">
      <c r="A28" t="s">
        <v>113</v>
      </c>
      <c r="B28" t="s">
        <v>15</v>
      </c>
      <c r="C28">
        <v>31</v>
      </c>
      <c r="D28" t="s">
        <v>16</v>
      </c>
      <c r="E28" s="6">
        <v>44450</v>
      </c>
      <c r="F28" t="s">
        <v>12</v>
      </c>
      <c r="G28" s="12">
        <v>48950</v>
      </c>
      <c r="H28" t="s">
        <v>205</v>
      </c>
      <c r="I28" s="8">
        <f ca="1">(TODAY()-Staff[[#This Row],[Date Joined]])/365</f>
        <v>1.8739726027397261</v>
      </c>
      <c r="J28" s="12">
        <f ca="1">IF(Staff[[#This Row],[Tenure]]&gt;2,3%,2%)*Staff[[#This Row],[Salary]]</f>
        <v>979</v>
      </c>
      <c r="K28">
        <f>INDEX(Sheet6!$B$2:$C$6,MATCH(Staff[[#This Row],[Rating]],Sheet6!$B$2:$B$6,0),2)</f>
        <v>3</v>
      </c>
    </row>
    <row r="29" spans="1:14" x14ac:dyDescent="0.35">
      <c r="A29" t="s">
        <v>14</v>
      </c>
      <c r="B29" t="s">
        <v>15</v>
      </c>
      <c r="C29">
        <v>31</v>
      </c>
      <c r="D29" t="s">
        <v>16</v>
      </c>
      <c r="E29" s="6">
        <v>44511</v>
      </c>
      <c r="F29" t="s">
        <v>12</v>
      </c>
      <c r="G29" s="12">
        <v>48950</v>
      </c>
      <c r="H29" t="s">
        <v>207</v>
      </c>
      <c r="I29" s="8">
        <f ca="1">(TODAY()-Staff[[#This Row],[Date Joined]])/365</f>
        <v>1.7068493150684931</v>
      </c>
      <c r="J29" s="12">
        <f ca="1">IF(Staff[[#This Row],[Tenure]]&gt;2,3%,2%)*Staff[[#This Row],[Salary]]</f>
        <v>979</v>
      </c>
      <c r="K29">
        <f>INDEX(Sheet6!$B$2:$C$6,MATCH(Staff[[#This Row],[Rating]],Sheet6!$B$2:$B$6,0),2)</f>
        <v>3</v>
      </c>
    </row>
    <row r="30" spans="1:14" x14ac:dyDescent="0.35">
      <c r="A30" t="s">
        <v>146</v>
      </c>
      <c r="B30" t="s">
        <v>15</v>
      </c>
      <c r="C30">
        <v>27</v>
      </c>
      <c r="D30" t="s">
        <v>16</v>
      </c>
      <c r="E30" s="6">
        <v>44506</v>
      </c>
      <c r="F30" t="s">
        <v>21</v>
      </c>
      <c r="G30" s="12">
        <v>48980</v>
      </c>
      <c r="H30" t="s">
        <v>205</v>
      </c>
      <c r="I30" s="8">
        <f ca="1">(TODAY()-Staff[[#This Row],[Date Joined]])/365</f>
        <v>1.7205479452054795</v>
      </c>
      <c r="J30" s="12">
        <f ca="1">IF(Staff[[#This Row],[Tenure]]&gt;2,3%,2%)*Staff[[#This Row],[Salary]]</f>
        <v>979.6</v>
      </c>
      <c r="K30">
        <f>INDEX(Sheet6!$B$2:$C$6,MATCH(Staff[[#This Row],[Rating]],Sheet6!$B$2:$B$6,0),2)</f>
        <v>3</v>
      </c>
    </row>
    <row r="31" spans="1:14" x14ac:dyDescent="0.35">
      <c r="A31" t="s">
        <v>53</v>
      </c>
      <c r="B31" t="s">
        <v>15</v>
      </c>
      <c r="C31">
        <v>27</v>
      </c>
      <c r="D31" t="s">
        <v>16</v>
      </c>
      <c r="E31" s="6">
        <v>44567</v>
      </c>
      <c r="F31" t="s">
        <v>21</v>
      </c>
      <c r="G31" s="12">
        <v>48980</v>
      </c>
      <c r="H31" t="s">
        <v>207</v>
      </c>
      <c r="I31" s="8">
        <f ca="1">(TODAY()-Staff[[#This Row],[Date Joined]])/365</f>
        <v>1.5534246575342465</v>
      </c>
      <c r="J31" s="12">
        <f ca="1">IF(Staff[[#This Row],[Tenure]]&gt;2,3%,2%)*Staff[[#This Row],[Salary]]</f>
        <v>979.6</v>
      </c>
      <c r="K31">
        <f>INDEX(Sheet6!$B$2:$C$6,MATCH(Staff[[#This Row],[Rating]],Sheet6!$B$2:$B$6,0),2)</f>
        <v>3</v>
      </c>
    </row>
    <row r="32" spans="1:14" x14ac:dyDescent="0.35">
      <c r="A32" t="s">
        <v>165</v>
      </c>
      <c r="B32" t="s">
        <v>8</v>
      </c>
      <c r="C32">
        <v>34</v>
      </c>
      <c r="D32" t="s">
        <v>24</v>
      </c>
      <c r="E32" s="6">
        <v>44660</v>
      </c>
      <c r="F32" t="s">
        <v>19</v>
      </c>
      <c r="G32" s="12">
        <v>49630</v>
      </c>
      <c r="H32" t="s">
        <v>205</v>
      </c>
      <c r="I32" s="8">
        <f ca="1">(TODAY()-Staff[[#This Row],[Date Joined]])/365</f>
        <v>1.2986301369863014</v>
      </c>
      <c r="J32" s="12">
        <f ca="1">IF(Staff[[#This Row],[Tenure]]&gt;2,3%,2%)*Staff[[#This Row],[Salary]]</f>
        <v>992.6</v>
      </c>
      <c r="K32">
        <f>INDEX(Sheet6!$B$2:$C$6,MATCH(Staff[[#This Row],[Rating]],Sheet6!$B$2:$B$6,0),2)</f>
        <v>2</v>
      </c>
    </row>
    <row r="33" spans="1:11" x14ac:dyDescent="0.35">
      <c r="A33" t="s">
        <v>73</v>
      </c>
      <c r="B33" t="s">
        <v>8</v>
      </c>
      <c r="C33">
        <v>34</v>
      </c>
      <c r="D33" t="s">
        <v>24</v>
      </c>
      <c r="E33" s="6">
        <v>44721</v>
      </c>
      <c r="F33" t="s">
        <v>19</v>
      </c>
      <c r="G33" s="12">
        <v>49630</v>
      </c>
      <c r="H33" t="s">
        <v>207</v>
      </c>
      <c r="I33" s="8">
        <f ca="1">(TODAY()-Staff[[#This Row],[Date Joined]])/365</f>
        <v>1.1315068493150684</v>
      </c>
      <c r="J33" s="12">
        <f ca="1">IF(Staff[[#This Row],[Tenure]]&gt;2,3%,2%)*Staff[[#This Row],[Salary]]</f>
        <v>992.6</v>
      </c>
      <c r="K33">
        <f>INDEX(Sheet6!$B$2:$C$6,MATCH(Staff[[#This Row],[Rating]],Sheet6!$B$2:$B$6,0),2)</f>
        <v>2</v>
      </c>
    </row>
    <row r="34" spans="1:11" x14ac:dyDescent="0.35">
      <c r="A34" t="s">
        <v>155</v>
      </c>
      <c r="B34" t="s">
        <v>15</v>
      </c>
      <c r="C34">
        <v>24</v>
      </c>
      <c r="D34" t="s">
        <v>24</v>
      </c>
      <c r="E34" s="6">
        <v>44375</v>
      </c>
      <c r="F34" t="s">
        <v>21</v>
      </c>
      <c r="G34" s="12">
        <v>52610</v>
      </c>
      <c r="H34" t="s">
        <v>205</v>
      </c>
      <c r="I34" s="8">
        <f ca="1">(TODAY()-Staff[[#This Row],[Date Joined]])/365</f>
        <v>2.0794520547945203</v>
      </c>
      <c r="J34" s="12">
        <f ca="1">IF(Staff[[#This Row],[Tenure]]&gt;2,3%,2%)*Staff[[#This Row],[Salary]]</f>
        <v>1578.3</v>
      </c>
      <c r="K34">
        <f>INDEX(Sheet6!$B$2:$C$6,MATCH(Staff[[#This Row],[Rating]],Sheet6!$B$2:$B$6,0),2)</f>
        <v>2</v>
      </c>
    </row>
    <row r="35" spans="1:11" x14ac:dyDescent="0.35">
      <c r="A35" t="s">
        <v>63</v>
      </c>
      <c r="B35" t="s">
        <v>15</v>
      </c>
      <c r="C35">
        <v>24</v>
      </c>
      <c r="D35" t="s">
        <v>24</v>
      </c>
      <c r="E35" s="6">
        <v>44436</v>
      </c>
      <c r="F35" t="s">
        <v>21</v>
      </c>
      <c r="G35" s="12">
        <v>52610</v>
      </c>
      <c r="H35" t="s">
        <v>207</v>
      </c>
      <c r="I35" s="8">
        <f ca="1">(TODAY()-Staff[[#This Row],[Date Joined]])/365</f>
        <v>1.9123287671232876</v>
      </c>
      <c r="J35" s="12">
        <f ca="1">IF(Staff[[#This Row],[Tenure]]&gt;2,3%,2%)*Staff[[#This Row],[Salary]]</f>
        <v>1052.2</v>
      </c>
      <c r="K35">
        <f>INDEX(Sheet6!$B$2:$C$6,MATCH(Staff[[#This Row],[Rating]],Sheet6!$B$2:$B$6,0),2)</f>
        <v>2</v>
      </c>
    </row>
    <row r="36" spans="1:11" x14ac:dyDescent="0.35">
      <c r="A36" t="s">
        <v>167</v>
      </c>
      <c r="B36" t="s">
        <v>8</v>
      </c>
      <c r="C36">
        <v>28</v>
      </c>
      <c r="D36" t="s">
        <v>16</v>
      </c>
      <c r="E36" s="6">
        <v>44296</v>
      </c>
      <c r="F36" t="s">
        <v>19</v>
      </c>
      <c r="G36" s="12">
        <v>53240</v>
      </c>
      <c r="H36" t="s">
        <v>205</v>
      </c>
      <c r="I36" s="8">
        <f ca="1">(TODAY()-Staff[[#This Row],[Date Joined]])/365</f>
        <v>2.2958904109589042</v>
      </c>
      <c r="J36" s="12">
        <f ca="1">IF(Staff[[#This Row],[Tenure]]&gt;2,3%,2%)*Staff[[#This Row],[Salary]]</f>
        <v>1597.2</v>
      </c>
      <c r="K36">
        <f>INDEX(Sheet6!$B$2:$C$6,MATCH(Staff[[#This Row],[Rating]],Sheet6!$B$2:$B$6,0),2)</f>
        <v>3</v>
      </c>
    </row>
    <row r="37" spans="1:11" x14ac:dyDescent="0.35">
      <c r="A37" t="s">
        <v>75</v>
      </c>
      <c r="B37" t="s">
        <v>8</v>
      </c>
      <c r="C37">
        <v>28</v>
      </c>
      <c r="D37" t="s">
        <v>16</v>
      </c>
      <c r="E37" s="6">
        <v>44357</v>
      </c>
      <c r="F37" t="s">
        <v>19</v>
      </c>
      <c r="G37" s="12">
        <v>53240</v>
      </c>
      <c r="H37" t="s">
        <v>207</v>
      </c>
      <c r="I37" s="8">
        <f ca="1">(TODAY()-Staff[[#This Row],[Date Joined]])/365</f>
        <v>2.128767123287671</v>
      </c>
      <c r="J37" s="12">
        <f ca="1">IF(Staff[[#This Row],[Tenure]]&gt;2,3%,2%)*Staff[[#This Row],[Salary]]</f>
        <v>1597.2</v>
      </c>
      <c r="K37">
        <f>INDEX(Sheet6!$B$2:$C$6,MATCH(Staff[[#This Row],[Rating]],Sheet6!$B$2:$B$6,0),2)</f>
        <v>3</v>
      </c>
    </row>
    <row r="38" spans="1:11" x14ac:dyDescent="0.35">
      <c r="A38" t="s">
        <v>157</v>
      </c>
      <c r="B38" t="s">
        <v>15</v>
      </c>
      <c r="C38">
        <v>32</v>
      </c>
      <c r="D38" t="s">
        <v>16</v>
      </c>
      <c r="E38" s="6">
        <v>44403</v>
      </c>
      <c r="F38" t="s">
        <v>19</v>
      </c>
      <c r="G38" s="12">
        <v>53540</v>
      </c>
      <c r="H38" t="s">
        <v>205</v>
      </c>
      <c r="I38" s="8">
        <f ca="1">(TODAY()-Staff[[#This Row],[Date Joined]])/365</f>
        <v>2.0027397260273974</v>
      </c>
      <c r="J38" s="12">
        <f ca="1">IF(Staff[[#This Row],[Tenure]]&gt;2,3%,2%)*Staff[[#This Row],[Salary]]</f>
        <v>1606.2</v>
      </c>
      <c r="K38">
        <f>INDEX(Sheet6!$B$2:$C$6,MATCH(Staff[[#This Row],[Rating]],Sheet6!$B$2:$B$6,0),2)</f>
        <v>3</v>
      </c>
    </row>
    <row r="39" spans="1:11" x14ac:dyDescent="0.35">
      <c r="A39" t="s">
        <v>139</v>
      </c>
      <c r="B39" t="s">
        <v>15</v>
      </c>
      <c r="C39">
        <v>26</v>
      </c>
      <c r="D39" t="s">
        <v>16</v>
      </c>
      <c r="E39" s="6">
        <v>44350</v>
      </c>
      <c r="F39" t="s">
        <v>9</v>
      </c>
      <c r="G39" s="12">
        <v>53540</v>
      </c>
      <c r="H39" t="s">
        <v>205</v>
      </c>
      <c r="I39" s="8">
        <f ca="1">(TODAY()-Staff[[#This Row],[Date Joined]])/365</f>
        <v>2.1479452054794521</v>
      </c>
      <c r="J39" s="12">
        <f ca="1">IF(Staff[[#This Row],[Tenure]]&gt;2,3%,2%)*Staff[[#This Row],[Salary]]</f>
        <v>1606.2</v>
      </c>
      <c r="K39">
        <f>INDEX(Sheet6!$B$2:$C$6,MATCH(Staff[[#This Row],[Rating]],Sheet6!$B$2:$B$6,0),2)</f>
        <v>3</v>
      </c>
    </row>
    <row r="40" spans="1:11" x14ac:dyDescent="0.35">
      <c r="A40" t="s">
        <v>65</v>
      </c>
      <c r="B40" t="s">
        <v>15</v>
      </c>
      <c r="C40">
        <v>32</v>
      </c>
      <c r="D40" t="s">
        <v>16</v>
      </c>
      <c r="E40" s="6">
        <v>44465</v>
      </c>
      <c r="F40" t="s">
        <v>19</v>
      </c>
      <c r="G40" s="12">
        <v>53540</v>
      </c>
      <c r="H40" t="s">
        <v>207</v>
      </c>
      <c r="I40" s="8">
        <f ca="1">(TODAY()-Staff[[#This Row],[Date Joined]])/365</f>
        <v>1.832876712328767</v>
      </c>
      <c r="J40" s="12">
        <f ca="1">IF(Staff[[#This Row],[Tenure]]&gt;2,3%,2%)*Staff[[#This Row],[Salary]]</f>
        <v>1070.8</v>
      </c>
      <c r="K40">
        <f>INDEX(Sheet6!$B$2:$C$6,MATCH(Staff[[#This Row],[Rating]],Sheet6!$B$2:$B$6,0),2)</f>
        <v>3</v>
      </c>
    </row>
    <row r="41" spans="1:11" x14ac:dyDescent="0.35">
      <c r="A41" t="s">
        <v>46</v>
      </c>
      <c r="B41" t="s">
        <v>15</v>
      </c>
      <c r="C41">
        <v>26</v>
      </c>
      <c r="D41" t="s">
        <v>16</v>
      </c>
      <c r="E41" s="6">
        <v>44411</v>
      </c>
      <c r="F41" t="s">
        <v>9</v>
      </c>
      <c r="G41" s="12">
        <v>53540</v>
      </c>
      <c r="H41" t="s">
        <v>207</v>
      </c>
      <c r="I41" s="8">
        <f ca="1">(TODAY()-Staff[[#This Row],[Date Joined]])/365</f>
        <v>1.9808219178082191</v>
      </c>
      <c r="J41" s="12">
        <f ca="1">IF(Staff[[#This Row],[Tenure]]&gt;2,3%,2%)*Staff[[#This Row],[Salary]]</f>
        <v>1070.8</v>
      </c>
      <c r="K41">
        <f>INDEX(Sheet6!$B$2:$C$6,MATCH(Staff[[#This Row],[Rating]],Sheet6!$B$2:$B$6,0),2)</f>
        <v>3</v>
      </c>
    </row>
    <row r="42" spans="1:11" x14ac:dyDescent="0.35">
      <c r="A42" t="s">
        <v>174</v>
      </c>
      <c r="B42" t="s">
        <v>15</v>
      </c>
      <c r="C42">
        <v>33</v>
      </c>
      <c r="D42" t="s">
        <v>16</v>
      </c>
      <c r="E42" s="6">
        <v>44448</v>
      </c>
      <c r="F42" t="s">
        <v>12</v>
      </c>
      <c r="G42" s="12">
        <v>53870</v>
      </c>
      <c r="H42" t="s">
        <v>205</v>
      </c>
      <c r="I42" s="8">
        <f ca="1">(TODAY()-Staff[[#This Row],[Date Joined]])/365</f>
        <v>1.8794520547945206</v>
      </c>
      <c r="J42" s="12">
        <f ca="1">IF(Staff[[#This Row],[Tenure]]&gt;2,3%,2%)*Staff[[#This Row],[Salary]]</f>
        <v>1077.4000000000001</v>
      </c>
      <c r="K42">
        <f>INDEX(Sheet6!$B$2:$C$6,MATCH(Staff[[#This Row],[Rating]],Sheet6!$B$2:$B$6,0),2)</f>
        <v>3</v>
      </c>
    </row>
    <row r="43" spans="1:11" x14ac:dyDescent="0.35">
      <c r="A43" t="s">
        <v>82</v>
      </c>
      <c r="B43" t="s">
        <v>15</v>
      </c>
      <c r="C43">
        <v>33</v>
      </c>
      <c r="D43" t="s">
        <v>16</v>
      </c>
      <c r="E43" s="6">
        <v>44509</v>
      </c>
      <c r="F43" t="s">
        <v>12</v>
      </c>
      <c r="G43" s="12">
        <v>53870</v>
      </c>
      <c r="H43" t="s">
        <v>207</v>
      </c>
      <c r="I43" s="8">
        <f ca="1">(TODAY()-Staff[[#This Row],[Date Joined]])/365</f>
        <v>1.7123287671232876</v>
      </c>
      <c r="J43" s="12">
        <f ca="1">IF(Staff[[#This Row],[Tenure]]&gt;2,3%,2%)*Staff[[#This Row],[Salary]]</f>
        <v>1077.4000000000001</v>
      </c>
      <c r="K43">
        <f>INDEX(Sheet6!$B$2:$C$6,MATCH(Staff[[#This Row],[Rating]],Sheet6!$B$2:$B$6,0),2)</f>
        <v>3</v>
      </c>
    </row>
    <row r="44" spans="1:11" x14ac:dyDescent="0.35">
      <c r="A44" t="s">
        <v>182</v>
      </c>
      <c r="B44" t="s">
        <v>15</v>
      </c>
      <c r="C44">
        <v>27</v>
      </c>
      <c r="D44" t="s">
        <v>16</v>
      </c>
      <c r="E44" s="6">
        <v>44073</v>
      </c>
      <c r="F44" t="s">
        <v>19</v>
      </c>
      <c r="G44" s="12">
        <v>54970</v>
      </c>
      <c r="H44" t="s">
        <v>205</v>
      </c>
      <c r="I44" s="8">
        <f ca="1">(TODAY()-Staff[[#This Row],[Date Joined]])/365</f>
        <v>2.9068493150684933</v>
      </c>
      <c r="J44" s="12">
        <f ca="1">IF(Staff[[#This Row],[Tenure]]&gt;2,3%,2%)*Staff[[#This Row],[Salary]]</f>
        <v>1649.1</v>
      </c>
      <c r="K44">
        <f>INDEX(Sheet6!$B$2:$C$6,MATCH(Staff[[#This Row],[Rating]],Sheet6!$B$2:$B$6,0),2)</f>
        <v>3</v>
      </c>
    </row>
    <row r="45" spans="1:11" x14ac:dyDescent="0.35">
      <c r="A45" t="s">
        <v>89</v>
      </c>
      <c r="B45" t="s">
        <v>15</v>
      </c>
      <c r="C45">
        <v>27</v>
      </c>
      <c r="D45" t="s">
        <v>16</v>
      </c>
      <c r="E45" s="6">
        <v>44134</v>
      </c>
      <c r="F45" t="s">
        <v>19</v>
      </c>
      <c r="G45" s="12">
        <v>54970</v>
      </c>
      <c r="H45" t="s">
        <v>207</v>
      </c>
      <c r="I45" s="8">
        <f ca="1">(TODAY()-Staff[[#This Row],[Date Joined]])/365</f>
        <v>2.7397260273972601</v>
      </c>
      <c r="J45" s="12">
        <f ca="1">IF(Staff[[#This Row],[Tenure]]&gt;2,3%,2%)*Staff[[#This Row],[Salary]]</f>
        <v>1649.1</v>
      </c>
      <c r="K45">
        <f>INDEX(Sheet6!$B$2:$C$6,MATCH(Staff[[#This Row],[Rating]],Sheet6!$B$2:$B$6,0),2)</f>
        <v>3</v>
      </c>
    </row>
    <row r="46" spans="1:11" x14ac:dyDescent="0.35">
      <c r="A46" t="s">
        <v>202</v>
      </c>
      <c r="B46" t="s">
        <v>8</v>
      </c>
      <c r="C46">
        <v>38</v>
      </c>
      <c r="D46" t="s">
        <v>13</v>
      </c>
      <c r="E46" s="6">
        <v>44268</v>
      </c>
      <c r="F46" t="s">
        <v>19</v>
      </c>
      <c r="G46" s="12">
        <v>56870</v>
      </c>
      <c r="H46" t="s">
        <v>205</v>
      </c>
      <c r="I46" s="8">
        <f ca="1">(TODAY()-Staff[[#This Row],[Date Joined]])/365</f>
        <v>2.3726027397260272</v>
      </c>
      <c r="J46" s="12">
        <f ca="1">IF(Staff[[#This Row],[Tenure]]&gt;2,3%,2%)*Staff[[#This Row],[Salary]]</f>
        <v>1706.1</v>
      </c>
      <c r="K46">
        <f>INDEX(Sheet6!$B$2:$C$6,MATCH(Staff[[#This Row],[Rating]],Sheet6!$B$2:$B$6,0),2)</f>
        <v>4</v>
      </c>
    </row>
    <row r="47" spans="1:11" x14ac:dyDescent="0.35">
      <c r="A47" t="s">
        <v>109</v>
      </c>
      <c r="B47" t="s">
        <v>8</v>
      </c>
      <c r="C47">
        <v>38</v>
      </c>
      <c r="D47" t="s">
        <v>13</v>
      </c>
      <c r="E47" s="6">
        <v>44329</v>
      </c>
      <c r="F47" t="s">
        <v>19</v>
      </c>
      <c r="G47" s="12">
        <v>56870</v>
      </c>
      <c r="H47" t="s">
        <v>207</v>
      </c>
      <c r="I47" s="8">
        <f ca="1">(TODAY()-Staff[[#This Row],[Date Joined]])/365</f>
        <v>2.2054794520547945</v>
      </c>
      <c r="J47" s="12">
        <f ca="1">IF(Staff[[#This Row],[Tenure]]&gt;2,3%,2%)*Staff[[#This Row],[Salary]]</f>
        <v>1706.1</v>
      </c>
      <c r="K47">
        <f>INDEX(Sheet6!$B$2:$C$6,MATCH(Staff[[#This Row],[Rating]],Sheet6!$B$2:$B$6,0),2)</f>
        <v>4</v>
      </c>
    </row>
    <row r="48" spans="1:11" x14ac:dyDescent="0.35">
      <c r="A48" t="s">
        <v>125</v>
      </c>
      <c r="B48" t="s">
        <v>15</v>
      </c>
      <c r="C48">
        <v>21</v>
      </c>
      <c r="D48" t="s">
        <v>16</v>
      </c>
      <c r="E48" s="6">
        <v>44701</v>
      </c>
      <c r="F48" t="s">
        <v>9</v>
      </c>
      <c r="G48" s="12">
        <v>57090</v>
      </c>
      <c r="H48" t="s">
        <v>205</v>
      </c>
      <c r="I48" s="8">
        <f ca="1">(TODAY()-Staff[[#This Row],[Date Joined]])/365</f>
        <v>1.1863013698630136</v>
      </c>
      <c r="J48" s="12">
        <f ca="1">IF(Staff[[#This Row],[Tenure]]&gt;2,3%,2%)*Staff[[#This Row],[Salary]]</f>
        <v>1141.8</v>
      </c>
      <c r="K48">
        <f>INDEX(Sheet6!$B$2:$C$6,MATCH(Staff[[#This Row],[Rating]],Sheet6!$B$2:$B$6,0),2)</f>
        <v>3</v>
      </c>
    </row>
    <row r="49" spans="1:11" x14ac:dyDescent="0.35">
      <c r="A49" t="s">
        <v>31</v>
      </c>
      <c r="B49" t="s">
        <v>15</v>
      </c>
      <c r="C49">
        <v>21</v>
      </c>
      <c r="D49" t="s">
        <v>16</v>
      </c>
      <c r="E49" s="6">
        <v>44762</v>
      </c>
      <c r="F49" t="s">
        <v>9</v>
      </c>
      <c r="G49" s="12">
        <v>57090</v>
      </c>
      <c r="H49" t="s">
        <v>207</v>
      </c>
      <c r="I49" s="8">
        <f ca="1">(TODAY()-Staff[[#This Row],[Date Joined]])/365</f>
        <v>1.0191780821917809</v>
      </c>
      <c r="J49" s="12">
        <f ca="1">IF(Staff[[#This Row],[Tenure]]&gt;2,3%,2%)*Staff[[#This Row],[Salary]]</f>
        <v>1141.8</v>
      </c>
      <c r="K49">
        <f>INDEX(Sheet6!$B$2:$C$6,MATCH(Staff[[#This Row],[Rating]],Sheet6!$B$2:$B$6,0),2)</f>
        <v>3</v>
      </c>
    </row>
    <row r="50" spans="1:11" x14ac:dyDescent="0.35">
      <c r="A50" t="s">
        <v>120</v>
      </c>
      <c r="B50" t="s">
        <v>8</v>
      </c>
      <c r="C50">
        <v>31</v>
      </c>
      <c r="D50" t="s">
        <v>16</v>
      </c>
      <c r="E50" s="6">
        <v>44604</v>
      </c>
      <c r="F50" t="s">
        <v>12</v>
      </c>
      <c r="G50" s="12">
        <v>58100</v>
      </c>
      <c r="H50" t="s">
        <v>205</v>
      </c>
      <c r="I50" s="8">
        <f ca="1">(TODAY()-Staff[[#This Row],[Date Joined]])/365</f>
        <v>1.452054794520548</v>
      </c>
      <c r="J50" s="12">
        <f ca="1">IF(Staff[[#This Row],[Tenure]]&gt;2,3%,2%)*Staff[[#This Row],[Salary]]</f>
        <v>1162</v>
      </c>
      <c r="K50">
        <f>INDEX(Sheet6!$B$2:$C$6,MATCH(Staff[[#This Row],[Rating]],Sheet6!$B$2:$B$6,0),2)</f>
        <v>3</v>
      </c>
    </row>
    <row r="51" spans="1:11" x14ac:dyDescent="0.35">
      <c r="A51" t="s">
        <v>26</v>
      </c>
      <c r="B51" t="s">
        <v>8</v>
      </c>
      <c r="C51">
        <v>31</v>
      </c>
      <c r="D51" t="s">
        <v>16</v>
      </c>
      <c r="E51" s="6">
        <v>44663</v>
      </c>
      <c r="F51" t="s">
        <v>12</v>
      </c>
      <c r="G51" s="12">
        <v>58100</v>
      </c>
      <c r="H51" t="s">
        <v>207</v>
      </c>
      <c r="I51" s="8">
        <f ca="1">(TODAY()-Staff[[#This Row],[Date Joined]])/365</f>
        <v>1.2904109589041095</v>
      </c>
      <c r="J51" s="12">
        <f ca="1">IF(Staff[[#This Row],[Tenure]]&gt;2,3%,2%)*Staff[[#This Row],[Salary]]</f>
        <v>1162</v>
      </c>
      <c r="K51">
        <f>INDEX(Sheet6!$B$2:$C$6,MATCH(Staff[[#This Row],[Rating]],Sheet6!$B$2:$B$6,0),2)</f>
        <v>3</v>
      </c>
    </row>
    <row r="52" spans="1:11" x14ac:dyDescent="0.35">
      <c r="A52" t="s">
        <v>130</v>
      </c>
      <c r="B52" t="s">
        <v>8</v>
      </c>
      <c r="C52">
        <v>34</v>
      </c>
      <c r="D52" t="s">
        <v>16</v>
      </c>
      <c r="E52" s="6">
        <v>44594</v>
      </c>
      <c r="F52" t="s">
        <v>21</v>
      </c>
      <c r="G52" s="12">
        <v>58940</v>
      </c>
      <c r="H52" t="s">
        <v>205</v>
      </c>
      <c r="I52" s="8">
        <f ca="1">(TODAY()-Staff[[#This Row],[Date Joined]])/365</f>
        <v>1.4794520547945205</v>
      </c>
      <c r="J52" s="12">
        <f ca="1">IF(Staff[[#This Row],[Tenure]]&gt;2,3%,2%)*Staff[[#This Row],[Salary]]</f>
        <v>1178.8</v>
      </c>
      <c r="K52">
        <f>INDEX(Sheet6!$B$2:$C$6,MATCH(Staff[[#This Row],[Rating]],Sheet6!$B$2:$B$6,0),2)</f>
        <v>3</v>
      </c>
    </row>
    <row r="53" spans="1:11" x14ac:dyDescent="0.35">
      <c r="A53" t="s">
        <v>36</v>
      </c>
      <c r="B53" t="s">
        <v>8</v>
      </c>
      <c r="C53">
        <v>34</v>
      </c>
      <c r="D53" t="s">
        <v>16</v>
      </c>
      <c r="E53" s="6">
        <v>44653</v>
      </c>
      <c r="F53" t="s">
        <v>21</v>
      </c>
      <c r="G53" s="12">
        <v>58940</v>
      </c>
      <c r="H53" t="s">
        <v>207</v>
      </c>
      <c r="I53" s="8">
        <f ca="1">(TODAY()-Staff[[#This Row],[Date Joined]])/365</f>
        <v>1.3178082191780822</v>
      </c>
      <c r="J53" s="12">
        <f ca="1">IF(Staff[[#This Row],[Tenure]]&gt;2,3%,2%)*Staff[[#This Row],[Salary]]</f>
        <v>1178.8</v>
      </c>
      <c r="K53">
        <f>INDEX(Sheet6!$B$2:$C$6,MATCH(Staff[[#This Row],[Rating]],Sheet6!$B$2:$B$6,0),2)</f>
        <v>3</v>
      </c>
    </row>
    <row r="54" spans="1:11" x14ac:dyDescent="0.35">
      <c r="A54" t="s">
        <v>193</v>
      </c>
      <c r="B54" t="s">
        <v>15</v>
      </c>
      <c r="C54">
        <v>19</v>
      </c>
      <c r="D54" t="s">
        <v>16</v>
      </c>
      <c r="E54" s="6">
        <v>44218</v>
      </c>
      <c r="F54" t="s">
        <v>9</v>
      </c>
      <c r="G54" s="12">
        <v>58960</v>
      </c>
      <c r="H54" t="s">
        <v>205</v>
      </c>
      <c r="I54" s="8">
        <f ca="1">(TODAY()-Staff[[#This Row],[Date Joined]])/365</f>
        <v>2.5095890410958903</v>
      </c>
      <c r="J54" s="12">
        <f ca="1">IF(Staff[[#This Row],[Tenure]]&gt;2,3%,2%)*Staff[[#This Row],[Salary]]</f>
        <v>1768.8</v>
      </c>
      <c r="K54">
        <f>INDEX(Sheet6!$B$2:$C$6,MATCH(Staff[[#This Row],[Rating]],Sheet6!$B$2:$B$6,0),2)</f>
        <v>3</v>
      </c>
    </row>
    <row r="55" spans="1:11" x14ac:dyDescent="0.35">
      <c r="A55" t="s">
        <v>100</v>
      </c>
      <c r="B55" t="s">
        <v>15</v>
      </c>
      <c r="C55">
        <v>19</v>
      </c>
      <c r="D55" t="s">
        <v>16</v>
      </c>
      <c r="E55" s="6">
        <v>44277</v>
      </c>
      <c r="F55" t="s">
        <v>9</v>
      </c>
      <c r="G55" s="12">
        <v>58960</v>
      </c>
      <c r="H55" t="s">
        <v>207</v>
      </c>
      <c r="I55" s="8">
        <f ca="1">(TODAY()-Staff[[#This Row],[Date Joined]])/365</f>
        <v>2.3479452054794518</v>
      </c>
      <c r="J55" s="12">
        <f ca="1">IF(Staff[[#This Row],[Tenure]]&gt;2,3%,2%)*Staff[[#This Row],[Salary]]</f>
        <v>1768.8</v>
      </c>
      <c r="K55">
        <f>INDEX(Sheet6!$B$2:$C$6,MATCH(Staff[[#This Row],[Rating]],Sheet6!$B$2:$B$6,0),2)</f>
        <v>3</v>
      </c>
    </row>
    <row r="56" spans="1:11" x14ac:dyDescent="0.35">
      <c r="A56" t="s">
        <v>171</v>
      </c>
      <c r="B56" t="s">
        <v>15</v>
      </c>
      <c r="C56">
        <v>33</v>
      </c>
      <c r="D56" t="s">
        <v>16</v>
      </c>
      <c r="E56" s="6">
        <v>44181</v>
      </c>
      <c r="F56" t="s">
        <v>21</v>
      </c>
      <c r="G56" s="12">
        <v>59430</v>
      </c>
      <c r="H56" t="s">
        <v>205</v>
      </c>
      <c r="I56" s="8">
        <f ca="1">(TODAY()-Staff[[#This Row],[Date Joined]])/365</f>
        <v>2.6109589041095891</v>
      </c>
      <c r="J56" s="12">
        <f ca="1">IF(Staff[[#This Row],[Tenure]]&gt;2,3%,2%)*Staff[[#This Row],[Salary]]</f>
        <v>1782.8999999999999</v>
      </c>
      <c r="K56">
        <f>INDEX(Sheet6!$B$2:$C$6,MATCH(Staff[[#This Row],[Rating]],Sheet6!$B$2:$B$6,0),2)</f>
        <v>3</v>
      </c>
    </row>
    <row r="57" spans="1:11" x14ac:dyDescent="0.35">
      <c r="A57" t="s">
        <v>79</v>
      </c>
      <c r="B57" t="s">
        <v>15</v>
      </c>
      <c r="C57">
        <v>33</v>
      </c>
      <c r="D57" t="s">
        <v>16</v>
      </c>
      <c r="E57" s="6">
        <v>44243</v>
      </c>
      <c r="F57" t="s">
        <v>21</v>
      </c>
      <c r="G57" s="12">
        <v>59430</v>
      </c>
      <c r="H57" t="s">
        <v>207</v>
      </c>
      <c r="I57" s="8">
        <f ca="1">(TODAY()-Staff[[#This Row],[Date Joined]])/365</f>
        <v>2.441095890410959</v>
      </c>
      <c r="J57" s="12">
        <f ca="1">IF(Staff[[#This Row],[Tenure]]&gt;2,3%,2%)*Staff[[#This Row],[Salary]]</f>
        <v>1782.8999999999999</v>
      </c>
      <c r="K57">
        <f>INDEX(Sheet6!$B$2:$C$6,MATCH(Staff[[#This Row],[Rating]],Sheet6!$B$2:$B$6,0),2)</f>
        <v>3</v>
      </c>
    </row>
    <row r="58" spans="1:11" x14ac:dyDescent="0.35">
      <c r="A58" t="s">
        <v>132</v>
      </c>
      <c r="B58" t="s">
        <v>8</v>
      </c>
      <c r="C58">
        <v>34</v>
      </c>
      <c r="D58" t="s">
        <v>16</v>
      </c>
      <c r="E58" s="6">
        <v>44550</v>
      </c>
      <c r="F58" t="s">
        <v>21</v>
      </c>
      <c r="G58" s="12">
        <v>60130</v>
      </c>
      <c r="H58" t="s">
        <v>205</v>
      </c>
      <c r="I58" s="8">
        <f ca="1">(TODAY()-Staff[[#This Row],[Date Joined]])/365</f>
        <v>1.6</v>
      </c>
      <c r="J58" s="12">
        <f ca="1">IF(Staff[[#This Row],[Tenure]]&gt;2,3%,2%)*Staff[[#This Row],[Salary]]</f>
        <v>1202.6000000000001</v>
      </c>
      <c r="K58">
        <f>INDEX(Sheet6!$B$2:$C$6,MATCH(Staff[[#This Row],[Rating]],Sheet6!$B$2:$B$6,0),2)</f>
        <v>3</v>
      </c>
    </row>
    <row r="59" spans="1:11" x14ac:dyDescent="0.35">
      <c r="A59" t="s">
        <v>38</v>
      </c>
      <c r="B59" t="s">
        <v>8</v>
      </c>
      <c r="C59">
        <v>34</v>
      </c>
      <c r="D59" t="s">
        <v>16</v>
      </c>
      <c r="E59" s="6">
        <v>44612</v>
      </c>
      <c r="F59" t="s">
        <v>21</v>
      </c>
      <c r="G59" s="12">
        <v>60130</v>
      </c>
      <c r="H59" t="s">
        <v>207</v>
      </c>
      <c r="I59" s="8">
        <f ca="1">(TODAY()-Staff[[#This Row],[Date Joined]])/365</f>
        <v>1.4301369863013698</v>
      </c>
      <c r="J59" s="12">
        <f ca="1">IF(Staff[[#This Row],[Tenure]]&gt;2,3%,2%)*Staff[[#This Row],[Salary]]</f>
        <v>1202.6000000000001</v>
      </c>
      <c r="K59">
        <f>INDEX(Sheet6!$B$2:$C$6,MATCH(Staff[[#This Row],[Rating]],Sheet6!$B$2:$B$6,0),2)</f>
        <v>3</v>
      </c>
    </row>
    <row r="60" spans="1:11" x14ac:dyDescent="0.35">
      <c r="A60" t="s">
        <v>131</v>
      </c>
      <c r="B60" t="s">
        <v>15</v>
      </c>
      <c r="C60">
        <v>30</v>
      </c>
      <c r="D60" t="s">
        <v>16</v>
      </c>
      <c r="E60" s="6">
        <v>44607</v>
      </c>
      <c r="F60" t="s">
        <v>9</v>
      </c>
      <c r="G60" s="12">
        <v>60570</v>
      </c>
      <c r="H60" t="s">
        <v>205</v>
      </c>
      <c r="I60" s="8">
        <f ca="1">(TODAY()-Staff[[#This Row],[Date Joined]])/365</f>
        <v>1.4438356164383561</v>
      </c>
      <c r="J60" s="12">
        <f ca="1">IF(Staff[[#This Row],[Tenure]]&gt;2,3%,2%)*Staff[[#This Row],[Salary]]</f>
        <v>1211.4000000000001</v>
      </c>
      <c r="K60">
        <f>INDEX(Sheet6!$B$2:$C$6,MATCH(Staff[[#This Row],[Rating]],Sheet6!$B$2:$B$6,0),2)</f>
        <v>3</v>
      </c>
    </row>
    <row r="61" spans="1:11" x14ac:dyDescent="0.35">
      <c r="A61" t="s">
        <v>37</v>
      </c>
      <c r="B61" t="s">
        <v>15</v>
      </c>
      <c r="C61">
        <v>30</v>
      </c>
      <c r="D61" t="s">
        <v>16</v>
      </c>
      <c r="E61" s="6">
        <v>44666</v>
      </c>
      <c r="F61" t="s">
        <v>9</v>
      </c>
      <c r="G61" s="12">
        <v>60570</v>
      </c>
      <c r="H61" t="s">
        <v>207</v>
      </c>
      <c r="I61" s="8">
        <f ca="1">(TODAY()-Staff[[#This Row],[Date Joined]])/365</f>
        <v>1.2821917808219179</v>
      </c>
      <c r="J61" s="12">
        <f ca="1">IF(Staff[[#This Row],[Tenure]]&gt;2,3%,2%)*Staff[[#This Row],[Salary]]</f>
        <v>1211.4000000000001</v>
      </c>
      <c r="K61">
        <f>INDEX(Sheet6!$B$2:$C$6,MATCH(Staff[[#This Row],[Rating]],Sheet6!$B$2:$B$6,0),2)</f>
        <v>3</v>
      </c>
    </row>
    <row r="62" spans="1:11" x14ac:dyDescent="0.35">
      <c r="A62" t="s">
        <v>153</v>
      </c>
      <c r="B62" t="s">
        <v>8</v>
      </c>
      <c r="C62">
        <v>24</v>
      </c>
      <c r="D62" t="s">
        <v>16</v>
      </c>
      <c r="E62" s="6">
        <v>44087</v>
      </c>
      <c r="F62" t="s">
        <v>12</v>
      </c>
      <c r="G62" s="12">
        <v>62780</v>
      </c>
      <c r="H62" t="s">
        <v>205</v>
      </c>
      <c r="I62" s="8">
        <f ca="1">(TODAY()-Staff[[#This Row],[Date Joined]])/365</f>
        <v>2.8684931506849316</v>
      </c>
      <c r="J62" s="12">
        <f ca="1">IF(Staff[[#This Row],[Tenure]]&gt;2,3%,2%)*Staff[[#This Row],[Salary]]</f>
        <v>1883.3999999999999</v>
      </c>
      <c r="K62">
        <f>INDEX(Sheet6!$B$2:$C$6,MATCH(Staff[[#This Row],[Rating]],Sheet6!$B$2:$B$6,0),2)</f>
        <v>3</v>
      </c>
    </row>
    <row r="63" spans="1:11" x14ac:dyDescent="0.35">
      <c r="A63" t="s">
        <v>61</v>
      </c>
      <c r="B63" t="s">
        <v>8</v>
      </c>
      <c r="C63">
        <v>24</v>
      </c>
      <c r="D63" t="s">
        <v>16</v>
      </c>
      <c r="E63" s="6">
        <v>44148</v>
      </c>
      <c r="F63" t="s">
        <v>12</v>
      </c>
      <c r="G63" s="12">
        <v>62780</v>
      </c>
      <c r="H63" t="s">
        <v>207</v>
      </c>
      <c r="I63" s="8">
        <f ca="1">(TODAY()-Staff[[#This Row],[Date Joined]])/365</f>
        <v>2.7013698630136984</v>
      </c>
      <c r="J63" s="12">
        <f ca="1">IF(Staff[[#This Row],[Tenure]]&gt;2,3%,2%)*Staff[[#This Row],[Salary]]</f>
        <v>1883.3999999999999</v>
      </c>
      <c r="K63">
        <f>INDEX(Sheet6!$B$2:$C$6,MATCH(Staff[[#This Row],[Rating]],Sheet6!$B$2:$B$6,0),2)</f>
        <v>3</v>
      </c>
    </row>
    <row r="64" spans="1:11" x14ac:dyDescent="0.35">
      <c r="A64" t="s">
        <v>116</v>
      </c>
      <c r="B64" t="s">
        <v>206</v>
      </c>
      <c r="C64">
        <v>30</v>
      </c>
      <c r="D64" t="s">
        <v>16</v>
      </c>
      <c r="E64" s="6">
        <v>44535</v>
      </c>
      <c r="F64" t="s">
        <v>21</v>
      </c>
      <c r="G64" s="12">
        <v>64000</v>
      </c>
      <c r="H64" t="s">
        <v>205</v>
      </c>
      <c r="I64" s="8">
        <f ca="1">(TODAY()-Staff[[#This Row],[Date Joined]])/365</f>
        <v>1.6410958904109589</v>
      </c>
      <c r="J64" s="12">
        <f ca="1">IF(Staff[[#This Row],[Tenure]]&gt;2,3%,2%)*Staff[[#This Row],[Salary]]</f>
        <v>1280</v>
      </c>
      <c r="K64">
        <f>INDEX(Sheet6!$B$2:$C$6,MATCH(Staff[[#This Row],[Rating]],Sheet6!$B$2:$B$6,0),2)</f>
        <v>3</v>
      </c>
    </row>
    <row r="65" spans="1:11" x14ac:dyDescent="0.35">
      <c r="A65" t="s">
        <v>20</v>
      </c>
      <c r="B65" t="s">
        <v>206</v>
      </c>
      <c r="C65">
        <v>30</v>
      </c>
      <c r="D65" t="s">
        <v>16</v>
      </c>
      <c r="E65" s="6">
        <v>44597</v>
      </c>
      <c r="F65" t="s">
        <v>21</v>
      </c>
      <c r="G65" s="12">
        <v>64000</v>
      </c>
      <c r="H65" t="s">
        <v>207</v>
      </c>
      <c r="I65" s="8">
        <f ca="1">(TODAY()-Staff[[#This Row],[Date Joined]])/365</f>
        <v>1.4712328767123288</v>
      </c>
      <c r="J65" s="12">
        <f ca="1">IF(Staff[[#This Row],[Tenure]]&gt;2,3%,2%)*Staff[[#This Row],[Salary]]</f>
        <v>1280</v>
      </c>
      <c r="K65">
        <f>INDEX(Sheet6!$B$2:$C$6,MATCH(Staff[[#This Row],[Rating]],Sheet6!$B$2:$B$6,0),2)</f>
        <v>3</v>
      </c>
    </row>
    <row r="66" spans="1:11" x14ac:dyDescent="0.35">
      <c r="A66" t="s">
        <v>186</v>
      </c>
      <c r="B66" t="s">
        <v>8</v>
      </c>
      <c r="C66">
        <v>33</v>
      </c>
      <c r="D66" t="s">
        <v>16</v>
      </c>
      <c r="E66" s="6">
        <v>44006</v>
      </c>
      <c r="F66" t="s">
        <v>21</v>
      </c>
      <c r="G66" s="12">
        <v>65360</v>
      </c>
      <c r="H66" t="s">
        <v>205</v>
      </c>
      <c r="I66" s="8">
        <f ca="1">(TODAY()-Staff[[#This Row],[Date Joined]])/365</f>
        <v>3.0904109589041098</v>
      </c>
      <c r="J66" s="12">
        <f ca="1">IF(Staff[[#This Row],[Tenure]]&gt;2,3%,2%)*Staff[[#This Row],[Salary]]</f>
        <v>1960.8</v>
      </c>
      <c r="K66">
        <f>INDEX(Sheet6!$B$2:$C$6,MATCH(Staff[[#This Row],[Rating]],Sheet6!$B$2:$B$6,0),2)</f>
        <v>3</v>
      </c>
    </row>
    <row r="67" spans="1:11" x14ac:dyDescent="0.35">
      <c r="A67" t="s">
        <v>93</v>
      </c>
      <c r="B67" t="s">
        <v>8</v>
      </c>
      <c r="C67">
        <v>33</v>
      </c>
      <c r="D67" t="s">
        <v>16</v>
      </c>
      <c r="E67" s="6">
        <v>44067</v>
      </c>
      <c r="F67" t="s">
        <v>21</v>
      </c>
      <c r="G67" s="12">
        <v>65360</v>
      </c>
      <c r="H67" t="s">
        <v>207</v>
      </c>
      <c r="I67" s="8">
        <f ca="1">(TODAY()-Staff[[#This Row],[Date Joined]])/365</f>
        <v>2.9232876712328766</v>
      </c>
      <c r="J67" s="12">
        <f ca="1">IF(Staff[[#This Row],[Tenure]]&gt;2,3%,2%)*Staff[[#This Row],[Salary]]</f>
        <v>1960.8</v>
      </c>
      <c r="K67">
        <f>INDEX(Sheet6!$B$2:$C$6,MATCH(Staff[[#This Row],[Rating]],Sheet6!$B$2:$B$6,0),2)</f>
        <v>3</v>
      </c>
    </row>
    <row r="68" spans="1:11" x14ac:dyDescent="0.35">
      <c r="A68" t="s">
        <v>168</v>
      </c>
      <c r="B68" t="s">
        <v>15</v>
      </c>
      <c r="C68">
        <v>25</v>
      </c>
      <c r="D68" t="s">
        <v>16</v>
      </c>
      <c r="E68" s="6">
        <v>44322</v>
      </c>
      <c r="F68" t="s">
        <v>19</v>
      </c>
      <c r="G68" s="12">
        <v>65700</v>
      </c>
      <c r="H68" t="s">
        <v>205</v>
      </c>
      <c r="I68" s="8">
        <f ca="1">(TODAY()-Staff[[#This Row],[Date Joined]])/365</f>
        <v>2.2246575342465755</v>
      </c>
      <c r="J68" s="12">
        <f ca="1">IF(Staff[[#This Row],[Tenure]]&gt;2,3%,2%)*Staff[[#This Row],[Salary]]</f>
        <v>1971</v>
      </c>
      <c r="K68">
        <f>INDEX(Sheet6!$B$2:$C$6,MATCH(Staff[[#This Row],[Rating]],Sheet6!$B$2:$B$6,0),2)</f>
        <v>3</v>
      </c>
    </row>
    <row r="69" spans="1:11" x14ac:dyDescent="0.35">
      <c r="A69" t="s">
        <v>76</v>
      </c>
      <c r="B69" t="s">
        <v>15</v>
      </c>
      <c r="C69">
        <v>25</v>
      </c>
      <c r="D69" t="s">
        <v>16</v>
      </c>
      <c r="E69" s="6">
        <v>44383</v>
      </c>
      <c r="F69" t="s">
        <v>19</v>
      </c>
      <c r="G69" s="12">
        <v>65700</v>
      </c>
      <c r="H69" t="s">
        <v>207</v>
      </c>
      <c r="I69" s="8">
        <f ca="1">(TODAY()-Staff[[#This Row],[Date Joined]])/365</f>
        <v>2.0575342465753423</v>
      </c>
      <c r="J69" s="12">
        <f ca="1">IF(Staff[[#This Row],[Tenure]]&gt;2,3%,2%)*Staff[[#This Row],[Salary]]</f>
        <v>1971</v>
      </c>
      <c r="K69">
        <f>INDEX(Sheet6!$B$2:$C$6,MATCH(Staff[[#This Row],[Rating]],Sheet6!$B$2:$B$6,0),2)</f>
        <v>3</v>
      </c>
    </row>
    <row r="70" spans="1:11" x14ac:dyDescent="0.35">
      <c r="A70" t="s">
        <v>126</v>
      </c>
      <c r="B70" t="s">
        <v>8</v>
      </c>
      <c r="C70">
        <v>21</v>
      </c>
      <c r="D70" t="s">
        <v>16</v>
      </c>
      <c r="E70" s="6">
        <v>44256</v>
      </c>
      <c r="F70" t="s">
        <v>21</v>
      </c>
      <c r="G70" s="12">
        <v>65920</v>
      </c>
      <c r="H70" t="s">
        <v>205</v>
      </c>
      <c r="I70" s="8">
        <f ca="1">(TODAY()-Staff[[#This Row],[Date Joined]])/365</f>
        <v>2.4054794520547946</v>
      </c>
      <c r="J70" s="12">
        <f ca="1">IF(Staff[[#This Row],[Tenure]]&gt;2,3%,2%)*Staff[[#This Row],[Salary]]</f>
        <v>1977.6</v>
      </c>
      <c r="K70">
        <f>INDEX(Sheet6!$B$2:$C$6,MATCH(Staff[[#This Row],[Rating]],Sheet6!$B$2:$B$6,0),2)</f>
        <v>3</v>
      </c>
    </row>
    <row r="71" spans="1:11" x14ac:dyDescent="0.35">
      <c r="A71" t="s">
        <v>32</v>
      </c>
      <c r="B71" t="s">
        <v>8</v>
      </c>
      <c r="C71">
        <v>21</v>
      </c>
      <c r="D71" t="s">
        <v>16</v>
      </c>
      <c r="E71" s="6">
        <v>44317</v>
      </c>
      <c r="F71" t="s">
        <v>21</v>
      </c>
      <c r="G71" s="12">
        <v>65920</v>
      </c>
      <c r="H71" t="s">
        <v>207</v>
      </c>
      <c r="I71" s="8">
        <f ca="1">(TODAY()-Staff[[#This Row],[Date Joined]])/365</f>
        <v>2.2383561643835614</v>
      </c>
      <c r="J71" s="12">
        <f ca="1">IF(Staff[[#This Row],[Tenure]]&gt;2,3%,2%)*Staff[[#This Row],[Salary]]</f>
        <v>1977.6</v>
      </c>
      <c r="K71">
        <f>INDEX(Sheet6!$B$2:$C$6,MATCH(Staff[[#This Row],[Rating]],Sheet6!$B$2:$B$6,0),2)</f>
        <v>3</v>
      </c>
    </row>
    <row r="72" spans="1:11" x14ac:dyDescent="0.35">
      <c r="A72" t="s">
        <v>121</v>
      </c>
      <c r="B72" t="s">
        <v>8</v>
      </c>
      <c r="C72">
        <v>30</v>
      </c>
      <c r="D72" t="s">
        <v>24</v>
      </c>
      <c r="E72" s="6">
        <v>44328</v>
      </c>
      <c r="F72" t="s">
        <v>21</v>
      </c>
      <c r="G72" s="12">
        <v>67910</v>
      </c>
      <c r="H72" t="s">
        <v>205</v>
      </c>
      <c r="I72" s="8">
        <f ca="1">(TODAY()-Staff[[#This Row],[Date Joined]])/365</f>
        <v>2.2082191780821918</v>
      </c>
      <c r="J72" s="12">
        <f ca="1">IF(Staff[[#This Row],[Tenure]]&gt;2,3%,2%)*Staff[[#This Row],[Salary]]</f>
        <v>2037.3</v>
      </c>
      <c r="K72">
        <f>INDEX(Sheet6!$B$2:$C$6,MATCH(Staff[[#This Row],[Rating]],Sheet6!$B$2:$B$6,0),2)</f>
        <v>2</v>
      </c>
    </row>
    <row r="73" spans="1:11" x14ac:dyDescent="0.35">
      <c r="A73" t="s">
        <v>27</v>
      </c>
      <c r="B73" t="s">
        <v>8</v>
      </c>
      <c r="C73">
        <v>30</v>
      </c>
      <c r="D73" t="s">
        <v>24</v>
      </c>
      <c r="E73" s="6">
        <v>44389</v>
      </c>
      <c r="F73" t="s">
        <v>21</v>
      </c>
      <c r="G73" s="12">
        <v>67910</v>
      </c>
      <c r="H73" t="s">
        <v>207</v>
      </c>
      <c r="I73" s="8">
        <f ca="1">(TODAY()-Staff[[#This Row],[Date Joined]])/365</f>
        <v>2.0410958904109591</v>
      </c>
      <c r="J73" s="12">
        <f ca="1">IF(Staff[[#This Row],[Tenure]]&gt;2,3%,2%)*Staff[[#This Row],[Salary]]</f>
        <v>2037.3</v>
      </c>
      <c r="K73">
        <f>INDEX(Sheet6!$B$2:$C$6,MATCH(Staff[[#This Row],[Rating]],Sheet6!$B$2:$B$6,0),2)</f>
        <v>2</v>
      </c>
    </row>
    <row r="74" spans="1:11" x14ac:dyDescent="0.35">
      <c r="A74" t="s">
        <v>138</v>
      </c>
      <c r="B74" t="s">
        <v>15</v>
      </c>
      <c r="C74">
        <v>30</v>
      </c>
      <c r="D74" t="s">
        <v>16</v>
      </c>
      <c r="E74" s="6">
        <v>44640</v>
      </c>
      <c r="F74" t="s">
        <v>9</v>
      </c>
      <c r="G74" s="12">
        <v>67950</v>
      </c>
      <c r="H74" t="s">
        <v>205</v>
      </c>
      <c r="I74" s="8">
        <f ca="1">(TODAY()-Staff[[#This Row],[Date Joined]])/365</f>
        <v>1.3534246575342466</v>
      </c>
      <c r="J74" s="12">
        <f ca="1">IF(Staff[[#This Row],[Tenure]]&gt;2,3%,2%)*Staff[[#This Row],[Salary]]</f>
        <v>1359</v>
      </c>
      <c r="K74">
        <f>INDEX(Sheet6!$B$2:$C$6,MATCH(Staff[[#This Row],[Rating]],Sheet6!$B$2:$B$6,0),2)</f>
        <v>3</v>
      </c>
    </row>
    <row r="75" spans="1:11" x14ac:dyDescent="0.35">
      <c r="A75" t="s">
        <v>45</v>
      </c>
      <c r="B75" t="s">
        <v>15</v>
      </c>
      <c r="C75">
        <v>30</v>
      </c>
      <c r="D75" t="s">
        <v>16</v>
      </c>
      <c r="E75" s="6">
        <v>44701</v>
      </c>
      <c r="F75" t="s">
        <v>9</v>
      </c>
      <c r="G75" s="12">
        <v>67950</v>
      </c>
      <c r="H75" t="s">
        <v>207</v>
      </c>
      <c r="I75" s="8">
        <f ca="1">(TODAY()-Staff[[#This Row],[Date Joined]])/365</f>
        <v>1.1863013698630136</v>
      </c>
      <c r="J75" s="12">
        <f ca="1">IF(Staff[[#This Row],[Tenure]]&gt;2,3%,2%)*Staff[[#This Row],[Salary]]</f>
        <v>1359</v>
      </c>
      <c r="K75">
        <f>INDEX(Sheet6!$B$2:$C$6,MATCH(Staff[[#This Row],[Rating]],Sheet6!$B$2:$B$6,0),2)</f>
        <v>3</v>
      </c>
    </row>
    <row r="76" spans="1:11" x14ac:dyDescent="0.35">
      <c r="A76" t="s">
        <v>184</v>
      </c>
      <c r="B76" t="s">
        <v>8</v>
      </c>
      <c r="C76">
        <v>20</v>
      </c>
      <c r="D76" t="s">
        <v>24</v>
      </c>
      <c r="E76" s="6">
        <v>44476</v>
      </c>
      <c r="F76" t="s">
        <v>19</v>
      </c>
      <c r="G76" s="12">
        <v>68900</v>
      </c>
      <c r="H76" t="s">
        <v>205</v>
      </c>
      <c r="I76" s="8">
        <f ca="1">(TODAY()-Staff[[#This Row],[Date Joined]])/365</f>
        <v>1.8027397260273972</v>
      </c>
      <c r="J76" s="12">
        <f ca="1">IF(Staff[[#This Row],[Tenure]]&gt;2,3%,2%)*Staff[[#This Row],[Salary]]</f>
        <v>1378</v>
      </c>
      <c r="K76">
        <f>INDEX(Sheet6!$B$2:$C$6,MATCH(Staff[[#This Row],[Rating]],Sheet6!$B$2:$B$6,0),2)</f>
        <v>2</v>
      </c>
    </row>
    <row r="77" spans="1:11" x14ac:dyDescent="0.35">
      <c r="A77" t="s">
        <v>91</v>
      </c>
      <c r="B77" t="s">
        <v>8</v>
      </c>
      <c r="C77">
        <v>20</v>
      </c>
      <c r="D77" t="s">
        <v>24</v>
      </c>
      <c r="E77" s="6">
        <v>44537</v>
      </c>
      <c r="F77" t="s">
        <v>19</v>
      </c>
      <c r="G77" s="12">
        <v>68900</v>
      </c>
      <c r="H77" t="s">
        <v>207</v>
      </c>
      <c r="I77" s="8">
        <f ca="1">(TODAY()-Staff[[#This Row],[Date Joined]])/365</f>
        <v>1.6356164383561644</v>
      </c>
      <c r="J77" s="12">
        <f ca="1">IF(Staff[[#This Row],[Tenure]]&gt;2,3%,2%)*Staff[[#This Row],[Salary]]</f>
        <v>1378</v>
      </c>
      <c r="K77">
        <f>INDEX(Sheet6!$B$2:$C$6,MATCH(Staff[[#This Row],[Rating]],Sheet6!$B$2:$B$6,0),2)</f>
        <v>2</v>
      </c>
    </row>
    <row r="78" spans="1:11" x14ac:dyDescent="0.35">
      <c r="A78" t="s">
        <v>190</v>
      </c>
      <c r="B78" t="s">
        <v>15</v>
      </c>
      <c r="C78">
        <v>37</v>
      </c>
      <c r="D78" t="s">
        <v>16</v>
      </c>
      <c r="E78" s="6">
        <v>44640</v>
      </c>
      <c r="F78" t="s">
        <v>12</v>
      </c>
      <c r="G78" s="12">
        <v>69070</v>
      </c>
      <c r="H78" t="s">
        <v>205</v>
      </c>
      <c r="I78" s="8">
        <f ca="1">(TODAY()-Staff[[#This Row],[Date Joined]])/365</f>
        <v>1.3534246575342466</v>
      </c>
      <c r="J78" s="12">
        <f ca="1">IF(Staff[[#This Row],[Tenure]]&gt;2,3%,2%)*Staff[[#This Row],[Salary]]</f>
        <v>1381.4</v>
      </c>
      <c r="K78">
        <f>INDEX(Sheet6!$B$2:$C$6,MATCH(Staff[[#This Row],[Rating]],Sheet6!$B$2:$B$6,0),2)</f>
        <v>3</v>
      </c>
    </row>
    <row r="79" spans="1:11" x14ac:dyDescent="0.35">
      <c r="A79" t="s">
        <v>97</v>
      </c>
      <c r="B79" t="s">
        <v>15</v>
      </c>
      <c r="C79">
        <v>37</v>
      </c>
      <c r="D79" t="s">
        <v>16</v>
      </c>
      <c r="E79" s="6">
        <v>44701</v>
      </c>
      <c r="F79" t="s">
        <v>12</v>
      </c>
      <c r="G79" s="12">
        <v>69070</v>
      </c>
      <c r="H79" t="s">
        <v>207</v>
      </c>
      <c r="I79" s="8">
        <f ca="1">(TODAY()-Staff[[#This Row],[Date Joined]])/365</f>
        <v>1.1863013698630136</v>
      </c>
      <c r="J79" s="12">
        <f ca="1">IF(Staff[[#This Row],[Tenure]]&gt;2,3%,2%)*Staff[[#This Row],[Salary]]</f>
        <v>1381.4</v>
      </c>
      <c r="K79">
        <f>INDEX(Sheet6!$B$2:$C$6,MATCH(Staff[[#This Row],[Rating]],Sheet6!$B$2:$B$6,0),2)</f>
        <v>3</v>
      </c>
    </row>
    <row r="80" spans="1:11" x14ac:dyDescent="0.35">
      <c r="A80" t="s">
        <v>119</v>
      </c>
      <c r="B80" t="s">
        <v>15</v>
      </c>
      <c r="C80">
        <v>30</v>
      </c>
      <c r="D80" t="s">
        <v>16</v>
      </c>
      <c r="E80" s="6">
        <v>44214</v>
      </c>
      <c r="F80" t="s">
        <v>12</v>
      </c>
      <c r="G80" s="12">
        <v>69120</v>
      </c>
      <c r="H80" t="s">
        <v>205</v>
      </c>
      <c r="I80" s="8">
        <f ca="1">(TODAY()-Staff[[#This Row],[Date Joined]])/365</f>
        <v>2.5205479452054793</v>
      </c>
      <c r="J80" s="12">
        <f ca="1">IF(Staff[[#This Row],[Tenure]]&gt;2,3%,2%)*Staff[[#This Row],[Salary]]</f>
        <v>2073.6</v>
      </c>
      <c r="K80">
        <f>INDEX(Sheet6!$B$2:$C$6,MATCH(Staff[[#This Row],[Rating]],Sheet6!$B$2:$B$6,0),2)</f>
        <v>3</v>
      </c>
    </row>
    <row r="81" spans="1:11" x14ac:dyDescent="0.35">
      <c r="A81" t="s">
        <v>25</v>
      </c>
      <c r="B81" t="s">
        <v>15</v>
      </c>
      <c r="C81">
        <v>30</v>
      </c>
      <c r="D81" t="s">
        <v>16</v>
      </c>
      <c r="E81" s="6">
        <v>44273</v>
      </c>
      <c r="F81" t="s">
        <v>12</v>
      </c>
      <c r="G81" s="12">
        <v>69120</v>
      </c>
      <c r="H81" t="s">
        <v>207</v>
      </c>
      <c r="I81" s="8">
        <f ca="1">(TODAY()-Staff[[#This Row],[Date Joined]])/365</f>
        <v>2.3589041095890413</v>
      </c>
      <c r="J81" s="12">
        <f ca="1">IF(Staff[[#This Row],[Tenure]]&gt;2,3%,2%)*Staff[[#This Row],[Salary]]</f>
        <v>2073.6</v>
      </c>
      <c r="K81">
        <f>INDEX(Sheet6!$B$2:$C$6,MATCH(Staff[[#This Row],[Rating]],Sheet6!$B$2:$B$6,0),2)</f>
        <v>3</v>
      </c>
    </row>
    <row r="82" spans="1:11" x14ac:dyDescent="0.35">
      <c r="A82" t="s">
        <v>159</v>
      </c>
      <c r="B82" t="s">
        <v>15</v>
      </c>
      <c r="C82">
        <v>30</v>
      </c>
      <c r="D82" t="s">
        <v>16</v>
      </c>
      <c r="E82" s="6">
        <v>44789</v>
      </c>
      <c r="F82" t="s">
        <v>12</v>
      </c>
      <c r="G82" s="12">
        <v>69710</v>
      </c>
      <c r="H82" t="s">
        <v>205</v>
      </c>
      <c r="I82" s="8">
        <f ca="1">(TODAY()-Staff[[#This Row],[Date Joined]])/365</f>
        <v>0.9452054794520548</v>
      </c>
      <c r="J82" s="12">
        <f ca="1">IF(Staff[[#This Row],[Tenure]]&gt;2,3%,2%)*Staff[[#This Row],[Salary]]</f>
        <v>1394.2</v>
      </c>
      <c r="K82">
        <f>INDEX(Sheet6!$B$2:$C$6,MATCH(Staff[[#This Row],[Rating]],Sheet6!$B$2:$B$6,0),2)</f>
        <v>3</v>
      </c>
    </row>
    <row r="83" spans="1:11" x14ac:dyDescent="0.35">
      <c r="A83" t="s">
        <v>67</v>
      </c>
      <c r="B83" t="s">
        <v>15</v>
      </c>
      <c r="C83">
        <v>30</v>
      </c>
      <c r="D83" t="s">
        <v>16</v>
      </c>
      <c r="E83" s="6">
        <v>44850</v>
      </c>
      <c r="F83" t="s">
        <v>12</v>
      </c>
      <c r="G83" s="12">
        <v>69710</v>
      </c>
      <c r="H83" t="s">
        <v>207</v>
      </c>
      <c r="I83" s="8">
        <f ca="1">(TODAY()-Staff[[#This Row],[Date Joined]])/365</f>
        <v>0.77808219178082194</v>
      </c>
      <c r="J83" s="12">
        <f ca="1">IF(Staff[[#This Row],[Tenure]]&gt;2,3%,2%)*Staff[[#This Row],[Salary]]</f>
        <v>1394.2</v>
      </c>
      <c r="K83">
        <f>INDEX(Sheet6!$B$2:$C$6,MATCH(Staff[[#This Row],[Rating]],Sheet6!$B$2:$B$6,0),2)</f>
        <v>3</v>
      </c>
    </row>
    <row r="84" spans="1:11" x14ac:dyDescent="0.35">
      <c r="A84" t="s">
        <v>183</v>
      </c>
      <c r="B84" t="s">
        <v>15</v>
      </c>
      <c r="C84">
        <v>42</v>
      </c>
      <c r="D84" t="s">
        <v>24</v>
      </c>
      <c r="E84" s="6">
        <v>44670</v>
      </c>
      <c r="F84" t="s">
        <v>21</v>
      </c>
      <c r="G84" s="12">
        <v>70270</v>
      </c>
      <c r="H84" t="s">
        <v>205</v>
      </c>
      <c r="I84" s="8">
        <f ca="1">(TODAY()-Staff[[#This Row],[Date Joined]])/365</f>
        <v>1.2712328767123289</v>
      </c>
      <c r="J84" s="12">
        <f ca="1">IF(Staff[[#This Row],[Tenure]]&gt;2,3%,2%)*Staff[[#This Row],[Salary]]</f>
        <v>1405.4</v>
      </c>
      <c r="K84">
        <f>INDEX(Sheet6!$B$2:$C$6,MATCH(Staff[[#This Row],[Rating]],Sheet6!$B$2:$B$6,0),2)</f>
        <v>2</v>
      </c>
    </row>
    <row r="85" spans="1:11" x14ac:dyDescent="0.35">
      <c r="A85" t="s">
        <v>90</v>
      </c>
      <c r="B85" t="s">
        <v>15</v>
      </c>
      <c r="C85">
        <v>42</v>
      </c>
      <c r="D85" t="s">
        <v>24</v>
      </c>
      <c r="E85" s="6">
        <v>44731</v>
      </c>
      <c r="F85" t="s">
        <v>21</v>
      </c>
      <c r="G85" s="12">
        <v>70270</v>
      </c>
      <c r="H85" t="s">
        <v>207</v>
      </c>
      <c r="I85" s="8">
        <f ca="1">(TODAY()-Staff[[#This Row],[Date Joined]])/365</f>
        <v>1.1041095890410959</v>
      </c>
      <c r="J85" s="12">
        <f ca="1">IF(Staff[[#This Row],[Tenure]]&gt;2,3%,2%)*Staff[[#This Row],[Salary]]</f>
        <v>1405.4</v>
      </c>
      <c r="K85">
        <f>INDEX(Sheet6!$B$2:$C$6,MATCH(Staff[[#This Row],[Rating]],Sheet6!$B$2:$B$6,0),2)</f>
        <v>2</v>
      </c>
    </row>
    <row r="86" spans="1:11" x14ac:dyDescent="0.35">
      <c r="A86" t="s">
        <v>162</v>
      </c>
      <c r="B86" t="s">
        <v>15</v>
      </c>
      <c r="C86">
        <v>46</v>
      </c>
      <c r="D86" t="s">
        <v>16</v>
      </c>
      <c r="E86" s="6">
        <v>44697</v>
      </c>
      <c r="F86" t="s">
        <v>9</v>
      </c>
      <c r="G86" s="12">
        <v>70610</v>
      </c>
      <c r="H86" t="s">
        <v>205</v>
      </c>
      <c r="I86" s="8">
        <f ca="1">(TODAY()-Staff[[#This Row],[Date Joined]])/365</f>
        <v>1.1972602739726028</v>
      </c>
      <c r="J86" s="12">
        <f ca="1">IF(Staff[[#This Row],[Tenure]]&gt;2,3%,2%)*Staff[[#This Row],[Salary]]</f>
        <v>1412.2</v>
      </c>
      <c r="K86">
        <f>INDEX(Sheet6!$B$2:$C$6,MATCH(Staff[[#This Row],[Rating]],Sheet6!$B$2:$B$6,0),2)</f>
        <v>3</v>
      </c>
    </row>
    <row r="87" spans="1:11" x14ac:dyDescent="0.35">
      <c r="A87" t="s">
        <v>70</v>
      </c>
      <c r="B87" t="s">
        <v>15</v>
      </c>
      <c r="C87">
        <v>46</v>
      </c>
      <c r="D87" t="s">
        <v>16</v>
      </c>
      <c r="E87" s="6">
        <v>44758</v>
      </c>
      <c r="F87" t="s">
        <v>9</v>
      </c>
      <c r="G87" s="12">
        <v>70610</v>
      </c>
      <c r="H87" t="s">
        <v>207</v>
      </c>
      <c r="I87" s="8">
        <f ca="1">(TODAY()-Staff[[#This Row],[Date Joined]])/365</f>
        <v>1.0301369863013699</v>
      </c>
      <c r="J87" s="12">
        <f ca="1">IF(Staff[[#This Row],[Tenure]]&gt;2,3%,2%)*Staff[[#This Row],[Salary]]</f>
        <v>1412.2</v>
      </c>
      <c r="K87">
        <f>INDEX(Sheet6!$B$2:$C$6,MATCH(Staff[[#This Row],[Rating]],Sheet6!$B$2:$B$6,0),2)</f>
        <v>3</v>
      </c>
    </row>
    <row r="88" spans="1:11" x14ac:dyDescent="0.35">
      <c r="A88" t="s">
        <v>187</v>
      </c>
      <c r="B88" t="s">
        <v>15</v>
      </c>
      <c r="C88">
        <v>36</v>
      </c>
      <c r="D88" t="s">
        <v>16</v>
      </c>
      <c r="E88" s="6">
        <v>44272</v>
      </c>
      <c r="F88" t="s">
        <v>21</v>
      </c>
      <c r="G88" s="12">
        <v>71380</v>
      </c>
      <c r="H88" t="s">
        <v>205</v>
      </c>
      <c r="I88" s="8">
        <f ca="1">(TODAY()-Staff[[#This Row],[Date Joined]])/365</f>
        <v>2.3616438356164382</v>
      </c>
      <c r="J88" s="12">
        <f ca="1">IF(Staff[[#This Row],[Tenure]]&gt;2,3%,2%)*Staff[[#This Row],[Salary]]</f>
        <v>2141.4</v>
      </c>
      <c r="K88">
        <f>INDEX(Sheet6!$B$2:$C$6,MATCH(Staff[[#This Row],[Rating]],Sheet6!$B$2:$B$6,0),2)</f>
        <v>3</v>
      </c>
    </row>
    <row r="89" spans="1:11" x14ac:dyDescent="0.35">
      <c r="A89" t="s">
        <v>94</v>
      </c>
      <c r="B89" t="s">
        <v>15</v>
      </c>
      <c r="C89">
        <v>36</v>
      </c>
      <c r="D89" t="s">
        <v>16</v>
      </c>
      <c r="E89" s="6">
        <v>44333</v>
      </c>
      <c r="F89" t="s">
        <v>21</v>
      </c>
      <c r="G89" s="12">
        <v>71380</v>
      </c>
      <c r="H89" t="s">
        <v>207</v>
      </c>
      <c r="I89" s="8">
        <f ca="1">(TODAY()-Staff[[#This Row],[Date Joined]])/365</f>
        <v>2.1945205479452055</v>
      </c>
      <c r="J89" s="12">
        <f ca="1">IF(Staff[[#This Row],[Tenure]]&gt;2,3%,2%)*Staff[[#This Row],[Salary]]</f>
        <v>2141.4</v>
      </c>
      <c r="K89">
        <f>INDEX(Sheet6!$B$2:$C$6,MATCH(Staff[[#This Row],[Rating]],Sheet6!$B$2:$B$6,0),2)</f>
        <v>3</v>
      </c>
    </row>
    <row r="90" spans="1:11" x14ac:dyDescent="0.35">
      <c r="A90" t="s">
        <v>115</v>
      </c>
      <c r="B90" t="s">
        <v>15</v>
      </c>
      <c r="C90">
        <v>33</v>
      </c>
      <c r="D90" t="s">
        <v>16</v>
      </c>
      <c r="E90" s="6">
        <v>44324</v>
      </c>
      <c r="F90" t="s">
        <v>19</v>
      </c>
      <c r="G90" s="12">
        <v>74550</v>
      </c>
      <c r="H90" t="s">
        <v>205</v>
      </c>
      <c r="I90" s="8">
        <f ca="1">(TODAY()-Staff[[#This Row],[Date Joined]])/365</f>
        <v>2.2191780821917808</v>
      </c>
      <c r="J90" s="12">
        <f ca="1">IF(Staff[[#This Row],[Tenure]]&gt;2,3%,2%)*Staff[[#This Row],[Salary]]</f>
        <v>2236.5</v>
      </c>
      <c r="K90">
        <f>INDEX(Sheet6!$B$2:$C$6,MATCH(Staff[[#This Row],[Rating]],Sheet6!$B$2:$B$6,0),2)</f>
        <v>3</v>
      </c>
    </row>
    <row r="91" spans="1:11" x14ac:dyDescent="0.35">
      <c r="A91" t="s">
        <v>18</v>
      </c>
      <c r="B91" t="s">
        <v>15</v>
      </c>
      <c r="C91">
        <v>33</v>
      </c>
      <c r="D91" t="s">
        <v>16</v>
      </c>
      <c r="E91" s="6">
        <v>44385</v>
      </c>
      <c r="F91" t="s">
        <v>19</v>
      </c>
      <c r="G91" s="12">
        <v>74550</v>
      </c>
      <c r="H91" t="s">
        <v>207</v>
      </c>
      <c r="I91" s="8">
        <f ca="1">(TODAY()-Staff[[#This Row],[Date Joined]])/365</f>
        <v>2.0520547945205481</v>
      </c>
      <c r="J91" s="12">
        <f ca="1">IF(Staff[[#This Row],[Tenure]]&gt;2,3%,2%)*Staff[[#This Row],[Salary]]</f>
        <v>2236.5</v>
      </c>
      <c r="K91">
        <f>INDEX(Sheet6!$B$2:$C$6,MATCH(Staff[[#This Row],[Rating]],Sheet6!$B$2:$B$6,0),2)</f>
        <v>3</v>
      </c>
    </row>
    <row r="92" spans="1:11" x14ac:dyDescent="0.35">
      <c r="A92" t="s">
        <v>111</v>
      </c>
      <c r="B92" t="s">
        <v>8</v>
      </c>
      <c r="C92">
        <v>42</v>
      </c>
      <c r="D92" t="s">
        <v>10</v>
      </c>
      <c r="E92" s="6">
        <v>44718</v>
      </c>
      <c r="F92" t="s">
        <v>9</v>
      </c>
      <c r="G92" s="12">
        <v>75000</v>
      </c>
      <c r="H92" t="s">
        <v>205</v>
      </c>
      <c r="I92" s="8">
        <f ca="1">(TODAY()-Staff[[#This Row],[Date Joined]])/365</f>
        <v>1.1397260273972603</v>
      </c>
      <c r="J92" s="12">
        <f ca="1">IF(Staff[[#This Row],[Tenure]]&gt;2,3%,2%)*Staff[[#This Row],[Salary]]</f>
        <v>1500</v>
      </c>
      <c r="K92">
        <f>INDEX(Sheet6!$B$2:$C$6,MATCH(Staff[[#This Row],[Rating]],Sheet6!$B$2:$B$6,0),2)</f>
        <v>5</v>
      </c>
    </row>
    <row r="93" spans="1:11" x14ac:dyDescent="0.35">
      <c r="A93" t="s">
        <v>7</v>
      </c>
      <c r="B93" t="s">
        <v>8</v>
      </c>
      <c r="C93">
        <v>42</v>
      </c>
      <c r="D93" t="s">
        <v>10</v>
      </c>
      <c r="E93" s="6">
        <v>44779</v>
      </c>
      <c r="F93" t="s">
        <v>9</v>
      </c>
      <c r="G93" s="12">
        <v>75000</v>
      </c>
      <c r="H93" t="s">
        <v>207</v>
      </c>
      <c r="I93" s="8">
        <f ca="1">(TODAY()-Staff[[#This Row],[Date Joined]])/365</f>
        <v>0.9726027397260274</v>
      </c>
      <c r="J93" s="12">
        <f ca="1">IF(Staff[[#This Row],[Tenure]]&gt;2,3%,2%)*Staff[[#This Row],[Salary]]</f>
        <v>1500</v>
      </c>
      <c r="K93">
        <f>INDEX(Sheet6!$B$2:$C$6,MATCH(Staff[[#This Row],[Rating]],Sheet6!$B$2:$B$6,0),2)</f>
        <v>5</v>
      </c>
    </row>
    <row r="94" spans="1:11" x14ac:dyDescent="0.35">
      <c r="A94" t="s">
        <v>188</v>
      </c>
      <c r="B94" t="s">
        <v>8</v>
      </c>
      <c r="C94">
        <v>33</v>
      </c>
      <c r="D94" t="s">
        <v>16</v>
      </c>
      <c r="E94" s="6">
        <v>44253</v>
      </c>
      <c r="F94" t="s">
        <v>12</v>
      </c>
      <c r="G94" s="12">
        <v>75280</v>
      </c>
      <c r="H94" t="s">
        <v>205</v>
      </c>
      <c r="I94" s="8">
        <f ca="1">(TODAY()-Staff[[#This Row],[Date Joined]])/365</f>
        <v>2.4136986301369863</v>
      </c>
      <c r="J94" s="12">
        <f ca="1">IF(Staff[[#This Row],[Tenure]]&gt;2,3%,2%)*Staff[[#This Row],[Salary]]</f>
        <v>2258.4</v>
      </c>
      <c r="K94">
        <f>INDEX(Sheet6!$B$2:$C$6,MATCH(Staff[[#This Row],[Rating]],Sheet6!$B$2:$B$6,0),2)</f>
        <v>3</v>
      </c>
    </row>
    <row r="95" spans="1:11" x14ac:dyDescent="0.35">
      <c r="A95" t="s">
        <v>95</v>
      </c>
      <c r="B95" t="s">
        <v>8</v>
      </c>
      <c r="C95">
        <v>33</v>
      </c>
      <c r="D95" t="s">
        <v>16</v>
      </c>
      <c r="E95" s="6">
        <v>44312</v>
      </c>
      <c r="F95" t="s">
        <v>12</v>
      </c>
      <c r="G95" s="12">
        <v>75280</v>
      </c>
      <c r="H95" t="s">
        <v>207</v>
      </c>
      <c r="I95" s="8">
        <f ca="1">(TODAY()-Staff[[#This Row],[Date Joined]])/365</f>
        <v>2.2520547945205478</v>
      </c>
      <c r="J95" s="12">
        <f ca="1">IF(Staff[[#This Row],[Tenure]]&gt;2,3%,2%)*Staff[[#This Row],[Salary]]</f>
        <v>2258.4</v>
      </c>
      <c r="K95">
        <f>INDEX(Sheet6!$B$2:$C$6,MATCH(Staff[[#This Row],[Rating]],Sheet6!$B$2:$B$6,0),2)</f>
        <v>3</v>
      </c>
    </row>
    <row r="96" spans="1:11" x14ac:dyDescent="0.35">
      <c r="A96" t="s">
        <v>135</v>
      </c>
      <c r="B96" t="s">
        <v>8</v>
      </c>
      <c r="C96">
        <v>33</v>
      </c>
      <c r="D96" t="s">
        <v>42</v>
      </c>
      <c r="E96" s="6">
        <v>44313</v>
      </c>
      <c r="F96" t="s">
        <v>12</v>
      </c>
      <c r="G96" s="12">
        <v>75480</v>
      </c>
      <c r="H96" t="s">
        <v>205</v>
      </c>
      <c r="I96" s="8">
        <f ca="1">(TODAY()-Staff[[#This Row],[Date Joined]])/365</f>
        <v>2.2493150684931509</v>
      </c>
      <c r="J96" s="12">
        <f ca="1">IF(Staff[[#This Row],[Tenure]]&gt;2,3%,2%)*Staff[[#This Row],[Salary]]</f>
        <v>2264.4</v>
      </c>
      <c r="K96">
        <f>INDEX(Sheet6!$B$2:$C$6,MATCH(Staff[[#This Row],[Rating]],Sheet6!$B$2:$B$6,0),2)</f>
        <v>1</v>
      </c>
    </row>
    <row r="97" spans="1:11" x14ac:dyDescent="0.35">
      <c r="A97" t="s">
        <v>41</v>
      </c>
      <c r="B97" t="s">
        <v>8</v>
      </c>
      <c r="C97">
        <v>33</v>
      </c>
      <c r="D97" t="s">
        <v>42</v>
      </c>
      <c r="E97" s="6">
        <v>44374</v>
      </c>
      <c r="F97" t="s">
        <v>12</v>
      </c>
      <c r="G97" s="12">
        <v>75480</v>
      </c>
      <c r="H97" t="s">
        <v>207</v>
      </c>
      <c r="I97" s="8">
        <f ca="1">(TODAY()-Staff[[#This Row],[Date Joined]])/365</f>
        <v>2.0821917808219177</v>
      </c>
      <c r="J97" s="12">
        <f ca="1">IF(Staff[[#This Row],[Tenure]]&gt;2,3%,2%)*Staff[[#This Row],[Salary]]</f>
        <v>2264.4</v>
      </c>
      <c r="K97">
        <f>INDEX(Sheet6!$B$2:$C$6,MATCH(Staff[[#This Row],[Rating]],Sheet6!$B$2:$B$6,0),2)</f>
        <v>1</v>
      </c>
    </row>
    <row r="98" spans="1:11" x14ac:dyDescent="0.35">
      <c r="A98" t="s">
        <v>170</v>
      </c>
      <c r="B98" t="s">
        <v>15</v>
      </c>
      <c r="C98">
        <v>21</v>
      </c>
      <c r="D98" t="s">
        <v>16</v>
      </c>
      <c r="E98" s="6">
        <v>44180</v>
      </c>
      <c r="F98" t="s">
        <v>56</v>
      </c>
      <c r="G98" s="12">
        <v>75880</v>
      </c>
      <c r="H98" t="s">
        <v>205</v>
      </c>
      <c r="I98" s="8">
        <f ca="1">(TODAY()-Staff[[#This Row],[Date Joined]])/365</f>
        <v>2.6136986301369864</v>
      </c>
      <c r="J98" s="12">
        <f ca="1">IF(Staff[[#This Row],[Tenure]]&gt;2,3%,2%)*Staff[[#This Row],[Salary]]</f>
        <v>2276.4</v>
      </c>
      <c r="K98">
        <f>INDEX(Sheet6!$B$2:$C$6,MATCH(Staff[[#This Row],[Rating]],Sheet6!$B$2:$B$6,0),2)</f>
        <v>3</v>
      </c>
    </row>
    <row r="99" spans="1:11" x14ac:dyDescent="0.35">
      <c r="A99" t="s">
        <v>78</v>
      </c>
      <c r="B99" t="s">
        <v>15</v>
      </c>
      <c r="C99">
        <v>21</v>
      </c>
      <c r="D99" t="s">
        <v>16</v>
      </c>
      <c r="E99" s="6">
        <v>44242</v>
      </c>
      <c r="F99" t="s">
        <v>56</v>
      </c>
      <c r="G99" s="12">
        <v>75880</v>
      </c>
      <c r="H99" t="s">
        <v>207</v>
      </c>
      <c r="I99" s="8">
        <f ca="1">(TODAY()-Staff[[#This Row],[Date Joined]])/365</f>
        <v>2.4438356164383563</v>
      </c>
      <c r="J99" s="12">
        <f ca="1">IF(Staff[[#This Row],[Tenure]]&gt;2,3%,2%)*Staff[[#This Row],[Salary]]</f>
        <v>2276.4</v>
      </c>
      <c r="K99">
        <f>INDEX(Sheet6!$B$2:$C$6,MATCH(Staff[[#This Row],[Rating]],Sheet6!$B$2:$B$6,0),2)</f>
        <v>3</v>
      </c>
    </row>
    <row r="100" spans="1:11" x14ac:dyDescent="0.35">
      <c r="A100" t="s">
        <v>129</v>
      </c>
      <c r="B100" t="s">
        <v>8</v>
      </c>
      <c r="C100">
        <v>28</v>
      </c>
      <c r="D100" t="s">
        <v>16</v>
      </c>
      <c r="E100" s="6">
        <v>44124</v>
      </c>
      <c r="F100" t="s">
        <v>21</v>
      </c>
      <c r="G100" s="12">
        <v>75970</v>
      </c>
      <c r="H100" t="s">
        <v>205</v>
      </c>
      <c r="I100" s="8">
        <f ca="1">(TODAY()-Staff[[#This Row],[Date Joined]])/365</f>
        <v>2.7671232876712328</v>
      </c>
      <c r="J100" s="12">
        <f ca="1">IF(Staff[[#This Row],[Tenure]]&gt;2,3%,2%)*Staff[[#This Row],[Salary]]</f>
        <v>2279.1</v>
      </c>
      <c r="K100">
        <f>INDEX(Sheet6!$B$2:$C$6,MATCH(Staff[[#This Row],[Rating]],Sheet6!$B$2:$B$6,0),2)</f>
        <v>3</v>
      </c>
    </row>
    <row r="101" spans="1:11" x14ac:dyDescent="0.35">
      <c r="A101" t="s">
        <v>35</v>
      </c>
      <c r="B101" t="s">
        <v>8</v>
      </c>
      <c r="C101">
        <v>28</v>
      </c>
      <c r="D101" t="s">
        <v>16</v>
      </c>
      <c r="E101" s="6">
        <v>44185</v>
      </c>
      <c r="F101" t="s">
        <v>21</v>
      </c>
      <c r="G101" s="12">
        <v>75970</v>
      </c>
      <c r="H101" t="s">
        <v>207</v>
      </c>
      <c r="I101" s="8">
        <f ca="1">(TODAY()-Staff[[#This Row],[Date Joined]])/365</f>
        <v>2.6</v>
      </c>
      <c r="J101" s="12">
        <f ca="1">IF(Staff[[#This Row],[Tenure]]&gt;2,3%,2%)*Staff[[#This Row],[Salary]]</f>
        <v>2279.1</v>
      </c>
      <c r="K101">
        <f>INDEX(Sheet6!$B$2:$C$6,MATCH(Staff[[#This Row],[Rating]],Sheet6!$B$2:$B$6,0),2)</f>
        <v>3</v>
      </c>
    </row>
    <row r="102" spans="1:11" x14ac:dyDescent="0.35">
      <c r="A102" t="s">
        <v>154</v>
      </c>
      <c r="B102" t="s">
        <v>8</v>
      </c>
      <c r="C102">
        <v>22</v>
      </c>
      <c r="D102" t="s">
        <v>13</v>
      </c>
      <c r="E102" s="6">
        <v>44388</v>
      </c>
      <c r="F102" t="s">
        <v>9</v>
      </c>
      <c r="G102" s="12">
        <v>76900</v>
      </c>
      <c r="H102" t="s">
        <v>205</v>
      </c>
      <c r="I102" s="8">
        <f ca="1">(TODAY()-Staff[[#This Row],[Date Joined]])/365</f>
        <v>2.043835616438356</v>
      </c>
      <c r="J102" s="12">
        <f ca="1">IF(Staff[[#This Row],[Tenure]]&gt;2,3%,2%)*Staff[[#This Row],[Salary]]</f>
        <v>2307</v>
      </c>
      <c r="K102">
        <f>INDEX(Sheet6!$B$2:$C$6,MATCH(Staff[[#This Row],[Rating]],Sheet6!$B$2:$B$6,0),2)</f>
        <v>4</v>
      </c>
    </row>
    <row r="103" spans="1:11" x14ac:dyDescent="0.35">
      <c r="A103" t="s">
        <v>62</v>
      </c>
      <c r="B103" t="s">
        <v>8</v>
      </c>
      <c r="C103">
        <v>22</v>
      </c>
      <c r="D103" t="s">
        <v>13</v>
      </c>
      <c r="E103" s="6">
        <v>44450</v>
      </c>
      <c r="F103" t="s">
        <v>9</v>
      </c>
      <c r="G103" s="12">
        <v>76900</v>
      </c>
      <c r="H103" t="s">
        <v>207</v>
      </c>
      <c r="I103" s="8">
        <f ca="1">(TODAY()-Staff[[#This Row],[Date Joined]])/365</f>
        <v>1.8739726027397261</v>
      </c>
      <c r="J103" s="12">
        <f ca="1">IF(Staff[[#This Row],[Tenure]]&gt;2,3%,2%)*Staff[[#This Row],[Salary]]</f>
        <v>1538</v>
      </c>
      <c r="K103">
        <f>INDEX(Sheet6!$B$2:$C$6,MATCH(Staff[[#This Row],[Rating]],Sheet6!$B$2:$B$6,0),2)</f>
        <v>4</v>
      </c>
    </row>
    <row r="104" spans="1:11" x14ac:dyDescent="0.35">
      <c r="A104" t="s">
        <v>164</v>
      </c>
      <c r="B104" t="s">
        <v>8</v>
      </c>
      <c r="C104">
        <v>36</v>
      </c>
      <c r="D104" t="s">
        <v>16</v>
      </c>
      <c r="E104" s="6">
        <v>44468</v>
      </c>
      <c r="F104" t="s">
        <v>9</v>
      </c>
      <c r="G104" s="12">
        <v>78390</v>
      </c>
      <c r="H104" t="s">
        <v>205</v>
      </c>
      <c r="I104" s="8">
        <f ca="1">(TODAY()-Staff[[#This Row],[Date Joined]])/365</f>
        <v>1.8246575342465754</v>
      </c>
      <c r="J104" s="12">
        <f ca="1">IF(Staff[[#This Row],[Tenure]]&gt;2,3%,2%)*Staff[[#This Row],[Salary]]</f>
        <v>1567.8</v>
      </c>
      <c r="K104">
        <f>INDEX(Sheet6!$B$2:$C$6,MATCH(Staff[[#This Row],[Rating]],Sheet6!$B$2:$B$6,0),2)</f>
        <v>3</v>
      </c>
    </row>
    <row r="105" spans="1:11" x14ac:dyDescent="0.35">
      <c r="A105" t="s">
        <v>72</v>
      </c>
      <c r="B105" t="s">
        <v>8</v>
      </c>
      <c r="C105">
        <v>36</v>
      </c>
      <c r="D105" t="s">
        <v>16</v>
      </c>
      <c r="E105" s="6">
        <v>44529</v>
      </c>
      <c r="F105" t="s">
        <v>9</v>
      </c>
      <c r="G105" s="12">
        <v>78390</v>
      </c>
      <c r="H105" t="s">
        <v>207</v>
      </c>
      <c r="I105" s="8">
        <f ca="1">(TODAY()-Staff[[#This Row],[Date Joined]])/365</f>
        <v>1.6575342465753424</v>
      </c>
      <c r="J105" s="12">
        <f ca="1">IF(Staff[[#This Row],[Tenure]]&gt;2,3%,2%)*Staff[[#This Row],[Salary]]</f>
        <v>1567.8</v>
      </c>
      <c r="K105">
        <f>INDEX(Sheet6!$B$2:$C$6,MATCH(Staff[[#This Row],[Rating]],Sheet6!$B$2:$B$6,0),2)</f>
        <v>3</v>
      </c>
    </row>
    <row r="106" spans="1:11" x14ac:dyDescent="0.35">
      <c r="A106" t="s">
        <v>141</v>
      </c>
      <c r="B106" t="s">
        <v>8</v>
      </c>
      <c r="C106">
        <v>36</v>
      </c>
      <c r="D106" t="s">
        <v>16</v>
      </c>
      <c r="E106" s="6">
        <v>44433</v>
      </c>
      <c r="F106" t="s">
        <v>19</v>
      </c>
      <c r="G106" s="12">
        <v>78540</v>
      </c>
      <c r="H106" t="s">
        <v>205</v>
      </c>
      <c r="I106" s="8">
        <f ca="1">(TODAY()-Staff[[#This Row],[Date Joined]])/365</f>
        <v>1.9205479452054794</v>
      </c>
      <c r="J106" s="12">
        <f ca="1">IF(Staff[[#This Row],[Tenure]]&gt;2,3%,2%)*Staff[[#This Row],[Salary]]</f>
        <v>1570.8</v>
      </c>
      <c r="K106">
        <f>INDEX(Sheet6!$B$2:$C$6,MATCH(Staff[[#This Row],[Rating]],Sheet6!$B$2:$B$6,0),2)</f>
        <v>3</v>
      </c>
    </row>
    <row r="107" spans="1:11" x14ac:dyDescent="0.35">
      <c r="A107" t="s">
        <v>48</v>
      </c>
      <c r="B107" t="s">
        <v>8</v>
      </c>
      <c r="C107">
        <v>36</v>
      </c>
      <c r="D107" t="s">
        <v>16</v>
      </c>
      <c r="E107" s="6">
        <v>44494</v>
      </c>
      <c r="F107" t="s">
        <v>19</v>
      </c>
      <c r="G107" s="12">
        <v>78540</v>
      </c>
      <c r="H107" t="s">
        <v>207</v>
      </c>
      <c r="I107" s="8">
        <f ca="1">(TODAY()-Staff[[#This Row],[Date Joined]])/365</f>
        <v>1.7534246575342465</v>
      </c>
      <c r="J107" s="12">
        <f ca="1">IF(Staff[[#This Row],[Tenure]]&gt;2,3%,2%)*Staff[[#This Row],[Salary]]</f>
        <v>1570.8</v>
      </c>
      <c r="K107">
        <f>INDEX(Sheet6!$B$2:$C$6,MATCH(Staff[[#This Row],[Rating]],Sheet6!$B$2:$B$6,0),2)</f>
        <v>3</v>
      </c>
    </row>
    <row r="108" spans="1:11" x14ac:dyDescent="0.35">
      <c r="A108" t="s">
        <v>197</v>
      </c>
      <c r="B108" t="s">
        <v>15</v>
      </c>
      <c r="C108">
        <v>20</v>
      </c>
      <c r="D108" t="s">
        <v>16</v>
      </c>
      <c r="E108" s="6">
        <v>44683</v>
      </c>
      <c r="F108" t="s">
        <v>9</v>
      </c>
      <c r="G108" s="12">
        <v>79570</v>
      </c>
      <c r="H108" t="s">
        <v>205</v>
      </c>
      <c r="I108" s="8">
        <f ca="1">(TODAY()-Staff[[#This Row],[Date Joined]])/365</f>
        <v>1.2356164383561643</v>
      </c>
      <c r="J108" s="12">
        <f ca="1">IF(Staff[[#This Row],[Tenure]]&gt;2,3%,2%)*Staff[[#This Row],[Salary]]</f>
        <v>1591.4</v>
      </c>
      <c r="K108">
        <f>INDEX(Sheet6!$B$2:$C$6,MATCH(Staff[[#This Row],[Rating]],Sheet6!$B$2:$B$6,0),2)</f>
        <v>3</v>
      </c>
    </row>
    <row r="109" spans="1:11" x14ac:dyDescent="0.35">
      <c r="A109" t="s">
        <v>104</v>
      </c>
      <c r="B109" t="s">
        <v>15</v>
      </c>
      <c r="C109">
        <v>20</v>
      </c>
      <c r="D109" t="s">
        <v>16</v>
      </c>
      <c r="E109" s="6">
        <v>44744</v>
      </c>
      <c r="F109" t="s">
        <v>9</v>
      </c>
      <c r="G109" s="12">
        <v>79570</v>
      </c>
      <c r="H109" t="s">
        <v>207</v>
      </c>
      <c r="I109" s="8">
        <f ca="1">(TODAY()-Staff[[#This Row],[Date Joined]])/365</f>
        <v>1.0684931506849316</v>
      </c>
      <c r="J109" s="12">
        <f ca="1">IF(Staff[[#This Row],[Tenure]]&gt;2,3%,2%)*Staff[[#This Row],[Salary]]</f>
        <v>1591.4</v>
      </c>
      <c r="K109">
        <f>INDEX(Sheet6!$B$2:$C$6,MATCH(Staff[[#This Row],[Rating]],Sheet6!$B$2:$B$6,0),2)</f>
        <v>3</v>
      </c>
    </row>
    <row r="110" spans="1:11" x14ac:dyDescent="0.35">
      <c r="A110" t="s">
        <v>133</v>
      </c>
      <c r="B110" t="s">
        <v>8</v>
      </c>
      <c r="C110">
        <v>25</v>
      </c>
      <c r="D110" t="s">
        <v>13</v>
      </c>
      <c r="E110" s="6">
        <v>44633</v>
      </c>
      <c r="F110" t="s">
        <v>12</v>
      </c>
      <c r="G110" s="12">
        <v>80700</v>
      </c>
      <c r="H110" t="s">
        <v>205</v>
      </c>
      <c r="I110" s="8">
        <f ca="1">(TODAY()-Staff[[#This Row],[Date Joined]])/365</f>
        <v>1.3726027397260274</v>
      </c>
      <c r="J110" s="12">
        <f ca="1">IF(Staff[[#This Row],[Tenure]]&gt;2,3%,2%)*Staff[[#This Row],[Salary]]</f>
        <v>1614</v>
      </c>
      <c r="K110">
        <f>INDEX(Sheet6!$B$2:$C$6,MATCH(Staff[[#This Row],[Rating]],Sheet6!$B$2:$B$6,0),2)</f>
        <v>4</v>
      </c>
    </row>
    <row r="111" spans="1:11" x14ac:dyDescent="0.35">
      <c r="A111" t="s">
        <v>39</v>
      </c>
      <c r="B111" t="s">
        <v>8</v>
      </c>
      <c r="C111">
        <v>25</v>
      </c>
      <c r="D111" t="s">
        <v>13</v>
      </c>
      <c r="E111" s="6">
        <v>44694</v>
      </c>
      <c r="F111" t="s">
        <v>12</v>
      </c>
      <c r="G111" s="12">
        <v>80700</v>
      </c>
      <c r="H111" t="s">
        <v>207</v>
      </c>
      <c r="I111" s="8">
        <f ca="1">(TODAY()-Staff[[#This Row],[Date Joined]])/365</f>
        <v>1.2054794520547945</v>
      </c>
      <c r="J111" s="12">
        <f ca="1">IF(Staff[[#This Row],[Tenure]]&gt;2,3%,2%)*Staff[[#This Row],[Salary]]</f>
        <v>1614</v>
      </c>
      <c r="K111">
        <f>INDEX(Sheet6!$B$2:$C$6,MATCH(Staff[[#This Row],[Rating]],Sheet6!$B$2:$B$6,0),2)</f>
        <v>4</v>
      </c>
    </row>
    <row r="112" spans="1:11" x14ac:dyDescent="0.35">
      <c r="A112" t="s">
        <v>185</v>
      </c>
      <c r="B112" t="s">
        <v>8</v>
      </c>
      <c r="C112">
        <v>27</v>
      </c>
      <c r="D112" t="s">
        <v>16</v>
      </c>
      <c r="E112" s="6">
        <v>44625</v>
      </c>
      <c r="F112" t="s">
        <v>12</v>
      </c>
      <c r="G112" s="12">
        <v>83750</v>
      </c>
      <c r="H112" t="s">
        <v>205</v>
      </c>
      <c r="I112" s="8">
        <f ca="1">(TODAY()-Staff[[#This Row],[Date Joined]])/365</f>
        <v>1.3945205479452054</v>
      </c>
      <c r="J112" s="12">
        <f ca="1">IF(Staff[[#This Row],[Tenure]]&gt;2,3%,2%)*Staff[[#This Row],[Salary]]</f>
        <v>1675</v>
      </c>
      <c r="K112">
        <f>INDEX(Sheet6!$B$2:$C$6,MATCH(Staff[[#This Row],[Rating]],Sheet6!$B$2:$B$6,0),2)</f>
        <v>3</v>
      </c>
    </row>
    <row r="113" spans="1:11" x14ac:dyDescent="0.35">
      <c r="A113" t="s">
        <v>92</v>
      </c>
      <c r="B113" t="s">
        <v>8</v>
      </c>
      <c r="C113">
        <v>27</v>
      </c>
      <c r="D113" t="s">
        <v>16</v>
      </c>
      <c r="E113" s="6">
        <v>44686</v>
      </c>
      <c r="F113" t="s">
        <v>12</v>
      </c>
      <c r="G113" s="12">
        <v>83750</v>
      </c>
      <c r="H113" t="s">
        <v>207</v>
      </c>
      <c r="I113" s="8">
        <f ca="1">(TODAY()-Staff[[#This Row],[Date Joined]])/365</f>
        <v>1.2273972602739727</v>
      </c>
      <c r="J113" s="12">
        <f ca="1">IF(Staff[[#This Row],[Tenure]]&gt;2,3%,2%)*Staff[[#This Row],[Salary]]</f>
        <v>1675</v>
      </c>
      <c r="K113">
        <f>INDEX(Sheet6!$B$2:$C$6,MATCH(Staff[[#This Row],[Rating]],Sheet6!$B$2:$B$6,0),2)</f>
        <v>3</v>
      </c>
    </row>
    <row r="114" spans="1:11" x14ac:dyDescent="0.35">
      <c r="A114" t="s">
        <v>122</v>
      </c>
      <c r="B114" t="s">
        <v>8</v>
      </c>
      <c r="C114">
        <v>34</v>
      </c>
      <c r="D114" t="s">
        <v>16</v>
      </c>
      <c r="E114" s="6">
        <v>44397</v>
      </c>
      <c r="F114" t="s">
        <v>21</v>
      </c>
      <c r="G114" s="12">
        <v>85000</v>
      </c>
      <c r="H114" t="s">
        <v>205</v>
      </c>
      <c r="I114" s="8">
        <f ca="1">(TODAY()-Staff[[#This Row],[Date Joined]])/365</f>
        <v>2.0191780821917806</v>
      </c>
      <c r="J114" s="12">
        <f ca="1">IF(Staff[[#This Row],[Tenure]]&gt;2,3%,2%)*Staff[[#This Row],[Salary]]</f>
        <v>2550</v>
      </c>
      <c r="K114">
        <f>INDEX(Sheet6!$B$2:$C$6,MATCH(Staff[[#This Row],[Rating]],Sheet6!$B$2:$B$6,0),2)</f>
        <v>3</v>
      </c>
    </row>
    <row r="115" spans="1:11" x14ac:dyDescent="0.35">
      <c r="A115" t="s">
        <v>28</v>
      </c>
      <c r="B115" t="s">
        <v>8</v>
      </c>
      <c r="C115">
        <v>34</v>
      </c>
      <c r="D115" t="s">
        <v>16</v>
      </c>
      <c r="E115" s="6">
        <v>44459</v>
      </c>
      <c r="F115" t="s">
        <v>21</v>
      </c>
      <c r="G115" s="12">
        <v>85000</v>
      </c>
      <c r="H115" t="s">
        <v>207</v>
      </c>
      <c r="I115" s="8">
        <f ca="1">(TODAY()-Staff[[#This Row],[Date Joined]])/365</f>
        <v>1.8493150684931507</v>
      </c>
      <c r="J115" s="12">
        <f ca="1">IF(Staff[[#This Row],[Tenure]]&gt;2,3%,2%)*Staff[[#This Row],[Salary]]</f>
        <v>1700</v>
      </c>
      <c r="K115">
        <f>INDEX(Sheet6!$B$2:$C$6,MATCH(Staff[[#This Row],[Rating]],Sheet6!$B$2:$B$6,0),2)</f>
        <v>3</v>
      </c>
    </row>
    <row r="116" spans="1:11" x14ac:dyDescent="0.35">
      <c r="A116" t="s">
        <v>181</v>
      </c>
      <c r="B116" t="s">
        <v>8</v>
      </c>
      <c r="C116">
        <v>33</v>
      </c>
      <c r="D116" t="s">
        <v>16</v>
      </c>
      <c r="E116" s="6">
        <v>44747</v>
      </c>
      <c r="F116" t="s">
        <v>21</v>
      </c>
      <c r="G116" s="12">
        <v>86570</v>
      </c>
      <c r="H116" t="s">
        <v>205</v>
      </c>
      <c r="I116" s="8">
        <f ca="1">(TODAY()-Staff[[#This Row],[Date Joined]])/365</f>
        <v>1.0602739726027397</v>
      </c>
      <c r="J116" s="12">
        <f ca="1">IF(Staff[[#This Row],[Tenure]]&gt;2,3%,2%)*Staff[[#This Row],[Salary]]</f>
        <v>1731.4</v>
      </c>
      <c r="K116">
        <f>INDEX(Sheet6!$B$2:$C$6,MATCH(Staff[[#This Row],[Rating]],Sheet6!$B$2:$B$6,0),2)</f>
        <v>3</v>
      </c>
    </row>
    <row r="117" spans="1:11" x14ac:dyDescent="0.35">
      <c r="A117" t="s">
        <v>88</v>
      </c>
      <c r="B117" t="s">
        <v>8</v>
      </c>
      <c r="C117">
        <v>33</v>
      </c>
      <c r="D117" t="s">
        <v>16</v>
      </c>
      <c r="E117" s="6">
        <v>44809</v>
      </c>
      <c r="F117" t="s">
        <v>21</v>
      </c>
      <c r="G117" s="12">
        <v>86570</v>
      </c>
      <c r="H117" t="s">
        <v>207</v>
      </c>
      <c r="I117" s="8">
        <f ca="1">(TODAY()-Staff[[#This Row],[Date Joined]])/365</f>
        <v>0.8904109589041096</v>
      </c>
      <c r="J117" s="12">
        <f ca="1">IF(Staff[[#This Row],[Tenure]]&gt;2,3%,2%)*Staff[[#This Row],[Salary]]</f>
        <v>1731.4</v>
      </c>
      <c r="K117">
        <f>INDEX(Sheet6!$B$2:$C$6,MATCH(Staff[[#This Row],[Rating]],Sheet6!$B$2:$B$6,0),2)</f>
        <v>3</v>
      </c>
    </row>
    <row r="118" spans="1:11" x14ac:dyDescent="0.35">
      <c r="A118" t="s">
        <v>166</v>
      </c>
      <c r="B118" t="s">
        <v>8</v>
      </c>
      <c r="C118">
        <v>40</v>
      </c>
      <c r="D118" t="s">
        <v>16</v>
      </c>
      <c r="E118" s="6">
        <v>44276</v>
      </c>
      <c r="F118" t="s">
        <v>12</v>
      </c>
      <c r="G118" s="12">
        <v>87620</v>
      </c>
      <c r="H118" t="s">
        <v>205</v>
      </c>
      <c r="I118" s="8">
        <f ca="1">(TODAY()-Staff[[#This Row],[Date Joined]])/365</f>
        <v>2.3506849315068492</v>
      </c>
      <c r="J118" s="12">
        <f ca="1">IF(Staff[[#This Row],[Tenure]]&gt;2,3%,2%)*Staff[[#This Row],[Salary]]</f>
        <v>2628.6</v>
      </c>
      <c r="K118">
        <f>INDEX(Sheet6!$B$2:$C$6,MATCH(Staff[[#This Row],[Rating]],Sheet6!$B$2:$B$6,0),2)</f>
        <v>3</v>
      </c>
    </row>
    <row r="119" spans="1:11" x14ac:dyDescent="0.35">
      <c r="A119" t="s">
        <v>74</v>
      </c>
      <c r="B119" t="s">
        <v>8</v>
      </c>
      <c r="C119">
        <v>40</v>
      </c>
      <c r="D119" t="s">
        <v>16</v>
      </c>
      <c r="E119" s="6">
        <v>44337</v>
      </c>
      <c r="F119" t="s">
        <v>12</v>
      </c>
      <c r="G119" s="12">
        <v>87620</v>
      </c>
      <c r="H119" t="s">
        <v>207</v>
      </c>
      <c r="I119" s="8">
        <f ca="1">(TODAY()-Staff[[#This Row],[Date Joined]])/365</f>
        <v>2.1835616438356165</v>
      </c>
      <c r="J119" s="12">
        <f ca="1">IF(Staff[[#This Row],[Tenure]]&gt;2,3%,2%)*Staff[[#This Row],[Salary]]</f>
        <v>2628.6</v>
      </c>
      <c r="K119">
        <f>INDEX(Sheet6!$B$2:$C$6,MATCH(Staff[[#This Row],[Rating]],Sheet6!$B$2:$B$6,0),2)</f>
        <v>3</v>
      </c>
    </row>
    <row r="120" spans="1:11" x14ac:dyDescent="0.35">
      <c r="A120" t="s">
        <v>118</v>
      </c>
      <c r="B120" t="s">
        <v>15</v>
      </c>
      <c r="C120">
        <v>37</v>
      </c>
      <c r="D120" t="s">
        <v>24</v>
      </c>
      <c r="E120" s="6">
        <v>44277</v>
      </c>
      <c r="F120" t="s">
        <v>12</v>
      </c>
      <c r="G120" s="12">
        <v>88050</v>
      </c>
      <c r="H120" t="s">
        <v>205</v>
      </c>
      <c r="I120" s="8">
        <f ca="1">(TODAY()-Staff[[#This Row],[Date Joined]])/365</f>
        <v>2.3479452054794518</v>
      </c>
      <c r="J120" s="12">
        <f ca="1">IF(Staff[[#This Row],[Tenure]]&gt;2,3%,2%)*Staff[[#This Row],[Salary]]</f>
        <v>2641.5</v>
      </c>
      <c r="K120">
        <f>INDEX(Sheet6!$B$2:$C$6,MATCH(Staff[[#This Row],[Rating]],Sheet6!$B$2:$B$6,0),2)</f>
        <v>2</v>
      </c>
    </row>
    <row r="121" spans="1:11" x14ac:dyDescent="0.35">
      <c r="A121" t="s">
        <v>23</v>
      </c>
      <c r="B121" t="s">
        <v>15</v>
      </c>
      <c r="C121">
        <v>37</v>
      </c>
      <c r="D121" t="s">
        <v>24</v>
      </c>
      <c r="E121" s="6">
        <v>44338</v>
      </c>
      <c r="F121" t="s">
        <v>12</v>
      </c>
      <c r="G121" s="12">
        <v>88050</v>
      </c>
      <c r="H121" t="s">
        <v>207</v>
      </c>
      <c r="I121" s="8">
        <f ca="1">(TODAY()-Staff[[#This Row],[Date Joined]])/365</f>
        <v>2.1808219178082191</v>
      </c>
      <c r="J121" s="12">
        <f ca="1">IF(Staff[[#This Row],[Tenure]]&gt;2,3%,2%)*Staff[[#This Row],[Salary]]</f>
        <v>2641.5</v>
      </c>
      <c r="K121">
        <f>INDEX(Sheet6!$B$2:$C$6,MATCH(Staff[[#This Row],[Rating]],Sheet6!$B$2:$B$6,0),2)</f>
        <v>2</v>
      </c>
    </row>
    <row r="122" spans="1:11" x14ac:dyDescent="0.35">
      <c r="A122" t="s">
        <v>112</v>
      </c>
      <c r="B122" t="s">
        <v>206</v>
      </c>
      <c r="C122">
        <v>27</v>
      </c>
      <c r="D122" t="s">
        <v>13</v>
      </c>
      <c r="E122" s="6">
        <v>44212</v>
      </c>
      <c r="F122" t="s">
        <v>12</v>
      </c>
      <c r="G122" s="12">
        <v>90700</v>
      </c>
      <c r="H122" t="s">
        <v>205</v>
      </c>
      <c r="I122" s="8">
        <f ca="1">(TODAY()-Staff[[#This Row],[Date Joined]])/365</f>
        <v>2.526027397260274</v>
      </c>
      <c r="J122" s="12">
        <f ca="1">IF(Staff[[#This Row],[Tenure]]&gt;2,3%,2%)*Staff[[#This Row],[Salary]]</f>
        <v>2721</v>
      </c>
      <c r="K122">
        <f>INDEX(Sheet6!$B$2:$C$6,MATCH(Staff[[#This Row],[Rating]],Sheet6!$B$2:$B$6,0),2)</f>
        <v>4</v>
      </c>
    </row>
    <row r="123" spans="1:11" x14ac:dyDescent="0.35">
      <c r="A123" t="s">
        <v>11</v>
      </c>
      <c r="B123" t="s">
        <v>206</v>
      </c>
      <c r="C123">
        <v>26</v>
      </c>
      <c r="D123" t="s">
        <v>13</v>
      </c>
      <c r="E123" s="6">
        <v>44271</v>
      </c>
      <c r="F123" t="s">
        <v>12</v>
      </c>
      <c r="G123" s="12">
        <v>90700</v>
      </c>
      <c r="H123" t="s">
        <v>207</v>
      </c>
      <c r="I123" s="8">
        <f ca="1">(TODAY()-Staff[[#This Row],[Date Joined]])/365</f>
        <v>2.3643835616438356</v>
      </c>
      <c r="J123" s="12">
        <f ca="1">IF(Staff[[#This Row],[Tenure]]&gt;2,3%,2%)*Staff[[#This Row],[Salary]]</f>
        <v>2721</v>
      </c>
      <c r="K123">
        <f>INDEX(Sheet6!$B$2:$C$6,MATCH(Staff[[#This Row],[Rating]],Sheet6!$B$2:$B$6,0),2)</f>
        <v>4</v>
      </c>
    </row>
    <row r="124" spans="1:11" x14ac:dyDescent="0.35">
      <c r="A124" t="s">
        <v>145</v>
      </c>
      <c r="B124" t="s">
        <v>206</v>
      </c>
      <c r="C124">
        <v>32</v>
      </c>
      <c r="D124" t="s">
        <v>16</v>
      </c>
      <c r="E124" s="6">
        <v>44713</v>
      </c>
      <c r="F124" t="s">
        <v>12</v>
      </c>
      <c r="G124" s="12">
        <v>91310</v>
      </c>
      <c r="H124" t="s">
        <v>205</v>
      </c>
      <c r="I124" s="8">
        <f ca="1">(TODAY()-Staff[[#This Row],[Date Joined]])/365</f>
        <v>1.1534246575342466</v>
      </c>
      <c r="J124" s="12">
        <f ca="1">IF(Staff[[#This Row],[Tenure]]&gt;2,3%,2%)*Staff[[#This Row],[Salary]]</f>
        <v>1826.2</v>
      </c>
      <c r="K124">
        <f>INDEX(Sheet6!$B$2:$C$6,MATCH(Staff[[#This Row],[Rating]],Sheet6!$B$2:$B$6,0),2)</f>
        <v>3</v>
      </c>
    </row>
    <row r="125" spans="1:11" x14ac:dyDescent="0.35">
      <c r="A125" t="s">
        <v>52</v>
      </c>
      <c r="B125" t="s">
        <v>206</v>
      </c>
      <c r="C125">
        <v>32</v>
      </c>
      <c r="D125" t="s">
        <v>16</v>
      </c>
      <c r="E125" s="6">
        <v>44774</v>
      </c>
      <c r="F125" t="s">
        <v>12</v>
      </c>
      <c r="G125" s="12">
        <v>91310</v>
      </c>
      <c r="H125" t="s">
        <v>207</v>
      </c>
      <c r="I125" s="8">
        <f ca="1">(TODAY()-Staff[[#This Row],[Date Joined]])/365</f>
        <v>0.98630136986301364</v>
      </c>
      <c r="J125" s="12">
        <f ca="1">IF(Staff[[#This Row],[Tenure]]&gt;2,3%,2%)*Staff[[#This Row],[Salary]]</f>
        <v>1826.2</v>
      </c>
      <c r="K125">
        <f>INDEX(Sheet6!$B$2:$C$6,MATCH(Staff[[#This Row],[Rating]],Sheet6!$B$2:$B$6,0),2)</f>
        <v>3</v>
      </c>
    </row>
    <row r="126" spans="1:11" x14ac:dyDescent="0.35">
      <c r="A126" t="s">
        <v>160</v>
      </c>
      <c r="B126" t="s">
        <v>15</v>
      </c>
      <c r="C126">
        <v>27</v>
      </c>
      <c r="D126" t="s">
        <v>13</v>
      </c>
      <c r="E126" s="6">
        <v>44174</v>
      </c>
      <c r="F126" t="s">
        <v>21</v>
      </c>
      <c r="G126" s="12">
        <v>91650</v>
      </c>
      <c r="H126" t="s">
        <v>205</v>
      </c>
      <c r="I126" s="8">
        <f ca="1">(TODAY()-Staff[[#This Row],[Date Joined]])/365</f>
        <v>2.6301369863013697</v>
      </c>
      <c r="J126" s="12">
        <f ca="1">IF(Staff[[#This Row],[Tenure]]&gt;2,3%,2%)*Staff[[#This Row],[Salary]]</f>
        <v>2749.5</v>
      </c>
      <c r="K126">
        <f>INDEX(Sheet6!$B$2:$C$6,MATCH(Staff[[#This Row],[Rating]],Sheet6!$B$2:$B$6,0),2)</f>
        <v>4</v>
      </c>
    </row>
    <row r="127" spans="1:11" x14ac:dyDescent="0.35">
      <c r="A127" t="s">
        <v>68</v>
      </c>
      <c r="B127" t="s">
        <v>15</v>
      </c>
      <c r="C127">
        <v>27</v>
      </c>
      <c r="D127" t="s">
        <v>13</v>
      </c>
      <c r="E127" s="6">
        <v>44236</v>
      </c>
      <c r="F127" t="s">
        <v>21</v>
      </c>
      <c r="G127" s="12">
        <v>91650</v>
      </c>
      <c r="H127" t="s">
        <v>207</v>
      </c>
      <c r="I127" s="8">
        <f ca="1">(TODAY()-Staff[[#This Row],[Date Joined]])/365</f>
        <v>2.4602739726027396</v>
      </c>
      <c r="J127" s="12">
        <f ca="1">IF(Staff[[#This Row],[Tenure]]&gt;2,3%,2%)*Staff[[#This Row],[Salary]]</f>
        <v>2749.5</v>
      </c>
      <c r="K127">
        <f>INDEX(Sheet6!$B$2:$C$6,MATCH(Staff[[#This Row],[Rating]],Sheet6!$B$2:$B$6,0),2)</f>
        <v>4</v>
      </c>
    </row>
    <row r="128" spans="1:11" x14ac:dyDescent="0.35">
      <c r="A128" t="s">
        <v>195</v>
      </c>
      <c r="B128" t="s">
        <v>8</v>
      </c>
      <c r="C128">
        <v>34</v>
      </c>
      <c r="D128" t="s">
        <v>16</v>
      </c>
      <c r="E128" s="6">
        <v>44383</v>
      </c>
      <c r="F128" t="s">
        <v>21</v>
      </c>
      <c r="G128" s="12">
        <v>92450</v>
      </c>
      <c r="H128" t="s">
        <v>205</v>
      </c>
      <c r="I128" s="8">
        <f ca="1">(TODAY()-Staff[[#This Row],[Date Joined]])/365</f>
        <v>2.0575342465753423</v>
      </c>
      <c r="J128" s="12">
        <f ca="1">IF(Staff[[#This Row],[Tenure]]&gt;2,3%,2%)*Staff[[#This Row],[Salary]]</f>
        <v>2773.5</v>
      </c>
      <c r="K128">
        <f>INDEX(Sheet6!$B$2:$C$6,MATCH(Staff[[#This Row],[Rating]],Sheet6!$B$2:$B$6,0),2)</f>
        <v>3</v>
      </c>
    </row>
    <row r="129" spans="1:11" x14ac:dyDescent="0.35">
      <c r="A129" t="s">
        <v>102</v>
      </c>
      <c r="B129" t="s">
        <v>8</v>
      </c>
      <c r="C129">
        <v>34</v>
      </c>
      <c r="D129" t="s">
        <v>16</v>
      </c>
      <c r="E129" s="6">
        <v>44445</v>
      </c>
      <c r="F129" t="s">
        <v>21</v>
      </c>
      <c r="G129" s="12">
        <v>92450</v>
      </c>
      <c r="H129" t="s">
        <v>207</v>
      </c>
      <c r="I129" s="8">
        <f ca="1">(TODAY()-Staff[[#This Row],[Date Joined]])/365</f>
        <v>1.8876712328767122</v>
      </c>
      <c r="J129" s="12">
        <f ca="1">IF(Staff[[#This Row],[Tenure]]&gt;2,3%,2%)*Staff[[#This Row],[Salary]]</f>
        <v>1849</v>
      </c>
      <c r="K129">
        <f>INDEX(Sheet6!$B$2:$C$6,MATCH(Staff[[#This Row],[Rating]],Sheet6!$B$2:$B$6,0),2)</f>
        <v>3</v>
      </c>
    </row>
    <row r="130" spans="1:11" x14ac:dyDescent="0.35">
      <c r="A130" t="s">
        <v>169</v>
      </c>
      <c r="B130" t="s">
        <v>8</v>
      </c>
      <c r="C130">
        <v>25</v>
      </c>
      <c r="D130" t="s">
        <v>16</v>
      </c>
      <c r="E130" s="6">
        <v>44144</v>
      </c>
      <c r="F130" t="s">
        <v>19</v>
      </c>
      <c r="G130" s="12">
        <v>92700</v>
      </c>
      <c r="H130" t="s">
        <v>205</v>
      </c>
      <c r="I130" s="8">
        <f ca="1">(TODAY()-Staff[[#This Row],[Date Joined]])/365</f>
        <v>2.7123287671232879</v>
      </c>
      <c r="J130" s="12">
        <f ca="1">IF(Staff[[#This Row],[Tenure]]&gt;2,3%,2%)*Staff[[#This Row],[Salary]]</f>
        <v>2781</v>
      </c>
      <c r="K130">
        <f>INDEX(Sheet6!$B$2:$C$6,MATCH(Staff[[#This Row],[Rating]],Sheet6!$B$2:$B$6,0),2)</f>
        <v>3</v>
      </c>
    </row>
    <row r="131" spans="1:11" x14ac:dyDescent="0.35">
      <c r="A131" t="s">
        <v>77</v>
      </c>
      <c r="B131" t="s">
        <v>8</v>
      </c>
      <c r="C131">
        <v>25</v>
      </c>
      <c r="D131" t="s">
        <v>16</v>
      </c>
      <c r="E131" s="6">
        <v>44205</v>
      </c>
      <c r="F131" t="s">
        <v>19</v>
      </c>
      <c r="G131" s="12">
        <v>92700</v>
      </c>
      <c r="H131" t="s">
        <v>207</v>
      </c>
      <c r="I131" s="8">
        <f ca="1">(TODAY()-Staff[[#This Row],[Date Joined]])/365</f>
        <v>2.5452054794520547</v>
      </c>
      <c r="J131" s="12">
        <f ca="1">IF(Staff[[#This Row],[Tenure]]&gt;2,3%,2%)*Staff[[#This Row],[Salary]]</f>
        <v>2781</v>
      </c>
      <c r="K131">
        <f>INDEX(Sheet6!$B$2:$C$6,MATCH(Staff[[#This Row],[Rating]],Sheet6!$B$2:$B$6,0),2)</f>
        <v>3</v>
      </c>
    </row>
    <row r="132" spans="1:11" x14ac:dyDescent="0.35">
      <c r="A132" t="s">
        <v>163</v>
      </c>
      <c r="B132" t="s">
        <v>8</v>
      </c>
      <c r="C132">
        <v>33</v>
      </c>
      <c r="D132" t="s">
        <v>16</v>
      </c>
      <c r="E132" s="6">
        <v>44129</v>
      </c>
      <c r="F132" t="s">
        <v>12</v>
      </c>
      <c r="G132" s="12">
        <v>96140</v>
      </c>
      <c r="H132" t="s">
        <v>205</v>
      </c>
      <c r="I132" s="8">
        <f ca="1">(TODAY()-Staff[[#This Row],[Date Joined]])/365</f>
        <v>2.7534246575342465</v>
      </c>
      <c r="J132" s="12">
        <f ca="1">IF(Staff[[#This Row],[Tenure]]&gt;2,3%,2%)*Staff[[#This Row],[Salary]]</f>
        <v>2884.2</v>
      </c>
      <c r="K132">
        <f>INDEX(Sheet6!$B$2:$C$6,MATCH(Staff[[#This Row],[Rating]],Sheet6!$B$2:$B$6,0),2)</f>
        <v>3</v>
      </c>
    </row>
    <row r="133" spans="1:11" x14ac:dyDescent="0.35">
      <c r="A133" t="s">
        <v>71</v>
      </c>
      <c r="B133" t="s">
        <v>8</v>
      </c>
      <c r="C133">
        <v>33</v>
      </c>
      <c r="D133" t="s">
        <v>16</v>
      </c>
      <c r="E133" s="6">
        <v>44190</v>
      </c>
      <c r="F133" t="s">
        <v>12</v>
      </c>
      <c r="G133" s="12">
        <v>96140</v>
      </c>
      <c r="H133" t="s">
        <v>207</v>
      </c>
      <c r="I133" s="8">
        <f ca="1">(TODAY()-Staff[[#This Row],[Date Joined]])/365</f>
        <v>2.5863013698630137</v>
      </c>
      <c r="J133" s="12">
        <f ca="1">IF(Staff[[#This Row],[Tenure]]&gt;2,3%,2%)*Staff[[#This Row],[Salary]]</f>
        <v>2884.2</v>
      </c>
      <c r="K133">
        <f>INDEX(Sheet6!$B$2:$C$6,MATCH(Staff[[#This Row],[Rating]],Sheet6!$B$2:$B$6,0),2)</f>
        <v>3</v>
      </c>
    </row>
    <row r="134" spans="1:11" x14ac:dyDescent="0.35">
      <c r="A134" t="s">
        <v>177</v>
      </c>
      <c r="B134" t="s">
        <v>15</v>
      </c>
      <c r="C134">
        <v>30</v>
      </c>
      <c r="D134" t="s">
        <v>16</v>
      </c>
      <c r="E134" s="6">
        <v>44544</v>
      </c>
      <c r="F134" t="s">
        <v>21</v>
      </c>
      <c r="G134" s="12">
        <v>96800</v>
      </c>
      <c r="H134" t="s">
        <v>205</v>
      </c>
      <c r="I134" s="8">
        <f ca="1">(TODAY()-Staff[[#This Row],[Date Joined]])/365</f>
        <v>1.6164383561643836</v>
      </c>
      <c r="J134" s="12">
        <f ca="1">IF(Staff[[#This Row],[Tenure]]&gt;2,3%,2%)*Staff[[#This Row],[Salary]]</f>
        <v>1936</v>
      </c>
      <c r="K134">
        <f>INDEX(Sheet6!$B$2:$C$6,MATCH(Staff[[#This Row],[Rating]],Sheet6!$B$2:$B$6,0),2)</f>
        <v>3</v>
      </c>
    </row>
    <row r="135" spans="1:11" x14ac:dyDescent="0.35">
      <c r="A135" t="s">
        <v>85</v>
      </c>
      <c r="B135" t="s">
        <v>15</v>
      </c>
      <c r="C135">
        <v>30</v>
      </c>
      <c r="D135" t="s">
        <v>16</v>
      </c>
      <c r="E135" s="6">
        <v>44606</v>
      </c>
      <c r="F135" t="s">
        <v>21</v>
      </c>
      <c r="G135" s="12">
        <v>96800</v>
      </c>
      <c r="H135" t="s">
        <v>207</v>
      </c>
      <c r="I135" s="8">
        <f ca="1">(TODAY()-Staff[[#This Row],[Date Joined]])/365</f>
        <v>1.4465753424657535</v>
      </c>
      <c r="J135" s="12">
        <f ca="1">IF(Staff[[#This Row],[Tenure]]&gt;2,3%,2%)*Staff[[#This Row],[Salary]]</f>
        <v>1936</v>
      </c>
      <c r="K135">
        <f>INDEX(Sheet6!$B$2:$C$6,MATCH(Staff[[#This Row],[Rating]],Sheet6!$B$2:$B$6,0),2)</f>
        <v>3</v>
      </c>
    </row>
    <row r="136" spans="1:11" x14ac:dyDescent="0.35">
      <c r="A136" t="s">
        <v>198</v>
      </c>
      <c r="B136" t="s">
        <v>15</v>
      </c>
      <c r="C136">
        <v>40</v>
      </c>
      <c r="D136" t="s">
        <v>16</v>
      </c>
      <c r="E136" s="6">
        <v>44204</v>
      </c>
      <c r="F136" t="s">
        <v>9</v>
      </c>
      <c r="G136" s="12">
        <v>99750</v>
      </c>
      <c r="H136" t="s">
        <v>205</v>
      </c>
      <c r="I136" s="8">
        <f ca="1">(TODAY()-Staff[[#This Row],[Date Joined]])/365</f>
        <v>2.547945205479452</v>
      </c>
      <c r="J136" s="12">
        <f ca="1">IF(Staff[[#This Row],[Tenure]]&gt;2,3%,2%)*Staff[[#This Row],[Salary]]</f>
        <v>2992.5</v>
      </c>
      <c r="K136">
        <f>INDEX(Sheet6!$B$2:$C$6,MATCH(Staff[[#This Row],[Rating]],Sheet6!$B$2:$B$6,0),2)</f>
        <v>3</v>
      </c>
    </row>
    <row r="137" spans="1:11" x14ac:dyDescent="0.35">
      <c r="A137" t="s">
        <v>105</v>
      </c>
      <c r="B137" t="s">
        <v>15</v>
      </c>
      <c r="C137">
        <v>40</v>
      </c>
      <c r="D137" t="s">
        <v>16</v>
      </c>
      <c r="E137" s="6">
        <v>44263</v>
      </c>
      <c r="F137" t="s">
        <v>9</v>
      </c>
      <c r="G137" s="12">
        <v>99750</v>
      </c>
      <c r="H137" t="s">
        <v>207</v>
      </c>
      <c r="I137" s="8">
        <f ca="1">(TODAY()-Staff[[#This Row],[Date Joined]])/365</f>
        <v>2.3863013698630136</v>
      </c>
      <c r="J137" s="12">
        <f ca="1">IF(Staff[[#This Row],[Tenure]]&gt;2,3%,2%)*Staff[[#This Row],[Salary]]</f>
        <v>2992.5</v>
      </c>
      <c r="K137">
        <f>INDEX(Sheet6!$B$2:$C$6,MATCH(Staff[[#This Row],[Rating]],Sheet6!$B$2:$B$6,0),2)</f>
        <v>3</v>
      </c>
    </row>
    <row r="138" spans="1:11" x14ac:dyDescent="0.35">
      <c r="A138" t="s">
        <v>200</v>
      </c>
      <c r="B138" t="s">
        <v>8</v>
      </c>
      <c r="C138">
        <v>28</v>
      </c>
      <c r="D138" t="s">
        <v>16</v>
      </c>
      <c r="E138" s="6">
        <v>44571</v>
      </c>
      <c r="F138" t="s">
        <v>9</v>
      </c>
      <c r="G138" s="12">
        <v>99970</v>
      </c>
      <c r="H138" t="s">
        <v>205</v>
      </c>
      <c r="I138" s="8">
        <f ca="1">(TODAY()-Staff[[#This Row],[Date Joined]])/365</f>
        <v>1.5424657534246575</v>
      </c>
      <c r="J138" s="12">
        <f ca="1">IF(Staff[[#This Row],[Tenure]]&gt;2,3%,2%)*Staff[[#This Row],[Salary]]</f>
        <v>1999.4</v>
      </c>
      <c r="K138">
        <f>INDEX(Sheet6!$B$2:$C$6,MATCH(Staff[[#This Row],[Rating]],Sheet6!$B$2:$B$6,0),2)</f>
        <v>3</v>
      </c>
    </row>
    <row r="139" spans="1:11" x14ac:dyDescent="0.35">
      <c r="A139" t="s">
        <v>107</v>
      </c>
      <c r="B139" t="s">
        <v>8</v>
      </c>
      <c r="C139">
        <v>28</v>
      </c>
      <c r="D139" t="s">
        <v>16</v>
      </c>
      <c r="E139" s="6">
        <v>44630</v>
      </c>
      <c r="F139" t="s">
        <v>9</v>
      </c>
      <c r="G139" s="12">
        <v>99970</v>
      </c>
      <c r="H139" t="s">
        <v>207</v>
      </c>
      <c r="I139" s="8">
        <f ca="1">(TODAY()-Staff[[#This Row],[Date Joined]])/365</f>
        <v>1.3808219178082193</v>
      </c>
      <c r="J139" s="12">
        <f ca="1">IF(Staff[[#This Row],[Tenure]]&gt;2,3%,2%)*Staff[[#This Row],[Salary]]</f>
        <v>1999.4</v>
      </c>
      <c r="K139">
        <f>INDEX(Sheet6!$B$2:$C$6,MATCH(Staff[[#This Row],[Rating]],Sheet6!$B$2:$B$6,0),2)</f>
        <v>3</v>
      </c>
    </row>
    <row r="140" spans="1:11" x14ac:dyDescent="0.35">
      <c r="A140" t="s">
        <v>196</v>
      </c>
      <c r="B140" t="s">
        <v>15</v>
      </c>
      <c r="C140">
        <v>24</v>
      </c>
      <c r="D140" t="s">
        <v>16</v>
      </c>
      <c r="E140" s="6">
        <v>44625</v>
      </c>
      <c r="F140" t="s">
        <v>12</v>
      </c>
      <c r="G140" s="12">
        <v>100420</v>
      </c>
      <c r="H140" t="s">
        <v>205</v>
      </c>
      <c r="I140" s="8">
        <f ca="1">(TODAY()-Staff[[#This Row],[Date Joined]])/365</f>
        <v>1.3945205479452054</v>
      </c>
      <c r="J140" s="12">
        <f ca="1">IF(Staff[[#This Row],[Tenure]]&gt;2,3%,2%)*Staff[[#This Row],[Salary]]</f>
        <v>2008.4</v>
      </c>
      <c r="K140">
        <f>INDEX(Sheet6!$B$2:$C$6,MATCH(Staff[[#This Row],[Rating]],Sheet6!$B$2:$B$6,0),2)</f>
        <v>3</v>
      </c>
    </row>
    <row r="141" spans="1:11" x14ac:dyDescent="0.35">
      <c r="A141" t="s">
        <v>103</v>
      </c>
      <c r="B141" t="s">
        <v>15</v>
      </c>
      <c r="C141">
        <v>24</v>
      </c>
      <c r="D141" t="s">
        <v>16</v>
      </c>
      <c r="E141" s="6">
        <v>44686</v>
      </c>
      <c r="F141" t="s">
        <v>12</v>
      </c>
      <c r="G141" s="12">
        <v>100420</v>
      </c>
      <c r="H141" t="s">
        <v>207</v>
      </c>
      <c r="I141" s="8">
        <f ca="1">(TODAY()-Staff[[#This Row],[Date Joined]])/365</f>
        <v>1.2273972602739727</v>
      </c>
      <c r="J141" s="12">
        <f ca="1">IF(Staff[[#This Row],[Tenure]]&gt;2,3%,2%)*Staff[[#This Row],[Salary]]</f>
        <v>2008.4</v>
      </c>
      <c r="K141">
        <f>INDEX(Sheet6!$B$2:$C$6,MATCH(Staff[[#This Row],[Rating]],Sheet6!$B$2:$B$6,0),2)</f>
        <v>3</v>
      </c>
    </row>
    <row r="142" spans="1:11" x14ac:dyDescent="0.35">
      <c r="A142" t="s">
        <v>143</v>
      </c>
      <c r="B142" t="s">
        <v>15</v>
      </c>
      <c r="C142">
        <v>31</v>
      </c>
      <c r="D142" t="s">
        <v>16</v>
      </c>
      <c r="E142" s="6">
        <v>44663</v>
      </c>
      <c r="F142" t="s">
        <v>9</v>
      </c>
      <c r="G142" s="12">
        <v>103550</v>
      </c>
      <c r="H142" t="s">
        <v>205</v>
      </c>
      <c r="I142" s="8">
        <f ca="1">(TODAY()-Staff[[#This Row],[Date Joined]])/365</f>
        <v>1.2904109589041095</v>
      </c>
      <c r="J142" s="12">
        <f ca="1">IF(Staff[[#This Row],[Tenure]]&gt;2,3%,2%)*Staff[[#This Row],[Salary]]</f>
        <v>2071</v>
      </c>
      <c r="K142">
        <f>INDEX(Sheet6!$B$2:$C$6,MATCH(Staff[[#This Row],[Rating]],Sheet6!$B$2:$B$6,0),2)</f>
        <v>3</v>
      </c>
    </row>
    <row r="143" spans="1:11" x14ac:dyDescent="0.35">
      <c r="A143" t="s">
        <v>50</v>
      </c>
      <c r="B143" t="s">
        <v>15</v>
      </c>
      <c r="C143">
        <v>31</v>
      </c>
      <c r="D143" t="s">
        <v>16</v>
      </c>
      <c r="E143" s="6">
        <v>44724</v>
      </c>
      <c r="F143" t="s">
        <v>9</v>
      </c>
      <c r="G143" s="12">
        <v>103550</v>
      </c>
      <c r="H143" t="s">
        <v>207</v>
      </c>
      <c r="I143" s="8">
        <f ca="1">(TODAY()-Staff[[#This Row],[Date Joined]])/365</f>
        <v>1.1232876712328768</v>
      </c>
      <c r="J143" s="12">
        <f ca="1">IF(Staff[[#This Row],[Tenure]]&gt;2,3%,2%)*Staff[[#This Row],[Salary]]</f>
        <v>2071</v>
      </c>
      <c r="K143">
        <f>INDEX(Sheet6!$B$2:$C$6,MATCH(Staff[[#This Row],[Rating]],Sheet6!$B$2:$B$6,0),2)</f>
        <v>3</v>
      </c>
    </row>
    <row r="144" spans="1:11" x14ac:dyDescent="0.35">
      <c r="A144" t="s">
        <v>189</v>
      </c>
      <c r="B144" t="s">
        <v>8</v>
      </c>
      <c r="C144">
        <v>28</v>
      </c>
      <c r="D144" t="s">
        <v>16</v>
      </c>
      <c r="E144" s="6">
        <v>44590</v>
      </c>
      <c r="F144" t="s">
        <v>9</v>
      </c>
      <c r="G144" s="12">
        <v>104120</v>
      </c>
      <c r="H144" t="s">
        <v>205</v>
      </c>
      <c r="I144" s="8">
        <f ca="1">(TODAY()-Staff[[#This Row],[Date Joined]])/365</f>
        <v>1.4904109589041097</v>
      </c>
      <c r="J144" s="12">
        <f ca="1">IF(Staff[[#This Row],[Tenure]]&gt;2,3%,2%)*Staff[[#This Row],[Salary]]</f>
        <v>2082.4</v>
      </c>
      <c r="K144">
        <f>INDEX(Sheet6!$B$2:$C$6,MATCH(Staff[[#This Row],[Rating]],Sheet6!$B$2:$B$6,0),2)</f>
        <v>3</v>
      </c>
    </row>
    <row r="145" spans="1:11" x14ac:dyDescent="0.35">
      <c r="A145" t="s">
        <v>96</v>
      </c>
      <c r="B145" t="s">
        <v>8</v>
      </c>
      <c r="C145">
        <v>28</v>
      </c>
      <c r="D145" t="s">
        <v>16</v>
      </c>
      <c r="E145" s="6">
        <v>44649</v>
      </c>
      <c r="F145" t="s">
        <v>9</v>
      </c>
      <c r="G145" s="12">
        <v>104120</v>
      </c>
      <c r="H145" t="s">
        <v>207</v>
      </c>
      <c r="I145" s="8">
        <f ca="1">(TODAY()-Staff[[#This Row],[Date Joined]])/365</f>
        <v>1.3287671232876712</v>
      </c>
      <c r="J145" s="12">
        <f ca="1">IF(Staff[[#This Row],[Tenure]]&gt;2,3%,2%)*Staff[[#This Row],[Salary]]</f>
        <v>2082.4</v>
      </c>
      <c r="K145">
        <f>INDEX(Sheet6!$B$2:$C$6,MATCH(Staff[[#This Row],[Rating]],Sheet6!$B$2:$B$6,0),2)</f>
        <v>3</v>
      </c>
    </row>
    <row r="146" spans="1:11" x14ac:dyDescent="0.35">
      <c r="A146" t="s">
        <v>194</v>
      </c>
      <c r="B146" t="s">
        <v>8</v>
      </c>
      <c r="C146">
        <v>40</v>
      </c>
      <c r="D146" t="s">
        <v>16</v>
      </c>
      <c r="E146" s="6">
        <v>44320</v>
      </c>
      <c r="F146" t="s">
        <v>12</v>
      </c>
      <c r="G146" s="12">
        <v>104410</v>
      </c>
      <c r="H146" t="s">
        <v>205</v>
      </c>
      <c r="I146" s="8">
        <f ca="1">(TODAY()-Staff[[#This Row],[Date Joined]])/365</f>
        <v>2.2301369863013698</v>
      </c>
      <c r="J146" s="12">
        <f ca="1">IF(Staff[[#This Row],[Tenure]]&gt;2,3%,2%)*Staff[[#This Row],[Salary]]</f>
        <v>3132.2999999999997</v>
      </c>
      <c r="K146">
        <f>INDEX(Sheet6!$B$2:$C$6,MATCH(Staff[[#This Row],[Rating]],Sheet6!$B$2:$B$6,0),2)</f>
        <v>3</v>
      </c>
    </row>
    <row r="147" spans="1:11" x14ac:dyDescent="0.35">
      <c r="A147" t="s">
        <v>101</v>
      </c>
      <c r="B147" t="s">
        <v>8</v>
      </c>
      <c r="C147">
        <v>40</v>
      </c>
      <c r="D147" t="s">
        <v>16</v>
      </c>
      <c r="E147" s="6">
        <v>44381</v>
      </c>
      <c r="F147" t="s">
        <v>12</v>
      </c>
      <c r="G147" s="12">
        <v>104410</v>
      </c>
      <c r="H147" t="s">
        <v>207</v>
      </c>
      <c r="I147" s="8">
        <f ca="1">(TODAY()-Staff[[#This Row],[Date Joined]])/365</f>
        <v>2.0630136986301371</v>
      </c>
      <c r="J147" s="12">
        <f ca="1">IF(Staff[[#This Row],[Tenure]]&gt;2,3%,2%)*Staff[[#This Row],[Salary]]</f>
        <v>3132.2999999999997</v>
      </c>
      <c r="K147">
        <f>INDEX(Sheet6!$B$2:$C$6,MATCH(Staff[[#This Row],[Rating]],Sheet6!$B$2:$B$6,0),2)</f>
        <v>3</v>
      </c>
    </row>
    <row r="148" spans="1:11" x14ac:dyDescent="0.35">
      <c r="A148" t="s">
        <v>136</v>
      </c>
      <c r="B148" t="s">
        <v>8</v>
      </c>
      <c r="C148">
        <v>28</v>
      </c>
      <c r="D148" t="s">
        <v>16</v>
      </c>
      <c r="E148" s="6">
        <v>44425</v>
      </c>
      <c r="F148" t="s">
        <v>9</v>
      </c>
      <c r="G148" s="12">
        <v>104770</v>
      </c>
      <c r="H148" t="s">
        <v>205</v>
      </c>
      <c r="I148" s="8">
        <f ca="1">(TODAY()-Staff[[#This Row],[Date Joined]])/365</f>
        <v>1.9424657534246574</v>
      </c>
      <c r="J148" s="12">
        <f ca="1">IF(Staff[[#This Row],[Tenure]]&gt;2,3%,2%)*Staff[[#This Row],[Salary]]</f>
        <v>2095.4</v>
      </c>
      <c r="K148">
        <f>INDEX(Sheet6!$B$2:$C$6,MATCH(Staff[[#This Row],[Rating]],Sheet6!$B$2:$B$6,0),2)</f>
        <v>3</v>
      </c>
    </row>
    <row r="149" spans="1:11" x14ac:dyDescent="0.35">
      <c r="A149" t="s">
        <v>43</v>
      </c>
      <c r="B149" t="s">
        <v>8</v>
      </c>
      <c r="C149">
        <v>28</v>
      </c>
      <c r="D149" t="s">
        <v>16</v>
      </c>
      <c r="E149" s="6">
        <v>44486</v>
      </c>
      <c r="F149" t="s">
        <v>9</v>
      </c>
      <c r="G149" s="12">
        <v>104770</v>
      </c>
      <c r="H149" t="s">
        <v>207</v>
      </c>
      <c r="I149" s="8">
        <f ca="1">(TODAY()-Staff[[#This Row],[Date Joined]])/365</f>
        <v>1.7753424657534247</v>
      </c>
      <c r="J149" s="12">
        <f ca="1">IF(Staff[[#This Row],[Tenure]]&gt;2,3%,2%)*Staff[[#This Row],[Salary]]</f>
        <v>2095.4</v>
      </c>
      <c r="K149">
        <f>INDEX(Sheet6!$B$2:$C$6,MATCH(Staff[[#This Row],[Rating]],Sheet6!$B$2:$B$6,0),2)</f>
        <v>3</v>
      </c>
    </row>
    <row r="150" spans="1:11" x14ac:dyDescent="0.35">
      <c r="A150" t="s">
        <v>161</v>
      </c>
      <c r="B150" t="s">
        <v>15</v>
      </c>
      <c r="C150">
        <v>23</v>
      </c>
      <c r="D150" t="s">
        <v>16</v>
      </c>
      <c r="E150" s="6">
        <v>44378</v>
      </c>
      <c r="F150" t="s">
        <v>9</v>
      </c>
      <c r="G150" s="12">
        <v>106460</v>
      </c>
      <c r="H150" t="s">
        <v>205</v>
      </c>
      <c r="I150" s="8">
        <f ca="1">(TODAY()-Staff[[#This Row],[Date Joined]])/365</f>
        <v>2.0712328767123287</v>
      </c>
      <c r="J150" s="12">
        <f ca="1">IF(Staff[[#This Row],[Tenure]]&gt;2,3%,2%)*Staff[[#This Row],[Salary]]</f>
        <v>3193.7999999999997</v>
      </c>
      <c r="K150">
        <f>INDEX(Sheet6!$B$2:$C$6,MATCH(Staff[[#This Row],[Rating]],Sheet6!$B$2:$B$6,0),2)</f>
        <v>3</v>
      </c>
    </row>
    <row r="151" spans="1:11" x14ac:dyDescent="0.35">
      <c r="A151" t="s">
        <v>69</v>
      </c>
      <c r="B151" t="s">
        <v>15</v>
      </c>
      <c r="C151">
        <v>23</v>
      </c>
      <c r="D151" t="s">
        <v>16</v>
      </c>
      <c r="E151" s="6">
        <v>44440</v>
      </c>
      <c r="F151" t="s">
        <v>9</v>
      </c>
      <c r="G151" s="12">
        <v>106460</v>
      </c>
      <c r="H151" t="s">
        <v>207</v>
      </c>
      <c r="I151" s="8">
        <f ca="1">(TODAY()-Staff[[#This Row],[Date Joined]])/365</f>
        <v>1.9013698630136986</v>
      </c>
      <c r="J151" s="12">
        <f ca="1">IF(Staff[[#This Row],[Tenure]]&gt;2,3%,2%)*Staff[[#This Row],[Salary]]</f>
        <v>2129.1999999999998</v>
      </c>
      <c r="K151">
        <f>INDEX(Sheet6!$B$2:$C$6,MATCH(Staff[[#This Row],[Rating]],Sheet6!$B$2:$B$6,0),2)</f>
        <v>3</v>
      </c>
    </row>
    <row r="152" spans="1:11" x14ac:dyDescent="0.35">
      <c r="A152" t="s">
        <v>117</v>
      </c>
      <c r="B152" t="s">
        <v>15</v>
      </c>
      <c r="C152">
        <v>20</v>
      </c>
      <c r="D152" t="s">
        <v>16</v>
      </c>
      <c r="E152" s="6">
        <v>44397</v>
      </c>
      <c r="F152" t="s">
        <v>12</v>
      </c>
      <c r="G152" s="12">
        <v>107700</v>
      </c>
      <c r="H152" t="s">
        <v>205</v>
      </c>
      <c r="I152" s="8">
        <f ca="1">(TODAY()-Staff[[#This Row],[Date Joined]])/365</f>
        <v>2.0191780821917806</v>
      </c>
      <c r="J152" s="12">
        <f ca="1">IF(Staff[[#This Row],[Tenure]]&gt;2,3%,2%)*Staff[[#This Row],[Salary]]</f>
        <v>3231</v>
      </c>
      <c r="K152">
        <f>INDEX(Sheet6!$B$2:$C$6,MATCH(Staff[[#This Row],[Rating]],Sheet6!$B$2:$B$6,0),2)</f>
        <v>3</v>
      </c>
    </row>
    <row r="153" spans="1:11" x14ac:dyDescent="0.35">
      <c r="A153" t="s">
        <v>22</v>
      </c>
      <c r="B153" t="s">
        <v>15</v>
      </c>
      <c r="C153">
        <v>20</v>
      </c>
      <c r="D153" t="s">
        <v>16</v>
      </c>
      <c r="E153" s="6">
        <v>44459</v>
      </c>
      <c r="F153" t="s">
        <v>12</v>
      </c>
      <c r="G153" s="12">
        <v>107700</v>
      </c>
      <c r="H153" t="s">
        <v>207</v>
      </c>
      <c r="I153" s="8">
        <f ca="1">(TODAY()-Staff[[#This Row],[Date Joined]])/365</f>
        <v>1.8493150684931507</v>
      </c>
      <c r="J153" s="12">
        <f ca="1">IF(Staff[[#This Row],[Tenure]]&gt;2,3%,2%)*Staff[[#This Row],[Salary]]</f>
        <v>2154</v>
      </c>
      <c r="K153">
        <f>INDEX(Sheet6!$B$2:$C$6,MATCH(Staff[[#This Row],[Rating]],Sheet6!$B$2:$B$6,0),2)</f>
        <v>3</v>
      </c>
    </row>
    <row r="154" spans="1:11" x14ac:dyDescent="0.35">
      <c r="A154" t="s">
        <v>127</v>
      </c>
      <c r="B154" t="s">
        <v>8</v>
      </c>
      <c r="C154">
        <v>38</v>
      </c>
      <c r="D154" t="s">
        <v>10</v>
      </c>
      <c r="E154" s="6">
        <v>44316</v>
      </c>
      <c r="F154" t="s">
        <v>19</v>
      </c>
      <c r="G154" s="12">
        <v>109160</v>
      </c>
      <c r="H154" t="s">
        <v>205</v>
      </c>
      <c r="I154" s="8">
        <f ca="1">(TODAY()-Staff[[#This Row],[Date Joined]])/365</f>
        <v>2.2410958904109588</v>
      </c>
      <c r="J154" s="12">
        <f ca="1">IF(Staff[[#This Row],[Tenure]]&gt;2,3%,2%)*Staff[[#This Row],[Salary]]</f>
        <v>3274.7999999999997</v>
      </c>
      <c r="K154">
        <f>INDEX(Sheet6!$B$2:$C$6,MATCH(Staff[[#This Row],[Rating]],Sheet6!$B$2:$B$6,0),2)</f>
        <v>5</v>
      </c>
    </row>
    <row r="155" spans="1:11" x14ac:dyDescent="0.35">
      <c r="A155" t="s">
        <v>33</v>
      </c>
      <c r="B155" t="s">
        <v>8</v>
      </c>
      <c r="C155">
        <v>38</v>
      </c>
      <c r="D155" t="s">
        <v>10</v>
      </c>
      <c r="E155" s="6">
        <v>44377</v>
      </c>
      <c r="F155" t="s">
        <v>19</v>
      </c>
      <c r="G155" s="12">
        <v>109160</v>
      </c>
      <c r="H155" t="s">
        <v>207</v>
      </c>
      <c r="I155" s="8">
        <f ca="1">(TODAY()-Staff[[#This Row],[Date Joined]])/365</f>
        <v>2.0739726027397261</v>
      </c>
      <c r="J155" s="12">
        <f ca="1">IF(Staff[[#This Row],[Tenure]]&gt;2,3%,2%)*Staff[[#This Row],[Salary]]</f>
        <v>3274.7999999999997</v>
      </c>
      <c r="K155">
        <f>INDEX(Sheet6!$B$2:$C$6,MATCH(Staff[[#This Row],[Rating]],Sheet6!$B$2:$B$6,0),2)</f>
        <v>5</v>
      </c>
    </row>
    <row r="156" spans="1:11" x14ac:dyDescent="0.35">
      <c r="A156" t="s">
        <v>128</v>
      </c>
      <c r="B156" t="s">
        <v>15</v>
      </c>
      <c r="C156">
        <v>25</v>
      </c>
      <c r="D156" t="s">
        <v>13</v>
      </c>
      <c r="E156" s="6">
        <v>44665</v>
      </c>
      <c r="F156" t="s">
        <v>9</v>
      </c>
      <c r="G156" s="12">
        <v>109190</v>
      </c>
      <c r="H156" t="s">
        <v>205</v>
      </c>
      <c r="I156" s="8">
        <f ca="1">(TODAY()-Staff[[#This Row],[Date Joined]])/365</f>
        <v>1.284931506849315</v>
      </c>
      <c r="J156" s="12">
        <f ca="1">IF(Staff[[#This Row],[Tenure]]&gt;2,3%,2%)*Staff[[#This Row],[Salary]]</f>
        <v>2183.8000000000002</v>
      </c>
      <c r="K156">
        <f>INDEX(Sheet6!$B$2:$C$6,MATCH(Staff[[#This Row],[Rating]],Sheet6!$B$2:$B$6,0),2)</f>
        <v>4</v>
      </c>
    </row>
    <row r="157" spans="1:11" x14ac:dyDescent="0.35">
      <c r="A157" t="s">
        <v>34</v>
      </c>
      <c r="B157" t="s">
        <v>15</v>
      </c>
      <c r="C157">
        <v>25</v>
      </c>
      <c r="D157" t="s">
        <v>13</v>
      </c>
      <c r="E157" s="6">
        <v>44726</v>
      </c>
      <c r="F157" t="s">
        <v>9</v>
      </c>
      <c r="G157" s="12">
        <v>109190</v>
      </c>
      <c r="H157" t="s">
        <v>207</v>
      </c>
      <c r="I157" s="8">
        <f ca="1">(TODAY()-Staff[[#This Row],[Date Joined]])/365</f>
        <v>1.1178082191780823</v>
      </c>
      <c r="J157" s="12">
        <f ca="1">IF(Staff[[#This Row],[Tenure]]&gt;2,3%,2%)*Staff[[#This Row],[Salary]]</f>
        <v>2183.8000000000002</v>
      </c>
      <c r="K157">
        <f>INDEX(Sheet6!$B$2:$C$6,MATCH(Staff[[#This Row],[Rating]],Sheet6!$B$2:$B$6,0),2)</f>
        <v>4</v>
      </c>
    </row>
    <row r="158" spans="1:11" x14ac:dyDescent="0.35">
      <c r="A158" t="s">
        <v>180</v>
      </c>
      <c r="B158" t="s">
        <v>15</v>
      </c>
      <c r="C158">
        <v>29</v>
      </c>
      <c r="D158" t="s">
        <v>24</v>
      </c>
      <c r="E158" s="6">
        <v>44119</v>
      </c>
      <c r="F158" t="s">
        <v>12</v>
      </c>
      <c r="G158" s="12">
        <v>112110</v>
      </c>
      <c r="H158" t="s">
        <v>205</v>
      </c>
      <c r="I158" s="8">
        <f ca="1">(TODAY()-Staff[[#This Row],[Date Joined]])/365</f>
        <v>2.7808219178082192</v>
      </c>
      <c r="J158" s="12">
        <f ca="1">IF(Staff[[#This Row],[Tenure]]&gt;2,3%,2%)*Staff[[#This Row],[Salary]]</f>
        <v>3363.2999999999997</v>
      </c>
      <c r="K158">
        <f>INDEX(Sheet6!$B$2:$C$6,MATCH(Staff[[#This Row],[Rating]],Sheet6!$B$2:$B$6,0),2)</f>
        <v>2</v>
      </c>
    </row>
    <row r="159" spans="1:11" x14ac:dyDescent="0.35">
      <c r="A159" t="s">
        <v>87</v>
      </c>
      <c r="B159" t="s">
        <v>15</v>
      </c>
      <c r="C159">
        <v>29</v>
      </c>
      <c r="D159" t="s">
        <v>24</v>
      </c>
      <c r="E159" s="6">
        <v>44180</v>
      </c>
      <c r="F159" t="s">
        <v>12</v>
      </c>
      <c r="G159" s="12">
        <v>112110</v>
      </c>
      <c r="H159" t="s">
        <v>207</v>
      </c>
      <c r="I159" s="8">
        <f ca="1">(TODAY()-Staff[[#This Row],[Date Joined]])/365</f>
        <v>2.6136986301369864</v>
      </c>
      <c r="J159" s="12">
        <f ca="1">IF(Staff[[#This Row],[Tenure]]&gt;2,3%,2%)*Staff[[#This Row],[Salary]]</f>
        <v>3363.2999999999997</v>
      </c>
      <c r="K159">
        <f>INDEX(Sheet6!$B$2:$C$6,MATCH(Staff[[#This Row],[Rating]],Sheet6!$B$2:$B$6,0),2)</f>
        <v>2</v>
      </c>
    </row>
    <row r="160" spans="1:11" x14ac:dyDescent="0.35">
      <c r="A160" t="s">
        <v>173</v>
      </c>
      <c r="B160" t="s">
        <v>8</v>
      </c>
      <c r="C160">
        <v>30</v>
      </c>
      <c r="D160" t="s">
        <v>16</v>
      </c>
      <c r="E160" s="6">
        <v>44800</v>
      </c>
      <c r="F160" t="s">
        <v>9</v>
      </c>
      <c r="G160" s="12">
        <v>112570</v>
      </c>
      <c r="H160" t="s">
        <v>205</v>
      </c>
      <c r="I160" s="8">
        <f ca="1">(TODAY()-Staff[[#This Row],[Date Joined]])/365</f>
        <v>0.91506849315068495</v>
      </c>
      <c r="J160" s="12">
        <f ca="1">IF(Staff[[#This Row],[Tenure]]&gt;2,3%,2%)*Staff[[#This Row],[Salary]]</f>
        <v>2251.4</v>
      </c>
      <c r="K160">
        <f>INDEX(Sheet6!$B$2:$C$6,MATCH(Staff[[#This Row],[Rating]],Sheet6!$B$2:$B$6,0),2)</f>
        <v>3</v>
      </c>
    </row>
    <row r="161" spans="1:11" x14ac:dyDescent="0.35">
      <c r="A161" t="s">
        <v>81</v>
      </c>
      <c r="B161" t="s">
        <v>8</v>
      </c>
      <c r="C161">
        <v>30</v>
      </c>
      <c r="D161" t="s">
        <v>16</v>
      </c>
      <c r="E161" s="6">
        <v>44861</v>
      </c>
      <c r="F161" t="s">
        <v>9</v>
      </c>
      <c r="G161" s="12">
        <v>112570</v>
      </c>
      <c r="H161" t="s">
        <v>207</v>
      </c>
      <c r="I161" s="8">
        <f ca="1">(TODAY()-Staff[[#This Row],[Date Joined]])/365</f>
        <v>0.74794520547945209</v>
      </c>
      <c r="J161" s="12">
        <f ca="1">IF(Staff[[#This Row],[Tenure]]&gt;2,3%,2%)*Staff[[#This Row],[Salary]]</f>
        <v>2251.4</v>
      </c>
      <c r="K161">
        <f>INDEX(Sheet6!$B$2:$C$6,MATCH(Staff[[#This Row],[Rating]],Sheet6!$B$2:$B$6,0),2)</f>
        <v>3</v>
      </c>
    </row>
    <row r="162" spans="1:11" x14ac:dyDescent="0.35">
      <c r="A162" t="s">
        <v>156</v>
      </c>
      <c r="B162" t="s">
        <v>15</v>
      </c>
      <c r="C162">
        <v>20</v>
      </c>
      <c r="D162" t="s">
        <v>16</v>
      </c>
      <c r="E162" s="6">
        <v>44122</v>
      </c>
      <c r="F162" t="s">
        <v>12</v>
      </c>
      <c r="G162" s="12">
        <v>112650</v>
      </c>
      <c r="H162" t="s">
        <v>205</v>
      </c>
      <c r="I162" s="8">
        <f ca="1">(TODAY()-Staff[[#This Row],[Date Joined]])/365</f>
        <v>2.7726027397260276</v>
      </c>
      <c r="J162" s="12">
        <f ca="1">IF(Staff[[#This Row],[Tenure]]&gt;2,3%,2%)*Staff[[#This Row],[Salary]]</f>
        <v>3379.5</v>
      </c>
      <c r="K162">
        <f>INDEX(Sheet6!$B$2:$C$6,MATCH(Staff[[#This Row],[Rating]],Sheet6!$B$2:$B$6,0),2)</f>
        <v>3</v>
      </c>
    </row>
    <row r="163" spans="1:11" x14ac:dyDescent="0.35">
      <c r="A163" t="s">
        <v>178</v>
      </c>
      <c r="B163" t="s">
        <v>15</v>
      </c>
      <c r="C163">
        <v>34</v>
      </c>
      <c r="D163" t="s">
        <v>16</v>
      </c>
      <c r="E163" s="6">
        <v>44642</v>
      </c>
      <c r="F163" t="s">
        <v>9</v>
      </c>
      <c r="G163" s="12">
        <v>112650</v>
      </c>
      <c r="H163" t="s">
        <v>205</v>
      </c>
      <c r="I163" s="8">
        <f ca="1">(TODAY()-Staff[[#This Row],[Date Joined]])/365</f>
        <v>1.3479452054794521</v>
      </c>
      <c r="J163" s="12">
        <f ca="1">IF(Staff[[#This Row],[Tenure]]&gt;2,3%,2%)*Staff[[#This Row],[Salary]]</f>
        <v>2253</v>
      </c>
      <c r="K163">
        <f>INDEX(Sheet6!$B$2:$C$6,MATCH(Staff[[#This Row],[Rating]],Sheet6!$B$2:$B$6,0),2)</f>
        <v>3</v>
      </c>
    </row>
    <row r="164" spans="1:11" x14ac:dyDescent="0.35">
      <c r="A164" t="s">
        <v>64</v>
      </c>
      <c r="B164" t="s">
        <v>15</v>
      </c>
      <c r="C164">
        <v>20</v>
      </c>
      <c r="D164" t="s">
        <v>16</v>
      </c>
      <c r="E164" s="6">
        <v>44183</v>
      </c>
      <c r="F164" t="s">
        <v>12</v>
      </c>
      <c r="G164" s="12">
        <v>112650</v>
      </c>
      <c r="H164" t="s">
        <v>207</v>
      </c>
      <c r="I164" s="8">
        <f ca="1">(TODAY()-Staff[[#This Row],[Date Joined]])/365</f>
        <v>2.6054794520547944</v>
      </c>
      <c r="J164" s="12">
        <f ca="1">IF(Staff[[#This Row],[Tenure]]&gt;2,3%,2%)*Staff[[#This Row],[Salary]]</f>
        <v>3379.5</v>
      </c>
      <c r="K164">
        <f>INDEX(Sheet6!$B$2:$C$6,MATCH(Staff[[#This Row],[Rating]],Sheet6!$B$2:$B$6,0),2)</f>
        <v>3</v>
      </c>
    </row>
    <row r="165" spans="1:11" x14ac:dyDescent="0.35">
      <c r="A165" t="s">
        <v>150</v>
      </c>
      <c r="B165" t="s">
        <v>15</v>
      </c>
      <c r="C165">
        <v>22</v>
      </c>
      <c r="D165" t="s">
        <v>13</v>
      </c>
      <c r="E165" s="6">
        <v>44384</v>
      </c>
      <c r="F165" t="s">
        <v>19</v>
      </c>
      <c r="G165" s="12">
        <v>112780</v>
      </c>
      <c r="H165" t="s">
        <v>205</v>
      </c>
      <c r="I165" s="8">
        <f ca="1">(TODAY()-Staff[[#This Row],[Date Joined]])/365</f>
        <v>2.0547945205479454</v>
      </c>
      <c r="J165" s="12">
        <f ca="1">IF(Staff[[#This Row],[Tenure]]&gt;2,3%,2%)*Staff[[#This Row],[Salary]]</f>
        <v>3383.4</v>
      </c>
      <c r="K165">
        <f>INDEX(Sheet6!$B$2:$C$6,MATCH(Staff[[#This Row],[Rating]],Sheet6!$B$2:$B$6,0),2)</f>
        <v>4</v>
      </c>
    </row>
    <row r="166" spans="1:11" x14ac:dyDescent="0.35">
      <c r="A166" t="s">
        <v>58</v>
      </c>
      <c r="B166" t="s">
        <v>15</v>
      </c>
      <c r="C166">
        <v>22</v>
      </c>
      <c r="D166" t="s">
        <v>13</v>
      </c>
      <c r="E166" s="6">
        <v>44446</v>
      </c>
      <c r="F166" t="s">
        <v>19</v>
      </c>
      <c r="G166" s="12">
        <v>112780</v>
      </c>
      <c r="H166" t="s">
        <v>207</v>
      </c>
      <c r="I166" s="8">
        <f ca="1">(TODAY()-Staff[[#This Row],[Date Joined]])/365</f>
        <v>1.8849315068493151</v>
      </c>
      <c r="J166" s="12">
        <f ca="1">IF(Staff[[#This Row],[Tenure]]&gt;2,3%,2%)*Staff[[#This Row],[Salary]]</f>
        <v>2255.6</v>
      </c>
      <c r="K166">
        <f>INDEX(Sheet6!$B$2:$C$6,MATCH(Staff[[#This Row],[Rating]],Sheet6!$B$2:$B$6,0),2)</f>
        <v>4</v>
      </c>
    </row>
    <row r="167" spans="1:11" x14ac:dyDescent="0.35">
      <c r="A167" t="s">
        <v>191</v>
      </c>
      <c r="B167" t="s">
        <v>15</v>
      </c>
      <c r="C167">
        <v>27</v>
      </c>
      <c r="D167" t="s">
        <v>42</v>
      </c>
      <c r="E167" s="6">
        <v>44547</v>
      </c>
      <c r="F167" t="s">
        <v>9</v>
      </c>
      <c r="G167" s="12">
        <v>113280</v>
      </c>
      <c r="H167" t="s">
        <v>205</v>
      </c>
      <c r="I167" s="8">
        <f ca="1">(TODAY()-Staff[[#This Row],[Date Joined]])/365</f>
        <v>1.6082191780821917</v>
      </c>
      <c r="J167" s="12">
        <f ca="1">IF(Staff[[#This Row],[Tenure]]&gt;2,3%,2%)*Staff[[#This Row],[Salary]]</f>
        <v>2265.6</v>
      </c>
      <c r="K167">
        <f>INDEX(Sheet6!$B$2:$C$6,MATCH(Staff[[#This Row],[Rating]],Sheet6!$B$2:$B$6,0),2)</f>
        <v>1</v>
      </c>
    </row>
    <row r="168" spans="1:11" x14ac:dyDescent="0.35">
      <c r="A168" t="s">
        <v>98</v>
      </c>
      <c r="B168" t="s">
        <v>15</v>
      </c>
      <c r="C168">
        <v>27</v>
      </c>
      <c r="D168" t="s">
        <v>42</v>
      </c>
      <c r="E168" s="6">
        <v>44609</v>
      </c>
      <c r="F168" t="s">
        <v>9</v>
      </c>
      <c r="G168" s="12">
        <v>113280</v>
      </c>
      <c r="H168" t="s">
        <v>207</v>
      </c>
      <c r="I168" s="8">
        <f ca="1">(TODAY()-Staff[[#This Row],[Date Joined]])/365</f>
        <v>1.4383561643835616</v>
      </c>
      <c r="J168" s="12">
        <f ca="1">IF(Staff[[#This Row],[Tenure]]&gt;2,3%,2%)*Staff[[#This Row],[Salary]]</f>
        <v>2265.6</v>
      </c>
      <c r="K168">
        <f>INDEX(Sheet6!$B$2:$C$6,MATCH(Staff[[#This Row],[Rating]],Sheet6!$B$2:$B$6,0),2)</f>
        <v>1</v>
      </c>
    </row>
    <row r="169" spans="1:11" x14ac:dyDescent="0.35">
      <c r="A169" t="s">
        <v>147</v>
      </c>
      <c r="B169" t="s">
        <v>8</v>
      </c>
      <c r="C169">
        <v>30</v>
      </c>
      <c r="D169" t="s">
        <v>16</v>
      </c>
      <c r="E169" s="6">
        <v>44789</v>
      </c>
      <c r="F169" t="s">
        <v>9</v>
      </c>
      <c r="G169" s="12">
        <v>114180</v>
      </c>
      <c r="H169" t="s">
        <v>205</v>
      </c>
      <c r="I169" s="8">
        <f ca="1">(TODAY()-Staff[[#This Row],[Date Joined]])/365</f>
        <v>0.9452054794520548</v>
      </c>
      <c r="J169" s="12">
        <f ca="1">IF(Staff[[#This Row],[Tenure]]&gt;2,3%,2%)*Staff[[#This Row],[Salary]]</f>
        <v>2283.6</v>
      </c>
      <c r="K169">
        <f>INDEX(Sheet6!$B$2:$C$6,MATCH(Staff[[#This Row],[Rating]],Sheet6!$B$2:$B$6,0),2)</f>
        <v>3</v>
      </c>
    </row>
    <row r="170" spans="1:11" x14ac:dyDescent="0.35">
      <c r="A170" t="s">
        <v>54</v>
      </c>
      <c r="B170" t="s">
        <v>8</v>
      </c>
      <c r="C170">
        <v>30</v>
      </c>
      <c r="D170" t="s">
        <v>16</v>
      </c>
      <c r="E170" s="6">
        <v>44850</v>
      </c>
      <c r="F170" t="s">
        <v>9</v>
      </c>
      <c r="G170" s="12">
        <v>114180</v>
      </c>
      <c r="H170" t="s">
        <v>207</v>
      </c>
      <c r="I170" s="8">
        <f ca="1">(TODAY()-Staff[[#This Row],[Date Joined]])/365</f>
        <v>0.77808219178082194</v>
      </c>
      <c r="J170" s="12">
        <f ca="1">IF(Staff[[#This Row],[Tenure]]&gt;2,3%,2%)*Staff[[#This Row],[Salary]]</f>
        <v>2283.6</v>
      </c>
      <c r="K170">
        <f>INDEX(Sheet6!$B$2:$C$6,MATCH(Staff[[#This Row],[Rating]],Sheet6!$B$2:$B$6,0),2)</f>
        <v>3</v>
      </c>
    </row>
    <row r="171" spans="1:11" x14ac:dyDescent="0.35">
      <c r="A171" t="s">
        <v>114</v>
      </c>
      <c r="B171" t="s">
        <v>8</v>
      </c>
      <c r="C171">
        <v>44</v>
      </c>
      <c r="D171" t="s">
        <v>16</v>
      </c>
      <c r="E171" s="6">
        <v>44985</v>
      </c>
      <c r="F171" t="s">
        <v>12</v>
      </c>
      <c r="G171" s="12">
        <v>114870</v>
      </c>
      <c r="H171" t="s">
        <v>205</v>
      </c>
      <c r="I171" s="8">
        <f ca="1">(TODAY()-Staff[[#This Row],[Date Joined]])/365</f>
        <v>0.40821917808219177</v>
      </c>
      <c r="J171" s="12">
        <f ca="1">IF(Staff[[#This Row],[Tenure]]&gt;2,3%,2%)*Staff[[#This Row],[Salary]]</f>
        <v>2297.4</v>
      </c>
      <c r="K171">
        <f>INDEX(Sheet6!$B$2:$C$6,MATCH(Staff[[#This Row],[Rating]],Sheet6!$B$2:$B$6,0),2)</f>
        <v>3</v>
      </c>
    </row>
    <row r="172" spans="1:11" x14ac:dyDescent="0.35">
      <c r="A172" t="s">
        <v>17</v>
      </c>
      <c r="B172" t="s">
        <v>8</v>
      </c>
      <c r="C172">
        <v>43</v>
      </c>
      <c r="D172" t="s">
        <v>16</v>
      </c>
      <c r="E172" s="6">
        <v>45045</v>
      </c>
      <c r="F172" t="s">
        <v>12</v>
      </c>
      <c r="G172" s="12">
        <v>114870</v>
      </c>
      <c r="H172" t="s">
        <v>207</v>
      </c>
      <c r="I172" s="8">
        <f ca="1">(TODAY()-Staff[[#This Row],[Date Joined]])/365</f>
        <v>0.24383561643835616</v>
      </c>
      <c r="J172" s="12">
        <f ca="1">IF(Staff[[#This Row],[Tenure]]&gt;2,3%,2%)*Staff[[#This Row],[Salary]]</f>
        <v>2297.4</v>
      </c>
      <c r="K172">
        <f>INDEX(Sheet6!$B$2:$C$6,MATCH(Staff[[#This Row],[Rating]],Sheet6!$B$2:$B$6,0),2)</f>
        <v>3</v>
      </c>
    </row>
    <row r="173" spans="1:11" x14ac:dyDescent="0.35">
      <c r="A173" t="s">
        <v>175</v>
      </c>
      <c r="B173" t="s">
        <v>8</v>
      </c>
      <c r="C173">
        <v>36</v>
      </c>
      <c r="D173" t="s">
        <v>16</v>
      </c>
      <c r="E173" s="6">
        <v>44023</v>
      </c>
      <c r="F173" t="s">
        <v>9</v>
      </c>
      <c r="G173" s="12">
        <v>114890</v>
      </c>
      <c r="H173" t="s">
        <v>205</v>
      </c>
      <c r="I173" s="8">
        <f ca="1">(TODAY()-Staff[[#This Row],[Date Joined]])/365</f>
        <v>3.043835616438356</v>
      </c>
      <c r="J173" s="12">
        <f ca="1">IF(Staff[[#This Row],[Tenure]]&gt;2,3%,2%)*Staff[[#This Row],[Salary]]</f>
        <v>3446.7</v>
      </c>
      <c r="K173">
        <f>INDEX(Sheet6!$B$2:$C$6,MATCH(Staff[[#This Row],[Rating]],Sheet6!$B$2:$B$6,0),2)</f>
        <v>3</v>
      </c>
    </row>
    <row r="174" spans="1:11" x14ac:dyDescent="0.35">
      <c r="A174" t="s">
        <v>83</v>
      </c>
      <c r="B174" t="s">
        <v>8</v>
      </c>
      <c r="C174">
        <v>36</v>
      </c>
      <c r="D174" t="s">
        <v>16</v>
      </c>
      <c r="E174" s="6">
        <v>44085</v>
      </c>
      <c r="F174" t="s">
        <v>9</v>
      </c>
      <c r="G174" s="12">
        <v>114890</v>
      </c>
      <c r="H174" t="s">
        <v>207</v>
      </c>
      <c r="I174" s="8">
        <f ca="1">(TODAY()-Staff[[#This Row],[Date Joined]])/365</f>
        <v>2.8739726027397259</v>
      </c>
      <c r="J174" s="12">
        <f ca="1">IF(Staff[[#This Row],[Tenure]]&gt;2,3%,2%)*Staff[[#This Row],[Salary]]</f>
        <v>3446.7</v>
      </c>
      <c r="K174">
        <f>INDEX(Sheet6!$B$2:$C$6,MATCH(Staff[[#This Row],[Rating]],Sheet6!$B$2:$B$6,0),2)</f>
        <v>3</v>
      </c>
    </row>
    <row r="175" spans="1:11" x14ac:dyDescent="0.35">
      <c r="A175" t="s">
        <v>142</v>
      </c>
      <c r="B175" t="s">
        <v>206</v>
      </c>
      <c r="C175">
        <v>37</v>
      </c>
      <c r="D175" t="s">
        <v>24</v>
      </c>
      <c r="E175" s="6">
        <v>44085</v>
      </c>
      <c r="F175" t="s">
        <v>21</v>
      </c>
      <c r="G175" s="12">
        <v>115440</v>
      </c>
      <c r="H175" t="s">
        <v>205</v>
      </c>
      <c r="I175" s="8">
        <f ca="1">(TODAY()-Staff[[#This Row],[Date Joined]])/365</f>
        <v>2.8739726027397259</v>
      </c>
      <c r="J175" s="12">
        <f ca="1">IF(Staff[[#This Row],[Tenure]]&gt;2,3%,2%)*Staff[[#This Row],[Salary]]</f>
        <v>3463.2</v>
      </c>
      <c r="K175">
        <f>INDEX(Sheet6!$B$2:$C$6,MATCH(Staff[[#This Row],[Rating]],Sheet6!$B$2:$B$6,0),2)</f>
        <v>2</v>
      </c>
    </row>
    <row r="176" spans="1:11" x14ac:dyDescent="0.35">
      <c r="A176" t="s">
        <v>49</v>
      </c>
      <c r="B176" t="s">
        <v>206</v>
      </c>
      <c r="C176">
        <v>37</v>
      </c>
      <c r="D176" t="s">
        <v>24</v>
      </c>
      <c r="E176" s="6">
        <v>44146</v>
      </c>
      <c r="F176" t="s">
        <v>21</v>
      </c>
      <c r="G176" s="12">
        <v>115440</v>
      </c>
      <c r="H176" t="s">
        <v>207</v>
      </c>
      <c r="I176" s="8">
        <f ca="1">(TODAY()-Staff[[#This Row],[Date Joined]])/365</f>
        <v>2.7068493150684931</v>
      </c>
      <c r="J176" s="12">
        <f ca="1">IF(Staff[[#This Row],[Tenure]]&gt;2,3%,2%)*Staff[[#This Row],[Salary]]</f>
        <v>3463.2</v>
      </c>
      <c r="K176">
        <f>INDEX(Sheet6!$B$2:$C$6,MATCH(Staff[[#This Row],[Rating]],Sheet6!$B$2:$B$6,0),2)</f>
        <v>2</v>
      </c>
    </row>
    <row r="177" spans="1:11" x14ac:dyDescent="0.35">
      <c r="A177" t="s">
        <v>134</v>
      </c>
      <c r="B177" t="s">
        <v>15</v>
      </c>
      <c r="C177">
        <v>33</v>
      </c>
      <c r="D177" t="s">
        <v>16</v>
      </c>
      <c r="E177" s="6">
        <v>44103</v>
      </c>
      <c r="F177" t="s">
        <v>9</v>
      </c>
      <c r="G177" s="12">
        <v>115920</v>
      </c>
      <c r="H177" t="s">
        <v>205</v>
      </c>
      <c r="I177" s="8">
        <f ca="1">(TODAY()-Staff[[#This Row],[Date Joined]])/365</f>
        <v>2.8246575342465752</v>
      </c>
      <c r="J177" s="12">
        <f ca="1">IF(Staff[[#This Row],[Tenure]]&gt;2,3%,2%)*Staff[[#This Row],[Salary]]</f>
        <v>3477.6</v>
      </c>
      <c r="K177">
        <f>INDEX(Sheet6!$B$2:$C$6,MATCH(Staff[[#This Row],[Rating]],Sheet6!$B$2:$B$6,0),2)</f>
        <v>3</v>
      </c>
    </row>
    <row r="178" spans="1:11" x14ac:dyDescent="0.35">
      <c r="A178" t="s">
        <v>40</v>
      </c>
      <c r="B178" t="s">
        <v>15</v>
      </c>
      <c r="C178">
        <v>33</v>
      </c>
      <c r="D178" t="s">
        <v>16</v>
      </c>
      <c r="E178" s="6">
        <v>44164</v>
      </c>
      <c r="F178" t="s">
        <v>9</v>
      </c>
      <c r="G178" s="12">
        <v>115920</v>
      </c>
      <c r="H178" t="s">
        <v>207</v>
      </c>
      <c r="I178" s="8">
        <f ca="1">(TODAY()-Staff[[#This Row],[Date Joined]])/365</f>
        <v>2.6575342465753424</v>
      </c>
      <c r="J178" s="12">
        <f ca="1">IF(Staff[[#This Row],[Tenure]]&gt;2,3%,2%)*Staff[[#This Row],[Salary]]</f>
        <v>3477.6</v>
      </c>
      <c r="K178">
        <f>INDEX(Sheet6!$B$2:$C$6,MATCH(Staff[[#This Row],[Rating]],Sheet6!$B$2:$B$6,0),2)</f>
        <v>3</v>
      </c>
    </row>
    <row r="179" spans="1:11" x14ac:dyDescent="0.35">
      <c r="A179" t="s">
        <v>148</v>
      </c>
      <c r="B179" t="s">
        <v>8</v>
      </c>
      <c r="C179">
        <v>37</v>
      </c>
      <c r="D179" t="s">
        <v>16</v>
      </c>
      <c r="E179" s="6">
        <v>44389</v>
      </c>
      <c r="F179" t="s">
        <v>56</v>
      </c>
      <c r="G179" s="12">
        <v>118100</v>
      </c>
      <c r="H179" t="s">
        <v>205</v>
      </c>
      <c r="I179" s="8">
        <f ca="1">(TODAY()-Staff[[#This Row],[Date Joined]])/365</f>
        <v>2.0410958904109591</v>
      </c>
      <c r="J179" s="12">
        <f ca="1">IF(Staff[[#This Row],[Tenure]]&gt;2,3%,2%)*Staff[[#This Row],[Salary]]</f>
        <v>3543</v>
      </c>
      <c r="K179">
        <f>INDEX(Sheet6!$B$2:$C$6,MATCH(Staff[[#This Row],[Rating]],Sheet6!$B$2:$B$6,0),2)</f>
        <v>3</v>
      </c>
    </row>
    <row r="180" spans="1:11" x14ac:dyDescent="0.35">
      <c r="A180" t="s">
        <v>55</v>
      </c>
      <c r="B180" t="s">
        <v>8</v>
      </c>
      <c r="C180">
        <v>37</v>
      </c>
      <c r="D180" t="s">
        <v>16</v>
      </c>
      <c r="E180" s="6">
        <v>44451</v>
      </c>
      <c r="F180" t="s">
        <v>56</v>
      </c>
      <c r="G180" s="12">
        <v>118100</v>
      </c>
      <c r="H180" t="s">
        <v>207</v>
      </c>
      <c r="I180" s="8">
        <f ca="1">(TODAY()-Staff[[#This Row],[Date Joined]])/365</f>
        <v>1.8712328767123287</v>
      </c>
      <c r="J180" s="12">
        <f ca="1">IF(Staff[[#This Row],[Tenure]]&gt;2,3%,2%)*Staff[[#This Row],[Salary]]</f>
        <v>2362</v>
      </c>
      <c r="K180">
        <f>INDEX(Sheet6!$B$2:$C$6,MATCH(Staff[[#This Row],[Rating]],Sheet6!$B$2:$B$6,0),2)</f>
        <v>3</v>
      </c>
    </row>
    <row r="181" spans="1:11" x14ac:dyDescent="0.35">
      <c r="A181" t="s">
        <v>199</v>
      </c>
      <c r="B181" t="s">
        <v>15</v>
      </c>
      <c r="C181">
        <v>36</v>
      </c>
      <c r="D181" t="s">
        <v>16</v>
      </c>
      <c r="E181" s="6">
        <v>43958</v>
      </c>
      <c r="F181" t="s">
        <v>12</v>
      </c>
      <c r="G181" s="12">
        <v>118840</v>
      </c>
      <c r="H181" t="s">
        <v>205</v>
      </c>
      <c r="I181" s="8">
        <f ca="1">(TODAY()-Staff[[#This Row],[Date Joined]])/365</f>
        <v>3.2219178082191782</v>
      </c>
      <c r="J181" s="12">
        <f ca="1">IF(Staff[[#This Row],[Tenure]]&gt;2,3%,2%)*Staff[[#This Row],[Salary]]</f>
        <v>3565.2</v>
      </c>
      <c r="K181">
        <f>INDEX(Sheet6!$B$2:$C$6,MATCH(Staff[[#This Row],[Rating]],Sheet6!$B$2:$B$6,0),2)</f>
        <v>3</v>
      </c>
    </row>
    <row r="182" spans="1:11" x14ac:dyDescent="0.35">
      <c r="A182" t="s">
        <v>106</v>
      </c>
      <c r="B182" t="s">
        <v>15</v>
      </c>
      <c r="C182">
        <v>36</v>
      </c>
      <c r="D182" t="s">
        <v>16</v>
      </c>
      <c r="E182" s="6">
        <v>44019</v>
      </c>
      <c r="F182" t="s">
        <v>12</v>
      </c>
      <c r="G182" s="12">
        <v>118840</v>
      </c>
      <c r="H182" t="s">
        <v>207</v>
      </c>
      <c r="I182" s="8">
        <f ca="1">(TODAY()-Staff[[#This Row],[Date Joined]])/365</f>
        <v>3.0547945205479454</v>
      </c>
      <c r="J182" s="12">
        <f ca="1">IF(Staff[[#This Row],[Tenure]]&gt;2,3%,2%)*Staff[[#This Row],[Salary]]</f>
        <v>3565.2</v>
      </c>
      <c r="K182">
        <f>INDEX(Sheet6!$B$2:$C$6,MATCH(Staff[[#This Row],[Rating]],Sheet6!$B$2:$B$6,0),2)</f>
        <v>3</v>
      </c>
    </row>
    <row r="183" spans="1:11" x14ac:dyDescent="0.35">
      <c r="A183" t="s">
        <v>152</v>
      </c>
      <c r="B183" t="s">
        <v>8</v>
      </c>
      <c r="C183">
        <v>27</v>
      </c>
      <c r="D183" t="s">
        <v>16</v>
      </c>
      <c r="E183" s="6">
        <v>44061</v>
      </c>
      <c r="F183" t="s">
        <v>56</v>
      </c>
      <c r="G183" s="12">
        <v>119110</v>
      </c>
      <c r="H183" t="s">
        <v>205</v>
      </c>
      <c r="I183" s="8">
        <f ca="1">(TODAY()-Staff[[#This Row],[Date Joined]])/365</f>
        <v>2.9397260273972603</v>
      </c>
      <c r="J183" s="12">
        <f ca="1">IF(Staff[[#This Row],[Tenure]]&gt;2,3%,2%)*Staff[[#This Row],[Salary]]</f>
        <v>3573.2999999999997</v>
      </c>
      <c r="K183">
        <f>INDEX(Sheet6!$B$2:$C$6,MATCH(Staff[[#This Row],[Rating]],Sheet6!$B$2:$B$6,0),2)</f>
        <v>3</v>
      </c>
    </row>
    <row r="184" spans="1:11" x14ac:dyDescent="0.35">
      <c r="A184" t="s">
        <v>60</v>
      </c>
      <c r="B184" t="s">
        <v>8</v>
      </c>
      <c r="C184">
        <v>27</v>
      </c>
      <c r="D184" t="s">
        <v>16</v>
      </c>
      <c r="E184" s="6">
        <v>44122</v>
      </c>
      <c r="F184" t="s">
        <v>56</v>
      </c>
      <c r="G184" s="12">
        <v>119110</v>
      </c>
      <c r="H184" t="s">
        <v>207</v>
      </c>
      <c r="I184" s="8">
        <f ca="1">(TODAY()-Staff[[#This Row],[Date Joined]])/365</f>
        <v>2.7726027397260276</v>
      </c>
      <c r="J184" s="12">
        <f ca="1">IF(Staff[[#This Row],[Tenure]]&gt;2,3%,2%)*Staff[[#This Row],[Salary]]</f>
        <v>3573.2999999999997</v>
      </c>
      <c r="K184">
        <f>INDEX(Sheet6!$B$2:$C$6,MATCH(Staff[[#This Row],[Rating]],Sheet6!$B$2:$B$6,0),2)</f>
        <v>3</v>
      </c>
    </row>
  </sheetData>
  <phoneticPr fontId="3" type="noConversion"/>
  <conditionalFormatting sqref="G2:G184">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502D2-57D7-4FED-B2C2-C5734E478FFF}">
  <dimension ref="A1:C8"/>
  <sheetViews>
    <sheetView workbookViewId="0">
      <selection activeCell="B13" sqref="B13"/>
    </sheetView>
  </sheetViews>
  <sheetFormatPr defaultRowHeight="14.5" x14ac:dyDescent="0.35"/>
  <cols>
    <col min="1" max="1" width="16.1796875" bestFit="1" customWidth="1"/>
    <col min="2" max="2" width="15.26953125" bestFit="1" customWidth="1"/>
    <col min="3" max="3" width="9.81640625" bestFit="1" customWidth="1"/>
    <col min="4" max="5" width="11.81640625" bestFit="1" customWidth="1"/>
    <col min="6" max="12" width="15.26953125" bestFit="1" customWidth="1"/>
    <col min="13" max="13" width="18.36328125" bestFit="1" customWidth="1"/>
    <col min="14" max="14" width="17.90625" bestFit="1" customWidth="1"/>
    <col min="15" max="15" width="17" bestFit="1" customWidth="1"/>
    <col min="16" max="16" width="15" bestFit="1" customWidth="1"/>
  </cols>
  <sheetData>
    <row r="1" spans="1:3" ht="18.5" x14ac:dyDescent="0.45">
      <c r="A1" s="27" t="s">
        <v>225</v>
      </c>
      <c r="B1" s="27"/>
      <c r="C1" s="27"/>
    </row>
    <row r="3" spans="1:3" x14ac:dyDescent="0.35">
      <c r="B3" s="9" t="s">
        <v>218</v>
      </c>
    </row>
    <row r="4" spans="1:3" x14ac:dyDescent="0.35">
      <c r="A4" s="9" t="s">
        <v>221</v>
      </c>
      <c r="B4" t="s">
        <v>8</v>
      </c>
      <c r="C4" t="s">
        <v>15</v>
      </c>
    </row>
    <row r="5" spans="1:3" x14ac:dyDescent="0.35">
      <c r="A5" s="10" t="s">
        <v>220</v>
      </c>
      <c r="B5">
        <v>43</v>
      </c>
      <c r="C5">
        <v>45</v>
      </c>
    </row>
    <row r="6" spans="1:3" x14ac:dyDescent="0.35">
      <c r="A6" s="10" t="s">
        <v>224</v>
      </c>
      <c r="B6" s="8">
        <v>1.9817776361898691</v>
      </c>
      <c r="C6" s="8">
        <v>1.9648097412480976</v>
      </c>
    </row>
    <row r="7" spans="1:3" x14ac:dyDescent="0.35">
      <c r="A7" s="10" t="s">
        <v>223</v>
      </c>
      <c r="B7" s="11">
        <v>78284.186046511633</v>
      </c>
      <c r="C7" s="11">
        <v>75334.444444444438</v>
      </c>
    </row>
    <row r="8" spans="1:3" x14ac:dyDescent="0.35">
      <c r="A8" s="10" t="s">
        <v>222</v>
      </c>
      <c r="B8" s="8">
        <v>31.418604651162791</v>
      </c>
      <c r="C8" s="8">
        <v>29.444444444444443</v>
      </c>
    </row>
  </sheetData>
  <mergeCells count="1">
    <mergeCell ref="A1:C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3D22-FE9C-411E-8E4F-BE9A413B470D}">
  <dimension ref="A1"/>
  <sheetViews>
    <sheetView zoomScale="90" zoomScaleNormal="90" workbookViewId="0">
      <selection activeCell="J13" sqref="J13"/>
    </sheetView>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9BC9A-DE3A-46E6-8506-2D4591ADD14B}">
  <dimension ref="B2:D8"/>
  <sheetViews>
    <sheetView workbookViewId="0">
      <selection activeCell="D10" sqref="D10"/>
    </sheetView>
  </sheetViews>
  <sheetFormatPr defaultRowHeight="14.5" x14ac:dyDescent="0.35"/>
  <cols>
    <col min="2" max="2" width="13.1796875" bestFit="1" customWidth="1"/>
    <col min="3" max="3" width="13.54296875" bestFit="1" customWidth="1"/>
    <col min="4" max="4" width="15.26953125" bestFit="1" customWidth="1"/>
  </cols>
  <sheetData>
    <row r="2" spans="2:4" x14ac:dyDescent="0.35">
      <c r="B2" s="9" t="s">
        <v>227</v>
      </c>
      <c r="C2" t="s">
        <v>220</v>
      </c>
      <c r="D2" t="s">
        <v>223</v>
      </c>
    </row>
    <row r="3" spans="2:4" x14ac:dyDescent="0.35">
      <c r="B3" s="10" t="s">
        <v>10</v>
      </c>
      <c r="C3">
        <v>4</v>
      </c>
      <c r="D3" s="7">
        <v>92080</v>
      </c>
    </row>
    <row r="4" spans="2:4" x14ac:dyDescent="0.35">
      <c r="B4" s="10" t="s">
        <v>13</v>
      </c>
      <c r="C4">
        <v>20</v>
      </c>
      <c r="D4" s="7">
        <v>75933</v>
      </c>
    </row>
    <row r="5" spans="2:4" x14ac:dyDescent="0.35">
      <c r="B5" s="10" t="s">
        <v>16</v>
      </c>
      <c r="C5">
        <v>137</v>
      </c>
      <c r="D5" s="7">
        <v>76798.759124087592</v>
      </c>
    </row>
    <row r="6" spans="2:4" x14ac:dyDescent="0.35">
      <c r="B6" s="10" t="s">
        <v>24</v>
      </c>
      <c r="C6">
        <v>16</v>
      </c>
      <c r="D6" s="7">
        <v>78115</v>
      </c>
    </row>
    <row r="7" spans="2:4" x14ac:dyDescent="0.35">
      <c r="B7" s="10" t="s">
        <v>42</v>
      </c>
      <c r="C7">
        <v>6</v>
      </c>
      <c r="D7" s="7">
        <v>77423.333333333328</v>
      </c>
    </row>
    <row r="8" spans="2:4" x14ac:dyDescent="0.35">
      <c r="B8" s="10" t="s">
        <v>219</v>
      </c>
      <c r="C8">
        <v>183</v>
      </c>
      <c r="D8" s="7">
        <v>77173.715846994543</v>
      </c>
    </row>
  </sheetData>
  <conditionalFormatting pivot="1" sqref="D3:D7">
    <cfRule type="dataBar" priority="1">
      <dataBar>
        <cfvo type="min"/>
        <cfvo type="max"/>
        <color rgb="FF638EC6"/>
      </dataBar>
      <extLst>
        <ext xmlns:x14="http://schemas.microsoft.com/office/spreadsheetml/2009/9/main" uri="{B025F937-C7B1-47D3-B67F-A62EFF666E3E}">
          <x14:id>{912E505B-214A-40C4-96E9-4228E00A7E52}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912E505B-214A-40C4-96E9-4228E00A7E52}">
            <x14:dataBar minLength="0" maxLength="100" gradient="0">
              <x14:cfvo type="autoMin"/>
              <x14:cfvo type="autoMax"/>
              <x14:negativeFillColor rgb="FFFF0000"/>
              <x14:axisColor rgb="FF000000"/>
            </x14:dataBar>
          </x14:cfRule>
          <xm:sqref>D3:D7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9B37-8041-43E1-8B03-0DAE2BA9368A}">
  <dimension ref="B2:C6"/>
  <sheetViews>
    <sheetView workbookViewId="0">
      <selection activeCell="B2" sqref="B2"/>
    </sheetView>
  </sheetViews>
  <sheetFormatPr defaultRowHeight="14.5" x14ac:dyDescent="0.35"/>
  <cols>
    <col min="2" max="2" width="13.08984375" customWidth="1"/>
  </cols>
  <sheetData>
    <row r="2" spans="2:3" x14ac:dyDescent="0.35">
      <c r="B2" s="10" t="s">
        <v>10</v>
      </c>
      <c r="C2">
        <v>5</v>
      </c>
    </row>
    <row r="3" spans="2:3" x14ac:dyDescent="0.35">
      <c r="B3" s="10" t="s">
        <v>13</v>
      </c>
      <c r="C3">
        <v>4</v>
      </c>
    </row>
    <row r="4" spans="2:3" x14ac:dyDescent="0.35">
      <c r="B4" s="10" t="s">
        <v>16</v>
      </c>
      <c r="C4">
        <v>3</v>
      </c>
    </row>
    <row r="5" spans="2:3" x14ac:dyDescent="0.35">
      <c r="B5" s="10" t="s">
        <v>24</v>
      </c>
      <c r="C5">
        <v>2</v>
      </c>
    </row>
    <row r="6" spans="2:3" x14ac:dyDescent="0.35">
      <c r="B6" s="10" t="s">
        <v>42</v>
      </c>
      <c r="C6">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D1DAB-791F-46E6-A317-4C28DC90CAC3}">
  <dimension ref="B2:M39"/>
  <sheetViews>
    <sheetView topLeftCell="I1" workbookViewId="0">
      <selection activeCell="L8" sqref="L8"/>
    </sheetView>
  </sheetViews>
  <sheetFormatPr defaultRowHeight="14.5" x14ac:dyDescent="0.35"/>
  <cols>
    <col min="2" max="2" width="12.36328125" bestFit="1" customWidth="1"/>
    <col min="3" max="3" width="13.54296875" bestFit="1" customWidth="1"/>
    <col min="4" max="161" width="15.26953125" bestFit="1" customWidth="1"/>
    <col min="162" max="162" width="10.7265625" bestFit="1" customWidth="1"/>
  </cols>
  <sheetData>
    <row r="2" spans="2:13" ht="16" thickBot="1" x14ac:dyDescent="0.4">
      <c r="B2" s="9" t="s">
        <v>227</v>
      </c>
      <c r="C2" t="s">
        <v>220</v>
      </c>
      <c r="K2" s="24" t="s">
        <v>245</v>
      </c>
      <c r="L2" s="24" t="s">
        <v>246</v>
      </c>
      <c r="M2" s="24" t="s">
        <v>247</v>
      </c>
    </row>
    <row r="3" spans="2:13" x14ac:dyDescent="0.35">
      <c r="B3" s="10" t="s">
        <v>241</v>
      </c>
      <c r="K3" s="14">
        <v>43952</v>
      </c>
      <c r="L3">
        <f>COUNTIFS(Staff[Date Joined],"&gt;="&amp;K3,Staff[Date Joined],"&lt;="&amp;EOMONTH(K3,0))</f>
        <v>3</v>
      </c>
      <c r="M3">
        <f>SUM($L$3:L3)</f>
        <v>3</v>
      </c>
    </row>
    <row r="4" spans="2:13" x14ac:dyDescent="0.35">
      <c r="B4" s="13" t="s">
        <v>233</v>
      </c>
      <c r="C4">
        <v>3</v>
      </c>
      <c r="K4" s="14">
        <v>43983</v>
      </c>
      <c r="L4">
        <f>COUNTIFS(Staff[Date Joined],"&gt;="&amp;K4,Staff[Date Joined],"&lt;="&amp;EOMONTH(K4,0))</f>
        <v>1</v>
      </c>
      <c r="M4">
        <f>SUM($L$3:L4)</f>
        <v>4</v>
      </c>
    </row>
    <row r="5" spans="2:13" x14ac:dyDescent="0.35">
      <c r="B5" s="13" t="s">
        <v>234</v>
      </c>
      <c r="C5">
        <v>4</v>
      </c>
      <c r="K5" s="14">
        <v>44013</v>
      </c>
      <c r="L5">
        <f>COUNTIFS(Staff[Date Joined],"&gt;="&amp;K5,Staff[Date Joined],"&lt;="&amp;EOMONTH(K5,0))</f>
        <v>5</v>
      </c>
      <c r="M5">
        <f>SUM($L$3:L5)</f>
        <v>9</v>
      </c>
    </row>
    <row r="6" spans="2:13" x14ac:dyDescent="0.35">
      <c r="B6" s="13" t="s">
        <v>235</v>
      </c>
      <c r="C6">
        <v>9</v>
      </c>
      <c r="K6" s="14">
        <v>44044</v>
      </c>
      <c r="L6">
        <f>COUNTIFS(Staff[Date Joined],"&gt;="&amp;K6,Staff[Date Joined],"&lt;="&amp;EOMONTH(K6,0))</f>
        <v>3</v>
      </c>
      <c r="M6">
        <f>SUM($L$3:L6)</f>
        <v>12</v>
      </c>
    </row>
    <row r="7" spans="2:13" x14ac:dyDescent="0.35">
      <c r="B7" s="13" t="s">
        <v>236</v>
      </c>
      <c r="C7">
        <v>12</v>
      </c>
      <c r="K7" s="14">
        <v>44075</v>
      </c>
      <c r="L7">
        <f>COUNTIFS(Staff[Date Joined],"&gt;="&amp;K7,Staff[Date Joined],"&lt;="&amp;EOMONTH(K7,0))</f>
        <v>6</v>
      </c>
      <c r="M7">
        <f>SUM($L$3:L7)</f>
        <v>18</v>
      </c>
    </row>
    <row r="8" spans="2:13" x14ac:dyDescent="0.35">
      <c r="B8" s="13" t="s">
        <v>237</v>
      </c>
      <c r="C8">
        <v>18</v>
      </c>
      <c r="K8" s="14">
        <v>44105</v>
      </c>
      <c r="L8">
        <f>COUNTIFS(Staff[Date Joined],"&gt;="&amp;K8,Staff[Date Joined],"&lt;="&amp;EOMONTH(K8,0))</f>
        <v>6</v>
      </c>
      <c r="M8">
        <f>SUM($L$3:L8)</f>
        <v>24</v>
      </c>
    </row>
    <row r="9" spans="2:13" x14ac:dyDescent="0.35">
      <c r="B9" s="13" t="s">
        <v>238</v>
      </c>
      <c r="C9">
        <v>24</v>
      </c>
      <c r="K9" s="14">
        <v>44136</v>
      </c>
      <c r="L9">
        <f>COUNTIFS(Staff[Date Joined],"&gt;="&amp;K9,Staff[Date Joined],"&lt;="&amp;EOMONTH(K9,0))</f>
        <v>6</v>
      </c>
      <c r="M9">
        <f>SUM($L$3:L9)</f>
        <v>30</v>
      </c>
    </row>
    <row r="10" spans="2:13" x14ac:dyDescent="0.35">
      <c r="B10" s="13" t="s">
        <v>239</v>
      </c>
      <c r="C10">
        <v>30</v>
      </c>
      <c r="K10" s="14">
        <v>44166</v>
      </c>
      <c r="L10">
        <f>COUNTIFS(Staff[Date Joined],"&gt;="&amp;K10,Staff[Date Joined],"&lt;="&amp;EOMONTH(K10,0))</f>
        <v>7</v>
      </c>
      <c r="M10">
        <f>SUM($L$3:L10)</f>
        <v>37</v>
      </c>
    </row>
    <row r="11" spans="2:13" x14ac:dyDescent="0.35">
      <c r="B11" s="13" t="s">
        <v>240</v>
      </c>
      <c r="C11">
        <v>37</v>
      </c>
      <c r="K11" s="14">
        <v>44197</v>
      </c>
      <c r="L11">
        <f>COUNTIFS(Staff[Date Joined],"&gt;="&amp;K11,Staff[Date Joined],"&lt;="&amp;EOMONTH(K11,0))</f>
        <v>6</v>
      </c>
      <c r="M11">
        <f>SUM($L$3:L11)</f>
        <v>43</v>
      </c>
    </row>
    <row r="12" spans="2:13" x14ac:dyDescent="0.35">
      <c r="B12" s="10" t="s">
        <v>242</v>
      </c>
      <c r="K12" s="14">
        <v>44228</v>
      </c>
      <c r="L12">
        <f>COUNTIFS(Staff[Date Joined],"&gt;="&amp;K12,Staff[Date Joined],"&lt;="&amp;EOMONTH(K12,0))</f>
        <v>4</v>
      </c>
      <c r="M12">
        <f>SUM($L$3:L12)</f>
        <v>47</v>
      </c>
    </row>
    <row r="13" spans="2:13" x14ac:dyDescent="0.35">
      <c r="B13" s="13" t="s">
        <v>229</v>
      </c>
      <c r="C13">
        <v>6</v>
      </c>
      <c r="K13" s="14">
        <v>44256</v>
      </c>
      <c r="L13">
        <f>COUNTIFS(Staff[Date Joined],"&gt;="&amp;K13,Staff[Date Joined],"&lt;="&amp;EOMONTH(K13,0))</f>
        <v>9</v>
      </c>
      <c r="M13">
        <f>SUM($L$3:L13)</f>
        <v>56</v>
      </c>
    </row>
    <row r="14" spans="2:13" x14ac:dyDescent="0.35">
      <c r="B14" s="13" t="s">
        <v>230</v>
      </c>
      <c r="C14">
        <v>10</v>
      </c>
      <c r="K14" s="14">
        <v>44287</v>
      </c>
      <c r="L14">
        <f>COUNTIFS(Staff[Date Joined],"&gt;="&amp;K14,Staff[Date Joined],"&lt;="&amp;EOMONTH(K14,0))</f>
        <v>5</v>
      </c>
      <c r="M14">
        <f>SUM($L$3:L14)</f>
        <v>61</v>
      </c>
    </row>
    <row r="15" spans="2:13" x14ac:dyDescent="0.35">
      <c r="B15" s="13" t="s">
        <v>231</v>
      </c>
      <c r="C15">
        <v>19</v>
      </c>
      <c r="K15" s="14">
        <v>44317</v>
      </c>
      <c r="L15">
        <f>COUNTIFS(Staff[Date Joined],"&gt;="&amp;K15,Staff[Date Joined],"&lt;="&amp;EOMONTH(K15,0))</f>
        <v>10</v>
      </c>
      <c r="M15">
        <f>SUM($L$3:L15)</f>
        <v>71</v>
      </c>
    </row>
    <row r="16" spans="2:13" x14ac:dyDescent="0.35">
      <c r="B16" s="13" t="s">
        <v>232</v>
      </c>
      <c r="C16">
        <v>24</v>
      </c>
      <c r="K16" s="14">
        <v>44348</v>
      </c>
      <c r="L16">
        <f>COUNTIFS(Staff[Date Joined],"&gt;="&amp;K16,Staff[Date Joined],"&lt;="&amp;EOMONTH(K16,0))</f>
        <v>6</v>
      </c>
      <c r="M16">
        <f>SUM($L$3:L16)</f>
        <v>77</v>
      </c>
    </row>
    <row r="17" spans="2:13" x14ac:dyDescent="0.35">
      <c r="B17" s="13" t="s">
        <v>233</v>
      </c>
      <c r="C17">
        <v>34</v>
      </c>
      <c r="K17" s="14">
        <v>44378</v>
      </c>
      <c r="L17">
        <f>COUNTIFS(Staff[Date Joined],"&gt;="&amp;K17,Staff[Date Joined],"&lt;="&amp;EOMONTH(K17,0))</f>
        <v>13</v>
      </c>
      <c r="M17">
        <f>SUM($L$3:L17)</f>
        <v>90</v>
      </c>
    </row>
    <row r="18" spans="2:13" x14ac:dyDescent="0.35">
      <c r="B18" s="13" t="s">
        <v>234</v>
      </c>
      <c r="C18">
        <v>40</v>
      </c>
      <c r="K18" s="14">
        <v>44409</v>
      </c>
      <c r="L18">
        <f>COUNTIFS(Staff[Date Joined],"&gt;="&amp;K18,Staff[Date Joined],"&lt;="&amp;EOMONTH(K18,0))</f>
        <v>4</v>
      </c>
      <c r="M18">
        <f>SUM($L$3:L18)</f>
        <v>94</v>
      </c>
    </row>
    <row r="19" spans="2:13" x14ac:dyDescent="0.35">
      <c r="B19" s="13" t="s">
        <v>235</v>
      </c>
      <c r="C19">
        <v>53</v>
      </c>
      <c r="K19" s="14">
        <v>44440</v>
      </c>
      <c r="L19">
        <f>COUNTIFS(Staff[Date Joined],"&gt;="&amp;K19,Staff[Date Joined],"&lt;="&amp;EOMONTH(K19,0))</f>
        <v>11</v>
      </c>
      <c r="M19">
        <f>SUM($L$3:L19)</f>
        <v>105</v>
      </c>
    </row>
    <row r="20" spans="2:13" x14ac:dyDescent="0.35">
      <c r="B20" s="13" t="s">
        <v>236</v>
      </c>
      <c r="C20">
        <v>57</v>
      </c>
      <c r="K20" s="14">
        <v>44470</v>
      </c>
      <c r="L20">
        <f>COUNTIFS(Staff[Date Joined],"&gt;="&amp;K20,Staff[Date Joined],"&lt;="&amp;EOMONTH(K20,0))</f>
        <v>3</v>
      </c>
      <c r="M20">
        <f>SUM($L$3:L20)</f>
        <v>108</v>
      </c>
    </row>
    <row r="21" spans="2:13" x14ac:dyDescent="0.35">
      <c r="B21" s="13" t="s">
        <v>237</v>
      </c>
      <c r="C21">
        <v>68</v>
      </c>
      <c r="K21" s="14">
        <v>44501</v>
      </c>
      <c r="L21">
        <f>COUNTIFS(Staff[Date Joined],"&gt;="&amp;K21,Staff[Date Joined],"&lt;="&amp;EOMONTH(K21,0))</f>
        <v>4</v>
      </c>
      <c r="M21">
        <f>SUM($L$3:L21)</f>
        <v>112</v>
      </c>
    </row>
    <row r="22" spans="2:13" x14ac:dyDescent="0.35">
      <c r="B22" s="13" t="s">
        <v>238</v>
      </c>
      <c r="C22">
        <v>71</v>
      </c>
      <c r="K22" s="14">
        <v>44531</v>
      </c>
      <c r="L22">
        <f>COUNTIFS(Staff[Date Joined],"&gt;="&amp;K22,Staff[Date Joined],"&lt;="&amp;EOMONTH(K22,0))</f>
        <v>7</v>
      </c>
      <c r="M22">
        <f>SUM($L$3:L22)</f>
        <v>119</v>
      </c>
    </row>
    <row r="23" spans="2:13" x14ac:dyDescent="0.35">
      <c r="B23" s="13" t="s">
        <v>239</v>
      </c>
      <c r="C23">
        <v>75</v>
      </c>
      <c r="K23" s="14">
        <v>44562</v>
      </c>
      <c r="L23">
        <f>COUNTIFS(Staff[Date Joined],"&gt;="&amp;K23,Staff[Date Joined],"&lt;="&amp;EOMONTH(K23,0))</f>
        <v>3</v>
      </c>
      <c r="M23">
        <f>SUM($L$3:L23)</f>
        <v>122</v>
      </c>
    </row>
    <row r="24" spans="2:13" x14ac:dyDescent="0.35">
      <c r="B24" s="13" t="s">
        <v>240</v>
      </c>
      <c r="C24">
        <v>82</v>
      </c>
      <c r="K24" s="14">
        <v>44593</v>
      </c>
      <c r="L24">
        <f>COUNTIFS(Staff[Date Joined],"&gt;="&amp;K24,Staff[Date Joined],"&lt;="&amp;EOMONTH(K24,0))</f>
        <v>10</v>
      </c>
      <c r="M24">
        <f>SUM($L$3:L24)</f>
        <v>132</v>
      </c>
    </row>
    <row r="25" spans="2:13" x14ac:dyDescent="0.35">
      <c r="B25" s="10" t="s">
        <v>243</v>
      </c>
      <c r="K25" s="14">
        <v>44621</v>
      </c>
      <c r="L25">
        <f>COUNTIFS(Staff[Date Joined],"&gt;="&amp;K25,Staff[Date Joined],"&lt;="&amp;EOMONTH(K25,0))</f>
        <v>9</v>
      </c>
      <c r="M25">
        <f>SUM($L$3:L25)</f>
        <v>141</v>
      </c>
    </row>
    <row r="26" spans="2:13" x14ac:dyDescent="0.35">
      <c r="B26" s="13" t="s">
        <v>229</v>
      </c>
      <c r="C26">
        <v>3</v>
      </c>
      <c r="K26" s="14">
        <v>44652</v>
      </c>
      <c r="L26">
        <f>COUNTIFS(Staff[Date Joined],"&gt;="&amp;K26,Staff[Date Joined],"&lt;="&amp;EOMONTH(K26,0))</f>
        <v>9</v>
      </c>
      <c r="M26">
        <f>SUM($L$3:L26)</f>
        <v>150</v>
      </c>
    </row>
    <row r="27" spans="2:13" x14ac:dyDescent="0.35">
      <c r="B27" s="13" t="s">
        <v>230</v>
      </c>
      <c r="C27">
        <v>13</v>
      </c>
      <c r="K27" s="14">
        <v>44682</v>
      </c>
      <c r="L27">
        <f>COUNTIFS(Staff[Date Joined],"&gt;="&amp;K27,Staff[Date Joined],"&lt;="&amp;EOMONTH(K27,0))</f>
        <v>9</v>
      </c>
      <c r="M27">
        <f>SUM($L$3:L27)</f>
        <v>159</v>
      </c>
    </row>
    <row r="28" spans="2:13" x14ac:dyDescent="0.35">
      <c r="B28" s="13" t="s">
        <v>231</v>
      </c>
      <c r="C28">
        <v>22</v>
      </c>
      <c r="K28" s="14">
        <v>44713</v>
      </c>
      <c r="L28">
        <f>COUNTIFS(Staff[Date Joined],"&gt;="&amp;K28,Staff[Date Joined],"&lt;="&amp;EOMONTH(K28,0))</f>
        <v>7</v>
      </c>
      <c r="M28">
        <f>SUM($L$3:L28)</f>
        <v>166</v>
      </c>
    </row>
    <row r="29" spans="2:13" x14ac:dyDescent="0.35">
      <c r="B29" s="13" t="s">
        <v>232</v>
      </c>
      <c r="C29">
        <v>31</v>
      </c>
      <c r="K29" s="14">
        <v>44743</v>
      </c>
      <c r="L29">
        <f>COUNTIFS(Staff[Date Joined],"&gt;="&amp;K29,Staff[Date Joined],"&lt;="&amp;EOMONTH(K29,0))</f>
        <v>5</v>
      </c>
      <c r="M29">
        <f>SUM($L$3:L29)</f>
        <v>171</v>
      </c>
    </row>
    <row r="30" spans="2:13" x14ac:dyDescent="0.35">
      <c r="B30" s="13" t="s">
        <v>233</v>
      </c>
      <c r="C30">
        <v>40</v>
      </c>
      <c r="K30" s="14">
        <v>44774</v>
      </c>
      <c r="L30">
        <f>COUNTIFS(Staff[Date Joined],"&gt;="&amp;K30,Staff[Date Joined],"&lt;="&amp;EOMONTH(K30,0))</f>
        <v>5</v>
      </c>
      <c r="M30">
        <f>SUM($L$3:L30)</f>
        <v>176</v>
      </c>
    </row>
    <row r="31" spans="2:13" x14ac:dyDescent="0.35">
      <c r="B31" s="13" t="s">
        <v>234</v>
      </c>
      <c r="C31">
        <v>47</v>
      </c>
      <c r="K31" s="14">
        <v>44805</v>
      </c>
      <c r="L31">
        <f>COUNTIFS(Staff[Date Joined],"&gt;="&amp;K31,Staff[Date Joined],"&lt;="&amp;EOMONTH(K31,0))</f>
        <v>2</v>
      </c>
      <c r="M31">
        <f>SUM($L$3:L31)</f>
        <v>178</v>
      </c>
    </row>
    <row r="32" spans="2:13" x14ac:dyDescent="0.35">
      <c r="B32" s="13" t="s">
        <v>235</v>
      </c>
      <c r="C32">
        <v>52</v>
      </c>
      <c r="K32" s="14">
        <v>44835</v>
      </c>
      <c r="L32">
        <f>COUNTIFS(Staff[Date Joined],"&gt;="&amp;K32,Staff[Date Joined],"&lt;="&amp;EOMONTH(K32,0))</f>
        <v>3</v>
      </c>
      <c r="M32">
        <f>SUM($L$3:L32)</f>
        <v>181</v>
      </c>
    </row>
    <row r="33" spans="2:13" x14ac:dyDescent="0.35">
      <c r="B33" s="13" t="s">
        <v>236</v>
      </c>
      <c r="C33">
        <v>57</v>
      </c>
      <c r="K33" s="14">
        <v>44866</v>
      </c>
      <c r="L33">
        <f>COUNTIFS(Staff[Date Joined],"&gt;="&amp;K33,Staff[Date Joined],"&lt;="&amp;EOMONTH(K33,0))</f>
        <v>0</v>
      </c>
      <c r="M33">
        <f>SUM($L$3:L33)</f>
        <v>181</v>
      </c>
    </row>
    <row r="34" spans="2:13" x14ac:dyDescent="0.35">
      <c r="B34" s="13" t="s">
        <v>237</v>
      </c>
      <c r="C34">
        <v>59</v>
      </c>
      <c r="K34" s="14">
        <v>44896</v>
      </c>
      <c r="L34">
        <f>COUNTIFS(Staff[Date Joined],"&gt;="&amp;K34,Staff[Date Joined],"&lt;="&amp;EOMONTH(K34,0))</f>
        <v>0</v>
      </c>
      <c r="M34">
        <f>SUM($L$3:L34)</f>
        <v>181</v>
      </c>
    </row>
    <row r="35" spans="2:13" x14ac:dyDescent="0.35">
      <c r="B35" s="13" t="s">
        <v>238</v>
      </c>
      <c r="C35">
        <v>62</v>
      </c>
      <c r="K35" s="14">
        <v>44927</v>
      </c>
      <c r="L35">
        <f>COUNTIFS(Staff[Date Joined],"&gt;="&amp;K35,Staff[Date Joined],"&lt;="&amp;EOMONTH(K35,0))</f>
        <v>0</v>
      </c>
      <c r="M35">
        <f>SUM($L$3:L35)</f>
        <v>181</v>
      </c>
    </row>
    <row r="36" spans="2:13" x14ac:dyDescent="0.35">
      <c r="B36" s="10" t="s">
        <v>244</v>
      </c>
      <c r="K36" s="14">
        <v>44958</v>
      </c>
      <c r="L36">
        <f>COUNTIFS(Staff[Date Joined],"&gt;="&amp;K36,Staff[Date Joined],"&lt;="&amp;EOMONTH(K36,0))</f>
        <v>1</v>
      </c>
      <c r="M36">
        <f>SUM($L$3:L36)</f>
        <v>182</v>
      </c>
    </row>
    <row r="37" spans="2:13" x14ac:dyDescent="0.35">
      <c r="B37" s="13" t="s">
        <v>230</v>
      </c>
      <c r="C37">
        <v>1</v>
      </c>
      <c r="K37" s="14">
        <v>44986</v>
      </c>
      <c r="L37">
        <f>COUNTIFS(Staff[Date Joined],"&gt;="&amp;K37,Staff[Date Joined],"&lt;="&amp;EOMONTH(K37,0))</f>
        <v>0</v>
      </c>
      <c r="M37">
        <f>SUM($L$3:L37)</f>
        <v>182</v>
      </c>
    </row>
    <row r="38" spans="2:13" x14ac:dyDescent="0.35">
      <c r="B38" s="13" t="s">
        <v>232</v>
      </c>
      <c r="C38">
        <v>2</v>
      </c>
      <c r="K38" s="14">
        <v>45017</v>
      </c>
      <c r="L38">
        <f>COUNTIFS(Staff[Date Joined],"&gt;="&amp;K38,Staff[Date Joined],"&lt;="&amp;EOMONTH(K38,0))</f>
        <v>1</v>
      </c>
      <c r="M38">
        <f>SUM($L$3:L38)</f>
        <v>183</v>
      </c>
    </row>
    <row r="39" spans="2:13" x14ac:dyDescent="0.35">
      <c r="B39" s="10" t="s">
        <v>219</v>
      </c>
      <c r="K39" s="14">
        <v>45047</v>
      </c>
      <c r="L39">
        <f>COUNTIFS(Staff[Date Joined],"&gt;="&amp;K39,Staff[Date Joined],"&lt;="&amp;EOMONTH(K39,0))</f>
        <v>0</v>
      </c>
      <c r="M39">
        <f>SUM($L$3:L39)</f>
        <v>183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D1B2-EE32-49B1-B289-7A4D5C95B7C5}">
  <dimension ref="C2:N15"/>
  <sheetViews>
    <sheetView showGridLines="0" zoomScale="80" zoomScaleNormal="80" workbookViewId="0">
      <selection activeCell="A2" sqref="A2"/>
    </sheetView>
  </sheetViews>
  <sheetFormatPr defaultRowHeight="14.5" x14ac:dyDescent="0.35"/>
  <cols>
    <col min="3" max="3" width="15.54296875" customWidth="1"/>
    <col min="4" max="4" width="1" customWidth="1"/>
    <col min="5" max="5" width="15.54296875" customWidth="1"/>
    <col min="6" max="6" width="1.1796875" customWidth="1"/>
    <col min="7" max="7" width="15.54296875" customWidth="1"/>
    <col min="10" max="10" width="15.54296875" customWidth="1"/>
    <col min="11" max="11" width="1" customWidth="1"/>
    <col min="12" max="12" width="15.54296875" customWidth="1"/>
    <col min="13" max="13" width="1.1796875" customWidth="1"/>
    <col min="14" max="14" width="15.54296875" customWidth="1"/>
  </cols>
  <sheetData>
    <row r="2" spans="3:14" x14ac:dyDescent="0.35">
      <c r="C2" s="29" t="s">
        <v>249</v>
      </c>
      <c r="D2" s="29"/>
      <c r="E2" s="29"/>
      <c r="F2" s="29"/>
      <c r="G2" s="29"/>
      <c r="J2" s="29" t="s">
        <v>250</v>
      </c>
      <c r="K2" s="29"/>
      <c r="L2" s="29"/>
      <c r="M2" s="29"/>
      <c r="N2" s="29"/>
    </row>
    <row r="3" spans="3:14" x14ac:dyDescent="0.35">
      <c r="C3" s="29"/>
      <c r="D3" s="29"/>
      <c r="E3" s="29"/>
      <c r="F3" s="29"/>
      <c r="G3" s="29"/>
      <c r="J3" s="29"/>
      <c r="K3" s="29"/>
      <c r="L3" s="29"/>
      <c r="M3" s="29"/>
      <c r="N3" s="29"/>
    </row>
    <row r="4" spans="3:14" ht="56" customHeight="1" x14ac:dyDescent="0.35">
      <c r="C4" s="20">
        <f>COUNTIFS(Staff[Country], "NZ")</f>
        <v>91</v>
      </c>
      <c r="E4" s="21">
        <f>COUNTIFS(Staff[Country], "NZ", Staff[Gender], "FEMALE")/C4</f>
        <v>0.47252747252747251</v>
      </c>
      <c r="G4" s="25">
        <f>AVERAGEIFS(Staff[Salary], Staff[Country], "NZ")</f>
        <v>76978.791208791212</v>
      </c>
      <c r="J4" s="22">
        <f>COUNTIFS(Staff[Country], "IND")</f>
        <v>92</v>
      </c>
      <c r="L4" s="23">
        <f>COUNTIFS(Staff[Country], "IND", Staff[Gender], "FEMALE")/J4</f>
        <v>0.46739130434782611</v>
      </c>
      <c r="N4" s="26">
        <f>AVERAGEIFS(Staff[Salary], Staff[Country], "IND")</f>
        <v>77366.521739130432</v>
      </c>
    </row>
    <row r="7" spans="3:14" x14ac:dyDescent="0.35">
      <c r="C7" s="28" t="s">
        <v>248</v>
      </c>
      <c r="D7" s="28"/>
      <c r="E7" s="28"/>
      <c r="F7" s="28"/>
      <c r="G7" s="28"/>
      <c r="H7" s="28"/>
      <c r="I7" s="28"/>
      <c r="J7" s="28"/>
      <c r="K7" s="28"/>
      <c r="L7" s="28"/>
      <c r="M7" s="28"/>
      <c r="N7" s="28"/>
    </row>
    <row r="8" spans="3:14" x14ac:dyDescent="0.35">
      <c r="C8" s="28"/>
      <c r="D8" s="28"/>
      <c r="E8" s="28"/>
      <c r="F8" s="28"/>
      <c r="G8" s="28"/>
      <c r="H8" s="28"/>
      <c r="I8" s="28"/>
      <c r="J8" s="28"/>
      <c r="K8" s="28"/>
      <c r="L8" s="28"/>
      <c r="M8" s="28"/>
      <c r="N8" s="28"/>
    </row>
    <row r="10" spans="3:14" x14ac:dyDescent="0.35">
      <c r="C10" s="15"/>
      <c r="G10" s="16"/>
      <c r="J10" s="15"/>
      <c r="N10" s="16"/>
    </row>
    <row r="11" spans="3:14" x14ac:dyDescent="0.35">
      <c r="C11" s="15"/>
      <c r="G11" s="16"/>
      <c r="J11" s="15"/>
      <c r="N11" s="16"/>
    </row>
    <row r="12" spans="3:14" x14ac:dyDescent="0.35">
      <c r="C12" s="15"/>
      <c r="G12" s="16"/>
      <c r="J12" s="15"/>
      <c r="N12" s="16"/>
    </row>
    <row r="13" spans="3:14" x14ac:dyDescent="0.35">
      <c r="C13" s="15"/>
      <c r="G13" s="16"/>
      <c r="J13" s="15"/>
      <c r="N13" s="16"/>
    </row>
    <row r="14" spans="3:14" x14ac:dyDescent="0.35">
      <c r="C14" s="15"/>
      <c r="G14" s="16"/>
      <c r="J14" s="15"/>
      <c r="N14" s="16"/>
    </row>
    <row r="15" spans="3:14" x14ac:dyDescent="0.35">
      <c r="C15" s="17"/>
      <c r="D15" s="18"/>
      <c r="E15" s="18"/>
      <c r="F15" s="18"/>
      <c r="G15" s="19"/>
      <c r="J15" s="17"/>
      <c r="K15" s="18"/>
      <c r="L15" s="18"/>
      <c r="M15" s="18"/>
      <c r="N15" s="19"/>
    </row>
  </sheetData>
  <mergeCells count="3">
    <mergeCell ref="C7:N8"/>
    <mergeCell ref="C2:G3"/>
    <mergeCell ref="J2:N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D a t a M a s h u p   s q m i d = " 3 2 d c 0 a c 6 - 5 b 5 5 - 4 e c 0 - 9 0 5 0 - d 1 b e 9 4 8 4 6 7 e 4 "   x m l n s = " h t t p : / / s c h e m a s . m i c r o s o f t . c o m / D a t a M a s h u p " > A A A A A A E F A A B Q S w M E F A A C A A g A W l r y V h e f e o W n A A A A + A A A A B I A H A B D b 2 5 m a W c v U G F j a 2 F n Z S 5 4 b W w g o h g A K K A U A A A A A A A A A A A A A A A A A A A A A A A A A A A A h Y 8 x D o I w G E a v Q r r T F s R A y E 8 Z n E z E m J g Y 1 6 Z U a I R i a L H c z c E j e Q V J F H V z / F 7 e 8 L 7 H 7 Q 7 5 2 D b e V f Z G d T p D A a b I k 1 p 0 p d J V h g Z 7 8 h O U M 9 h x c e a V 9 C Z Z m 3 Q 0 Z Y Z q a y 8 p I c 4 5 7 B a 4 6 y s S U h q Q Y 7 H Z i 1 q 2 H H 1 k 9 V / 2 l T a W a y E R g 8 M r h o U 4 T v A y j i i O k g D I j K F Q + q u E U z G m Q H 4 g r I b G D r 1 k U v v r L Z B 5 A n m / Y E 9 Q S w M E F A A C A A g A W l r y 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p a 8 l b A v F 6 L + A E A A N o F A A A T A B w A R m 9 y b X V s Y X M v U 2 V j d G l v b j E u b S C i G A A o o B Q A A A A A A A A A A A A A A A A A A A A A A A A A A A C d V E 2 L 2 z A Q v Q f y H 4 T 2 Y o M I X S i 9 t F t Y n O 6 S P a Q Q h y 4 0 h K L Y k 0 S s L A V Z b p M a / / d K t u P I H 9 m y 6 4 v h z c y b 0 Z s n p R B p J g U K q / / t 5 / F o P E r 3 V E G M x N 9 f q a b b L b p D H P R 4 h M w X y k x F Y J B v x w j 4 J M i U A q G f p X r Z S P n i + f l q T h O 4 w + d a v C 5 W g R T a J K 1 J R X G D 7 + P Y 0 A d Z q m W C D d e S b j h M D B p I n i X C q 5 o Q h A O Z C a 1 O m C C g 0 R 7 h + U / s N y z B n o q d 4 V m e D n B h W S o q 0 q 1 U S c V l g 6 n X a U n y H N s x D a 8 2 c a T h q A u C c v w I I g b V g 6 d w o E o n 5 g y 9 0 P 2 u Y R F Z s g F V F V A N 6 E k y A f E 5 G h t I s w T K e E g 5 L Y / V L V x Q z c T u H K D i V B T + e M T E 4 J n d X T E R M / r + d T n l g x t 7 g 9 b 1 8 t 4 o c a X j T O h P H y e W Z 0 C N y z r + o + 4 r 6 2 q E d z o V f s e Y M z P h s e X L E q n N 2 R H D u L T K J + g D Q b c X r g U k 8 r f 1 X F m W X v i q Q A 1 7 7 a Y k r 9 l 6 Q 1 2 / L f 1 W A z d n N p / i l p N a r K 6 T w q s e q h o H M t k Y 6 b 3 c 8 Q x p 3 o r C F e D A a W Q Y f 1 C e g X v + E i / R s 1 t E x j n B 3 / X e W q N O U K 1 M 0 l j H a f H A u A Y 7 9 E L + c R Q O g Z v n z G J e b 4 x a E G / l u G i N v n x F d g S / v 7 5 p d u A s M r k O / 5 S l x p i R 9 r o T W I u V r i / e + U w N d L U 3 6 Y r j X 3 0 c / g F Q S w E C L Q A U A A I A C A B a W v J W F 5 9 6 h a c A A A D 4 A A A A E g A A A A A A A A A A A A A A A A A A A A A A Q 2 9 u Z m l n L 1 B h Y 2 t h Z 2 U u e G 1 s U E s B A i 0 A F A A C A A g A W l r y V g / K 6 a u k A A A A 6 Q A A A B M A A A A A A A A A A A A A A A A A 8 w A A A F t D b 2 5 0 Z W 5 0 X 1 R 5 c G V z X S 5 4 b W x Q S w E C L Q A U A A I A C A B a W v J W w L x e i / g B A A D a B Q A A E w A A A A A A A A A A A A A A A A D k A Q A A R m 9 y b X V s Y X M v U 2 V j d G l v b j E u b V B L B Q Y A A A A A A w A D A M I A A A A p 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g F w A A A A A A A L 4 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e l 9 z d G F m Z 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y 0 w N y 0 x O F Q w N T o 0 N T o y O C 4 2 O D A 1 M z M 0 W i I g L z 4 8 R W 5 0 c n k g V H l w Z T 0 i R m l s b E V y c m 9 y Q 2 9 k Z S I g V m F s d W U 9 I n N V b m t u b 3 d u I i A v P j x F b n R y e S B U e X B l P S J B Z G R l Z F R v R G F 0 Y U 1 v Z G V s I i B W Y W x 1 Z T 0 i b D A i I C 8 + P C 9 T d G F i b G V F b n R y a W V z P j w v S X R l b T 4 8 S X R l b T 4 8 S X R l b U x v Y 2 F 0 a W 9 u P j x J d G V t V H l w Z T 5 G b 3 J t d W x h P C 9 J d G V t V H l w Z T 4 8 S X R l b V B h d G g + U 2 V j d G l v b j E v b n p f c 3 R h Z m Y v U 2 9 1 c m N l P C 9 J d G V t U G F 0 a D 4 8 L 0 l 0 Z W 1 M b 2 N h d G l v b j 4 8 U 3 R h Y m x l R W 5 0 c m l l c y A v P j w v S X R l b T 4 8 S X R l b T 4 8 S X R l b U x v Y 2 F 0 a W 9 u P j x J d G V t V H l w Z T 5 G b 3 J t d W x h P C 9 J d G V t V H l w Z T 4 8 S X R l b V B h d G g + U 2 V j d G l v b j E v b n p f c 3 R h Z m Y v Q 2 h h b m d l Z C U y M F R 5 c G U 8 L 0 l 0 Z W 1 Q Y X R o P j w v S X R l b U x v Y 2 F 0 a W 9 u P j x T d G F i b G V F b n R y a W V z I C 8 + P C 9 J d G V t P j x J d G V t P j x J d G V t T G 9 j Y X R p b 2 4 + P E l 0 Z W 1 U e X B l P k Z v c m 1 1 b G E 8 L 0 l 0 Z W 1 U e X B l P j x J d G V t U G F 0 a D 5 T Z W N 0 a W 9 u M S 9 p b m R p Y V 9 z d G F m Z 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G a W x s U 3 R h d H V z I i B W Y W x 1 Z T 0 i c 0 N v b X B s Z X R l I i A v P j x F b n R y e S B U e X B l P S J G a W x s T G F z d F V w Z G F 0 Z W Q i I F Z h b H V l P S J k M j A y M y 0 w N y 0 x O F Q w N T o 0 N T o y O C 4 3 N T Q 5 O T M 4 W i I g L z 4 8 R W 5 0 c n k g V H l w Z T 0 i R m l s b E V y c m 9 y Q 2 9 k Z S I g V m F s d W U 9 I n N V b m t u b 3 d u I i A v P j x F b n R y e S B U e X B l P S J B Z G R l Z F R v R G F 0 Y U 1 v Z G V s I i B W Y W x 1 Z T 0 i b D A i I C 8 + P C 9 T d G F i b G V F b n R y a W V z P j w v S X R l b T 4 8 S X R l b T 4 8 S X R l b U x v Y 2 F 0 a W 9 u P j x J d G V t V H l w Z T 5 G b 3 J t d W x h P C 9 J d G V t V H l w Z T 4 8 S X R l b V B h d G g + U 2 V j d G l v b j E v a W 5 k a W F f c 3 R h Z m Y v U 2 9 1 c m N l P C 9 J d G V t U G F 0 a D 4 8 L 0 l 0 Z W 1 M b 2 N h d G l v b j 4 8 U 3 R h Y m x l R W 5 0 c m l l c y A v P j w v S X R l b T 4 8 S X R l b T 4 8 S X R l b U x v Y 2 F 0 a W 9 u P j x J d G V t V H l w Z T 5 G b 3 J t d W x h P C 9 J d G V t V H l w Z T 4 8 S X R l b V B h d G g + U 2 V j d G l v b j E v a W 5 k a W F f c 3 R h Z m Y v Q 2 h h b m d l Z C U y M F R 5 c G U 8 L 0 l 0 Z W 1 Q Y X R o P j w v S X R l b U x v Y 2 F 0 a W 9 u P j x T d G F i b G V F b n R y a W V z I C 8 + P C 9 J d G V t P j x J d G V t P j x J d G V t T G 9 j Y X R p b 2 4 + P E l 0 Z W 1 U e X B l P k Z v c m 1 1 b G E 8 L 0 l 0 Z W 1 U e X B l P j x J d G V t U G F 0 a D 5 T Z W N 0 a W 9 u M S 9 u e l 9 z d G F m Z i 9 B Z G R l Z C U y M E N 1 c 3 R v b T w v S X R l b V B h d G g + P C 9 J d G V t T G 9 j Y X R p b 2 4 + P F N 0 Y W J s Z U V u d H J p Z X M g L z 4 8 L 0 l 0 Z W 0 + P E l 0 Z W 0 + P E l 0 Z W 1 M b 2 N h d G l v b j 4 8 S X R l b V R 5 c G U + R m 9 y b X V s Y T w v S X R l b V R 5 c G U + P E l 0 Z W 1 Q Y X R o P l N l Y 3 R p b 2 4 x L 2 l u Z G l h X 3 N 0 Y W Z m L 0 F k Z G V k J T I w S W 5 k Z X g 8 L 0 l 0 Z W 1 Q Y X R o P j w v S X R l b U x v Y 2 F 0 a W 9 u P j x T d G F i b G V F b n R y a W V z I C 8 + P C 9 J d G V t P j x J d G V t P j x J d G V t T G 9 j Y X R p b 2 4 + P E l 0 Z W 1 U e X B l P k Z v c m 1 1 b G E 8 L 0 l 0 Z W 1 U e X B l P j x J d G V t U G F 0 a D 5 T Z W N 0 a W 9 u M S 9 p b m R p Y V 9 z d G F m Z i 9 S Z W 1 v d m V k J T I w Q 2 9 s d W 1 u c z w v S X R l b V B h d G g + P C 9 J d G V t T G 9 j Y X R p b 2 4 + P F N 0 Y W J s Z U V u d H J p Z X M g L z 4 8 L 0 l 0 Z W 0 + P E l 0 Z W 0 + P E l 0 Z W 1 M b 2 N h d G l v b j 4 8 S X R l b V R 5 c G U + R m 9 y b X V s Y T w v S X R l b V R 5 c G U + P E l 0 Z W 1 Q Y X R o P l N l Y 3 R p b 2 4 x L 2 l u Z G l h X 3 N 0 Y W Z m L 0 F k Z G V k J T I w Q 3 V z d G 9 t P C 9 J d G V t U G F 0 a D 4 8 L 0 l 0 Z W 1 M b 2 N h d G l v b j 4 8 U 3 R h Y m x l R W 5 0 c m l l c y A v P j w v S X R l b T 4 8 S X R l b T 4 8 S X R l b U x v Y 2 F 0 a W 9 u P j x J d G V t V H l w Z T 5 G b 3 J t d W x h P C 9 J d G V t V H l w Z T 4 8 S X R l b V B h d G g + U 2 V j d G l v b j E v U 3 R h Z m 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3 R h Z m Y i I C 8 + P E V u d H J 5 I F R 5 c G U 9 I k Z p b G x l Z E N v b X B s Z X R l U m V z d W x 0 V G 9 X b 3 J r c 2 h l Z X Q i I F Z h b H V l P S J s M S I g L z 4 8 R W 5 0 c n k g V H l w Z T 0 i Q W R k Z W R U b 0 R h d G F N b 2 R l b C I g V m F s d W U 9 I m w w I i A v P j x F b n R y e S B U e X B l P S J G a W x s Q 2 9 1 b n Q i I F Z h b H V l P S J s M T g z I i A v P j x F b n R y e S B U e X B l P S J G a W x s R X J y b 3 J D b 2 R l I i B W Y W x 1 Z T 0 i c 1 V u a 2 5 v d 2 4 i I C 8 + P E V u d H J 5 I F R 5 c G U 9 I k Z p b G x F c n J v c k N v d W 5 0 I i B W Y W x 1 Z T 0 i b D A i I C 8 + P E V u d H J 5 I F R 5 c G U 9 I k Z p b G x M Y X N 0 V X B k Y X R l Z C I g V m F s d W U 9 I m Q y M D I z L T A 3 L T E 4 V D A 1 O j Q 4 O j U y L j I 2 N D A 5 M j l a I i A v P j x F b n R y e S B U e X B l P S J G a W x s Q 2 9 s d W 1 u V H l w Z X M i I F Z h b H V l P S J z Q m d Z R k F B a 0 d C U U E 9 I i A v P j x F b n R y e S B U e X B l P S J G a W x s Q 2 9 s d W 1 u T m F t Z X M i I F Z h b H V l P S J z W y Z x d W 9 0 O 0 5 h b W U m c X V v d D s s J n F 1 b 3 Q 7 R 2 V u Z G V y J n F 1 b 3 Q 7 L C Z x d W 9 0 O 0 F n Z S Z x d W 9 0 O y w m c X V v d D t S Y X R p b m c m c X V v d D s s J n F 1 b 3 Q 7 R G F 0 Z S B K b 2 l u Z W Q m c X V v d D s s J n F 1 b 3 Q 7 R G V w Y X J 0 b W V u d C Z x d W 9 0 O y w m c X V v d D t T Y W x h c n k m c X V v d D s s J n F 1 b 3 Q 7 Q 2 9 1 b n R y e S Z x d W 9 0 O 1 0 i I C 8 + P E V u d H J 5 I F R 5 c G U 9 I k Z p b G x T d G F 0 d X M i I F Z h b H V l P S J z Q 2 9 t c G x l d G U i I C 8 + P E V u d H J 5 I F R 5 c G U 9 I l J l b G F 0 a W 9 u c 2 h p c E l u Z m 9 D b 2 5 0 Y W l u Z X I i I F Z h b H V l P S J z e y Z x d W 9 0 O 2 N v b H V t b k N v d W 5 0 J n F 1 b 3 Q 7 O j g s J n F 1 b 3 Q 7 a 2 V 5 Q 2 9 s d W 1 u T m F t Z X M m c X V v d D s 6 W y Z x d W 9 0 O 0 5 h b W U m c X V v d D t d L C Z x d W 9 0 O 3 F 1 Z X J 5 U m V s Y X R p b 2 5 z a G l w c y Z x d W 9 0 O z p b X S w m c X V v d D t j b 2 x 1 b W 5 J Z G V u d G l 0 a W V z J n F 1 b 3 Q 7 O l s m c X V v d D t T Z W N 0 a W 9 u M S 9 T d G F m Z i 9 T b 3 V y Y 2 U u e 0 5 h b W U s M H 0 m c X V v d D s s J n F 1 b 3 Q 7 U 2 V j d G l v b j E v U 3 R h Z m Y v U m V w b G F j Z W Q g V m F s d W U u e 0 d l b m R l c i w x f S Z x d W 9 0 O y w m c X V v d D t T Z W N 0 a W 9 u M S 9 T d G F m Z i 9 T b 3 V y Y 2 U u e 0 F n Z S w y f S Z x d W 9 0 O y w m c X V v d D t T Z W N 0 a W 9 u M S 9 T d G F m Z i 9 T b 3 V y Y 2 U u e 1 J h d G l u Z y w z f S Z x d W 9 0 O y w m c X V v d D t T Z W N 0 a W 9 u M S 9 T d G F m Z i 9 D a G F u Z 2 V k I F R 5 c G U u e 0 R h d G U g S m 9 p b m V k L D R 9 J n F 1 b 3 Q 7 L C Z x d W 9 0 O 1 N l Y 3 R p b 2 4 x L 1 N 0 Y W Z m L 1 N v d X J j Z S 5 7 R G V w Y X J 0 b W V u d C w 1 f S Z x d W 9 0 O y w m c X V v d D t T Z W N 0 a W 9 u M S 9 T d G F m Z i 9 T b 3 V y Y 2 U u e 1 N h b G F y e S w 2 f S Z x d W 9 0 O y w m c X V v d D t T Z W N 0 a W 9 u M S 9 T d G F m Z i 9 T b 3 V y Y 2 U u e 0 N v d W 5 0 c n k s N 3 0 m c X V v d D t d L C Z x d W 9 0 O 0 N v b H V t b k N v d W 5 0 J n F 1 b 3 Q 7 O j g s J n F 1 b 3 Q 7 S 2 V 5 Q 2 9 s d W 1 u T m F t Z X M m c X V v d D s 6 W y Z x d W 9 0 O 0 5 h b W U m c X V v d D t d L C Z x d W 9 0 O 0 N v b H V t b k l k Z W 5 0 a X R p Z X M m c X V v d D s 6 W y Z x d W 9 0 O 1 N l Y 3 R p b 2 4 x L 1 N 0 Y W Z m L 1 N v d X J j Z S 5 7 T m F t Z S w w f S Z x d W 9 0 O y w m c X V v d D t T Z W N 0 a W 9 u M S 9 T d G F m Z i 9 S Z X B s Y W N l Z C B W Y W x 1 Z S 5 7 R 2 V u Z G V y L D F 9 J n F 1 b 3 Q 7 L C Z x d W 9 0 O 1 N l Y 3 R p b 2 4 x L 1 N 0 Y W Z m L 1 N v d X J j Z S 5 7 Q W d l L D J 9 J n F 1 b 3 Q 7 L C Z x d W 9 0 O 1 N l Y 3 R p b 2 4 x L 1 N 0 Y W Z m L 1 N v d X J j Z S 5 7 U m F 0 a W 5 n L D N 9 J n F 1 b 3 Q 7 L C Z x d W 9 0 O 1 N l Y 3 R p b 2 4 x L 1 N 0 Y W Z m L 0 N o Y W 5 n Z W Q g V H l w Z S 5 7 R G F 0 Z S B K b 2 l u Z W Q s N H 0 m c X V v d D s s J n F 1 b 3 Q 7 U 2 V j d G l v b j E v U 3 R h Z m Y v U 2 9 1 c m N l L n t E Z X B h c n R t Z W 5 0 L D V 9 J n F 1 b 3 Q 7 L C Z x d W 9 0 O 1 N l Y 3 R p b 2 4 x L 1 N 0 Y W Z m L 1 N v d X J j Z S 5 7 U 2 F s Y X J 5 L D Z 9 J n F 1 b 3 Q 7 L C Z x d W 9 0 O 1 N l Y 3 R p b 2 4 x L 1 N 0 Y W Z m L 1 N v d X J j Z S 5 7 Q 2 9 1 b n R y e S w 3 f S Z x d W 9 0 O 1 0 s J n F 1 b 3 Q 7 U m V s Y X R p b 2 5 z a G l w S W 5 m b y Z x d W 9 0 O z p b X X 0 i I C 8 + P E V u d H J 5 I F R 5 c G U 9 I l J l Y 2 9 2 Z X J 5 V G F y Z 2 V 0 U m 9 3 I i B W Y W x 1 Z T 0 i b D E i I C 8 + P E V u d H J 5 I F R 5 c G U 9 I l J l Y 2 9 2 Z X J 5 V G F y Z 2 V 0 Q 2 9 s d W 1 u I i B W Y W x 1 Z T 0 i b D E i I C 8 + P E V u d H J 5 I F R 5 c G U 9 I l J l Y 2 9 2 Z X J 5 V G F y Z 2 V 0 U 2 h l Z X Q i I F Z h b H V l P S J z Q W x s I F N 0 Y W Z m I i A v P j x F b n R y e S B U e X B l P S J R d W V y e U l E I i B W Y W x 1 Z T 0 i c 2 R i M m U y Z m E 3 L W M 3 N m U t N D I 5 Y y 0 5 N D U x L W I z Z m Q 5 N D R k Y j Y 3 M C I g L z 4 8 L 1 N 0 Y W J s Z U V u d H J p Z X M + P C 9 J d G V t P j x J d G V t P j x J d G V t T G 9 j Y X R p b 2 4 + P E l 0 Z W 1 U e X B l P k Z v c m 1 1 b G E 8 L 0 l 0 Z W 1 U e X B l P j x J d G V t U G F 0 a D 5 T Z W N 0 a W 9 u M S 9 T d G F m Z i 9 T b 3 V y Y 2 U 8 L 0 l 0 Z W 1 Q Y X R o P j w v S X R l b U x v Y 2 F 0 a W 9 u P j x T d G F i b G V F b n R y a W V z I C 8 + P C 9 J d G V t P j x J d G V t P j x J d G V t T G 9 j Y X R p b 2 4 + P E l 0 Z W 1 U e X B l P k Z v c m 1 1 b G E 8 L 0 l 0 Z W 1 U e X B l P j x J d G V t U G F 0 a D 5 T Z W N 0 a W 9 u M S 9 T d G F m Z i 9 S Z W 1 v d m V k J T I w R H V w b G l j Y X R l c z w v S X R l b V B h d G g + P C 9 J d G V t T G 9 j Y X R p b 2 4 + P F N 0 Y W J s Z U V u d H J p Z X M g L z 4 8 L 0 l 0 Z W 0 + P E l 0 Z W 0 + P E l 0 Z W 1 M b 2 N h d G l v b j 4 8 S X R l b V R 5 c G U + R m 9 y b X V s Y T w v S X R l b V R 5 c G U + P E l 0 Z W 1 Q Y X R o P l N l Y 3 R p b 2 4 x L 1 N 0 Y W Z m L 1 J l c G x h Y 2 V k J T I w V m F s d W U 8 L 0 l 0 Z W 1 Q Y X R o P j w v S X R l b U x v Y 2 F 0 a W 9 u P j x T d G F i b G V F b n R y a W V z I C 8 + P C 9 J d G V t P j x J d G V t P j x J d G V t T G 9 j Y X R p b 2 4 + P E l 0 Z W 1 U e X B l P k Z v c m 1 1 b G E 8 L 0 l 0 Z W 1 U e X B l P j x J d G V t U G F 0 a D 5 T Z W N 0 a W 9 u M S 9 T d G F m Z i 9 G a W x 0 Z X J l Z C U y M F J v d 3 M 8 L 0 l 0 Z W 1 Q Y X R o P j w v S X R l b U x v Y 2 F 0 a W 9 u P j x T d G F i b G V F b n R y a W V z I C 8 + P C 9 J d G V t P j x J d G V t P j x J d G V t T G 9 j Y X R p b 2 4 + P E l 0 Z W 1 U e X B l P k Z v c m 1 1 b G E 8 L 0 l 0 Z W 1 U e X B l P j x J d G V t U G F 0 a D 5 T Z W N 0 a W 9 u M S 9 T d G F m Z i 9 D a G F u Z 2 V k J T I w V H l w Z T w v S X R l b V B h d G g + P C 9 J d G V t T G 9 j Y X R p b 2 4 + P F N 0 Y W J s Z U V u d H J p Z X M g L z 4 8 L 0 l 0 Z W 0 + P C 9 J d G V t c z 4 8 L 0 x v Y 2 F s U G F j a 2 F n Z U 1 l d G F k Y X R h R m l s Z T 4 W A A A A U E s F B g A A A A A A A A A A A A A A A A A A A A A A A C Y B A A A B A A A A 0 I y d 3 w E V 0 R G M e g D A T 8 K X 6 w E A A A D r M 1 8 1 o s + E R 7 w 9 K J N B Y R u K A A A A A A I A A A A A A B B m A A A A A Q A A I A A A A B m p h M V q w 4 m 8 2 4 Q T O q E m j Q j f g b p 0 z O W h h W B G K I n 5 t M I Y A A A A A A 6 A A A A A A g A A I A A A A O y x L g F v U n y h y R d K x Y B V q G p g B V x R C 7 g h 6 D v + f N T q Y h 0 8 U A A A A M K j + p 2 g 2 T t v A 6 C 6 5 U N w H F l i N z 5 s T 7 R i n x z J 3 3 9 d 0 c Y s G K v E W b j a C S 6 C 5 4 9 K E z g i C m 5 H I Y G S Y V y B C Z L + 0 0 6 o s F N F F x g p B X U U 1 0 E q L R k s f 9 W U Q A A A A H 9 P 0 g C E / V N K A O Q 4 b U w L 9 9 8 o c v s f q n q b 6 m p q v P t 8 t C e F a 4 0 p y l 2 m m M T 9 C t X V A J k H W 7 t A m 9 n W m o o P r B z P c G b Z N W k = < / D a t a M a s h u p > 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 2 0 2 3 - 0 7 - 1 9 T 1 5 : 3 0 : 3 3 . 4 7 0 1 1 8 2 + 0 5 : 3 0 < / L a s t P r o c e s s e d T i m e > < / D a t a M o d e l i n g S a n d b o x . S e r i a l i z e d S a n d b o x E r r o r C a c h 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S t a f 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 1 0 3 < / i n t > < / v a l u e > < / i t e m > < i t e m > < k e y > < s t r i n g > G e n d e r < / s t r i n g > < / k e y > < v a l u e > < i n t > 1 1 7 < / i n t > < / v a l u e > < / i t e m > < i t e m > < k e y > < s t r i n g > A g e < / s t r i n g > < / k e y > < v a l u e > < i n t > 8 3 < / i n t > < / v a l u e > < / i t e m > < i t e m > < k e y > < s t r i n g > R a t i n g < / s t r i n g > < / k e y > < v a l u e > < i n t > 1 0 6 < / i n t > < / v a l u e > < / i t e m > < i t e m > < k e y > < s t r i n g > D a t e   J o i n e d < / s t r i n g > < / k e y > < v a l u e > < i n t > 1 5 6 < / i n t > < / v a l u e > < / i t e m > < i t e m > < k e y > < s t r i n g > D e p a r t m e n t < / s t r i n g > < / k e y > < v a l u e > < i n t > 1 6 0 < / i n t > < / v a l u e > < / i t e m > < i t e m > < k e y > < s t r i n g > S a l a r y < / s t r i n g > < / k e y > < v a l u e > < i n t > 1 0 4 < / i n t > < / v a l u e > < / i t e m > < i t e m > < k e y > < s t r i n g > C o u n t r y < / s t r i n g > < / k e y > < v a l u e > < i n t > 1 2 2 < / i n t > < / v a l u e > < / i t e m > < i t e m > < k e y > < s t r i n g > T e n u r e < / s t r i n g > < / k e y > < v a l u e > < i n t > 1 1 2 < / i n t > < / v a l u e > < / i t e m > < i t e m > < k e y > < s t r i n g > D a t e   J o i n e d   ( Y e a r ) < / s t r i n g > < / k e y > < v a l u e > < i n t > 2 1 4 < / i n t > < / v a l u e > < / i t e m > < i t e m > < k e y > < s t r i n g > D a t e   J o i n e d   ( M o n t h   I n d e x ) < / s t r i n g > < / k e y > < v a l u e > < i n t > 2 9 3 < / i n t > < / v a l u e > < / i t e m > < i t e m > < k e y > < s t r i n g > D a t e   J o i n e d   ( M o n t h ) < / s t r i n g > < / k e y > < v a l u e > < i n t > 2 3 7 < / i n t > < / v a l u e > < / i t e m > < / C o l u m n W i d t h s > < C o l u m n D i s p l a y I n d e x > < i t e m > < k e y > < s t r i n g > N a m e < / s t r i n g > < / k e y > < v a l u e > < i n t > 0 < / i n t > < / v a l u e > < / i t e m > < i t e m > < k e y > < s t r i n g > G e n d e r < / s t r i n g > < / k e y > < v a l u e > < i n t > 1 < / i n t > < / v a l u e > < / i t e m > < i t e m > < k e y > < s t r i n g > A g e < / s t r i n g > < / k e y > < v a l u e > < i n t > 2 < / i n t > < / v a l u e > < / i t e m > < i t e m > < k e y > < s t r i n g > R a t i n g < / s t r i n g > < / k e y > < v a l u e > < i n t > 3 < / i n t > < / v a l u e > < / i t e m > < i t e m > < k e y > < s t r i n g > D a t e   J o i n e d < / s t r i n g > < / k e y > < v a l u e > < i n t > 4 < / i n t > < / v a l u e > < / i t e m > < i t e m > < k e y > < s t r i n g > D e p a r t m e n t < / s t r i n g > < / k e y > < v a l u e > < i n t > 5 < / i n t > < / v a l u e > < / i t e m > < i t e m > < k e y > < s t r i n g > S a l a r y < / s t r i n g > < / k e y > < v a l u e > < i n t > 6 < / i n t > < / v a l u e > < / i t e m > < i t e m > < k e y > < s t r i n g > C o u n t r y < / s t r i n g > < / k e y > < v a l u e > < i n t > 7 < / i n t > < / v a l u e > < / i t e m > < i t e m > < k e y > < s t r i n g > T e n u r e < / s t r i n g > < / k e y > < v a l u e > < i n t > 8 < / i n t > < / v a l u e > < / i t e m > < i t e m > < k e y > < s t r i n g > D a t e   J o i n e d   ( Y e a r ) < / s t r i n g > < / k e y > < v a l u e > < i n t > 9 < / i n t > < / v a l u e > < / i t e m > < i t e m > < k e y > < s t r i n g > D a t e   J o i n e d   ( M o n t h   I n d e x ) < / s t r i n g > < / k e y > < v a l u e > < i n t > 1 0 < / i n t > < / v a l u e > < / i t e m > < i t e m > < k e y > < s t r i n g > D a t e   J o i n e d   ( M o n t h ) < / s t r i n g > < / k e y > < v a l u e > < i n t > 1 1 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 S t a f f < / 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 N a m e < / K e y > < / D i a g r a m O b j e c t K e y > < D i a g r a m O b j e c t K e y > < K e y > M e a s u r e s \ C o u n t   o f   N a m e \ T a g I n f o \ F o r m u l a < / K e y > < / D i a g r a m O b j e c t K e y > < D i a g r a m O b j e c t K e y > < K e y > M e a s u r e s \ C o u n t   o f   N a m e \ T a g I n f o \ V a l u e < / K e y > < / D i a g r a m O b j e c t K e y > < D i a g r a m O b j e c t K e y > < K e y > M e a s u r e s \ S u m   o f   A g e < / K e y > < / D i a g r a m O b j e c t K e y > < D i a g r a m O b j e c t K e y > < K e y > M e a s u r e s \ S u m   o f   A g e \ T a g I n f o \ F o r m u l a < / K e y > < / D i a g r a m O b j e c t K e y > < D i a g r a m O b j e c t K e y > < K e y > M e a s u r e s \ S u m   o f   A g e \ T a g I n f o \ V a l u e < / K e y > < / D i a g r a m O b j e c t K e y > < D i a g r a m O b j e c t K e y > < K e y > M e a s u r e s \ S u m   o f   S a l a r y < / K e y > < / D i a g r a m O b j e c t K e y > < D i a g r a m O b j e c t K e y > < K e y > M e a s u r e s \ S u m   o f   S a l a r y \ T a g I n f o \ F o r m u l a < / K e y > < / D i a g r a m O b j e c t K e y > < D i a g r a m O b j e c t K e y > < K e y > M e a s u r e s \ S u m   o f   S a l a r y \ T a g I n f o \ V a l u e < / K e y > < / D i a g r a m O b j e c t K e y > < D i a g r a m O b j e c t K e y > < K e y > M e a s u r e s \ S u m   o f   T e n u r e < / K e y > < / D i a g r a m O b j e c t K e y > < D i a g r a m O b j e c t K e y > < K e y > M e a s u r e s \ S u m   o f   T e n u r e \ T a g I n f o \ F o r m u l a < / K e y > < / D i a g r a m O b j e c t K e y > < D i a g r a m O b j e c t K e y > < K e y > M e a s u r e s \ S u m   o f   T e n u r e \ T a g I n f o \ V a l u e < / K e y > < / D i a g r a m O b j e c t K e y > < D i a g r a m O b j e c t K e y > < K e y > M e a s u r e s \ D i s t i n c t   C o u n t   o f   T e n u r e < / K e y > < / D i a g r a m O b j e c t K e y > < D i a g r a m O b j e c t K e y > < K e y > M e a s u r e s \ D i s t i n c t   C o u n t   o f   T e n u r e \ T a g I n f o \ F o r m u l a < / K e y > < / D i a g r a m O b j e c t K e y > < D i a g r a m O b j e c t K e y > < K e y > M e a s u r e s \ D i s t i n c t   C o u n t   o f   T e n u r e \ T a g I n f o \ V a l u e < / K e y > < / D i a g r a m O b j e c t K e y > < D i a g r a m O b j e c t K e y > < K e y > M e a s u r e s \ A v e r a g e   o f   T e n u r e < / K e y > < / D i a g r a m O b j e c t K e y > < D i a g r a m O b j e c t K e y > < K e y > M e a s u r e s \ A v e r a g e   o f   T e n u r e \ T a g I n f o \ F o r m u l a < / K e y > < / D i a g r a m O b j e c t K e y > < D i a g r a m O b j e c t K e y > < K e y > M e a s u r e s \ A v e r a g e   o f   T e n u r e \ T a g I n f o \ V a l u e < / K e y > < / D i a g r a m O b j e c t K e y > < D i a g r a m O b j e c t K e y > < K e y > M e a s u r e s \ A v e r a g e   o f   S a l a r y < / K e y > < / D i a g r a m O b j e c t K e y > < D i a g r a m O b j e c t K e y > < K e y > M e a s u r e s \ A v e r a g e   o f   S a l a r y \ T a g I n f o \ F o r m u l a < / K e y > < / D i a g r a m O b j e c t K e y > < D i a g r a m O b j e c t K e y > < K e y > M e a s u r e s \ A v e r a g e   o f   S a l a r y \ T a g I n f o \ V a l u e < / K e y > < / D i a g r a m O b j e c t K e y > < D i a g r a m O b j e c t K e y > < K e y > M e a s u r e s \ A v e r a g e   o f   A g e < / K e y > < / D i a g r a m O b j e c t K e y > < D i a g r a m O b j e c t K e y > < K e y > M e a s u r e s \ A v e r a g e   o f   A g e \ T a g I n f o \ F o r m u l a < / K e y > < / D i a g r a m O b j e c t K e y > < D i a g r a m O b j e c t K e y > < K e y > M e a s u r e s \ A v e r a g e   o f   A g e \ T a g I n f o \ V a l u e < / K e y > < / D i a g r a m O b j e c t K e y > < D i a g r a m O b j e c t K e y > < K e y > C o l u m n s \ N a m e < / K e y > < / D i a g r a m O b j e c t K e y > < D i a g r a m O b j e c t K e y > < K e y > C o l u m n s \ G e n d e r < / K e y > < / D i a g r a m O b j e c t K e y > < D i a g r a m O b j e c t K e y > < K e y > C o l u m n s \ A g e < / K e y > < / D i a g r a m O b j e c t K e y > < D i a g r a m O b j e c t K e y > < K e y > C o l u m n s \ R a t i n g < / K e y > < / D i a g r a m O b j e c t K e y > < D i a g r a m O b j e c t K e y > < K e y > C o l u m n s \ D a t e   J o i n e d < / K e y > < / D i a g r a m O b j e c t K e y > < D i a g r a m O b j e c t K e y > < K e y > C o l u m n s \ D e p a r t m e n t < / K e y > < / D i a g r a m O b j e c t K e y > < D i a g r a m O b j e c t K e y > < K e y > C o l u m n s \ S a l a r y < / K e y > < / D i a g r a m O b j e c t K e y > < D i a g r a m O b j e c t K e y > < K e y > C o l u m n s \ C o u n t r y < / K e y > < / D i a g r a m O b j e c t K e y > < D i a g r a m O b j e c t K e y > < K e y > C o l u m n s \ T e n u r e < / K e y > < / D i a g r a m O b j e c t K e y > < D i a g r a m O b j e c t K e y > < K e y > C o l u m n s \ D a t e   J o i n e d   ( Y e a r ) < / K e y > < / D i a g r a m O b j e c t K e y > < D i a g r a m O b j e c t K e y > < K e y > C o l u m n s \ D a t e   J o i n e d   ( M o n t h   I n d e x ) < / K e y > < / D i a g r a m O b j e c t K e y > < D i a g r a m O b j e c t K e y > < K e y > C o l u m n s \ D a t e   J o i n e d   ( M o n t h ) < / 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 L i n k s \ & l t ; C o l u m n s \ S u m   o f   S a l a r y & g t ; - & l t ; M e a s u r e s \ S a l a r y & g t ; < / K e y > < / D i a g r a m O b j e c t K e y > < D i a g r a m O b j e c t K e y > < K e y > L i n k s \ & l t ; C o l u m n s \ S u m   o f   S a l a r y & g t ; - & l t ; M e a s u r e s \ S a l a r y & g t ; \ C O L U M N < / K e y > < / D i a g r a m O b j e c t K e y > < D i a g r a m O b j e c t K e y > < K e y > L i n k s \ & l t ; C o l u m n s \ S u m   o f   S a l a r y & g t ; - & l t ; M e a s u r e s \ S a l a r y & g t ; \ M E A S U R E < / K e y > < / D i a g r a m O b j e c t K e y > < D i a g r a m O b j e c t K e y > < K e y > L i n k s \ & l t ; C o l u m n s \ S u m   o f   T e n u r e & g t ; - & l t ; M e a s u r e s \ T e n u r e & g t ; < / K e y > < / D i a g r a m O b j e c t K e y > < D i a g r a m O b j e c t K e y > < K e y > L i n k s \ & l t ; C o l u m n s \ S u m   o f   T e n u r e & g t ; - & l t ; M e a s u r e s \ T e n u r e & g t ; \ C O L U M N < / K e y > < / D i a g r a m O b j e c t K e y > < D i a g r a m O b j e c t K e y > < K e y > L i n k s \ & l t ; C o l u m n s \ S u m   o f   T e n u r e & g t ; - & l t ; M e a s u r e s \ T e n u r e & g t ; \ M E A S U R E < / K e y > < / D i a g r a m O b j e c t K e y > < D i a g r a m O b j e c t K e y > < K e y > L i n k s \ & l t ; C o l u m n s \ D i s t i n c t   C o u n t   o f   T e n u r e & g t ; - & l t ; M e a s u r e s \ T e n u r e & g t ; < / K e y > < / D i a g r a m O b j e c t K e y > < D i a g r a m O b j e c t K e y > < K e y > L i n k s \ & l t ; C o l u m n s \ D i s t i n c t   C o u n t   o f   T e n u r e & g t ; - & l t ; M e a s u r e s \ T e n u r e & g t ; \ C O L U M N < / K e y > < / D i a g r a m O b j e c t K e y > < D i a g r a m O b j e c t K e y > < K e y > L i n k s \ & l t ; C o l u m n s \ D i s t i n c t   C o u n t   o f   T e n u r e & g t ; - & l t ; M e a s u r e s \ T e n u r e & g t ; \ M E A S U R E < / K e y > < / D i a g r a m O b j e c t K e y > < D i a g r a m O b j e c t K e y > < K e y > L i n k s \ & l t ; C o l u m n s \ A v e r a g e   o f   T e n u r e & g t ; - & l t ; M e a s u r e s \ T e n u r e & g t ; < / K e y > < / D i a g r a m O b j e c t K e y > < D i a g r a m O b j e c t K e y > < K e y > L i n k s \ & l t ; C o l u m n s \ A v e r a g e   o f   T e n u r e & g t ; - & l t ; M e a s u r e s \ T e n u r e & g t ; \ C O L U M N < / K e y > < / D i a g r a m O b j e c t K e y > < D i a g r a m O b j e c t K e y > < K e y > L i n k s \ & l t ; C o l u m n s \ A v e r a g e   o f   T e n u r e & g t ; - & l t ; M e a s u r e s \ T e n u r e & g t ; \ M E A S U R E < / K e y > < / D i a g r a m O b j e c t K e y > < D i a g r a m O b j e c t K e y > < K e y > L i n k s \ & l t ; C o l u m n s \ A v e r a g e   o f   S a l a r y & g t ; - & l t ; M e a s u r e s \ S a l a r y & g t ; < / K e y > < / D i a g r a m O b j e c t K e y > < D i a g r a m O b j e c t K e y > < K e y > L i n k s \ & l t ; C o l u m n s \ A v e r a g e   o f   S a l a r y & g t ; - & l t ; M e a s u r e s \ S a l a r y & g t ; \ C O L U M N < / K e y > < / D i a g r a m O b j e c t K e y > < D i a g r a m O b j e c t K e y > < K e y > L i n k s \ & l t ; C o l u m n s \ A v e r a g e   o f   S a l a r y & g t ; - & l t ; M e a s u r e s \ S a l a r y & g t ; \ M E A S U R E 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 N a m e < / K e y > < / a : K e y > < a : V a l u e   i : t y p e = " M e a s u r e G r i d N o d e V i e w S t a t e " > < 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 M e a s u r e s \ S u m   o f   A g e < / K e y > < / a : K e y > < a : V a l u e   i : t y p e = " M e a s u r e G r i d N o d e V i e w S t a t e " > < C o l u m n > 2 < / 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 M e a s u r e s \ S u m   o f   S a l a r y < / K e y > < / a : K e y > < a : V a l u e   i : t y p e = " M e a s u r e G r i d N o d e V i e w S t a t e " > < C o l u m n > 6 < / C o l u m n > < L a y e d O u t > t r u e < / L a y e d O u t > < W a s U I I n v i s i b l e > t r u e < / W a s U I I n v i s i b l e > < / a : V a l u e > < / a : K e y V a l u e O f D i a g r a m O b j e c t K e y a n y T y p e z b w N T n L X > < a : K e y V a l u e O f D i a g r a m O b j e c t K e y a n y T y p e z b w N T n L X > < a : K e y > < K e y > M e a s u r e s \ S u m   o f   S a l a r y \ T a g I n f o \ F o r m u l a < / K e y > < / a : K e y > < a : V a l u e   i : t y p e = " M e a s u r e G r i d V i e w S t a t e I D i a g r a m T a g A d d i t i o n a l I n f o " / > < / a : K e y V a l u e O f D i a g r a m O b j e c t K e y a n y T y p e z b w N T n L X > < a : K e y V a l u e O f D i a g r a m O b j e c t K e y a n y T y p e z b w N T n L X > < a : K e y > < K e y > M e a s u r e s \ S u m   o f   S a l a r y \ T a g I n f o \ V a l u e < / K e y > < / a : K e y > < a : V a l u e   i : t y p e = " M e a s u r e G r i d V i e w S t a t e I D i a g r a m T a g A d d i t i o n a l I n f o " / > < / a : K e y V a l u e O f D i a g r a m O b j e c t K e y a n y T y p e z b w N T n L X > < a : K e y V a l u e O f D i a g r a m O b j e c t K e y a n y T y p e z b w N T n L X > < a : K e y > < K e y > M e a s u r e s \ S u m   o f   T e n u r e < / K e y > < / a : K e y > < a : V a l u e   i : t y p e = " M e a s u r e G r i d N o d e V i e w S t a t e " > < C o l u m n > 8 < / C o l u m n > < L a y e d O u t > t r u e < / L a y e d O u t > < W a s U I I n v i s i b l e > t r u e < / W a s U I I n v i s i b l e > < / a : V a l u e > < / a : K e y V a l u e O f D i a g r a m O b j e c t K e y a n y T y p e z b w N T n L X > < a : K e y V a l u e O f D i a g r a m O b j e c t K e y a n y T y p e z b w N T n L X > < a : K e y > < K e y > M e a s u r e s \ S u m   o f   T e n u r e \ T a g I n f o \ F o r m u l a < / K e y > < / a : K e y > < a : V a l u e   i : t y p e = " M e a s u r e G r i d V i e w S t a t e I D i a g r a m T a g A d d i t i o n a l I n f o " / > < / a : K e y V a l u e O f D i a g r a m O b j e c t K e y a n y T y p e z b w N T n L X > < a : K e y V a l u e O f D i a g r a m O b j e c t K e y a n y T y p e z b w N T n L X > < a : K e y > < K e y > M e a s u r e s \ S u m   o f   T e n u r e \ T a g I n f o \ V a l u e < / K e y > < / a : K e y > < a : V a l u e   i : t y p e = " M e a s u r e G r i d V i e w S t a t e I D i a g r a m T a g A d d i t i o n a l I n f o " / > < / a : K e y V a l u e O f D i a g r a m O b j e c t K e y a n y T y p e z b w N T n L X > < a : K e y V a l u e O f D i a g r a m O b j e c t K e y a n y T y p e z b w N T n L X > < a : K e y > < K e y > M e a s u r e s \ D i s t i n c t   C o u n t   o f   T e n u r e < / K e y > < / a : K e y > < a : V a l u e   i : t y p e = " M e a s u r e G r i d N o d e V i e w S t a t e " > < C o l u m n > 8 < / C o l u m n > < L a y e d O u t > t r u e < / L a y e d O u t > < R o w > 1 < / R o w > < W a s U I I n v i s i b l e > t r u e < / W a s U I I n v i s i b l e > < / a : V a l u e > < / a : K e y V a l u e O f D i a g r a m O b j e c t K e y a n y T y p e z b w N T n L X > < a : K e y V a l u e O f D i a g r a m O b j e c t K e y a n y T y p e z b w N T n L X > < a : K e y > < K e y > M e a s u r e s \ D i s t i n c t   C o u n t   o f   T e n u r e \ T a g I n f o \ F o r m u l a < / K e y > < / a : K e y > < a : V a l u e   i : t y p e = " M e a s u r e G r i d V i e w S t a t e I D i a g r a m T a g A d d i t i o n a l I n f o " / > < / a : K e y V a l u e O f D i a g r a m O b j e c t K e y a n y T y p e z b w N T n L X > < a : K e y V a l u e O f D i a g r a m O b j e c t K e y a n y T y p e z b w N T n L X > < a : K e y > < K e y > M e a s u r e s \ D i s t i n c t   C o u n t   o f   T e n u r e \ T a g I n f o \ V a l u e < / K e y > < / a : K e y > < a : V a l u e   i : t y p e = " M e a s u r e G r i d V i e w S t a t e I D i a g r a m T a g A d d i t i o n a l I n f o " / > < / a : K e y V a l u e O f D i a g r a m O b j e c t K e y a n y T y p e z b w N T n L X > < a : K e y V a l u e O f D i a g r a m O b j e c t K e y a n y T y p e z b w N T n L X > < a : K e y > < K e y > M e a s u r e s \ A v e r a g e   o f   T e n u r e < / K e y > < / a : K e y > < a : V a l u e   i : t y p e = " M e a s u r e G r i d N o d e V i e w S t a t e " > < C o l u m n > 8 < / C o l u m n > < L a y e d O u t > t r u e < / L a y e d O u t > < R o w > 2 < / R o w > < W a s U I I n v i s i b l e > t r u e < / W a s U I I n v i s i b l e > < / a : V a l u e > < / a : K e y V a l u e O f D i a g r a m O b j e c t K e y a n y T y p e z b w N T n L X > < a : K e y V a l u e O f D i a g r a m O b j e c t K e y a n y T y p e z b w N T n L X > < a : K e y > < K e y > M e a s u r e s \ A v e r a g e   o f   T e n u r e \ T a g I n f o \ F o r m u l a < / K e y > < / a : K e y > < a : V a l u e   i : t y p e = " M e a s u r e G r i d V i e w S t a t e I D i a g r a m T a g A d d i t i o n a l I n f o " / > < / a : K e y V a l u e O f D i a g r a m O b j e c t K e y a n y T y p e z b w N T n L X > < a : K e y V a l u e O f D i a g r a m O b j e c t K e y a n y T y p e z b w N T n L X > < a : K e y > < K e y > M e a s u r e s \ A v e r a g e   o f   T e n u r e \ T a g I n f o \ V a l u e < / K e y > < / a : K e y > < a : V a l u e   i : t y p e = " M e a s u r e G r i d V i e w S t a t e I D i a g r a m T a g A d d i t i o n a l I n f o " / > < / a : K e y V a l u e O f D i a g r a m O b j e c t K e y a n y T y p e z b w N T n L X > < a : K e y V a l u e O f D i a g r a m O b j e c t K e y a n y T y p e z b w N T n L X > < a : K e y > < K e y > M e a s u r e s \ A v e r a g e   o f   S a l a r y < / K e y > < / a : K e y > < a : V a l u e   i : t y p e = " M e a s u r e G r i d N o d e V i e w S t a t e " > < C o l u m n > 6 < / C o l u m n > < L a y e d O u t > t r u e < / L a y e d O u t > < R o w > 1 < / R o w > < W a s U I I n v i s i b l e > t r u e < / W a s U I I n v i s i b l e > < / a : V a l u e > < / a : K e y V a l u e O f D i a g r a m O b j e c t K e y a n y T y p e z b w N T n L X > < a : K e y V a l u e O f D i a g r a m O b j e c t K e y a n y T y p e z b w N T n L X > < a : K e y > < K e y > M e a s u r e s \ A v e r a g e   o f   S a l a r y \ T a g I n f o \ F o r m u l a < / K e y > < / a : K e y > < a : V a l u e   i : t y p e = " M e a s u r e G r i d V i e w S t a t e I D i a g r a m T a g A d d i t i o n a l I n f o " / > < / a : K e y V a l u e O f D i a g r a m O b j e c t K e y a n y T y p e z b w N T n L X > < a : K e y V a l u e O f D i a g r a m O b j e c t K e y a n y T y p e z b w N T n L X > < a : K e y > < K e y > M e a s u r e s \ A v e r a g e   o f   S a l a r y \ T a g I n f o \ V a l u e < / K e y > < / a : K e y > < a : V a l u e   i : t y p e = " M e a s u r e G r i d V i e w S t a t e I D i a g r a m T a g A d d i t i o n a l I n f o " / > < / a : K e y V a l u e O f D i a g r a m O b j e c t K e y a n y T y p e z b w N T n L X > < a : K e y V a l u e O f D i a g r a m O b j e c t K e y a n y T y p e z b w N T n L X > < a : K e y > < K e y > M e a s u r e s \ A v e r a g e   o f   A g e < / K e y > < / a : K e y > < a : V a l u e   i : t y p e = " M e a s u r e G r i d N o d e V i e w S t a t e " > < C o l u m n > 2 < / C o l u m n > < L a y e d O u t > t r u e < / L a y e d O u t > < R o w > 1 < / R o w > < 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 C o l u m n s \ R a t i n g < / K e y > < / a : K e y > < a : V a l u e   i : t y p e = " M e a s u r e G r i d N o d e V i e w S t a t e " > < C o l u m n > 3 < / C o l u m n > < L a y e d O u t > t r u e < / L a y e d O u t > < / a : V a l u e > < / a : K e y V a l u e O f D i a g r a m O b j e c t K e y a n y T y p e z b w N T n L X > < a : K e y V a l u e O f D i a g r a m O b j e c t K e y a n y T y p e z b w N T n L X > < a : K e y > < K e y > C o l u m n s \ D a t e   J o i n e d < / K e y > < / a : K e y > < a : V a l u e   i : t y p e = " M e a s u r e G r i d N o d e V i e w S t a t e " > < C o l u m n > 4 < / C o l u m n > < L a y e d O u t > t r u e < / L a y e d O u t > < / a : V a l u e > < / a : K e y V a l u e O f D i a g r a m O b j e c t K e y a n y T y p e z b w N T n L X > < a : K e y V a l u e O f D i a g r a m O b j e c t K e y a n y T y p e z b w N T n L X > < a : K e y > < K e y > C o l u m n s \ D e p a r t m e n t < / K e y > < / a : K e y > < a : V a l u e   i : t y p e = " M e a s u r e G r i d N o d e V i e w S t a t e " > < C o l u m n > 5 < / C o l u m n > < L a y e d O u t > t r u e < / L a y e d O u t > < / a : V a l u e > < / a : K e y V a l u e O f D i a g r a m O b j e c t K e y a n y T y p e z b w N T n L X > < a : K e y V a l u e O f D i a g r a m O b j e c t K e y a n y T y p e z b w N T n L X > < a : K e y > < K e y > C o l u m n s \ S a l a r y < / 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 C o l u m n s \ T e n u r e < / K e y > < / a : K e y > < a : V a l u e   i : t y p e = " M e a s u r e G r i d N o d e V i e w S t a t e " > < C o l u m n > 8 < / C o l u m n > < L a y e d O u t > t r u e < / L a y e d O u t > < / a : V a l u e > < / a : K e y V a l u e O f D i a g r a m O b j e c t K e y a n y T y p e z b w N T n L X > < a : K e y V a l u e O f D i a g r a m O b j e c t K e y a n y T y p e z b w N T n L X > < a : K e y > < K e y > C o l u m n s \ D a t e   J o i n e d   ( Y e a r ) < / K e y > < / a : K e y > < a : V a l u e   i : t y p e = " M e a s u r e G r i d N o d e V i e w S t a t e " > < C o l u m n > 9 < / C o l u m n > < L a y e d O u t > t r u e < / L a y e d O u t > < / a : V a l u e > < / a : K e y V a l u e O f D i a g r a m O b j e c t K e y a n y T y p e z b w N T n L X > < a : K e y V a l u e O f D i a g r a m O b j e c t K e y a n y T y p e z b w N T n L X > < a : K e y > < K e y > C o l u m n s \ D a t e   J o i n e d   ( M o n t h   I n d e x ) < / K e y > < / a : K e y > < a : V a l u e   i : t y p e = " M e a s u r e G r i d N o d e V i e w S t a t e " > < C o l u m n > 1 0 < / C o l u m n > < L a y e d O u t > t r u e < / L a y e d O u t > < / a : V a l u e > < / a : K e y V a l u e O f D i a g r a m O b j e c t K e y a n y T y p e z b w N T n L X > < a : K e y V a l u e O f D i a g r a m O b j e c t K e y a n y T y p e z b w N T n L X > < a : K e y > < K e y > C o l u m n s \ D a t e   J o i n e d   ( M o n t h ) < / K e y > < / a : K e y > < a : V a l u e   i : t y p e = " M e a s u r e G r i d N o d e V i e w S t a t e " > < C o l u m n > 1 1 < / C o l u m n > < L a y e d O u t > t r u e < / L a y e d O u t > < / a : V a l u e > < / 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 L i n k s \ & l t ; C o l u m n s \ S u m   o f   S a l a r y & g t ; - & l t ; M e a s u r e s \ S a l a r y & g t ; < / K e y > < / a : K e y > < a : V a l u e   i : t y p e = " M e a s u r e G r i d V i e w S t a t e I D i a g r a m L i n k " / > < / a : K e y V a l u e O f D i a g r a m O b j e c t K e y a n y T y p e z b w N T n L X > < a : K e y V a l u e O f D i a g r a m O b j e c t K e y a n y T y p e z b w N T n L X > < a : K e y > < K e y > L i n k s \ & l t ; C o l u m n s \ S u m   o f   S a l a r y & g t ; - & l t ; M e a s u r e s \ S a l a r y & g t ; \ C O L U M N < / K e y > < / a : K e y > < a : V a l u e   i : t y p e = " M e a s u r e G r i d V i e w S t a t e I D i a g r a m L i n k E n d p o i n t " / > < / a : K e y V a l u e O f D i a g r a m O b j e c t K e y a n y T y p e z b w N T n L X > < a : K e y V a l u e O f D i a g r a m O b j e c t K e y a n y T y p e z b w N T n L X > < a : K e y > < K e y > L i n k s \ & l t ; C o l u m n s \ S u m   o f   S a l a r y & g t ; - & l t ; M e a s u r e s \ S a l a r y & g t ; \ M E A S U R E < / K e y > < / a : K e y > < a : V a l u e   i : t y p e = " M e a s u r e G r i d V i e w S t a t e I D i a g r a m L i n k E n d p o i n t " / > < / a : K e y V a l u e O f D i a g r a m O b j e c t K e y a n y T y p e z b w N T n L X > < a : K e y V a l u e O f D i a g r a m O b j e c t K e y a n y T y p e z b w N T n L X > < a : K e y > < K e y > L i n k s \ & l t ; C o l u m n s \ S u m   o f   T e n u r e & g t ; - & l t ; M e a s u r e s \ T e n u r e & g t ; < / K e y > < / a : K e y > < a : V a l u e   i : t y p e = " M e a s u r e G r i d V i e w S t a t e I D i a g r a m L i n k " / > < / a : K e y V a l u e O f D i a g r a m O b j e c t K e y a n y T y p e z b w N T n L X > < a : K e y V a l u e O f D i a g r a m O b j e c t K e y a n y T y p e z b w N T n L X > < a : K e y > < K e y > L i n k s \ & l t ; C o l u m n s \ S u m   o f   T e n u r e & g t ; - & l t ; M e a s u r e s \ T e n u r e & g t ; \ C O L U M N < / K e y > < / a : K e y > < a : V a l u e   i : t y p e = " M e a s u r e G r i d V i e w S t a t e I D i a g r a m L i n k E n d p o i n t " / > < / a : K e y V a l u e O f D i a g r a m O b j e c t K e y a n y T y p e z b w N T n L X > < a : K e y V a l u e O f D i a g r a m O b j e c t K e y a n y T y p e z b w N T n L X > < a : K e y > < K e y > L i n k s \ & l t ; C o l u m n s \ S u m   o f   T e n u r e & g t ; - & l t ; M e a s u r e s \ T e n u r e & g t ; \ M E A S U R E < / K e y > < / a : K e y > < a : V a l u e   i : t y p e = " M e a s u r e G r i d V i e w S t a t e I D i a g r a m L i n k E n d p o i n t " / > < / a : K e y V a l u e O f D i a g r a m O b j e c t K e y a n y T y p e z b w N T n L X > < a : K e y V a l u e O f D i a g r a m O b j e c t K e y a n y T y p e z b w N T n L X > < a : K e y > < K e y > L i n k s \ & l t ; C o l u m n s \ D i s t i n c t   C o u n t   o f   T e n u r e & g t ; - & l t ; M e a s u r e s \ T e n u r e & g t ; < / K e y > < / a : K e y > < a : V a l u e   i : t y p e = " M e a s u r e G r i d V i e w S t a t e I D i a g r a m L i n k " / > < / a : K e y V a l u e O f D i a g r a m O b j e c t K e y a n y T y p e z b w N T n L X > < a : K e y V a l u e O f D i a g r a m O b j e c t K e y a n y T y p e z b w N T n L X > < a : K e y > < K e y > L i n k s \ & l t ; C o l u m n s \ D i s t i n c t   C o u n t   o f   T e n u r e & g t ; - & l t ; M e a s u r e s \ T e n u r e & g t ; \ C O L U M N < / K e y > < / a : K e y > < a : V a l u e   i : t y p e = " M e a s u r e G r i d V i e w S t a t e I D i a g r a m L i n k E n d p o i n t " / > < / a : K e y V a l u e O f D i a g r a m O b j e c t K e y a n y T y p e z b w N T n L X > < a : K e y V a l u e O f D i a g r a m O b j e c t K e y a n y T y p e z b w N T n L X > < a : K e y > < K e y > L i n k s \ & l t ; C o l u m n s \ D i s t i n c t   C o u n t   o f   T e n u r e & g t ; - & l t ; M e a s u r e s \ T e n u r e & g t ; \ M E A S U R E < / K e y > < / a : K e y > < a : V a l u e   i : t y p e = " M e a s u r e G r i d V i e w S t a t e I D i a g r a m L i n k E n d p o i n t " / > < / a : K e y V a l u e O f D i a g r a m O b j e c t K e y a n y T y p e z b w N T n L X > < a : K e y V a l u e O f D i a g r a m O b j e c t K e y a n y T y p e z b w N T n L X > < a : K e y > < K e y > L i n k s \ & l t ; C o l u m n s \ A v e r a g e   o f   T e n u r e & g t ; - & l t ; M e a s u r e s \ T e n u r e & g t ; < / K e y > < / a : K e y > < a : V a l u e   i : t y p e = " M e a s u r e G r i d V i e w S t a t e I D i a g r a m L i n k " / > < / a : K e y V a l u e O f D i a g r a m O b j e c t K e y a n y T y p e z b w N T n L X > < a : K e y V a l u e O f D i a g r a m O b j e c t K e y a n y T y p e z b w N T n L X > < a : K e y > < K e y > L i n k s \ & l t ; C o l u m n s \ A v e r a g e   o f   T e n u r e & g t ; - & l t ; M e a s u r e s \ T e n u r e & g t ; \ C O L U M N < / K e y > < / a : K e y > < a : V a l u e   i : t y p e = " M e a s u r e G r i d V i e w S t a t e I D i a g r a m L i n k E n d p o i n t " / > < / a : K e y V a l u e O f D i a g r a m O b j e c t K e y a n y T y p e z b w N T n L X > < a : K e y V a l u e O f D i a g r a m O b j e c t K e y a n y T y p e z b w N T n L X > < a : K e y > < K e y > L i n k s \ & l t ; C o l u m n s \ A v e r a g e   o f   T e n u r e & g t ; - & l t ; M e a s u r e s \ T e n u r e & g t ; \ M E A S U R E < / K e y > < / a : K e y > < a : V a l u e   i : t y p e = " M e a s u r e G r i d V i e w S t a t e I D i a g r a m L i n k E n d p o i n t " / > < / a : K e y V a l u e O f D i a g r a m O b j e c t K e y a n y T y p e z b w N T n L X > < a : K e y V a l u e O f D i a g r a m O b j e c t K e y a n y T y p e z b w N T n L X > < a : K e y > < K e y > L i n k s \ & l t ; C o l u m n s \ A v e r a g e   o f   S a l a r y & g t ; - & l t ; M e a s u r e s \ S a l a r y & g t ; < / K e y > < / a : K e y > < a : V a l u e   i : t y p e = " M e a s u r e G r i d V i e w S t a t e I D i a g r a m L i n k " / > < / a : K e y V a l u e O f D i a g r a m O b j e c t K e y a n y T y p e z b w N T n L X > < a : K e y V a l u e O f D i a g r a m O b j e c t K e y a n y T y p e z b w N T n L X > < a : K e y > < K e y > L i n k s \ & l t ; C o l u m n s \ A v e r a g e   o f   S a l a r y & g t ; - & l t ; M e a s u r e s \ S a l a r y & g t ; \ C O L U M N < / K e y > < / a : K e y > < a : V a l u e   i : t y p e = " M e a s u r e G r i d V i e w S t a t e I D i a g r a m L i n k E n d p o i n t " / > < / a : K e y V a l u e O f D i a g r a m O b j e c t K e y a n y T y p e z b w N T n L X > < a : K e y V a l u e O f D i a g r a m O b j e c t K e y a n y T y p e z b w N T n L X > < a : K e y > < K e y > L i n k s \ & l t ; C o l u m n s \ A v e r a g e   o f   S a l a r y & g t ; - & l t ; M e a s u r e s \ S a l a r y & g t ; \ M E A S U R E 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P o w e r P i v o t V e r s i o n " > < C u s t o m C o n t e n t > < ! [ C D A T A [ 2 0 1 5 . 1 3 0 . 1 6 0 5 . 1 9 9 ] ] > < / 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7.xml>��< ? x m l   v e r s i o n = " 1 . 0 "   e n c o d i n g = " U T F - 1 6 " ? > < G e m i n i   x m l n s = " h t t p : / / g e m i n i / p i v o t c u s t o m i z a t i o n / M a n u a l C a l c M o d e " > < C u s t o m C o n t e n t > < ! [ C D A T A [ F a l s e ] ] > < / C u s t o m C o n t e n t > < / G e m i n i > 
</file>

<file path=customXml/item2.xml>��< ? x m l   v e r s i o n = " 1 . 0 "   e n c o d i n g = " U T F - 1 6 " ? > < G e m i n i   x m l n s = " h t t p : / / g e m i n i / p i v o t c u s t o m i z a t i o n / C l i e n t W i n d o w X M L " > < C u s t o m C o n t e n t > < ! [ C D A T A [ S t a f f ] ] > < / C u s t o m C o n t e n t > < / G e m i n i > 
</file>

<file path=customXml/item3.xml>��< ? x m l   v e r s i o n = " 1 . 0 "   e n c o d i n g = " U T F - 1 6 " ? > < G e m i n i   x m l n s = " h t t p : / / g e m i n i / p i v o t c u s t o m i z a t i o n / I s S a n d b o x E m b e d d e d " > < C u s t o m C o n t e n t > < ! [ C D A T A [ y e s ] ] > < / 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 S t a f f < / 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 S t a f f < / 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 C o l u m n s \ D a t e   J o i n e d < / 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 C o l u m n s \ T e n u r e < / K e y > < / a : K e y > < a : V a l u e   i : t y p e = " T a b l e W i d g e t B a s e V i e w S t a t e " / > < / a : K e y V a l u e O f D i a g r a m O b j e c t K e y a n y T y p e z b w N T n L X > < a : K e y V a l u e O f D i a g r a m O b j e c t K e y a n y T y p e z b w N T n L X > < a : K e y > < K e y > C o l u m n s \ D a t e   J o i n e d   ( Y e a r ) < / K e y > < / a : K e y > < a : V a l u e   i : t y p e = " T a b l e W i d g e t B a s e V i e w S t a t e " / > < / a : K e y V a l u e O f D i a g r a m O b j e c t K e y a n y T y p e z b w N T n L X > < a : K e y V a l u e O f D i a g r a m O b j e c t K e y a n y T y p e z b w N T n L X > < a : K e y > < K e y > C o l u m n s \ D a t e   J o i n e d   ( M o n t h   I n d e x ) < / K e y > < / a : K e y > < a : V a l u e   i : t y p e = " T a b l e W i d g e t B a s e V i e w S t a t e " / > < / a : K e y V a l u e O f D i a g r a m O b j e c t K e y a n y T y p e z b w N T n L X > < a : K e y V a l u e O f D i a g r a m O b j e c t K e y a n y T y p e z b w N T n L X > < a : K e y > < K e y > C o l u m n s \ D a t e   J o i n e d 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O r d e r " > < C u s t o m C o n t e n t > < ! [ C D A T A [ S t a f f ] ] > < / C u s t o m C o n t e n t > < / G e m i n i > 
</file>

<file path=customXml/item8.xml>��< ? x m l   v e r s i o n = " 1 . 0 "   e n c o d i n g = " U T F - 1 6 " ? > < G e m i n i   x m l n s = " h t t p : / / g e m i n i / p i v o t c u s t o m i z a t i o n / S a n d b o x N o n E m p t y " > < C u s t o m C o n t e n t > < ! [ C D A T A [ 1 ] ] > < / 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2868CAC1-D50E-47A6-B96E-946E2E12899D}">
  <ds:schemaRefs/>
</ds:datastoreItem>
</file>

<file path=customXml/itemProps10.xml><?xml version="1.0" encoding="utf-8"?>
<ds:datastoreItem xmlns:ds="http://schemas.openxmlformats.org/officeDocument/2006/customXml" ds:itemID="{3023380D-7C19-4847-8F91-9FB42BC53D9F}">
  <ds:schemaRefs>
    <ds:schemaRef ds:uri="http://schemas.microsoft.com/DataMashup"/>
  </ds:schemaRefs>
</ds:datastoreItem>
</file>

<file path=customXml/itemProps11.xml><?xml version="1.0" encoding="utf-8"?>
<ds:datastoreItem xmlns:ds="http://schemas.openxmlformats.org/officeDocument/2006/customXml" ds:itemID="{67B5E3A6-6FE1-4A73-8161-44519C843DE7}">
  <ds:schemaRefs/>
</ds:datastoreItem>
</file>

<file path=customXml/itemProps12.xml><?xml version="1.0" encoding="utf-8"?>
<ds:datastoreItem xmlns:ds="http://schemas.openxmlformats.org/officeDocument/2006/customXml" ds:itemID="{6A609D17-86FD-4944-B1BE-1AFCB14A3E5E}">
  <ds:schemaRefs/>
</ds:datastoreItem>
</file>

<file path=customXml/itemProps13.xml><?xml version="1.0" encoding="utf-8"?>
<ds:datastoreItem xmlns:ds="http://schemas.openxmlformats.org/officeDocument/2006/customXml" ds:itemID="{15C1B143-B883-4E4F-8904-CEEF3A90011B}">
  <ds:schemaRefs/>
</ds:datastoreItem>
</file>

<file path=customXml/itemProps14.xml><?xml version="1.0" encoding="utf-8"?>
<ds:datastoreItem xmlns:ds="http://schemas.openxmlformats.org/officeDocument/2006/customXml" ds:itemID="{7540C73C-DFCE-4CE2-8AC2-41BA6D26F89F}">
  <ds:schemaRefs/>
</ds:datastoreItem>
</file>

<file path=customXml/itemProps15.xml><?xml version="1.0" encoding="utf-8"?>
<ds:datastoreItem xmlns:ds="http://schemas.openxmlformats.org/officeDocument/2006/customXml" ds:itemID="{C6CCF870-9F62-45BB-BE22-168AB87F0FC2}">
  <ds:schemaRefs/>
</ds:datastoreItem>
</file>

<file path=customXml/itemProps16.xml><?xml version="1.0" encoding="utf-8"?>
<ds:datastoreItem xmlns:ds="http://schemas.openxmlformats.org/officeDocument/2006/customXml" ds:itemID="{4662D682-C21C-48B0-9BEE-C2CC6B2AE03D}">
  <ds:schemaRefs/>
</ds:datastoreItem>
</file>

<file path=customXml/itemProps17.xml><?xml version="1.0" encoding="utf-8"?>
<ds:datastoreItem xmlns:ds="http://schemas.openxmlformats.org/officeDocument/2006/customXml" ds:itemID="{7027D9A0-DC51-44FB-A6EE-9A976B5BEF78}">
  <ds:schemaRefs/>
</ds:datastoreItem>
</file>

<file path=customXml/itemProps2.xml><?xml version="1.0" encoding="utf-8"?>
<ds:datastoreItem xmlns:ds="http://schemas.openxmlformats.org/officeDocument/2006/customXml" ds:itemID="{79CA6412-C5CA-471D-A282-3EB8E85A6C63}">
  <ds:schemaRefs/>
</ds:datastoreItem>
</file>

<file path=customXml/itemProps3.xml><?xml version="1.0" encoding="utf-8"?>
<ds:datastoreItem xmlns:ds="http://schemas.openxmlformats.org/officeDocument/2006/customXml" ds:itemID="{991B7454-1B59-442B-83D0-2756C59D7275}">
  <ds:schemaRefs/>
</ds:datastoreItem>
</file>

<file path=customXml/itemProps4.xml><?xml version="1.0" encoding="utf-8"?>
<ds:datastoreItem xmlns:ds="http://schemas.openxmlformats.org/officeDocument/2006/customXml" ds:itemID="{AEABB4F8-6E6B-4C74-8E64-725F281CA5B0}">
  <ds:schemaRefs/>
</ds:datastoreItem>
</file>

<file path=customXml/itemProps5.xml><?xml version="1.0" encoding="utf-8"?>
<ds:datastoreItem xmlns:ds="http://schemas.openxmlformats.org/officeDocument/2006/customXml" ds:itemID="{BFC0AEC3-82C5-4D37-9943-01550D4E4DCE}">
  <ds:schemaRefs/>
</ds:datastoreItem>
</file>

<file path=customXml/itemProps6.xml><?xml version="1.0" encoding="utf-8"?>
<ds:datastoreItem xmlns:ds="http://schemas.openxmlformats.org/officeDocument/2006/customXml" ds:itemID="{78F39724-B0F0-42EB-A7CA-00B894EF7B72}">
  <ds:schemaRefs/>
</ds:datastoreItem>
</file>

<file path=customXml/itemProps7.xml><?xml version="1.0" encoding="utf-8"?>
<ds:datastoreItem xmlns:ds="http://schemas.openxmlformats.org/officeDocument/2006/customXml" ds:itemID="{E4526230-0DF8-4B2E-9803-957793AEBD05}">
  <ds:schemaRefs/>
</ds:datastoreItem>
</file>

<file path=customXml/itemProps8.xml><?xml version="1.0" encoding="utf-8"?>
<ds:datastoreItem xmlns:ds="http://schemas.openxmlformats.org/officeDocument/2006/customXml" ds:itemID="{2C5C459E-2EC4-4822-BA34-C6D999B0D21D}">
  <ds:schemaRefs/>
</ds:datastoreItem>
</file>

<file path=customXml/itemProps9.xml><?xml version="1.0" encoding="utf-8"?>
<ds:datastoreItem xmlns:ds="http://schemas.openxmlformats.org/officeDocument/2006/customXml" ds:itemID="{7FEF113F-A969-47EF-9316-EDD93421A6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NZ Staff</vt:lpstr>
      <vt:lpstr>IND Staff</vt:lpstr>
      <vt:lpstr>All Staff</vt:lpstr>
      <vt:lpstr>Male vs. Female</vt:lpstr>
      <vt:lpstr>Salary Spread</vt:lpstr>
      <vt:lpstr>Salary vs. Rating</vt:lpstr>
      <vt:lpstr>Sheet6</vt:lpstr>
      <vt:lpstr>Running Total</vt:lpstr>
      <vt:lpstr>NZ vs IND</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Vardaan Chauhan</cp:lastModifiedBy>
  <dcterms:created xsi:type="dcterms:W3CDTF">2021-03-14T20:21:32Z</dcterms:created>
  <dcterms:modified xsi:type="dcterms:W3CDTF">2023-07-27T14:32:53Z</dcterms:modified>
</cp:coreProperties>
</file>