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varela/Development/github/nutreconelalma_v2.2/docs/"/>
    </mc:Choice>
  </mc:AlternateContent>
  <xr:revisionPtr revIDLastSave="0" documentId="13_ncr:1_{A268E9A8-C3B6-F94F-8443-C44CCF7E7592}" xr6:coauthVersionLast="47" xr6:coauthVersionMax="47" xr10:uidLastSave="{00000000-0000-0000-0000-000000000000}"/>
  <bookViews>
    <workbookView xWindow="21360" yWindow="520" windowWidth="25200" windowHeight="25260" xr2:uid="{00000000-000D-0000-FFFF-FFFF00000000}"/>
  </bookViews>
  <sheets>
    <sheet name="Metodo 1 (2)" sheetId="7" r:id="rId1"/>
    <sheet name="Metodo 1" sheetId="1" r:id="rId2"/>
    <sheet name="Metodo 2" sheetId="2" r:id="rId3"/>
    <sheet name="Sheet1" sheetId="3" r:id="rId4"/>
    <sheet name="Hoja Resumen" sheetId="4" r:id="rId5"/>
    <sheet name="APEX" sheetId="5" r:id="rId6"/>
    <sheet name="NUTRIFLEX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9" i="7" l="1"/>
  <c r="D308" i="7"/>
  <c r="D307" i="7"/>
  <c r="D306" i="7"/>
  <c r="D305" i="7"/>
  <c r="D304" i="7"/>
  <c r="D303" i="7"/>
  <c r="D302" i="7"/>
  <c r="D301" i="7"/>
  <c r="D300" i="7"/>
  <c r="D299" i="7"/>
  <c r="D310" i="7" s="1"/>
  <c r="D311" i="7" s="1"/>
  <c r="D312" i="7" s="1"/>
  <c r="D313" i="7" s="1"/>
  <c r="B173" i="7" s="1"/>
  <c r="C290" i="7"/>
  <c r="G279" i="7"/>
  <c r="C279" i="7"/>
  <c r="G278" i="7"/>
  <c r="C278" i="7"/>
  <c r="G277" i="7"/>
  <c r="C277" i="7"/>
  <c r="G276" i="7"/>
  <c r="C276" i="7"/>
  <c r="G275" i="7"/>
  <c r="C275" i="7"/>
  <c r="G274" i="7"/>
  <c r="C274" i="7"/>
  <c r="G273" i="7"/>
  <c r="C273" i="7"/>
  <c r="G272" i="7"/>
  <c r="C272" i="7"/>
  <c r="G271" i="7"/>
  <c r="C271" i="7"/>
  <c r="G270" i="7"/>
  <c r="G281" i="7" s="1"/>
  <c r="G282" i="7" s="1"/>
  <c r="G283" i="7" s="1"/>
  <c r="B178" i="7" s="1"/>
  <c r="C270" i="7"/>
  <c r="C280" i="7" s="1"/>
  <c r="C281" i="7" s="1"/>
  <c r="C283" i="7" s="1"/>
  <c r="B176" i="7" s="1"/>
  <c r="C260" i="7"/>
  <c r="B257" i="7"/>
  <c r="D257" i="7" s="1"/>
  <c r="D256" i="7"/>
  <c r="D255" i="7"/>
  <c r="D259" i="7" s="1"/>
  <c r="B171" i="7" s="1"/>
  <c r="D254" i="7"/>
  <c r="D253" i="7"/>
  <c r="D252" i="7"/>
  <c r="D251" i="7"/>
  <c r="D250" i="7"/>
  <c r="D249" i="7"/>
  <c r="D248" i="7"/>
  <c r="D247" i="7"/>
  <c r="D246" i="7"/>
  <c r="D245" i="7"/>
  <c r="D244" i="7"/>
  <c r="D243" i="7"/>
  <c r="B236" i="7"/>
  <c r="D236" i="7" s="1"/>
  <c r="D235" i="7"/>
  <c r="D238" i="7" s="1"/>
  <c r="B170" i="7" s="1"/>
  <c r="B235" i="7"/>
  <c r="D234" i="7"/>
  <c r="D233" i="7"/>
  <c r="D232" i="7"/>
  <c r="D225" i="7"/>
  <c r="D224" i="7"/>
  <c r="D223" i="7"/>
  <c r="D222" i="7"/>
  <c r="D221" i="7"/>
  <c r="D227" i="7" s="1"/>
  <c r="B169" i="7" s="1"/>
  <c r="D214" i="7"/>
  <c r="B214" i="7"/>
  <c r="D213" i="7"/>
  <c r="D212" i="7"/>
  <c r="D215" i="7" s="1"/>
  <c r="B168" i="7" s="1"/>
  <c r="X209" i="7"/>
  <c r="V209" i="7"/>
  <c r="X208" i="7"/>
  <c r="O208" i="7"/>
  <c r="M208" i="7"/>
  <c r="X207" i="7"/>
  <c r="X206" i="7"/>
  <c r="X205" i="7"/>
  <c r="G205" i="7"/>
  <c r="E205" i="7"/>
  <c r="X204" i="7"/>
  <c r="O204" i="7"/>
  <c r="X203" i="7"/>
  <c r="O203" i="7"/>
  <c r="E203" i="7"/>
  <c r="X202" i="7"/>
  <c r="O202" i="7"/>
  <c r="X201" i="7"/>
  <c r="O201" i="7"/>
  <c r="G201" i="7"/>
  <c r="X200" i="7"/>
  <c r="O200" i="7"/>
  <c r="G200" i="7"/>
  <c r="G199" i="7"/>
  <c r="V197" i="7"/>
  <c r="O197" i="7"/>
  <c r="V196" i="7"/>
  <c r="O196" i="7"/>
  <c r="M196" i="7"/>
  <c r="G196" i="7"/>
  <c r="E196" i="7"/>
  <c r="V195" i="7"/>
  <c r="O195" i="7"/>
  <c r="M195" i="7"/>
  <c r="E195" i="7"/>
  <c r="G195" i="7" s="1"/>
  <c r="X194" i="7"/>
  <c r="V194" i="7"/>
  <c r="O194" i="7"/>
  <c r="M194" i="7"/>
  <c r="E194" i="7"/>
  <c r="V193" i="7"/>
  <c r="O193" i="7"/>
  <c r="M193" i="7"/>
  <c r="G193" i="7"/>
  <c r="E193" i="7"/>
  <c r="X192" i="7"/>
  <c r="V192" i="7"/>
  <c r="O192" i="7"/>
  <c r="M192" i="7"/>
  <c r="G192" i="7"/>
  <c r="E192" i="7"/>
  <c r="X191" i="7"/>
  <c r="V191" i="7"/>
  <c r="O191" i="7"/>
  <c r="M191" i="7"/>
  <c r="G191" i="7"/>
  <c r="E191" i="7"/>
  <c r="E206" i="7" s="1"/>
  <c r="X190" i="7"/>
  <c r="V190" i="7"/>
  <c r="O190" i="7"/>
  <c r="M190" i="7"/>
  <c r="G190" i="7"/>
  <c r="E190" i="7"/>
  <c r="X189" i="7"/>
  <c r="V189" i="7"/>
  <c r="O189" i="7"/>
  <c r="M189" i="7"/>
  <c r="G189" i="7"/>
  <c r="X188" i="7"/>
  <c r="V188" i="7"/>
  <c r="M188" i="7"/>
  <c r="O188" i="7" s="1"/>
  <c r="G188" i="7"/>
  <c r="X187" i="7"/>
  <c r="X210" i="7" s="1"/>
  <c r="E177" i="7" s="1"/>
  <c r="V187" i="7"/>
  <c r="O187" i="7"/>
  <c r="O209" i="7" s="1"/>
  <c r="M187" i="7"/>
  <c r="M209" i="7" s="1"/>
  <c r="G187" i="7"/>
  <c r="X186" i="7"/>
  <c r="V186" i="7"/>
  <c r="V210" i="7" s="1"/>
  <c r="M186" i="7"/>
  <c r="E186" i="7"/>
  <c r="G186" i="7" s="1"/>
  <c r="G206" i="7" s="1"/>
  <c r="D161" i="7"/>
  <c r="D148" i="7"/>
  <c r="D147" i="7"/>
  <c r="D146" i="7"/>
  <c r="D145" i="7"/>
  <c r="D144" i="7"/>
  <c r="D143" i="7"/>
  <c r="D142" i="7"/>
  <c r="D141" i="7"/>
  <c r="D140" i="7"/>
  <c r="D139" i="7"/>
  <c r="D138" i="7"/>
  <c r="D149" i="7" s="1"/>
  <c r="D150" i="7" s="1"/>
  <c r="D151" i="7" s="1"/>
  <c r="D152" i="7" s="1"/>
  <c r="B13" i="7" s="1"/>
  <c r="C130" i="7"/>
  <c r="C129" i="7"/>
  <c r="C128" i="7"/>
  <c r="G115" i="7"/>
  <c r="C115" i="7"/>
  <c r="G114" i="7"/>
  <c r="C114" i="7"/>
  <c r="G113" i="7"/>
  <c r="C113" i="7"/>
  <c r="G112" i="7"/>
  <c r="C112" i="7"/>
  <c r="G111" i="7"/>
  <c r="C111" i="7"/>
  <c r="G110" i="7"/>
  <c r="C110" i="7"/>
  <c r="G109" i="7"/>
  <c r="C109" i="7"/>
  <c r="G108" i="7"/>
  <c r="C108" i="7"/>
  <c r="G107" i="7"/>
  <c r="C107" i="7"/>
  <c r="G106" i="7"/>
  <c r="G117" i="7" s="1"/>
  <c r="G118" i="7" s="1"/>
  <c r="G119" i="7" s="1"/>
  <c r="B20" i="7" s="1"/>
  <c r="C106" i="7"/>
  <c r="C116" i="7" s="1"/>
  <c r="C117" i="7" s="1"/>
  <c r="C119" i="7" s="1"/>
  <c r="B93" i="7"/>
  <c r="D93" i="7" s="1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2" i="7"/>
  <c r="B72" i="7"/>
  <c r="B71" i="7"/>
  <c r="D71" i="7" s="1"/>
  <c r="D74" i="7" s="1"/>
  <c r="B12" i="7" s="1"/>
  <c r="D70" i="7"/>
  <c r="D69" i="7"/>
  <c r="D68" i="7"/>
  <c r="D61" i="7"/>
  <c r="D60" i="7"/>
  <c r="D59" i="7"/>
  <c r="D58" i="7"/>
  <c r="D57" i="7"/>
  <c r="D63" i="7" s="1"/>
  <c r="B11" i="7" s="1"/>
  <c r="X52" i="7"/>
  <c r="V52" i="7"/>
  <c r="X51" i="7"/>
  <c r="O51" i="7"/>
  <c r="M51" i="7"/>
  <c r="X50" i="7"/>
  <c r="M50" i="7"/>
  <c r="G50" i="7"/>
  <c r="E50" i="7"/>
  <c r="X49" i="7"/>
  <c r="O49" i="7"/>
  <c r="M49" i="7"/>
  <c r="E49" i="7"/>
  <c r="X48" i="7"/>
  <c r="O48" i="7"/>
  <c r="M48" i="7"/>
  <c r="E48" i="7"/>
  <c r="X47" i="7"/>
  <c r="O47" i="7"/>
  <c r="M47" i="7"/>
  <c r="E47" i="7"/>
  <c r="X46" i="7"/>
  <c r="O46" i="7"/>
  <c r="M46" i="7"/>
  <c r="G46" i="7"/>
  <c r="E46" i="7"/>
  <c r="X45" i="7"/>
  <c r="O45" i="7"/>
  <c r="M45" i="7"/>
  <c r="G45" i="7"/>
  <c r="E45" i="7"/>
  <c r="X44" i="7"/>
  <c r="M44" i="7"/>
  <c r="G44" i="7"/>
  <c r="E44" i="7"/>
  <c r="X43" i="7"/>
  <c r="M43" i="7"/>
  <c r="E43" i="7"/>
  <c r="X42" i="7"/>
  <c r="V42" i="7"/>
  <c r="O42" i="7"/>
  <c r="M42" i="7"/>
  <c r="E42" i="7"/>
  <c r="X41" i="7"/>
  <c r="V41" i="7"/>
  <c r="O41" i="7"/>
  <c r="M41" i="7"/>
  <c r="G41" i="7"/>
  <c r="E41" i="7"/>
  <c r="X40" i="7"/>
  <c r="V40" i="7"/>
  <c r="M40" i="7"/>
  <c r="O40" i="7" s="1"/>
  <c r="E40" i="7"/>
  <c r="G40" i="7" s="1"/>
  <c r="X39" i="7"/>
  <c r="V39" i="7"/>
  <c r="O39" i="7"/>
  <c r="M39" i="7"/>
  <c r="E39" i="7"/>
  <c r="X38" i="7"/>
  <c r="V38" i="7"/>
  <c r="O38" i="7"/>
  <c r="M38" i="7"/>
  <c r="G38" i="7"/>
  <c r="E38" i="7"/>
  <c r="X37" i="7"/>
  <c r="V37" i="7"/>
  <c r="O37" i="7"/>
  <c r="M37" i="7"/>
  <c r="G37" i="7"/>
  <c r="E37" i="7"/>
  <c r="X36" i="7"/>
  <c r="V36" i="7"/>
  <c r="O36" i="7"/>
  <c r="M36" i="7"/>
  <c r="G36" i="7"/>
  <c r="E36" i="7"/>
  <c r="X35" i="7"/>
  <c r="V35" i="7"/>
  <c r="O35" i="7"/>
  <c r="M35" i="7"/>
  <c r="G35" i="7"/>
  <c r="E35" i="7"/>
  <c r="X34" i="7"/>
  <c r="V34" i="7"/>
  <c r="O34" i="7"/>
  <c r="M34" i="7"/>
  <c r="G34" i="7"/>
  <c r="E34" i="7"/>
  <c r="X33" i="7"/>
  <c r="X53" i="7" s="1"/>
  <c r="V33" i="7"/>
  <c r="V53" i="7" s="1"/>
  <c r="M33" i="7"/>
  <c r="O33" i="7" s="1"/>
  <c r="O52" i="7" s="1"/>
  <c r="G33" i="7"/>
  <c r="E33" i="7"/>
  <c r="X32" i="7"/>
  <c r="V32" i="7"/>
  <c r="O32" i="7"/>
  <c r="M32" i="7"/>
  <c r="G32" i="7"/>
  <c r="E32" i="7"/>
  <c r="X31" i="7"/>
  <c r="V31" i="7"/>
  <c r="M31" i="7"/>
  <c r="M52" i="7" s="1"/>
  <c r="E31" i="7"/>
  <c r="G31" i="7" s="1"/>
  <c r="G51" i="7" s="1"/>
  <c r="B17" i="7"/>
  <c r="B18" i="7" s="1"/>
  <c r="E4" i="7"/>
  <c r="C293" i="7" s="1"/>
  <c r="C280" i="1"/>
  <c r="D16" i="5"/>
  <c r="D11" i="5"/>
  <c r="D12" i="5"/>
  <c r="D13" i="5"/>
  <c r="D14" i="5"/>
  <c r="D15" i="5"/>
  <c r="D10" i="5"/>
  <c r="B22" i="1"/>
  <c r="E26" i="4"/>
  <c r="E7" i="4"/>
  <c r="B7" i="4"/>
  <c r="B214" i="1"/>
  <c r="D214" i="1" s="1"/>
  <c r="B165" i="1"/>
  <c r="X31" i="1"/>
  <c r="X186" i="1"/>
  <c r="X205" i="1"/>
  <c r="X206" i="1"/>
  <c r="X207" i="1"/>
  <c r="X208" i="1"/>
  <c r="X209" i="1"/>
  <c r="X204" i="1"/>
  <c r="B17" i="1"/>
  <c r="X45" i="1"/>
  <c r="C270" i="1"/>
  <c r="C260" i="1"/>
  <c r="C271" i="1"/>
  <c r="D213" i="1"/>
  <c r="D212" i="1"/>
  <c r="D138" i="1"/>
  <c r="E4" i="1"/>
  <c r="C126" i="1" s="1"/>
  <c r="V52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6" i="1"/>
  <c r="X47" i="1"/>
  <c r="X48" i="1"/>
  <c r="X49" i="1"/>
  <c r="X50" i="1"/>
  <c r="X51" i="1"/>
  <c r="X52" i="1"/>
  <c r="M42" i="1"/>
  <c r="M43" i="1"/>
  <c r="M44" i="1"/>
  <c r="M45" i="1"/>
  <c r="M46" i="1"/>
  <c r="M47" i="1"/>
  <c r="M48" i="1"/>
  <c r="M49" i="1"/>
  <c r="M50" i="1"/>
  <c r="M51" i="1"/>
  <c r="G33" i="1"/>
  <c r="E32" i="1"/>
  <c r="E33" i="1"/>
  <c r="E34" i="1"/>
  <c r="E50" i="1"/>
  <c r="E43" i="1"/>
  <c r="E44" i="1"/>
  <c r="E45" i="1"/>
  <c r="E46" i="1"/>
  <c r="E47" i="1"/>
  <c r="E48" i="1"/>
  <c r="E49" i="1"/>
  <c r="E42" i="1"/>
  <c r="E41" i="1"/>
  <c r="D299" i="1"/>
  <c r="V209" i="1"/>
  <c r="X203" i="1"/>
  <c r="X202" i="1"/>
  <c r="X201" i="1"/>
  <c r="X200" i="1"/>
  <c r="V197" i="1"/>
  <c r="V196" i="1"/>
  <c r="V195" i="1"/>
  <c r="X194" i="1"/>
  <c r="V194" i="1"/>
  <c r="V193" i="1"/>
  <c r="X192" i="1"/>
  <c r="V192" i="1"/>
  <c r="X191" i="1"/>
  <c r="V191" i="1"/>
  <c r="X190" i="1"/>
  <c r="V190" i="1"/>
  <c r="X189" i="1"/>
  <c r="V189" i="1"/>
  <c r="X188" i="1"/>
  <c r="V188" i="1"/>
  <c r="X187" i="1"/>
  <c r="V187" i="1"/>
  <c r="V186" i="1"/>
  <c r="O208" i="1"/>
  <c r="M208" i="1"/>
  <c r="O204" i="1"/>
  <c r="O203" i="1"/>
  <c r="O202" i="1"/>
  <c r="O201" i="1"/>
  <c r="O200" i="1"/>
  <c r="O197" i="1"/>
  <c r="O196" i="1"/>
  <c r="M196" i="1"/>
  <c r="M195" i="1"/>
  <c r="O195" i="1" s="1"/>
  <c r="O194" i="1"/>
  <c r="M194" i="1"/>
  <c r="O193" i="1"/>
  <c r="M193" i="1"/>
  <c r="O192" i="1"/>
  <c r="M192" i="1"/>
  <c r="O191" i="1"/>
  <c r="M191" i="1"/>
  <c r="O190" i="1"/>
  <c r="M190" i="1"/>
  <c r="O189" i="1"/>
  <c r="M189" i="1"/>
  <c r="M188" i="1"/>
  <c r="O188" i="1" s="1"/>
  <c r="O187" i="1"/>
  <c r="M187" i="1"/>
  <c r="M186" i="1"/>
  <c r="G205" i="1"/>
  <c r="E205" i="1"/>
  <c r="E203" i="1"/>
  <c r="G201" i="1"/>
  <c r="G200" i="1"/>
  <c r="G199" i="1"/>
  <c r="G196" i="1"/>
  <c r="E196" i="1"/>
  <c r="E195" i="1"/>
  <c r="G195" i="1" s="1"/>
  <c r="E194" i="1"/>
  <c r="G193" i="1"/>
  <c r="E193" i="1"/>
  <c r="G192" i="1"/>
  <c r="E192" i="1"/>
  <c r="G191" i="1"/>
  <c r="E191" i="1"/>
  <c r="G190" i="1"/>
  <c r="E190" i="1"/>
  <c r="G189" i="1"/>
  <c r="G188" i="1"/>
  <c r="G187" i="1"/>
  <c r="E186" i="1"/>
  <c r="G186" i="1" s="1"/>
  <c r="V42" i="1"/>
  <c r="M41" i="1"/>
  <c r="M39" i="1"/>
  <c r="M38" i="1"/>
  <c r="M37" i="1"/>
  <c r="M36" i="1"/>
  <c r="M35" i="1"/>
  <c r="E39" i="1"/>
  <c r="E38" i="1"/>
  <c r="E37" i="1"/>
  <c r="E36" i="1"/>
  <c r="E35" i="1"/>
  <c r="G50" i="1"/>
  <c r="O49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G270" i="1"/>
  <c r="V38" i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9" i="3"/>
  <c r="V39" i="1"/>
  <c r="V35" i="1"/>
  <c r="V31" i="1"/>
  <c r="V41" i="1"/>
  <c r="V40" i="1"/>
  <c r="V37" i="1"/>
  <c r="V36" i="1"/>
  <c r="V34" i="1"/>
  <c r="V33" i="1"/>
  <c r="V32" i="1"/>
  <c r="O51" i="1"/>
  <c r="O48" i="1"/>
  <c r="O47" i="1"/>
  <c r="O46" i="1"/>
  <c r="O45" i="1"/>
  <c r="O42" i="1"/>
  <c r="O41" i="1"/>
  <c r="M40" i="1"/>
  <c r="O40" i="1" s="1"/>
  <c r="O39" i="1"/>
  <c r="O38" i="1"/>
  <c r="O37" i="1"/>
  <c r="O36" i="1"/>
  <c r="O35" i="1"/>
  <c r="O34" i="1"/>
  <c r="M34" i="1"/>
  <c r="M33" i="1"/>
  <c r="O33" i="1" s="1"/>
  <c r="O32" i="1"/>
  <c r="M32" i="1"/>
  <c r="M31" i="1"/>
  <c r="G32" i="1"/>
  <c r="G34" i="1"/>
  <c r="G35" i="1"/>
  <c r="G36" i="1"/>
  <c r="G37" i="1"/>
  <c r="G38" i="1"/>
  <c r="G41" i="1"/>
  <c r="G44" i="1"/>
  <c r="G45" i="1"/>
  <c r="G46" i="1"/>
  <c r="E40" i="1"/>
  <c r="G40" i="1" s="1"/>
  <c r="E31" i="1"/>
  <c r="G31" i="1" s="1"/>
  <c r="D161" i="1"/>
  <c r="B236" i="1"/>
  <c r="D236" i="1" s="1"/>
  <c r="B235" i="1"/>
  <c r="D235" i="1" s="1"/>
  <c r="D234" i="1"/>
  <c r="D233" i="1"/>
  <c r="D232" i="1"/>
  <c r="B72" i="1"/>
  <c r="D72" i="1" s="1"/>
  <c r="B71" i="1"/>
  <c r="D71" i="1" s="1"/>
  <c r="D68" i="1"/>
  <c r="D148" i="1"/>
  <c r="D147" i="1"/>
  <c r="D146" i="1"/>
  <c r="D145" i="1"/>
  <c r="D144" i="1"/>
  <c r="D143" i="1"/>
  <c r="D142" i="1"/>
  <c r="D141" i="1"/>
  <c r="D140" i="1"/>
  <c r="D139" i="1"/>
  <c r="D300" i="1"/>
  <c r="D301" i="1"/>
  <c r="D302" i="1"/>
  <c r="D303" i="1"/>
  <c r="D304" i="1"/>
  <c r="D305" i="1"/>
  <c r="D306" i="1"/>
  <c r="D307" i="1"/>
  <c r="D308" i="1"/>
  <c r="D309" i="1"/>
  <c r="D248" i="1"/>
  <c r="D247" i="1"/>
  <c r="D249" i="1"/>
  <c r="D243" i="1"/>
  <c r="D244" i="1"/>
  <c r="D245" i="1"/>
  <c r="D246" i="1"/>
  <c r="D250" i="1"/>
  <c r="D82" i="1"/>
  <c r="D83" i="1"/>
  <c r="D84" i="1"/>
  <c r="D85" i="1"/>
  <c r="D86" i="1"/>
  <c r="B257" i="1"/>
  <c r="D257" i="1" s="1"/>
  <c r="D256" i="1"/>
  <c r="D255" i="1"/>
  <c r="D254" i="1"/>
  <c r="D253" i="1"/>
  <c r="D252" i="1"/>
  <c r="D251" i="1"/>
  <c r="D225" i="1"/>
  <c r="D224" i="1"/>
  <c r="D223" i="1"/>
  <c r="D222" i="1"/>
  <c r="D221" i="1"/>
  <c r="D69" i="1"/>
  <c r="D70" i="1"/>
  <c r="D88" i="1"/>
  <c r="B93" i="1"/>
  <c r="D93" i="1" s="1"/>
  <c r="D80" i="1"/>
  <c r="D81" i="1"/>
  <c r="D87" i="1"/>
  <c r="D90" i="1"/>
  <c r="D91" i="1"/>
  <c r="D92" i="1"/>
  <c r="D79" i="1"/>
  <c r="D89" i="1"/>
  <c r="D58" i="1"/>
  <c r="D59" i="1"/>
  <c r="D60" i="1"/>
  <c r="D61" i="1"/>
  <c r="D57" i="1"/>
  <c r="H49" i="2"/>
  <c r="C49" i="2"/>
  <c r="H48" i="2"/>
  <c r="C48" i="2"/>
  <c r="H47" i="2"/>
  <c r="C47" i="2"/>
  <c r="H46" i="2"/>
  <c r="C46" i="2"/>
  <c r="H45" i="2"/>
  <c r="C45" i="2"/>
  <c r="H44" i="2"/>
  <c r="C44" i="2"/>
  <c r="H43" i="2"/>
  <c r="C43" i="2"/>
  <c r="H42" i="2"/>
  <c r="H51" i="2" s="1"/>
  <c r="H52" i="2" s="1"/>
  <c r="H53" i="2" s="1"/>
  <c r="C42" i="2"/>
  <c r="C50" i="2" s="1"/>
  <c r="C51" i="2" s="1"/>
  <c r="C52" i="2" s="1"/>
  <c r="H41" i="2"/>
  <c r="C41" i="2"/>
  <c r="H40" i="2"/>
  <c r="C40" i="2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F21" i="2"/>
  <c r="E21" i="2"/>
  <c r="E20" i="2"/>
  <c r="F20" i="2" s="1"/>
  <c r="E19" i="2"/>
  <c r="F19" i="2" s="1"/>
  <c r="E18" i="2"/>
  <c r="F18" i="2" s="1"/>
  <c r="F31" i="2" s="1"/>
  <c r="G107" i="1"/>
  <c r="G108" i="1"/>
  <c r="G109" i="1"/>
  <c r="G110" i="1"/>
  <c r="G111" i="1"/>
  <c r="G112" i="1"/>
  <c r="G113" i="1"/>
  <c r="G114" i="1"/>
  <c r="G115" i="1"/>
  <c r="G106" i="1"/>
  <c r="C107" i="1"/>
  <c r="C108" i="1"/>
  <c r="C109" i="1"/>
  <c r="C110" i="1"/>
  <c r="C111" i="1"/>
  <c r="C112" i="1"/>
  <c r="C113" i="1"/>
  <c r="C114" i="1"/>
  <c r="C115" i="1"/>
  <c r="C106" i="1"/>
  <c r="E178" i="7" l="1"/>
  <c r="B166" i="7"/>
  <c r="E179" i="7"/>
  <c r="B167" i="7"/>
  <c r="F20" i="7"/>
  <c r="B9" i="7"/>
  <c r="C166" i="7" s="1"/>
  <c r="D95" i="7"/>
  <c r="B15" i="7" s="1"/>
  <c r="E180" i="7"/>
  <c r="F19" i="7"/>
  <c r="B8" i="7"/>
  <c r="C165" i="7" s="1"/>
  <c r="B165" i="7" s="1"/>
  <c r="B10" i="7"/>
  <c r="C167" i="7" s="1"/>
  <c r="F21" i="7"/>
  <c r="E51" i="7"/>
  <c r="C126" i="7"/>
  <c r="C131" i="7" s="1"/>
  <c r="B14" i="7" s="1"/>
  <c r="B22" i="7" s="1"/>
  <c r="C127" i="7"/>
  <c r="C289" i="7"/>
  <c r="C291" i="7"/>
  <c r="C292" i="7"/>
  <c r="C293" i="1"/>
  <c r="C129" i="1"/>
  <c r="C127" i="1"/>
  <c r="C290" i="1"/>
  <c r="C128" i="1"/>
  <c r="C291" i="1"/>
  <c r="C292" i="1"/>
  <c r="C289" i="1"/>
  <c r="X53" i="1"/>
  <c r="B8" i="1" s="1"/>
  <c r="C130" i="1"/>
  <c r="X210" i="1"/>
  <c r="V210" i="1"/>
  <c r="V53" i="1"/>
  <c r="M209" i="1"/>
  <c r="G206" i="1"/>
  <c r="M52" i="1"/>
  <c r="O209" i="1"/>
  <c r="E206" i="1"/>
  <c r="G51" i="1"/>
  <c r="F21" i="1" s="1"/>
  <c r="E51" i="1"/>
  <c r="C281" i="1"/>
  <c r="C283" i="1" s="1"/>
  <c r="B176" i="1" s="1"/>
  <c r="G281" i="1"/>
  <c r="G282" i="1" s="1"/>
  <c r="G283" i="1" s="1"/>
  <c r="B178" i="1" s="1"/>
  <c r="O52" i="1"/>
  <c r="D238" i="1"/>
  <c r="D149" i="1"/>
  <c r="D150" i="1" s="1"/>
  <c r="D151" i="1" s="1"/>
  <c r="D152" i="1" s="1"/>
  <c r="D310" i="1"/>
  <c r="D311" i="1" s="1"/>
  <c r="D312" i="1" s="1"/>
  <c r="D313" i="1" s="1"/>
  <c r="D259" i="1"/>
  <c r="B171" i="1" s="1"/>
  <c r="D95" i="1"/>
  <c r="B15" i="1" s="1"/>
  <c r="D227" i="1"/>
  <c r="B169" i="1" s="1"/>
  <c r="D74" i="1"/>
  <c r="B12" i="1" s="1"/>
  <c r="D63" i="1"/>
  <c r="B11" i="1" s="1"/>
  <c r="D215" i="1"/>
  <c r="B168" i="1" s="1"/>
  <c r="B180" i="1" s="1"/>
  <c r="G117" i="1"/>
  <c r="G118" i="1" s="1"/>
  <c r="G119" i="1" s="1"/>
  <c r="B20" i="1" s="1"/>
  <c r="C116" i="1"/>
  <c r="C117" i="1" s="1"/>
  <c r="C119" i="1" s="1"/>
  <c r="B18" i="1" s="1"/>
  <c r="F22" i="7" l="1"/>
  <c r="C294" i="7"/>
  <c r="B172" i="7" s="1"/>
  <c r="B180" i="7" s="1"/>
  <c r="C165" i="1"/>
  <c r="C294" i="1"/>
  <c r="B172" i="1" s="1"/>
  <c r="C131" i="1"/>
  <c r="B14" i="1" s="1"/>
  <c r="B166" i="1"/>
  <c r="E178" i="1"/>
  <c r="B167" i="1"/>
  <c r="E179" i="1"/>
  <c r="E177" i="1"/>
  <c r="B10" i="1"/>
  <c r="C167" i="1" s="1"/>
  <c r="F19" i="1"/>
  <c r="B9" i="1"/>
  <c r="C166" i="1" s="1"/>
  <c r="F20" i="1"/>
  <c r="B13" i="1"/>
  <c r="B173" i="1"/>
  <c r="B170" i="1"/>
  <c r="E180" i="1" l="1"/>
  <c r="F22" i="1"/>
</calcChain>
</file>

<file path=xl/sharedStrings.xml><?xml version="1.0" encoding="utf-8"?>
<sst xmlns="http://schemas.openxmlformats.org/spreadsheetml/2006/main" count="1151" uniqueCount="226">
  <si>
    <t>Variables de Costo</t>
  </si>
  <si>
    <t>Costo de materiales de proteccion personal</t>
  </si>
  <si>
    <t>Costos materiales de higiene y limpieza</t>
  </si>
  <si>
    <t>Costos equipo esteril</t>
  </si>
  <si>
    <t>Horas de químico farmacéutico para 1 nutrición parenteral</t>
  </si>
  <si>
    <t>Costo por químico farmacéutico requerido para preparación</t>
  </si>
  <si>
    <t xml:space="preserve"> </t>
  </si>
  <si>
    <t>Horas por Auxiliar de enfermería para 1 nutrición parenteral</t>
  </si>
  <si>
    <t>Costos de producción</t>
  </si>
  <si>
    <t>Total de costos preparación Manual 1 nutrición parenteral</t>
  </si>
  <si>
    <t>Análisis de Costos Central de Mezclas Manual</t>
  </si>
  <si>
    <t>Costos de Materia prima</t>
  </si>
  <si>
    <t>Detalle</t>
  </si>
  <si>
    <t>Cantidad (ml)</t>
  </si>
  <si>
    <t>Cantidad (unidad)</t>
  </si>
  <si>
    <t>Costo Unitario (2012)</t>
  </si>
  <si>
    <t>Costo Total (2012)</t>
  </si>
  <si>
    <t>Costo Unitario (2024)</t>
  </si>
  <si>
    <t>Costo Total (2024)</t>
  </si>
  <si>
    <t>Aminoácidos Cristalinos (Primene) Frasco Vital x 100cc</t>
  </si>
  <si>
    <t>Dextrosa al 50% Bolsa x 500cc</t>
  </si>
  <si>
    <t>Fosfato de potasio vial x 10cc</t>
  </si>
  <si>
    <t>Cloruro de sodio (Natrol) vial x 10cc</t>
  </si>
  <si>
    <t>Cloruro de potasio (Katrol) vial x 10cc</t>
  </si>
  <si>
    <t>Sulfato de magnesio vial x 10 cc</t>
  </si>
  <si>
    <t>Gluconato de calcio vial x 10cc</t>
  </si>
  <si>
    <t>Vial x5cc</t>
  </si>
  <si>
    <t>Vial x 4cc</t>
  </si>
  <si>
    <t>Vial x 1cc</t>
  </si>
  <si>
    <t>Bolsa x 500cc</t>
  </si>
  <si>
    <t>Lípidos (Lipofundin) Frasco vial x 100 cc</t>
  </si>
  <si>
    <t>Total</t>
  </si>
  <si>
    <t xml:space="preserve">Materiales Protección personal </t>
  </si>
  <si>
    <t>Costo Unitario</t>
  </si>
  <si>
    <t>Costo Total</t>
  </si>
  <si>
    <t>Guantes estériles desechables (par)</t>
  </si>
  <si>
    <r>
      <t>Bata estéril</t>
    </r>
    <r>
      <rPr>
        <sz val="11"/>
        <color theme="1"/>
        <rFont val="Calibri"/>
        <family val="2"/>
        <scheme val="minor"/>
      </rPr>
      <t xml:space="preserve"> de un solo uso</t>
    </r>
  </si>
  <si>
    <t>Gorro desechable</t>
  </si>
  <si>
    <t>Mascarilla quirúrgica</t>
  </si>
  <si>
    <t>Cubrezapatos desechables</t>
  </si>
  <si>
    <t>Materiales para Higiene y Limpieza</t>
  </si>
  <si>
    <r>
      <t>Solución antiséptica</t>
    </r>
    <r>
      <rPr>
        <sz val="11"/>
        <color theme="1"/>
        <rFont val="Calibri"/>
        <family val="2"/>
        <scheme val="minor"/>
      </rPr>
      <t xml:space="preserve"> para lavado de manos (clorhexidina o alcohol al 70%).</t>
    </r>
  </si>
  <si>
    <r>
      <t>Paños estériles</t>
    </r>
    <r>
      <rPr>
        <sz val="11"/>
        <color theme="1"/>
        <rFont val="Calibri"/>
        <family val="2"/>
        <scheme val="minor"/>
      </rPr>
      <t xml:space="preserve"> para limpieza de superficies.</t>
    </r>
  </si>
  <si>
    <t>Alcohol al 70%</t>
  </si>
  <si>
    <t>Peróxido de hidrógeno acelerado</t>
  </si>
  <si>
    <t>Cloruro de benzalconio</t>
  </si>
  <si>
    <t>Equipo de Trabajo Estéril:</t>
  </si>
  <si>
    <t>Jeringas estériles de 5 mL</t>
  </si>
  <si>
    <t>Jeringas estériles de 10 mL</t>
  </si>
  <si>
    <t>Jeringas estériles de 20 mL</t>
  </si>
  <si>
    <r>
      <t>Etiquetas estériles</t>
    </r>
    <r>
      <rPr>
        <sz val="11"/>
        <color theme="1"/>
        <rFont val="Calibri"/>
        <family val="2"/>
        <scheme val="minor"/>
      </rPr>
      <t xml:space="preserve"> para identificar cada bolsa.</t>
    </r>
  </si>
  <si>
    <t>Toallas absorbentes desechables</t>
  </si>
  <si>
    <t>Contenedores para residuos cortopunzantes</t>
  </si>
  <si>
    <t xml:space="preserve">Ajujas esteriles </t>
  </si>
  <si>
    <t>Bolsa roja para residuos biológicos</t>
  </si>
  <si>
    <t>Bolsa negra para residuos no contaminados</t>
  </si>
  <si>
    <t>Bolígrafos para etiquetado de soluciones.</t>
  </si>
  <si>
    <t>Costos de horas / persona</t>
  </si>
  <si>
    <t>horas de trabajo al mes</t>
  </si>
  <si>
    <t>Personal Requerido para preparación</t>
  </si>
  <si>
    <t>Salario de Químico Farmacéutico</t>
  </si>
  <si>
    <t>Formula</t>
  </si>
  <si>
    <t>Valor (COP)</t>
  </si>
  <si>
    <t>Descomposición salarial Auxiliar de farmacia</t>
  </si>
  <si>
    <t>Salario Básico</t>
  </si>
  <si>
    <t>Costo Empresa</t>
  </si>
  <si>
    <t>Auxilio de Transporte</t>
  </si>
  <si>
    <t>Cesantías</t>
  </si>
  <si>
    <t>Primas</t>
  </si>
  <si>
    <t>Vacaciones</t>
  </si>
  <si>
    <t>Intereses de Cesantías</t>
  </si>
  <si>
    <t>Salud</t>
  </si>
  <si>
    <t>Pensión</t>
  </si>
  <si>
    <t>ARL (Riesgo I)</t>
  </si>
  <si>
    <t>Caja de Compensación</t>
  </si>
  <si>
    <t>SENA</t>
  </si>
  <si>
    <t>ICBF</t>
  </si>
  <si>
    <t>TOTAL PARAFISCALES</t>
  </si>
  <si>
    <t>Subsidio de transporte</t>
  </si>
  <si>
    <t>Salario total</t>
  </si>
  <si>
    <t>Total Aportes Parafiscales</t>
  </si>
  <si>
    <t>TOTAL compensación salarial</t>
  </si>
  <si>
    <t>Valor total hora</t>
  </si>
  <si>
    <t>Valor Hora</t>
  </si>
  <si>
    <t xml:space="preserve">Costos de producción </t>
  </si>
  <si>
    <t>Descripción</t>
  </si>
  <si>
    <t>Valor Estimado 2024 (COP)</t>
  </si>
  <si>
    <t>Valor Unitario</t>
  </si>
  <si>
    <t>Agua (m³)</t>
  </si>
  <si>
    <t>Luz (Kw)</t>
  </si>
  <si>
    <t>Mano de obra indirecta</t>
  </si>
  <si>
    <t>Teléfono/Internet/Sistema Administrativo</t>
  </si>
  <si>
    <t>Depreciación mensual cabina flujo laminar</t>
  </si>
  <si>
    <t>(4,8 minutos)</t>
  </si>
  <si>
    <t>Total de costos preparación Automatizada 1 nutrición parenteral</t>
  </si>
  <si>
    <t>Set de mangueras al día</t>
  </si>
  <si>
    <t>Tamper-Resistant Clamps</t>
  </si>
  <si>
    <t>NA</t>
  </si>
  <si>
    <t>Sets de transferencia universales (x6)</t>
  </si>
  <si>
    <t>Sets de transferencia universales (x9)</t>
  </si>
  <si>
    <t>Single-Chamber Mixing Container Eva 1000 mL</t>
  </si>
  <si>
    <t>Single-Chamber Mixing Container Eva 500 mL</t>
  </si>
  <si>
    <t>Lineas de produccion</t>
  </si>
  <si>
    <t>Costo por paciente</t>
  </si>
  <si>
    <t>xxxxx</t>
  </si>
  <si>
    <t>Chortye de pacinetes</t>
  </si>
  <si>
    <t>Analisi de Costos Central de Mezclas Manual</t>
  </si>
  <si>
    <t>Cantidad</t>
  </si>
  <si>
    <t>Descomposición salarial Químico Farmacéutico</t>
  </si>
  <si>
    <t>TOTAL PARAFISCASCALES</t>
  </si>
  <si>
    <t>Jeringas estériles de 1 mL</t>
  </si>
  <si>
    <t>Jeringas estériles de 50 mL</t>
  </si>
  <si>
    <t>Buretroles</t>
  </si>
  <si>
    <t>Compresas Esteriles</t>
  </si>
  <si>
    <t xml:space="preserve">Gasas Esteriles </t>
  </si>
  <si>
    <t>Ajujas esteriles 16G - 18G</t>
  </si>
  <si>
    <t>Gasas Esteriles</t>
  </si>
  <si>
    <t>Validación del sistema de Aire</t>
  </si>
  <si>
    <t>Pruebas de Microbiologia</t>
  </si>
  <si>
    <t>Llenados asepticos Quimicos</t>
  </si>
  <si>
    <t>Desafio de Desinfectantes</t>
  </si>
  <si>
    <t>Mantenimiento de Cabinas</t>
  </si>
  <si>
    <t>Calificación de Cabinas</t>
  </si>
  <si>
    <t>Calibración de manometros de diferenciacion de presion</t>
  </si>
  <si>
    <t>Cambios de Diltros UMA</t>
  </si>
  <si>
    <t>Mantenimientos UMA</t>
  </si>
  <si>
    <t>Calibración Termohigrometros</t>
  </si>
  <si>
    <t>Mantenimientos Locativos Pintura</t>
  </si>
  <si>
    <t xml:space="preserve">Costos de Mantenimiento </t>
  </si>
  <si>
    <t>Costo Mensual</t>
  </si>
  <si>
    <t>Costos de mantenimiento</t>
  </si>
  <si>
    <t>( de acuerdo a lineas de producción)</t>
  </si>
  <si>
    <t>Lineas de Producción de la central</t>
  </si>
  <si>
    <t>Costo por NPT</t>
  </si>
  <si>
    <t>Costo por Linea de producción</t>
  </si>
  <si>
    <t>Costos de Producción</t>
  </si>
  <si>
    <t>Costos de Mantenimiento</t>
  </si>
  <si>
    <t>CENTRAL DE MEZCLAS MANUAL</t>
  </si>
  <si>
    <t>Costo por Linea de Producción</t>
  </si>
  <si>
    <t>Producción diaria</t>
  </si>
  <si>
    <t>Costos por NPT</t>
  </si>
  <si>
    <t>CENTRAL DE MEZCLAS AUTOMATIZADA</t>
  </si>
  <si>
    <t>Cambios de Filtros UMA</t>
  </si>
  <si>
    <t xml:space="preserve">Producción mensual </t>
  </si>
  <si>
    <t xml:space="preserve">Capacidad produccion mensual </t>
  </si>
  <si>
    <t>Aminoácidos Infantil x 100 mL</t>
  </si>
  <si>
    <t>Aminoácidos Infantil x 250 mL</t>
  </si>
  <si>
    <t>Aminoácidos Infantil x 1000 mL</t>
  </si>
  <si>
    <t>Glicerofosfato de sodio x 20 ml</t>
  </si>
  <si>
    <t>Cloruro de sodio vial x 10cc</t>
  </si>
  <si>
    <t>Cloruro de potasio vial x 10cc</t>
  </si>
  <si>
    <t>vitaminas liposolubles infantil</t>
  </si>
  <si>
    <t>vitaminas hidrosolubles</t>
  </si>
  <si>
    <t>Multivitaminas</t>
  </si>
  <si>
    <t>Vitamina C - acido ascorbico</t>
  </si>
  <si>
    <t>Complejo B</t>
  </si>
  <si>
    <t>agua esteril x 500 ml</t>
  </si>
  <si>
    <t>Aminoácidos infantil x 500 mL</t>
  </si>
  <si>
    <t>Presentacion (mL)</t>
  </si>
  <si>
    <t>Costo x mL</t>
  </si>
  <si>
    <t xml:space="preserve">Costo x unidad </t>
  </si>
  <si>
    <t xml:space="preserve">Costo Total </t>
  </si>
  <si>
    <t>Vitaminas Liposolubles Adulto</t>
  </si>
  <si>
    <t>Aminoácidos Sin electrolitos 10% x 500 mL</t>
  </si>
  <si>
    <t>Aminoácidos con electrolitos 10% x 500 mL</t>
  </si>
  <si>
    <t>Aminoácidos 15 % x 500 mL</t>
  </si>
  <si>
    <t>Aminoácidos 15 % x 1000 mL</t>
  </si>
  <si>
    <t>Neonatal</t>
  </si>
  <si>
    <t>Pediatrica</t>
  </si>
  <si>
    <t>Adulto</t>
  </si>
  <si>
    <t>Costos 1 NPT neonatal</t>
  </si>
  <si>
    <t>Costos 1 NPT pediatrica</t>
  </si>
  <si>
    <t xml:space="preserve">cantidad </t>
  </si>
  <si>
    <t>Tiamina</t>
  </si>
  <si>
    <t>Lípidos (Lipofundin) Frasco x 500 cc</t>
  </si>
  <si>
    <t>Costos 1 NPT adulto</t>
  </si>
  <si>
    <t>Equipos Automatizada</t>
  </si>
  <si>
    <t>Costos Equipo automatizada</t>
  </si>
  <si>
    <t>Bolsa x 500 mL</t>
  </si>
  <si>
    <t>Bolsa x 1000 mL</t>
  </si>
  <si>
    <t>Elementos traza pediatricos x 10 ml</t>
  </si>
  <si>
    <t>Agua esteril x 500 ml</t>
  </si>
  <si>
    <t>Single-Chamber Mixing Container Eva 250 mL</t>
  </si>
  <si>
    <t>Single-Chamber Mixing Container Eva 2000 mL</t>
  </si>
  <si>
    <t>Elementos traza x 10 ml</t>
  </si>
  <si>
    <t>Produccion Diaria</t>
  </si>
  <si>
    <t>Porcentaje de nutriciones de adulto</t>
  </si>
  <si>
    <t>Porcentaje de nutriciones pediatrica</t>
  </si>
  <si>
    <t>Porcentajde de nutriciones neonatales</t>
  </si>
  <si>
    <t>Valor total de adulto</t>
  </si>
  <si>
    <t>Valor total pediatrica</t>
  </si>
  <si>
    <t>Valor total neonatal</t>
  </si>
  <si>
    <t>-</t>
  </si>
  <si>
    <t>Costo Total x Unidad</t>
  </si>
  <si>
    <t xml:space="preserve">VALOR TOTAL NUTRICIONES DIA </t>
  </si>
  <si>
    <t>Producción día</t>
  </si>
  <si>
    <t>Paños estériles para limpieza de superficies. Compresa</t>
  </si>
  <si>
    <t>tener en cuenta tipo de NPT</t>
  </si>
  <si>
    <t>tener en cuenta las NPT</t>
  </si>
  <si>
    <t>Costos por Auxiliar de farmacia para 1 nutrición parenteral</t>
  </si>
  <si>
    <t>Bolsa x 2000 mL</t>
  </si>
  <si>
    <t>(22 minutos)</t>
  </si>
  <si>
    <t>Horas por Auxiliar de farmacia para 1 nutrición parenteral</t>
  </si>
  <si>
    <t xml:space="preserve">Costos de mantenimiento </t>
  </si>
  <si>
    <t>Costos de Producción (según líneas de prod)</t>
  </si>
  <si>
    <t>Costos de producción (según líneas de prod)</t>
  </si>
  <si>
    <t>Capacidad producción mes:</t>
  </si>
  <si>
    <t>CENTRAL DE MEZCLAS PINNACLE</t>
  </si>
  <si>
    <t>Ahorro por NPT</t>
  </si>
  <si>
    <t>RESULTADOS ANÁLISIS DE MICROCOSTEO</t>
  </si>
  <si>
    <t>Detergentes</t>
  </si>
  <si>
    <t>Desinfectantes</t>
  </si>
  <si>
    <t>Equipos Automatizada APEX</t>
  </si>
  <si>
    <t>Universal - Vent open</t>
  </si>
  <si>
    <t>Mini-spike dispensing pin</t>
  </si>
  <si>
    <t>Onmifix, Luer Lock Tip</t>
  </si>
  <si>
    <t>Sets de transferencia universal (x26)</t>
  </si>
  <si>
    <t>Eva calibration Bag</t>
  </si>
  <si>
    <t>aguan esteril x 1000 mL</t>
  </si>
  <si>
    <t>NUTRICIONES TRICAMERALES NUTRIFLEX</t>
  </si>
  <si>
    <t>Nutriflex Omega Special 1250 mL</t>
  </si>
  <si>
    <t>Nutriflex Omega Special 1875 mL</t>
  </si>
  <si>
    <t>Nutriflex Omega Peri 1250 mL</t>
  </si>
  <si>
    <t>Nutriflex Omega Peri 1875 mL</t>
  </si>
  <si>
    <t>Valor Estimado / Capacidad produccion mensual / Lineas de Producción de la central</t>
  </si>
  <si>
    <t>LA CONFIGURACIO DE LOS PORCENTAJES ESTA SOBRE CUALQUIER CENTRAL, PORQUE LA IDEA ES COMPARAR LA MANUAL CONTRA CUALQUIER AUTOMATIZADA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</si>
</sst>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_-;\-* #,##0_-;_-* &quot;-&quot;_-;_-@_-"/>
    <numFmt numFmtId="165" formatCode="_-&quot;$&quot;\ * #,##0.00_-;\-&quot;$&quot;\ * #,##0.00_-;_-&quot;$&quot;\ * &quot;-&quot;??_-;_-@_-"/>
    <numFmt numFmtId="166" formatCode="&quot;$&quot;#,##0;[Red]\-&quot;$&quot;#,##0"/>
    <numFmt numFmtId="167" formatCode="0.0"/>
    <numFmt numFmtId="168" formatCode="_-* #,##0.0\ [$COP]_-;\-* #,##0.0\ [$COP]_-;_-* &quot;-&quot;??\ [$COP]_-;_-@_-"/>
    <numFmt numFmtId="169" formatCode="_-* #,##0\ [$COP]_-;\-* #,##0\ [$COP]_-;_-* &quot;-&quot;??\ [$COP]_-;_-@_-"/>
    <numFmt numFmtId="170" formatCode="_-&quot;$&quot;\ * #,##0_-;\-&quot;$&quot;\ * #,##0_-;_-&quot;$&quot;\ * &quot;-&quot;??_-;_-@_-"/>
    <numFmt numFmtId="171" formatCode="_-[$COP]\ * #,##0.0_-;\-[$COP]\ * #,##0.0_-;_-[$COP]\ * &quot;-&quot;?_-;_-@_-"/>
    <numFmt numFmtId="172" formatCode="0.0000000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2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7EDC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2" applyNumberFormat="0" applyAlignment="0" applyProtection="0"/>
    <xf numFmtId="0" fontId="7" fillId="4" borderId="0" applyNumberFormat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152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1" xfId="0" applyBorder="1"/>
    <xf numFmtId="0" fontId="4" fillId="0" borderId="0" xfId="2"/>
    <xf numFmtId="167" fontId="0" fillId="0" borderId="1" xfId="0" applyNumberFormat="1" applyBorder="1"/>
    <xf numFmtId="168" fontId="0" fillId="0" borderId="1" xfId="0" applyNumberFormat="1" applyBorder="1"/>
    <xf numFmtId="168" fontId="0" fillId="0" borderId="0" xfId="0" applyNumberFormat="1"/>
    <xf numFmtId="0" fontId="0" fillId="0" borderId="3" xfId="0" applyBorder="1"/>
    <xf numFmtId="168" fontId="0" fillId="0" borderId="3" xfId="0" applyNumberFormat="1" applyBorder="1"/>
    <xf numFmtId="169" fontId="0" fillId="0" borderId="1" xfId="0" applyNumberFormat="1" applyBorder="1"/>
    <xf numFmtId="9" fontId="8" fillId="0" borderId="1" xfId="1" applyFont="1" applyBorder="1"/>
    <xf numFmtId="0" fontId="2" fillId="0" borderId="1" xfId="0" applyFont="1" applyBorder="1"/>
    <xf numFmtId="0" fontId="0" fillId="0" borderId="4" xfId="0" applyBorder="1"/>
    <xf numFmtId="0" fontId="0" fillId="0" borderId="5" xfId="0" applyBorder="1"/>
    <xf numFmtId="169" fontId="0" fillId="0" borderId="0" xfId="0" applyNumberFormat="1"/>
    <xf numFmtId="0" fontId="5" fillId="2" borderId="0" xfId="3"/>
    <xf numFmtId="169" fontId="5" fillId="2" borderId="0" xfId="3" applyNumberFormat="1"/>
    <xf numFmtId="9" fontId="0" fillId="0" borderId="0" xfId="1" applyFont="1"/>
    <xf numFmtId="0" fontId="2" fillId="0" borderId="0" xfId="0" applyFont="1" applyAlignment="1">
      <alignment horizontal="center" vertical="top"/>
    </xf>
    <xf numFmtId="0" fontId="9" fillId="0" borderId="5" xfId="0" applyFont="1" applyBorder="1"/>
    <xf numFmtId="169" fontId="0" fillId="0" borderId="3" xfId="0" applyNumberFormat="1" applyBorder="1"/>
    <xf numFmtId="0" fontId="9" fillId="0" borderId="6" xfId="0" applyFont="1" applyBorder="1"/>
    <xf numFmtId="167" fontId="0" fillId="0" borderId="0" xfId="0" applyNumberFormat="1"/>
    <xf numFmtId="0" fontId="9" fillId="0" borderId="1" xfId="0" applyFont="1" applyBorder="1"/>
    <xf numFmtId="0" fontId="14" fillId="0" borderId="0" xfId="0" applyFont="1"/>
    <xf numFmtId="168" fontId="11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170" fontId="0" fillId="0" borderId="0" xfId="6" applyNumberFormat="1" applyFont="1" applyFill="1" applyBorder="1"/>
    <xf numFmtId="170" fontId="0" fillId="0" borderId="0" xfId="0" applyNumberFormat="1"/>
    <xf numFmtId="0" fontId="0" fillId="0" borderId="0" xfId="0" applyAlignment="1">
      <alignment horizontal="center"/>
    </xf>
    <xf numFmtId="170" fontId="13" fillId="0" borderId="0" xfId="0" applyNumberFormat="1" applyFont="1"/>
    <xf numFmtId="168" fontId="0" fillId="0" borderId="7" xfId="0" applyNumberFormat="1" applyBorder="1"/>
    <xf numFmtId="171" fontId="0" fillId="0" borderId="0" xfId="0" applyNumberFormat="1"/>
    <xf numFmtId="170" fontId="12" fillId="0" borderId="0" xfId="0" applyNumberFormat="1" applyFont="1"/>
    <xf numFmtId="170" fontId="2" fillId="0" borderId="0" xfId="0" applyNumberFormat="1" applyFont="1"/>
    <xf numFmtId="0" fontId="0" fillId="0" borderId="0" xfId="0" applyAlignment="1">
      <alignment horizontal="center" wrapText="1"/>
    </xf>
    <xf numFmtId="0" fontId="15" fillId="0" borderId="0" xfId="0" applyFont="1"/>
    <xf numFmtId="168" fontId="2" fillId="0" borderId="0" xfId="0" applyNumberFormat="1" applyFont="1"/>
    <xf numFmtId="0" fontId="16" fillId="0" borderId="0" xfId="0" applyFont="1"/>
    <xf numFmtId="168" fontId="16" fillId="0" borderId="0" xfId="0" applyNumberFormat="1" applyFont="1"/>
    <xf numFmtId="166" fontId="9" fillId="0" borderId="1" xfId="0" applyNumberFormat="1" applyFont="1" applyBorder="1"/>
    <xf numFmtId="0" fontId="10" fillId="0" borderId="0" xfId="0" applyFont="1" applyAlignment="1">
      <alignment horizontal="center" vertical="center" wrapText="1"/>
    </xf>
    <xf numFmtId="0" fontId="9" fillId="0" borderId="0" xfId="0" applyFont="1"/>
    <xf numFmtId="166" fontId="9" fillId="0" borderId="0" xfId="0" applyNumberFormat="1" applyFont="1"/>
    <xf numFmtId="0" fontId="4" fillId="0" borderId="0" xfId="2" applyBorder="1"/>
    <xf numFmtId="9" fontId="8" fillId="0" borderId="0" xfId="1" applyFont="1" applyBorder="1"/>
    <xf numFmtId="0" fontId="10" fillId="0" borderId="0" xfId="0" applyFont="1" applyAlignment="1">
      <alignment horizontal="center" vertical="top"/>
    </xf>
    <xf numFmtId="169" fontId="9" fillId="0" borderId="0" xfId="0" applyNumberFormat="1" applyFont="1"/>
    <xf numFmtId="9" fontId="8" fillId="0" borderId="0" xfId="0" applyNumberFormat="1" applyFont="1"/>
    <xf numFmtId="0" fontId="10" fillId="0" borderId="0" xfId="0" applyFont="1"/>
    <xf numFmtId="168" fontId="0" fillId="0" borderId="1" xfId="0" applyNumberFormat="1" applyBorder="1" applyAlignment="1">
      <alignment horizontal="center" vertical="top"/>
    </xf>
    <xf numFmtId="168" fontId="10" fillId="0" borderId="1" xfId="0" applyNumberFormat="1" applyFont="1" applyBorder="1"/>
    <xf numFmtId="168" fontId="2" fillId="0" borderId="1" xfId="0" applyNumberFormat="1" applyFont="1" applyBorder="1"/>
    <xf numFmtId="169" fontId="14" fillId="0" borderId="0" xfId="0" applyNumberFormat="1" applyFont="1"/>
    <xf numFmtId="0" fontId="17" fillId="0" borderId="0" xfId="4" applyFont="1" applyFill="1" applyBorder="1"/>
    <xf numFmtId="169" fontId="17" fillId="0" borderId="0" xfId="5" applyNumberFormat="1" applyFont="1" applyFill="1" applyBorder="1"/>
    <xf numFmtId="0" fontId="18" fillId="0" borderId="0" xfId="0" applyFont="1"/>
    <xf numFmtId="0" fontId="2" fillId="6" borderId="0" xfId="0" applyFont="1" applyFill="1"/>
    <xf numFmtId="164" fontId="12" fillId="6" borderId="0" xfId="7" applyFont="1" applyFill="1"/>
    <xf numFmtId="0" fontId="0" fillId="7" borderId="0" xfId="0" applyFill="1"/>
    <xf numFmtId="0" fontId="0" fillId="0" borderId="7" xfId="0" applyBorder="1"/>
    <xf numFmtId="0" fontId="9" fillId="0" borderId="7" xfId="0" applyFont="1" applyBorder="1"/>
    <xf numFmtId="0" fontId="2" fillId="5" borderId="0" xfId="0" applyFont="1" applyFill="1"/>
    <xf numFmtId="168" fontId="0" fillId="0" borderId="0" xfId="0" applyNumberFormat="1" applyAlignment="1">
      <alignment horizontal="center" vertical="top"/>
    </xf>
    <xf numFmtId="168" fontId="10" fillId="0" borderId="0" xfId="0" applyNumberFormat="1" applyFont="1"/>
    <xf numFmtId="167" fontId="0" fillId="0" borderId="3" xfId="0" applyNumberFormat="1" applyBorder="1"/>
    <xf numFmtId="168" fontId="0" fillId="0" borderId="3" xfId="0" applyNumberFormat="1" applyBorder="1" applyAlignment="1">
      <alignment horizontal="center" vertical="top"/>
    </xf>
    <xf numFmtId="168" fontId="9" fillId="0" borderId="0" xfId="0" applyNumberFormat="1" applyFont="1"/>
    <xf numFmtId="171" fontId="0" fillId="8" borderId="0" xfId="0" applyNumberFormat="1" applyFill="1"/>
    <xf numFmtId="0" fontId="0" fillId="8" borderId="0" xfId="0" applyFill="1"/>
    <xf numFmtId="0" fontId="2" fillId="8" borderId="0" xfId="0" applyFont="1" applyFill="1"/>
    <xf numFmtId="168" fontId="10" fillId="8" borderId="0" xfId="0" applyNumberFormat="1" applyFont="1" applyFill="1"/>
    <xf numFmtId="168" fontId="0" fillId="8" borderId="0" xfId="0" applyNumberFormat="1" applyFill="1"/>
    <xf numFmtId="0" fontId="18" fillId="9" borderId="0" xfId="0" applyFont="1" applyFill="1"/>
    <xf numFmtId="0" fontId="2" fillId="10" borderId="0" xfId="0" applyFont="1" applyFill="1"/>
    <xf numFmtId="0" fontId="0" fillId="10" borderId="0" xfId="0" applyFill="1"/>
    <xf numFmtId="0" fontId="19" fillId="10" borderId="0" xfId="0" applyFont="1" applyFill="1"/>
    <xf numFmtId="0" fontId="0" fillId="6" borderId="0" xfId="0" applyFill="1"/>
    <xf numFmtId="164" fontId="1" fillId="6" borderId="0" xfId="7" applyFont="1" applyFill="1"/>
    <xf numFmtId="0" fontId="2" fillId="0" borderId="1" xfId="0" applyFont="1" applyBorder="1" applyAlignment="1">
      <alignment horizontal="center" vertical="top" wrapText="1"/>
    </xf>
    <xf numFmtId="0" fontId="2" fillId="11" borderId="1" xfId="0" applyFont="1" applyFill="1" applyBorder="1" applyAlignment="1">
      <alignment horizontal="center" vertical="top" wrapText="1"/>
    </xf>
    <xf numFmtId="167" fontId="0" fillId="12" borderId="1" xfId="0" applyNumberFormat="1" applyFill="1" applyBorder="1"/>
    <xf numFmtId="0" fontId="0" fillId="12" borderId="1" xfId="0" applyFill="1" applyBorder="1"/>
    <xf numFmtId="168" fontId="0" fillId="12" borderId="1" xfId="0" applyNumberFormat="1" applyFill="1" applyBorder="1"/>
    <xf numFmtId="0" fontId="10" fillId="10" borderId="0" xfId="0" applyFont="1" applyFill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top"/>
    </xf>
    <xf numFmtId="0" fontId="20" fillId="10" borderId="0" xfId="2" applyFont="1" applyFill="1"/>
    <xf numFmtId="0" fontId="20" fillId="0" borderId="0" xfId="0" applyFont="1"/>
    <xf numFmtId="168" fontId="21" fillId="0" borderId="7" xfId="0" applyNumberFormat="1" applyFont="1" applyBorder="1"/>
    <xf numFmtId="169" fontId="22" fillId="2" borderId="0" xfId="3" applyNumberFormat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168" fontId="24" fillId="0" borderId="0" xfId="0" applyNumberFormat="1" applyFont="1"/>
    <xf numFmtId="0" fontId="2" fillId="13" borderId="10" xfId="0" applyFont="1" applyFill="1" applyBorder="1"/>
    <xf numFmtId="164" fontId="12" fillId="13" borderId="11" xfId="7" applyFont="1" applyFill="1" applyBorder="1"/>
    <xf numFmtId="0" fontId="2" fillId="13" borderId="12" xfId="0" applyFont="1" applyFill="1" applyBorder="1"/>
    <xf numFmtId="0" fontId="2" fillId="13" borderId="13" xfId="0" applyFont="1" applyFill="1" applyBorder="1"/>
    <xf numFmtId="0" fontId="0" fillId="0" borderId="14" xfId="0" applyBorder="1"/>
    <xf numFmtId="0" fontId="0" fillId="0" borderId="15" xfId="0" applyBorder="1"/>
    <xf numFmtId="0" fontId="2" fillId="13" borderId="14" xfId="0" applyFont="1" applyFill="1" applyBorder="1"/>
    <xf numFmtId="0" fontId="2" fillId="13" borderId="15" xfId="0" applyFont="1" applyFill="1" applyBorder="1"/>
    <xf numFmtId="0" fontId="0" fillId="14" borderId="0" xfId="0" applyFill="1"/>
    <xf numFmtId="0" fontId="2" fillId="14" borderId="0" xfId="0" applyFont="1" applyFill="1"/>
    <xf numFmtId="169" fontId="23" fillId="14" borderId="0" xfId="0" applyNumberFormat="1" applyFont="1" applyFill="1"/>
    <xf numFmtId="169" fontId="0" fillId="14" borderId="0" xfId="0" applyNumberFormat="1" applyFill="1"/>
    <xf numFmtId="9" fontId="0" fillId="14" borderId="0" xfId="1" applyFont="1" applyFill="1"/>
    <xf numFmtId="169" fontId="5" fillId="0" borderId="0" xfId="3" applyNumberFormat="1" applyFill="1"/>
    <xf numFmtId="169" fontId="25" fillId="2" borderId="0" xfId="3" applyNumberFormat="1" applyFont="1"/>
    <xf numFmtId="0" fontId="12" fillId="11" borderId="0" xfId="0" applyFont="1" applyFill="1"/>
    <xf numFmtId="169" fontId="12" fillId="11" borderId="0" xfId="0" applyNumberFormat="1" applyFont="1" applyFill="1"/>
    <xf numFmtId="0" fontId="0" fillId="0" borderId="16" xfId="0" applyBorder="1"/>
    <xf numFmtId="167" fontId="0" fillId="12" borderId="16" xfId="0" applyNumberFormat="1" applyFill="1" applyBorder="1"/>
    <xf numFmtId="168" fontId="0" fillId="12" borderId="16" xfId="0" applyNumberFormat="1" applyFill="1" applyBorder="1"/>
    <xf numFmtId="0" fontId="0" fillId="7" borderId="1" xfId="0" applyFill="1" applyBorder="1"/>
    <xf numFmtId="167" fontId="0" fillId="7" borderId="1" xfId="0" applyNumberFormat="1" applyFill="1" applyBorder="1"/>
    <xf numFmtId="168" fontId="0" fillId="7" borderId="1" xfId="0" applyNumberFormat="1" applyFill="1" applyBorder="1"/>
    <xf numFmtId="169" fontId="0" fillId="7" borderId="1" xfId="0" applyNumberFormat="1" applyFill="1" applyBorder="1"/>
    <xf numFmtId="9" fontId="8" fillId="7" borderId="1" xfId="1" applyFont="1" applyFill="1" applyBorder="1"/>
    <xf numFmtId="0" fontId="0" fillId="7" borderId="4" xfId="0" applyFill="1" applyBorder="1"/>
    <xf numFmtId="0" fontId="2" fillId="7" borderId="1" xfId="0" applyFont="1" applyFill="1" applyBorder="1"/>
    <xf numFmtId="0" fontId="4" fillId="11" borderId="0" xfId="2" applyFill="1"/>
    <xf numFmtId="0" fontId="0" fillId="11" borderId="1" xfId="0" applyFill="1" applyBorder="1"/>
    <xf numFmtId="9" fontId="8" fillId="11" borderId="1" xfId="1" applyFont="1" applyFill="1" applyBorder="1"/>
    <xf numFmtId="169" fontId="0" fillId="11" borderId="1" xfId="0" applyNumberFormat="1" applyFill="1" applyBorder="1"/>
    <xf numFmtId="0" fontId="0" fillId="11" borderId="3" xfId="0" applyFill="1" applyBorder="1"/>
    <xf numFmtId="2" fontId="0" fillId="7" borderId="1" xfId="0" applyNumberFormat="1" applyFill="1" applyBorder="1"/>
    <xf numFmtId="172" fontId="0" fillId="7" borderId="1" xfId="0" applyNumberFormat="1" applyFill="1" applyBorder="1"/>
    <xf numFmtId="0" fontId="0" fillId="11" borderId="12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8" fillId="9" borderId="0" xfId="0" applyFont="1" applyFill="1" applyAlignment="1">
      <alignment horizontal="center" wrapText="1"/>
    </xf>
    <xf numFmtId="0" fontId="19" fillId="10" borderId="8" xfId="0" applyFont="1" applyFill="1" applyBorder="1" applyAlignment="1">
      <alignment horizontal="center"/>
    </xf>
    <xf numFmtId="0" fontId="19" fillId="10" borderId="9" xfId="0" applyFont="1" applyFill="1" applyBorder="1" applyAlignment="1">
      <alignment horizontal="center"/>
    </xf>
    <xf numFmtId="0" fontId="26" fillId="15" borderId="0" xfId="0" applyFont="1" applyFill="1" applyAlignment="1">
      <alignment horizontal="center"/>
    </xf>
    <xf numFmtId="0" fontId="4" fillId="16" borderId="0" xfId="2" applyFill="1"/>
    <xf numFmtId="0" fontId="0" fillId="16" borderId="0" xfId="0" applyFill="1"/>
    <xf numFmtId="0" fontId="0" fillId="16" borderId="5" xfId="0" applyFill="1" applyBorder="1"/>
    <xf numFmtId="0" fontId="2" fillId="16" borderId="1" xfId="0" applyFont="1" applyFill="1" applyBorder="1"/>
    <xf numFmtId="0" fontId="0" fillId="16" borderId="1" xfId="0" applyFill="1" applyBorder="1"/>
    <xf numFmtId="169" fontId="0" fillId="16" borderId="1" xfId="0" applyNumberFormat="1" applyFill="1" applyBorder="1"/>
    <xf numFmtId="0" fontId="0" fillId="16" borderId="3" xfId="0" applyFill="1" applyBorder="1"/>
    <xf numFmtId="169" fontId="0" fillId="16" borderId="3" xfId="0" applyNumberFormat="1" applyFill="1" applyBorder="1"/>
    <xf numFmtId="0" fontId="2" fillId="16" borderId="1" xfId="0" applyFont="1" applyFill="1" applyBorder="1" applyAlignment="1">
      <alignment horizontal="center" vertical="top"/>
    </xf>
    <xf numFmtId="167" fontId="0" fillId="16" borderId="1" xfId="0" applyNumberFormat="1" applyFill="1" applyBorder="1"/>
    <xf numFmtId="168" fontId="0" fillId="16" borderId="1" xfId="0" applyNumberFormat="1" applyFill="1" applyBorder="1"/>
    <xf numFmtId="168" fontId="21" fillId="16" borderId="7" xfId="0" applyNumberFormat="1" applyFont="1" applyFill="1" applyBorder="1"/>
    <xf numFmtId="171" fontId="0" fillId="16" borderId="0" xfId="0" applyNumberFormat="1" applyFill="1"/>
    <xf numFmtId="167" fontId="0" fillId="16" borderId="0" xfId="0" applyNumberFormat="1" applyFill="1"/>
    <xf numFmtId="0" fontId="9" fillId="16" borderId="1" xfId="0" applyFont="1" applyFill="1" applyBorder="1"/>
    <xf numFmtId="168" fontId="0" fillId="16" borderId="0" xfId="0" applyNumberFormat="1" applyFill="1"/>
    <xf numFmtId="168" fontId="0" fillId="16" borderId="3" xfId="0" applyNumberFormat="1" applyFill="1" applyBorder="1"/>
  </cellXfs>
  <cellStyles count="8">
    <cellStyle name="Accent5" xfId="5" builtinId="45"/>
    <cellStyle name="Comma [0]" xfId="7" builtinId="6"/>
    <cellStyle name="Currency" xfId="6" builtinId="4"/>
    <cellStyle name="Good" xfId="3" builtinId="26"/>
    <cellStyle name="Heading 4" xfId="2" builtinId="19"/>
    <cellStyle name="Input" xfId="4" builtinId="20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37EDC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3DEE-FEFC-AE44-A2DE-BE929C614C50}">
  <dimension ref="A2:X325"/>
  <sheetViews>
    <sheetView tabSelected="1" topLeftCell="C27" zoomScale="170" zoomScaleNormal="170" workbookViewId="0">
      <selection activeCell="G51" sqref="G51"/>
    </sheetView>
  </sheetViews>
  <sheetFormatPr baseColWidth="10" defaultColWidth="8.83203125" defaultRowHeight="15" x14ac:dyDescent="0.2"/>
  <cols>
    <col min="1" max="1" width="55.1640625" bestFit="1" customWidth="1"/>
    <col min="2" max="2" width="17.5" customWidth="1"/>
    <col min="3" max="3" width="19.5" customWidth="1"/>
    <col min="4" max="4" width="17.6640625" customWidth="1"/>
    <col min="5" max="5" width="16.6640625" customWidth="1"/>
    <col min="6" max="6" width="23.83203125" customWidth="1"/>
    <col min="7" max="7" width="17.33203125" bestFit="1" customWidth="1"/>
    <col min="8" max="8" width="21.6640625" customWidth="1"/>
    <col min="9" max="9" width="37.1640625" bestFit="1" customWidth="1"/>
    <col min="10" max="10" width="14.6640625" customWidth="1"/>
    <col min="11" max="12" width="14" bestFit="1" customWidth="1"/>
    <col min="13" max="13" width="23.33203125" customWidth="1"/>
    <col min="14" max="14" width="14.5" bestFit="1" customWidth="1"/>
    <col min="15" max="15" width="16.33203125" customWidth="1"/>
    <col min="18" max="18" width="47.83203125" bestFit="1" customWidth="1"/>
    <col min="19" max="19" width="14" bestFit="1" customWidth="1"/>
    <col min="20" max="20" width="11.33203125" bestFit="1" customWidth="1"/>
    <col min="21" max="21" width="14.6640625" bestFit="1" customWidth="1"/>
    <col min="22" max="22" width="18.33203125" customWidth="1"/>
    <col min="23" max="23" width="14.6640625" customWidth="1"/>
    <col min="24" max="24" width="16.83203125" bestFit="1" customWidth="1"/>
    <col min="25" max="25" width="8.83203125" customWidth="1"/>
  </cols>
  <sheetData>
    <row r="2" spans="1:8" ht="21" x14ac:dyDescent="0.25">
      <c r="A2" s="78" t="s">
        <v>137</v>
      </c>
      <c r="B2" s="77"/>
    </row>
    <row r="3" spans="1:8" ht="16" x14ac:dyDescent="0.2">
      <c r="A3" s="59" t="s">
        <v>132</v>
      </c>
      <c r="B3" s="60">
        <v>4</v>
      </c>
    </row>
    <row r="4" spans="1:8" x14ac:dyDescent="0.2">
      <c r="A4" s="59" t="s">
        <v>195</v>
      </c>
      <c r="B4" s="59">
        <v>10</v>
      </c>
      <c r="C4" s="2" t="s">
        <v>144</v>
      </c>
      <c r="E4" s="89">
        <f>B4*30</f>
        <v>300</v>
      </c>
    </row>
    <row r="7" spans="1:8" x14ac:dyDescent="0.2">
      <c r="A7" s="38" t="s">
        <v>0</v>
      </c>
    </row>
    <row r="8" spans="1:8" x14ac:dyDescent="0.2">
      <c r="A8" s="2" t="s">
        <v>175</v>
      </c>
      <c r="B8" s="7">
        <f>X53*T29</f>
        <v>184607</v>
      </c>
    </row>
    <row r="9" spans="1:8" x14ac:dyDescent="0.2">
      <c r="A9" s="2" t="s">
        <v>171</v>
      </c>
      <c r="B9" s="7">
        <f>O52*K29</f>
        <v>86200</v>
      </c>
    </row>
    <row r="10" spans="1:8" x14ac:dyDescent="0.2">
      <c r="A10" s="2" t="s">
        <v>170</v>
      </c>
      <c r="B10" s="7">
        <f>G51*C29</f>
        <v>0</v>
      </c>
    </row>
    <row r="11" spans="1:8" x14ac:dyDescent="0.2">
      <c r="A11" s="2" t="s">
        <v>1</v>
      </c>
      <c r="B11" s="7">
        <f>D63</f>
        <v>13400</v>
      </c>
    </row>
    <row r="12" spans="1:8" x14ac:dyDescent="0.2">
      <c r="A12" s="2" t="s">
        <v>2</v>
      </c>
      <c r="B12" s="7">
        <f>D74</f>
        <v>1627.395</v>
      </c>
      <c r="F12" s="61" t="s">
        <v>185</v>
      </c>
      <c r="G12" s="61"/>
    </row>
    <row r="13" spans="1:8" x14ac:dyDescent="0.2">
      <c r="A13" s="2" t="s">
        <v>130</v>
      </c>
      <c r="B13" s="7">
        <f>D152</f>
        <v>7723.958333333333</v>
      </c>
      <c r="C13" t="s">
        <v>131</v>
      </c>
      <c r="F13" s="61" t="s">
        <v>186</v>
      </c>
      <c r="G13" s="61">
        <v>33</v>
      </c>
      <c r="H13" s="7"/>
    </row>
    <row r="14" spans="1:8" x14ac:dyDescent="0.2">
      <c r="A14" s="2" t="s">
        <v>8</v>
      </c>
      <c r="B14" s="7">
        <f>C131</f>
        <v>11680.992416666668</v>
      </c>
      <c r="F14" s="61" t="s">
        <v>187</v>
      </c>
      <c r="G14" s="61">
        <v>33</v>
      </c>
      <c r="H14" s="7"/>
    </row>
    <row r="15" spans="1:8" x14ac:dyDescent="0.2">
      <c r="A15" s="2" t="s">
        <v>3</v>
      </c>
      <c r="B15" s="7">
        <f>D95</f>
        <v>32425</v>
      </c>
      <c r="F15" s="61" t="s">
        <v>188</v>
      </c>
      <c r="G15" s="61">
        <v>33</v>
      </c>
      <c r="H15" s="7"/>
    </row>
    <row r="17" spans="1:24" x14ac:dyDescent="0.2">
      <c r="A17" t="s">
        <v>4</v>
      </c>
      <c r="B17">
        <f>0.36</f>
        <v>0.36</v>
      </c>
      <c r="C17" t="s">
        <v>201</v>
      </c>
    </row>
    <row r="18" spans="1:24" x14ac:dyDescent="0.2">
      <c r="A18" s="2" t="s">
        <v>5</v>
      </c>
      <c r="B18" s="15">
        <f>+B17*B100*C119</f>
        <v>9070.434782608696</v>
      </c>
      <c r="C18" s="15" t="s">
        <v>6</v>
      </c>
      <c r="F18" s="71"/>
      <c r="G18" s="71"/>
      <c r="H18" s="71"/>
    </row>
    <row r="19" spans="1:24" x14ac:dyDescent="0.2">
      <c r="A19" t="s">
        <v>202</v>
      </c>
      <c r="B19">
        <v>0.36</v>
      </c>
      <c r="C19" s="18" t="s">
        <v>6</v>
      </c>
      <c r="F19" s="73">
        <f>B4*(G13/100)*X53</f>
        <v>609203.10000000009</v>
      </c>
      <c r="G19" s="71" t="s">
        <v>189</v>
      </c>
      <c r="H19" s="71"/>
    </row>
    <row r="20" spans="1:24" x14ac:dyDescent="0.2">
      <c r="A20" s="2" t="s">
        <v>199</v>
      </c>
      <c r="B20" s="15">
        <f>+B19*G119</f>
        <v>3772.9565217391305</v>
      </c>
      <c r="F20" s="73">
        <f>B4*(G14/100)*O52</f>
        <v>284460</v>
      </c>
      <c r="G20" s="71" t="s">
        <v>190</v>
      </c>
      <c r="H20" s="71"/>
    </row>
    <row r="21" spans="1:24" x14ac:dyDescent="0.2">
      <c r="B21" s="15"/>
      <c r="F21" s="73">
        <f>B4*G15/100*G51</f>
        <v>353100</v>
      </c>
      <c r="G21" s="71" t="s">
        <v>191</v>
      </c>
      <c r="H21" s="71"/>
    </row>
    <row r="22" spans="1:24" ht="16" x14ac:dyDescent="0.2">
      <c r="A22" s="16" t="s">
        <v>9</v>
      </c>
      <c r="B22" s="91">
        <f>+B18+B20+B11+B12+B15+B13+B14+B8</f>
        <v>264307.73705434782</v>
      </c>
      <c r="C22" s="17" t="s">
        <v>197</v>
      </c>
      <c r="D22" s="17"/>
      <c r="F22" s="74">
        <f>SUM(F19:F21)</f>
        <v>1246763.1000000001</v>
      </c>
      <c r="G22" s="72" t="s">
        <v>194</v>
      </c>
      <c r="H22" s="71"/>
    </row>
    <row r="23" spans="1:24" x14ac:dyDescent="0.2">
      <c r="F23" s="71"/>
      <c r="G23" s="71"/>
      <c r="H23" s="71"/>
    </row>
    <row r="26" spans="1:24" x14ac:dyDescent="0.2">
      <c r="A26" t="s">
        <v>10</v>
      </c>
    </row>
    <row r="27" spans="1:24" x14ac:dyDescent="0.2">
      <c r="A27" s="2" t="s">
        <v>6</v>
      </c>
      <c r="E27" s="40"/>
    </row>
    <row r="28" spans="1:24" x14ac:dyDescent="0.2">
      <c r="A28" s="4" t="s">
        <v>11</v>
      </c>
    </row>
    <row r="29" spans="1:24" ht="16" x14ac:dyDescent="0.2">
      <c r="A29" s="88" t="s">
        <v>167</v>
      </c>
      <c r="B29" s="64" t="s">
        <v>107</v>
      </c>
      <c r="C29" s="64">
        <v>0</v>
      </c>
      <c r="G29" s="43"/>
      <c r="H29" s="43"/>
      <c r="I29" s="86" t="s">
        <v>168</v>
      </c>
      <c r="J29" s="64" t="s">
        <v>172</v>
      </c>
      <c r="K29" s="64">
        <v>1</v>
      </c>
      <c r="R29" s="76" t="s">
        <v>169</v>
      </c>
      <c r="S29" s="64" t="s">
        <v>172</v>
      </c>
      <c r="T29" s="64">
        <v>1</v>
      </c>
    </row>
    <row r="30" spans="1:24" ht="29.5" customHeight="1" x14ac:dyDescent="0.2">
      <c r="A30" s="1" t="s">
        <v>12</v>
      </c>
      <c r="B30" s="81" t="s">
        <v>158</v>
      </c>
      <c r="C30" s="82" t="s">
        <v>13</v>
      </c>
      <c r="D30" s="82" t="s">
        <v>14</v>
      </c>
      <c r="E30" s="81" t="s">
        <v>159</v>
      </c>
      <c r="F30" s="82" t="s">
        <v>160</v>
      </c>
      <c r="G30" s="81" t="s">
        <v>161</v>
      </c>
      <c r="H30" s="44"/>
      <c r="I30" s="1" t="s">
        <v>12</v>
      </c>
      <c r="J30" s="81" t="s">
        <v>158</v>
      </c>
      <c r="K30" s="82" t="s">
        <v>13</v>
      </c>
      <c r="L30" s="82" t="s">
        <v>14</v>
      </c>
      <c r="M30" s="81" t="s">
        <v>159</v>
      </c>
      <c r="N30" s="82" t="s">
        <v>160</v>
      </c>
      <c r="O30" s="81" t="s">
        <v>161</v>
      </c>
      <c r="R30" s="1" t="s">
        <v>12</v>
      </c>
      <c r="S30" s="81" t="s">
        <v>158</v>
      </c>
      <c r="T30" s="82" t="s">
        <v>13</v>
      </c>
      <c r="U30" s="82" t="s">
        <v>14</v>
      </c>
      <c r="V30" s="81" t="s">
        <v>159</v>
      </c>
      <c r="W30" s="82" t="s">
        <v>160</v>
      </c>
      <c r="X30" s="81" t="s">
        <v>193</v>
      </c>
    </row>
    <row r="31" spans="1:24" x14ac:dyDescent="0.2">
      <c r="A31" s="3" t="s">
        <v>145</v>
      </c>
      <c r="B31" s="3">
        <v>100</v>
      </c>
      <c r="C31" s="83">
        <v>50</v>
      </c>
      <c r="D31" s="83">
        <v>1</v>
      </c>
      <c r="E31" s="6">
        <f>C31*F31/B31</f>
        <v>20000</v>
      </c>
      <c r="F31" s="85">
        <v>40000</v>
      </c>
      <c r="G31" s="52">
        <f>E31</f>
        <v>20000</v>
      </c>
      <c r="H31" s="44"/>
      <c r="I31" s="3" t="s">
        <v>145</v>
      </c>
      <c r="J31" s="3">
        <v>100</v>
      </c>
      <c r="K31" s="83">
        <v>0</v>
      </c>
      <c r="L31" s="83">
        <v>1</v>
      </c>
      <c r="M31" s="6">
        <f t="shared" ref="M31:M51" si="0">K31*N31/J31</f>
        <v>0</v>
      </c>
      <c r="N31" s="85">
        <v>40000</v>
      </c>
      <c r="O31" s="52"/>
      <c r="R31" s="3" t="s">
        <v>163</v>
      </c>
      <c r="S31" s="3">
        <v>500</v>
      </c>
      <c r="T31" s="83">
        <v>600</v>
      </c>
      <c r="U31" s="83">
        <v>1</v>
      </c>
      <c r="V31" s="6">
        <f>T31*W31/S31</f>
        <v>48000</v>
      </c>
      <c r="W31" s="85">
        <v>40000</v>
      </c>
      <c r="X31" s="52">
        <f>(W31/S31)*T31</f>
        <v>48000</v>
      </c>
    </row>
    <row r="32" spans="1:24" x14ac:dyDescent="0.2">
      <c r="A32" s="3" t="s">
        <v>146</v>
      </c>
      <c r="B32" s="3">
        <v>250</v>
      </c>
      <c r="C32" s="83">
        <v>0</v>
      </c>
      <c r="D32" s="83">
        <v>0</v>
      </c>
      <c r="E32" s="6">
        <f t="shared" ref="E32:E34" si="1">C32*F32/B32</f>
        <v>0</v>
      </c>
      <c r="F32" s="85">
        <v>50000</v>
      </c>
      <c r="G32" s="52">
        <f t="shared" ref="G32:G46" si="2">D32*F32</f>
        <v>0</v>
      </c>
      <c r="H32" s="44"/>
      <c r="I32" s="3" t="s">
        <v>146</v>
      </c>
      <c r="J32" s="3">
        <v>250</v>
      </c>
      <c r="K32" s="83">
        <v>0</v>
      </c>
      <c r="L32" s="83">
        <v>0</v>
      </c>
      <c r="M32" s="6">
        <f t="shared" si="0"/>
        <v>0</v>
      </c>
      <c r="N32" s="85">
        <v>50000</v>
      </c>
      <c r="O32" s="52">
        <f t="shared" ref="O32:O51" si="3">L32*N32</f>
        <v>0</v>
      </c>
      <c r="R32" s="3" t="s">
        <v>164</v>
      </c>
      <c r="S32" s="3">
        <v>500</v>
      </c>
      <c r="T32" s="83">
        <v>0</v>
      </c>
      <c r="U32" s="83">
        <v>0</v>
      </c>
      <c r="V32" s="6">
        <f t="shared" ref="V32:V42" si="4">T32*W32/S32</f>
        <v>0</v>
      </c>
      <c r="W32" s="85">
        <v>61000</v>
      </c>
      <c r="X32" s="52">
        <f t="shared" ref="X32:X52" si="5">(W32/S32)*T32</f>
        <v>0</v>
      </c>
    </row>
    <row r="33" spans="1:24" x14ac:dyDescent="0.2">
      <c r="A33" s="3" t="s">
        <v>157</v>
      </c>
      <c r="B33" s="3">
        <v>500</v>
      </c>
      <c r="C33" s="83">
        <v>100</v>
      </c>
      <c r="D33" s="83">
        <v>0</v>
      </c>
      <c r="E33" s="6">
        <f t="shared" si="1"/>
        <v>20000</v>
      </c>
      <c r="F33" s="85">
        <v>100000</v>
      </c>
      <c r="G33" s="52">
        <f>D33*F33</f>
        <v>0</v>
      </c>
      <c r="H33" s="44"/>
      <c r="I33" s="3" t="s">
        <v>157</v>
      </c>
      <c r="J33" s="3">
        <v>500</v>
      </c>
      <c r="K33" s="83">
        <v>0</v>
      </c>
      <c r="L33" s="83">
        <v>0</v>
      </c>
      <c r="M33" s="6">
        <f t="shared" si="0"/>
        <v>0</v>
      </c>
      <c r="N33" s="85">
        <v>100000</v>
      </c>
      <c r="O33" s="52">
        <f>M33</f>
        <v>0</v>
      </c>
      <c r="R33" s="3" t="s">
        <v>165</v>
      </c>
      <c r="S33" s="3">
        <v>500</v>
      </c>
      <c r="T33" s="83">
        <v>0</v>
      </c>
      <c r="U33" s="83">
        <v>0</v>
      </c>
      <c r="V33" s="6">
        <f t="shared" si="4"/>
        <v>0</v>
      </c>
      <c r="W33" s="85">
        <v>66000</v>
      </c>
      <c r="X33" s="52">
        <f t="shared" si="5"/>
        <v>0</v>
      </c>
    </row>
    <row r="34" spans="1:24" x14ac:dyDescent="0.2">
      <c r="A34" s="3" t="s">
        <v>147</v>
      </c>
      <c r="B34" s="3">
        <v>1000</v>
      </c>
      <c r="C34" s="83">
        <v>0</v>
      </c>
      <c r="D34" s="83">
        <v>0</v>
      </c>
      <c r="E34" s="6">
        <f t="shared" si="1"/>
        <v>0</v>
      </c>
      <c r="F34" s="85">
        <v>20546.599999999999</v>
      </c>
      <c r="G34" s="52">
        <f t="shared" si="2"/>
        <v>0</v>
      </c>
      <c r="H34" s="44"/>
      <c r="I34" s="3" t="s">
        <v>147</v>
      </c>
      <c r="J34" s="3">
        <v>1000</v>
      </c>
      <c r="K34" s="83">
        <v>0</v>
      </c>
      <c r="L34" s="83">
        <v>0</v>
      </c>
      <c r="M34" s="6">
        <f t="shared" si="0"/>
        <v>0</v>
      </c>
      <c r="N34" s="85">
        <v>20546.599999999999</v>
      </c>
      <c r="O34" s="52">
        <f t="shared" si="3"/>
        <v>0</v>
      </c>
      <c r="R34" s="3" t="s">
        <v>166</v>
      </c>
      <c r="S34" s="3">
        <v>1000</v>
      </c>
      <c r="T34" s="83">
        <v>0</v>
      </c>
      <c r="U34" s="83">
        <v>0</v>
      </c>
      <c r="V34" s="6">
        <f t="shared" si="4"/>
        <v>0</v>
      </c>
      <c r="W34" s="85">
        <v>135000</v>
      </c>
      <c r="X34" s="52">
        <f t="shared" si="5"/>
        <v>0</v>
      </c>
    </row>
    <row r="35" spans="1:24" x14ac:dyDescent="0.2">
      <c r="A35" s="24" t="s">
        <v>150</v>
      </c>
      <c r="B35" s="3">
        <v>10</v>
      </c>
      <c r="C35" s="83">
        <v>0</v>
      </c>
      <c r="D35" s="83">
        <v>1</v>
      </c>
      <c r="E35" s="6">
        <f>C35*F35/B35</f>
        <v>0</v>
      </c>
      <c r="F35" s="85">
        <v>1500</v>
      </c>
      <c r="G35" s="52">
        <f t="shared" si="2"/>
        <v>1500</v>
      </c>
      <c r="H35" s="44"/>
      <c r="I35" s="24" t="s">
        <v>150</v>
      </c>
      <c r="J35" s="3">
        <v>10</v>
      </c>
      <c r="K35" s="83">
        <v>0</v>
      </c>
      <c r="L35" s="83">
        <v>1</v>
      </c>
      <c r="M35" s="6">
        <f t="shared" si="0"/>
        <v>0</v>
      </c>
      <c r="N35" s="85">
        <v>1500</v>
      </c>
      <c r="O35" s="52">
        <f t="shared" si="3"/>
        <v>1500</v>
      </c>
      <c r="R35" s="24" t="s">
        <v>150</v>
      </c>
      <c r="S35" s="3">
        <v>10</v>
      </c>
      <c r="T35" s="83">
        <v>30</v>
      </c>
      <c r="U35" s="83">
        <v>1</v>
      </c>
      <c r="V35" s="6">
        <f t="shared" si="4"/>
        <v>4500</v>
      </c>
      <c r="W35" s="85">
        <v>1500</v>
      </c>
      <c r="X35" s="52">
        <f t="shared" si="5"/>
        <v>4500</v>
      </c>
    </row>
    <row r="36" spans="1:24" x14ac:dyDescent="0.2">
      <c r="A36" s="3" t="s">
        <v>21</v>
      </c>
      <c r="B36" s="3">
        <v>10</v>
      </c>
      <c r="C36" s="83">
        <v>0</v>
      </c>
      <c r="D36" s="83">
        <v>1</v>
      </c>
      <c r="E36" s="6">
        <f>C36*F36/B36</f>
        <v>0</v>
      </c>
      <c r="F36" s="85">
        <v>5700</v>
      </c>
      <c r="G36" s="52">
        <f t="shared" si="2"/>
        <v>5700</v>
      </c>
      <c r="H36" s="44"/>
      <c r="I36" s="3" t="s">
        <v>21</v>
      </c>
      <c r="J36" s="3">
        <v>10</v>
      </c>
      <c r="K36" s="83">
        <v>0</v>
      </c>
      <c r="L36" s="83">
        <v>1</v>
      </c>
      <c r="M36" s="6">
        <f t="shared" si="0"/>
        <v>0</v>
      </c>
      <c r="N36" s="85">
        <v>5700</v>
      </c>
      <c r="O36" s="52">
        <f t="shared" si="3"/>
        <v>5700</v>
      </c>
      <c r="R36" s="3" t="s">
        <v>21</v>
      </c>
      <c r="S36" s="3">
        <v>10</v>
      </c>
      <c r="T36" s="83">
        <v>10</v>
      </c>
      <c r="U36" s="83">
        <v>1</v>
      </c>
      <c r="V36" s="6">
        <f t="shared" si="4"/>
        <v>5700</v>
      </c>
      <c r="W36" s="85">
        <v>5700</v>
      </c>
      <c r="X36" s="52">
        <f t="shared" si="5"/>
        <v>5700</v>
      </c>
    </row>
    <row r="37" spans="1:24" x14ac:dyDescent="0.2">
      <c r="A37" s="24" t="s">
        <v>149</v>
      </c>
      <c r="B37" s="3">
        <v>10</v>
      </c>
      <c r="C37" s="83">
        <v>0</v>
      </c>
      <c r="D37" s="83">
        <v>1</v>
      </c>
      <c r="E37" s="6">
        <f>C37*F37/B37</f>
        <v>0</v>
      </c>
      <c r="F37" s="85">
        <v>1500</v>
      </c>
      <c r="G37" s="52">
        <f t="shared" si="2"/>
        <v>1500</v>
      </c>
      <c r="H37" s="44"/>
      <c r="I37" s="24" t="s">
        <v>149</v>
      </c>
      <c r="J37" s="3">
        <v>10</v>
      </c>
      <c r="K37" s="83">
        <v>0</v>
      </c>
      <c r="L37" s="83">
        <v>1</v>
      </c>
      <c r="M37" s="6">
        <f t="shared" si="0"/>
        <v>0</v>
      </c>
      <c r="N37" s="85">
        <v>1500</v>
      </c>
      <c r="O37" s="52">
        <f t="shared" si="3"/>
        <v>1500</v>
      </c>
      <c r="R37" s="3" t="s">
        <v>148</v>
      </c>
      <c r="S37" s="3">
        <v>20</v>
      </c>
      <c r="T37" s="83">
        <v>0</v>
      </c>
      <c r="U37" s="83">
        <v>1</v>
      </c>
      <c r="V37" s="6">
        <f t="shared" si="4"/>
        <v>0</v>
      </c>
      <c r="W37" s="85">
        <v>20000</v>
      </c>
      <c r="X37" s="52">
        <f t="shared" si="5"/>
        <v>0</v>
      </c>
    </row>
    <row r="38" spans="1:24" x14ac:dyDescent="0.2">
      <c r="A38" s="3" t="s">
        <v>24</v>
      </c>
      <c r="B38" s="3">
        <v>10</v>
      </c>
      <c r="C38" s="83">
        <v>0</v>
      </c>
      <c r="D38" s="83">
        <v>1</v>
      </c>
      <c r="E38" s="6">
        <f>C38*F38/B38</f>
        <v>0</v>
      </c>
      <c r="F38" s="85">
        <v>1500</v>
      </c>
      <c r="G38" s="52">
        <f t="shared" si="2"/>
        <v>1500</v>
      </c>
      <c r="H38" s="44"/>
      <c r="I38" s="3" t="s">
        <v>24</v>
      </c>
      <c r="J38" s="3">
        <v>10</v>
      </c>
      <c r="K38" s="83">
        <v>0</v>
      </c>
      <c r="L38" s="83">
        <v>1</v>
      </c>
      <c r="M38" s="6">
        <f t="shared" si="0"/>
        <v>0</v>
      </c>
      <c r="N38" s="85">
        <v>1500</v>
      </c>
      <c r="O38" s="52">
        <f t="shared" si="3"/>
        <v>1500</v>
      </c>
      <c r="R38" s="24" t="s">
        <v>149</v>
      </c>
      <c r="S38" s="3">
        <v>10</v>
      </c>
      <c r="T38" s="83">
        <v>30</v>
      </c>
      <c r="U38" s="83"/>
      <c r="V38" s="6">
        <f t="shared" si="4"/>
        <v>4500</v>
      </c>
      <c r="W38" s="85">
        <v>1500</v>
      </c>
      <c r="X38" s="52">
        <f t="shared" si="5"/>
        <v>4500</v>
      </c>
    </row>
    <row r="39" spans="1:24" x14ac:dyDescent="0.2">
      <c r="A39" s="3" t="s">
        <v>25</v>
      </c>
      <c r="B39" s="3">
        <v>10</v>
      </c>
      <c r="C39" s="83">
        <v>0</v>
      </c>
      <c r="D39" s="83">
        <v>0</v>
      </c>
      <c r="E39" s="6">
        <f>C39*F39/B39</f>
        <v>0</v>
      </c>
      <c r="F39" s="85">
        <v>1800</v>
      </c>
      <c r="G39" s="52">
        <v>1800</v>
      </c>
      <c r="H39" s="44"/>
      <c r="I39" s="3" t="s">
        <v>25</v>
      </c>
      <c r="J39" s="3">
        <v>10</v>
      </c>
      <c r="K39" s="83">
        <v>0</v>
      </c>
      <c r="L39" s="83">
        <v>0</v>
      </c>
      <c r="M39" s="6">
        <f t="shared" si="0"/>
        <v>0</v>
      </c>
      <c r="N39" s="85">
        <v>1800</v>
      </c>
      <c r="O39" s="52">
        <f t="shared" si="3"/>
        <v>0</v>
      </c>
      <c r="R39" s="3" t="s">
        <v>24</v>
      </c>
      <c r="S39" s="3">
        <v>10</v>
      </c>
      <c r="T39" s="83">
        <v>12</v>
      </c>
      <c r="U39" s="83">
        <v>1</v>
      </c>
      <c r="V39" s="6">
        <f t="shared" si="4"/>
        <v>1800</v>
      </c>
      <c r="W39" s="85">
        <v>1500</v>
      </c>
      <c r="X39" s="52">
        <f t="shared" si="5"/>
        <v>1800</v>
      </c>
    </row>
    <row r="40" spans="1:24" x14ac:dyDescent="0.2">
      <c r="A40" s="3" t="s">
        <v>30</v>
      </c>
      <c r="B40" s="3">
        <v>100</v>
      </c>
      <c r="C40" s="83">
        <v>0</v>
      </c>
      <c r="D40" s="83">
        <v>1</v>
      </c>
      <c r="E40" s="6">
        <f t="shared" ref="E40" si="6">C40*F40/B40</f>
        <v>0</v>
      </c>
      <c r="F40" s="85">
        <v>80000</v>
      </c>
      <c r="G40" s="6">
        <f>E40</f>
        <v>0</v>
      </c>
      <c r="H40" s="44"/>
      <c r="I40" s="3" t="s">
        <v>30</v>
      </c>
      <c r="J40" s="3">
        <v>100</v>
      </c>
      <c r="K40" s="83">
        <v>0</v>
      </c>
      <c r="L40" s="83"/>
      <c r="M40" s="6">
        <f t="shared" si="0"/>
        <v>0</v>
      </c>
      <c r="N40" s="85">
        <v>80000</v>
      </c>
      <c r="O40" s="52">
        <f>M40</f>
        <v>0</v>
      </c>
      <c r="R40" s="3" t="s">
        <v>25</v>
      </c>
      <c r="S40" s="3">
        <v>10</v>
      </c>
      <c r="T40" s="83">
        <v>20</v>
      </c>
      <c r="U40" s="83">
        <v>0</v>
      </c>
      <c r="V40" s="6">
        <f t="shared" si="4"/>
        <v>3600</v>
      </c>
      <c r="W40" s="85">
        <v>1800</v>
      </c>
      <c r="X40" s="52">
        <f t="shared" si="5"/>
        <v>3600</v>
      </c>
    </row>
    <row r="41" spans="1:24" x14ac:dyDescent="0.2">
      <c r="A41" s="3" t="s">
        <v>20</v>
      </c>
      <c r="B41" s="3">
        <v>500</v>
      </c>
      <c r="C41" s="83">
        <v>0</v>
      </c>
      <c r="D41" s="83">
        <v>0</v>
      </c>
      <c r="E41" s="6">
        <f>C41*F41/B41</f>
        <v>0</v>
      </c>
      <c r="F41" s="85">
        <v>10814</v>
      </c>
      <c r="G41" s="52">
        <f t="shared" si="2"/>
        <v>0</v>
      </c>
      <c r="H41" s="44"/>
      <c r="I41" s="3" t="s">
        <v>20</v>
      </c>
      <c r="J41" s="3">
        <v>500</v>
      </c>
      <c r="K41" s="83">
        <v>0</v>
      </c>
      <c r="L41" s="83"/>
      <c r="M41" s="6">
        <f t="shared" si="0"/>
        <v>0</v>
      </c>
      <c r="N41" s="85">
        <v>10814</v>
      </c>
      <c r="O41" s="52">
        <f t="shared" si="3"/>
        <v>0</v>
      </c>
      <c r="R41" s="3" t="s">
        <v>174</v>
      </c>
      <c r="S41" s="3">
        <v>500</v>
      </c>
      <c r="T41" s="83">
        <v>200</v>
      </c>
      <c r="U41" s="83"/>
      <c r="V41" s="6">
        <f t="shared" si="4"/>
        <v>32000</v>
      </c>
      <c r="W41" s="85">
        <v>80000</v>
      </c>
      <c r="X41" s="52">
        <f t="shared" si="5"/>
        <v>32000</v>
      </c>
    </row>
    <row r="42" spans="1:24" x14ac:dyDescent="0.2">
      <c r="A42" s="3" t="s">
        <v>151</v>
      </c>
      <c r="B42" s="3">
        <v>1</v>
      </c>
      <c r="C42" s="83">
        <v>0</v>
      </c>
      <c r="D42" s="83">
        <v>0</v>
      </c>
      <c r="E42" s="6">
        <f>C42*F42/B42</f>
        <v>0</v>
      </c>
      <c r="F42" s="85">
        <v>13000</v>
      </c>
      <c r="G42" s="42">
        <v>13000</v>
      </c>
      <c r="H42" s="44"/>
      <c r="I42" s="3" t="s">
        <v>151</v>
      </c>
      <c r="J42" s="3">
        <v>1</v>
      </c>
      <c r="K42" s="83">
        <v>0</v>
      </c>
      <c r="L42" s="83">
        <v>1</v>
      </c>
      <c r="M42" s="6">
        <f t="shared" si="0"/>
        <v>0</v>
      </c>
      <c r="N42" s="85">
        <v>13000</v>
      </c>
      <c r="O42" s="52">
        <f t="shared" si="3"/>
        <v>13000</v>
      </c>
      <c r="R42" s="3" t="s">
        <v>20</v>
      </c>
      <c r="S42" s="3">
        <v>500</v>
      </c>
      <c r="T42" s="83">
        <v>250</v>
      </c>
      <c r="U42" s="83"/>
      <c r="V42" s="6">
        <f t="shared" si="4"/>
        <v>5407</v>
      </c>
      <c r="W42" s="85">
        <v>10814</v>
      </c>
      <c r="X42" s="52">
        <f t="shared" si="5"/>
        <v>5407</v>
      </c>
    </row>
    <row r="43" spans="1:24" x14ac:dyDescent="0.2">
      <c r="A43" s="3" t="s">
        <v>152</v>
      </c>
      <c r="B43" s="3">
        <v>1</v>
      </c>
      <c r="C43" s="83">
        <v>0</v>
      </c>
      <c r="D43" s="83"/>
      <c r="E43" s="6">
        <f t="shared" ref="E43:E49" si="7">C43*F43/B43</f>
        <v>0</v>
      </c>
      <c r="F43" s="85">
        <v>23000</v>
      </c>
      <c r="G43" s="42">
        <v>23000</v>
      </c>
      <c r="H43" s="44"/>
      <c r="I43" s="3" t="s">
        <v>162</v>
      </c>
      <c r="J43" s="3">
        <v>1</v>
      </c>
      <c r="K43" s="83">
        <v>0</v>
      </c>
      <c r="L43" s="83">
        <v>1</v>
      </c>
      <c r="M43" s="6">
        <f t="shared" si="0"/>
        <v>0</v>
      </c>
      <c r="N43" s="85">
        <v>13000</v>
      </c>
      <c r="O43" s="52"/>
      <c r="R43" s="3" t="s">
        <v>162</v>
      </c>
      <c r="S43" s="3">
        <v>1</v>
      </c>
      <c r="T43" s="83">
        <v>1</v>
      </c>
      <c r="U43" s="83">
        <v>1</v>
      </c>
      <c r="V43" s="6"/>
      <c r="W43" s="85">
        <v>13000</v>
      </c>
      <c r="X43" s="52">
        <f t="shared" si="5"/>
        <v>13000</v>
      </c>
    </row>
    <row r="44" spans="1:24" x14ac:dyDescent="0.2">
      <c r="A44" s="3" t="s">
        <v>153</v>
      </c>
      <c r="B44" s="3">
        <v>1</v>
      </c>
      <c r="C44" s="83">
        <v>0</v>
      </c>
      <c r="D44" s="83"/>
      <c r="E44" s="6">
        <f t="shared" si="7"/>
        <v>0</v>
      </c>
      <c r="F44" s="85">
        <v>25000</v>
      </c>
      <c r="G44" s="52">
        <f t="shared" si="2"/>
        <v>0</v>
      </c>
      <c r="H44" s="44"/>
      <c r="I44" s="3" t="s">
        <v>152</v>
      </c>
      <c r="J44" s="3">
        <v>1</v>
      </c>
      <c r="K44" s="83">
        <v>0</v>
      </c>
      <c r="L44" s="83"/>
      <c r="M44" s="6">
        <f t="shared" si="0"/>
        <v>0</v>
      </c>
      <c r="N44" s="85">
        <v>23000</v>
      </c>
      <c r="O44" s="52">
        <v>23000</v>
      </c>
      <c r="R44" s="3" t="s">
        <v>152</v>
      </c>
      <c r="S44" s="3">
        <v>1</v>
      </c>
      <c r="T44" s="83">
        <v>1</v>
      </c>
      <c r="U44" s="83"/>
      <c r="V44" s="6"/>
      <c r="W44" s="85">
        <v>23000</v>
      </c>
      <c r="X44" s="52">
        <f t="shared" si="5"/>
        <v>23000</v>
      </c>
    </row>
    <row r="45" spans="1:24" x14ac:dyDescent="0.2">
      <c r="A45" s="3" t="s">
        <v>154</v>
      </c>
      <c r="B45" s="3">
        <v>5</v>
      </c>
      <c r="C45" s="83">
        <v>0</v>
      </c>
      <c r="D45" s="83"/>
      <c r="E45" s="6">
        <f t="shared" si="7"/>
        <v>0</v>
      </c>
      <c r="F45" s="85">
        <v>2000</v>
      </c>
      <c r="G45" s="52">
        <f t="shared" si="2"/>
        <v>0</v>
      </c>
      <c r="H45" s="44"/>
      <c r="I45" s="3" t="s">
        <v>153</v>
      </c>
      <c r="J45" s="3">
        <v>1</v>
      </c>
      <c r="K45" s="83">
        <v>0</v>
      </c>
      <c r="L45" s="83"/>
      <c r="M45" s="6">
        <f t="shared" si="0"/>
        <v>0</v>
      </c>
      <c r="N45" s="85">
        <v>25000</v>
      </c>
      <c r="O45" s="52">
        <f t="shared" si="3"/>
        <v>0</v>
      </c>
      <c r="R45" s="3" t="s">
        <v>153</v>
      </c>
      <c r="S45" s="3">
        <v>1</v>
      </c>
      <c r="T45" s="83">
        <v>0</v>
      </c>
      <c r="U45" s="83"/>
      <c r="V45" s="6"/>
      <c r="W45" s="85">
        <v>25000</v>
      </c>
      <c r="X45" s="52">
        <f>(W45/S45)*T45</f>
        <v>0</v>
      </c>
    </row>
    <row r="46" spans="1:24" x14ac:dyDescent="0.2">
      <c r="A46" s="24" t="s">
        <v>155</v>
      </c>
      <c r="B46" s="3">
        <v>10</v>
      </c>
      <c r="C46" s="83">
        <v>0</v>
      </c>
      <c r="D46" s="83"/>
      <c r="E46" s="6">
        <f t="shared" si="7"/>
        <v>0</v>
      </c>
      <c r="F46" s="85">
        <v>3000</v>
      </c>
      <c r="G46" s="52">
        <f t="shared" si="2"/>
        <v>0</v>
      </c>
      <c r="H46" s="44"/>
      <c r="I46" s="3" t="s">
        <v>154</v>
      </c>
      <c r="J46" s="3">
        <v>5</v>
      </c>
      <c r="K46" s="83">
        <v>0</v>
      </c>
      <c r="L46" s="83"/>
      <c r="M46" s="6">
        <f t="shared" si="0"/>
        <v>0</v>
      </c>
      <c r="N46" s="85">
        <v>2000</v>
      </c>
      <c r="O46" s="52">
        <f t="shared" si="3"/>
        <v>0</v>
      </c>
      <c r="R46" s="3" t="s">
        <v>154</v>
      </c>
      <c r="S46" s="3">
        <v>5</v>
      </c>
      <c r="T46" s="83">
        <v>1</v>
      </c>
      <c r="U46" s="83"/>
      <c r="V46" s="6"/>
      <c r="W46" s="85">
        <v>2000</v>
      </c>
      <c r="X46" s="52">
        <f t="shared" si="5"/>
        <v>400</v>
      </c>
    </row>
    <row r="47" spans="1:24" x14ac:dyDescent="0.2">
      <c r="A47" s="24" t="s">
        <v>180</v>
      </c>
      <c r="B47" s="3">
        <v>10</v>
      </c>
      <c r="C47" s="83">
        <v>0</v>
      </c>
      <c r="D47" s="83"/>
      <c r="E47" s="6">
        <f t="shared" si="7"/>
        <v>0</v>
      </c>
      <c r="F47" s="85">
        <v>15000</v>
      </c>
      <c r="G47" s="6">
        <v>15000</v>
      </c>
      <c r="H47" s="44"/>
      <c r="I47" s="24" t="s">
        <v>155</v>
      </c>
      <c r="J47" s="3">
        <v>10</v>
      </c>
      <c r="K47" s="83">
        <v>0</v>
      </c>
      <c r="L47" s="83"/>
      <c r="M47" s="6">
        <f t="shared" si="0"/>
        <v>0</v>
      </c>
      <c r="N47" s="85">
        <v>3000</v>
      </c>
      <c r="O47" s="52">
        <f t="shared" si="3"/>
        <v>0</v>
      </c>
      <c r="R47" s="3" t="s">
        <v>173</v>
      </c>
      <c r="S47" s="3">
        <v>5</v>
      </c>
      <c r="T47" s="83">
        <v>1</v>
      </c>
      <c r="U47" s="83"/>
      <c r="V47" s="6"/>
      <c r="W47" s="85">
        <v>3000</v>
      </c>
      <c r="X47" s="52">
        <f t="shared" si="5"/>
        <v>600</v>
      </c>
    </row>
    <row r="48" spans="1:24" x14ac:dyDescent="0.2">
      <c r="A48" s="24" t="s">
        <v>181</v>
      </c>
      <c r="B48" s="3">
        <v>500</v>
      </c>
      <c r="C48" s="83">
        <v>0</v>
      </c>
      <c r="D48" s="84"/>
      <c r="E48" s="6">
        <f t="shared" si="7"/>
        <v>0</v>
      </c>
      <c r="F48" s="85">
        <v>4000</v>
      </c>
      <c r="G48" s="6">
        <v>4000</v>
      </c>
      <c r="H48" s="44"/>
      <c r="I48" s="24" t="s">
        <v>180</v>
      </c>
      <c r="J48" s="3">
        <v>10</v>
      </c>
      <c r="K48" s="83">
        <v>0</v>
      </c>
      <c r="L48" s="83">
        <v>1</v>
      </c>
      <c r="M48" s="6">
        <f t="shared" si="0"/>
        <v>0</v>
      </c>
      <c r="N48" s="85">
        <v>15000</v>
      </c>
      <c r="O48" s="52">
        <f t="shared" si="3"/>
        <v>15000</v>
      </c>
      <c r="R48" s="24" t="s">
        <v>155</v>
      </c>
      <c r="S48" s="3">
        <v>10</v>
      </c>
      <c r="T48" s="83">
        <v>1</v>
      </c>
      <c r="U48" s="83"/>
      <c r="V48" s="6"/>
      <c r="W48" s="85">
        <v>3000</v>
      </c>
      <c r="X48" s="52">
        <f t="shared" si="5"/>
        <v>300</v>
      </c>
    </row>
    <row r="49" spans="1:24" x14ac:dyDescent="0.2">
      <c r="A49" s="24" t="s">
        <v>179</v>
      </c>
      <c r="B49" s="3">
        <v>1</v>
      </c>
      <c r="C49" s="83">
        <v>0</v>
      </c>
      <c r="D49" s="84"/>
      <c r="E49" s="6">
        <f t="shared" si="7"/>
        <v>0</v>
      </c>
      <c r="F49" s="85">
        <v>31000</v>
      </c>
      <c r="G49" s="6"/>
      <c r="H49" s="44"/>
      <c r="I49" s="24" t="s">
        <v>179</v>
      </c>
      <c r="J49" s="3">
        <v>1</v>
      </c>
      <c r="K49" s="83">
        <v>0</v>
      </c>
      <c r="L49" s="83"/>
      <c r="M49" s="6">
        <f t="shared" si="0"/>
        <v>0</v>
      </c>
      <c r="N49" s="85">
        <v>21000</v>
      </c>
      <c r="O49" s="52">
        <f>N49</f>
        <v>21000</v>
      </c>
      <c r="R49" s="24" t="s">
        <v>200</v>
      </c>
      <c r="S49" s="3">
        <v>1</v>
      </c>
      <c r="T49" s="83">
        <v>1</v>
      </c>
      <c r="U49" s="83">
        <v>1</v>
      </c>
      <c r="V49" s="6"/>
      <c r="W49" s="85">
        <v>39000</v>
      </c>
      <c r="X49" s="52">
        <f t="shared" si="5"/>
        <v>39000</v>
      </c>
    </row>
    <row r="50" spans="1:24" x14ac:dyDescent="0.2">
      <c r="A50" s="24" t="s">
        <v>178</v>
      </c>
      <c r="B50" s="3">
        <v>1</v>
      </c>
      <c r="C50" s="83">
        <v>0</v>
      </c>
      <c r="D50" s="84"/>
      <c r="E50" s="6">
        <f>C50*F50/B50</f>
        <v>0</v>
      </c>
      <c r="F50" s="85">
        <v>20000</v>
      </c>
      <c r="G50" s="6">
        <f>F50</f>
        <v>20000</v>
      </c>
      <c r="H50" s="44"/>
      <c r="I50" s="24" t="s">
        <v>178</v>
      </c>
      <c r="J50" s="3">
        <v>1</v>
      </c>
      <c r="K50" s="83">
        <v>0</v>
      </c>
      <c r="L50" s="83"/>
      <c r="M50" s="6">
        <f t="shared" si="0"/>
        <v>0</v>
      </c>
      <c r="N50" s="85">
        <v>20000</v>
      </c>
      <c r="O50" s="52"/>
      <c r="R50" s="22" t="s">
        <v>178</v>
      </c>
      <c r="S50" s="3">
        <v>1</v>
      </c>
      <c r="T50" s="83">
        <v>0</v>
      </c>
      <c r="U50" s="83"/>
      <c r="V50" s="6"/>
      <c r="W50" s="85">
        <v>30000</v>
      </c>
      <c r="X50" s="52">
        <f t="shared" si="5"/>
        <v>0</v>
      </c>
    </row>
    <row r="51" spans="1:24" x14ac:dyDescent="0.2">
      <c r="A51" s="3" t="s">
        <v>31</v>
      </c>
      <c r="B51" s="3"/>
      <c r="C51" s="84"/>
      <c r="D51" s="84"/>
      <c r="E51" s="54">
        <f>SUM(E31:E50)</f>
        <v>40000</v>
      </c>
      <c r="F51" s="85"/>
      <c r="G51" s="53">
        <f>SUM(G31:G50)</f>
        <v>107000</v>
      </c>
      <c r="H51" s="44"/>
      <c r="I51" s="24" t="s">
        <v>156</v>
      </c>
      <c r="J51" s="3">
        <v>500</v>
      </c>
      <c r="K51" s="83">
        <v>0</v>
      </c>
      <c r="L51" s="83">
        <v>1</v>
      </c>
      <c r="M51" s="6">
        <f t="shared" si="0"/>
        <v>0</v>
      </c>
      <c r="N51" s="85">
        <v>4000</v>
      </c>
      <c r="O51" s="52">
        <f t="shared" si="3"/>
        <v>4000</v>
      </c>
      <c r="R51" s="24" t="s">
        <v>184</v>
      </c>
      <c r="S51" s="3">
        <v>10</v>
      </c>
      <c r="T51" s="83">
        <v>1</v>
      </c>
      <c r="U51" s="83">
        <v>1</v>
      </c>
      <c r="V51" s="6"/>
      <c r="W51" s="85">
        <v>20000</v>
      </c>
      <c r="X51" s="52">
        <f t="shared" si="5"/>
        <v>2000</v>
      </c>
    </row>
    <row r="52" spans="1:24" ht="16" thickBot="1" x14ac:dyDescent="0.25">
      <c r="A52" s="62"/>
      <c r="B52" s="62"/>
      <c r="C52" s="62"/>
      <c r="D52" s="62"/>
      <c r="E52" s="62"/>
      <c r="F52" s="33"/>
      <c r="G52" s="63"/>
      <c r="H52" s="45"/>
      <c r="I52" s="3" t="s">
        <v>31</v>
      </c>
      <c r="J52" s="3"/>
      <c r="K52" s="84"/>
      <c r="L52" s="84"/>
      <c r="M52" s="54">
        <f>SUM(M31:M51)</f>
        <v>0</v>
      </c>
      <c r="N52" s="84"/>
      <c r="O52" s="53">
        <f>SUM(O31:O51)</f>
        <v>86200</v>
      </c>
      <c r="R52" s="24" t="s">
        <v>181</v>
      </c>
      <c r="S52" s="3">
        <v>500</v>
      </c>
      <c r="T52" s="83">
        <v>100</v>
      </c>
      <c r="U52" s="84">
        <v>1</v>
      </c>
      <c r="V52" s="6">
        <f>T52*W52/S52</f>
        <v>800</v>
      </c>
      <c r="W52" s="85">
        <v>4000</v>
      </c>
      <c r="X52" s="52">
        <f t="shared" si="5"/>
        <v>800</v>
      </c>
    </row>
    <row r="53" spans="1:24" x14ac:dyDescent="0.2">
      <c r="F53" s="7"/>
      <c r="G53" s="44"/>
      <c r="H53" s="45"/>
      <c r="R53" s="3" t="s">
        <v>31</v>
      </c>
      <c r="S53" s="3"/>
      <c r="T53" s="3"/>
      <c r="U53" s="3"/>
      <c r="V53" s="54">
        <f>SUM(V31:V52)</f>
        <v>106307</v>
      </c>
      <c r="W53" s="12"/>
      <c r="X53" s="53">
        <f>SUM(X31:X52)</f>
        <v>184607</v>
      </c>
    </row>
    <row r="54" spans="1:24" ht="16" customHeight="1" x14ac:dyDescent="0.2">
      <c r="A54" s="4" t="s">
        <v>32</v>
      </c>
      <c r="F54" s="7"/>
      <c r="G54" s="44"/>
      <c r="H54" s="45"/>
    </row>
    <row r="55" spans="1:24" x14ac:dyDescent="0.2">
      <c r="F55" s="7"/>
      <c r="G55" s="44"/>
      <c r="H55" s="45"/>
    </row>
    <row r="56" spans="1:24" ht="29" customHeight="1" x14ac:dyDescent="0.2">
      <c r="A56" s="1" t="s">
        <v>12</v>
      </c>
      <c r="B56" s="82" t="s">
        <v>14</v>
      </c>
      <c r="C56" s="82" t="s">
        <v>33</v>
      </c>
      <c r="D56" s="1" t="s">
        <v>34</v>
      </c>
      <c r="F56" s="7"/>
      <c r="G56" s="44"/>
      <c r="H56" s="45"/>
    </row>
    <row r="57" spans="1:24" x14ac:dyDescent="0.2">
      <c r="A57" s="115" t="s">
        <v>35</v>
      </c>
      <c r="B57" s="116">
        <v>4</v>
      </c>
      <c r="C57" s="117">
        <v>1000</v>
      </c>
      <c r="D57" s="117">
        <f>C57*B57</f>
        <v>4000</v>
      </c>
      <c r="F57" s="7"/>
      <c r="G57" s="44"/>
      <c r="H57" s="44"/>
    </row>
    <row r="58" spans="1:24" x14ac:dyDescent="0.2">
      <c r="A58" s="115" t="s">
        <v>36</v>
      </c>
      <c r="B58" s="116">
        <v>2</v>
      </c>
      <c r="C58" s="117">
        <v>4000</v>
      </c>
      <c r="D58" s="117">
        <f t="shared" ref="D58:D61" si="8">C58*B58</f>
        <v>8000</v>
      </c>
      <c r="F58" s="7"/>
      <c r="H58" s="44"/>
    </row>
    <row r="59" spans="1:24" x14ac:dyDescent="0.2">
      <c r="A59" s="115" t="s">
        <v>37</v>
      </c>
      <c r="B59" s="116">
        <v>2</v>
      </c>
      <c r="C59" s="117">
        <v>300</v>
      </c>
      <c r="D59" s="117">
        <f t="shared" si="8"/>
        <v>600</v>
      </c>
      <c r="F59" s="7"/>
    </row>
    <row r="60" spans="1:24" x14ac:dyDescent="0.2">
      <c r="A60" s="115" t="s">
        <v>38</v>
      </c>
      <c r="B60" s="116">
        <v>2</v>
      </c>
      <c r="C60" s="117">
        <v>100</v>
      </c>
      <c r="D60" s="117">
        <f t="shared" si="8"/>
        <v>200</v>
      </c>
      <c r="F60" s="7"/>
    </row>
    <row r="61" spans="1:24" x14ac:dyDescent="0.2">
      <c r="A61" s="115" t="s">
        <v>39</v>
      </c>
      <c r="B61" s="116">
        <v>2</v>
      </c>
      <c r="C61" s="117">
        <v>300</v>
      </c>
      <c r="D61" s="117">
        <f t="shared" si="8"/>
        <v>600</v>
      </c>
      <c r="F61" s="7"/>
    </row>
    <row r="62" spans="1:24" x14ac:dyDescent="0.2">
      <c r="F62" s="7"/>
    </row>
    <row r="63" spans="1:24" ht="16" thickBot="1" x14ac:dyDescent="0.25">
      <c r="A63" s="8" t="s">
        <v>31</v>
      </c>
      <c r="B63" s="9"/>
      <c r="C63" s="8"/>
      <c r="D63" s="9">
        <f>SUM(D57:D62)</f>
        <v>13400</v>
      </c>
      <c r="F63" s="7"/>
    </row>
    <row r="64" spans="1:24" x14ac:dyDescent="0.2">
      <c r="F64" s="7"/>
    </row>
    <row r="65" spans="1:11" x14ac:dyDescent="0.2">
      <c r="A65" s="122" t="s">
        <v>40</v>
      </c>
      <c r="F65" s="7"/>
    </row>
    <row r="66" spans="1:11" x14ac:dyDescent="0.2">
      <c r="F66" s="7"/>
    </row>
    <row r="67" spans="1:11" ht="23.5" customHeight="1" x14ac:dyDescent="0.2">
      <c r="A67" s="1" t="s">
        <v>12</v>
      </c>
      <c r="B67" s="87" t="s">
        <v>14</v>
      </c>
      <c r="C67" s="87" t="s">
        <v>33</v>
      </c>
      <c r="D67" s="1" t="s">
        <v>34</v>
      </c>
      <c r="F67" s="7"/>
    </row>
    <row r="68" spans="1:11" x14ac:dyDescent="0.2">
      <c r="A68" s="115" t="s">
        <v>41</v>
      </c>
      <c r="B68" s="127">
        <v>0.08</v>
      </c>
      <c r="C68" s="117">
        <v>9000</v>
      </c>
      <c r="D68" s="115">
        <f>C68*B68</f>
        <v>720</v>
      </c>
      <c r="F68" s="7"/>
    </row>
    <row r="69" spans="1:11" x14ac:dyDescent="0.2">
      <c r="A69" s="115" t="s">
        <v>196</v>
      </c>
      <c r="B69" s="127">
        <v>0.1</v>
      </c>
      <c r="C69" s="117">
        <v>1000</v>
      </c>
      <c r="D69" s="115">
        <f t="shared" ref="D69:D72" si="9">C69*B69</f>
        <v>100</v>
      </c>
      <c r="F69" s="7"/>
    </row>
    <row r="70" spans="1:11" x14ac:dyDescent="0.2">
      <c r="A70" s="115" t="s">
        <v>43</v>
      </c>
      <c r="B70" s="127">
        <v>0.15</v>
      </c>
      <c r="C70" s="117">
        <v>1200</v>
      </c>
      <c r="D70" s="115">
        <f t="shared" si="9"/>
        <v>180</v>
      </c>
      <c r="F70" s="7"/>
    </row>
    <row r="71" spans="1:11" x14ac:dyDescent="0.2">
      <c r="A71" s="115" t="s">
        <v>210</v>
      </c>
      <c r="B71" s="128">
        <f>1/200</f>
        <v>5.0000000000000001E-3</v>
      </c>
      <c r="C71" s="117">
        <v>70479</v>
      </c>
      <c r="D71" s="115">
        <f t="shared" si="9"/>
        <v>352.39499999999998</v>
      </c>
      <c r="F71" s="7"/>
    </row>
    <row r="72" spans="1:11" x14ac:dyDescent="0.2">
      <c r="A72" s="115" t="s">
        <v>211</v>
      </c>
      <c r="B72" s="128">
        <f>1/200</f>
        <v>5.0000000000000001E-3</v>
      </c>
      <c r="C72" s="117">
        <v>55000</v>
      </c>
      <c r="D72" s="115">
        <f t="shared" si="9"/>
        <v>275</v>
      </c>
      <c r="F72" s="7"/>
    </row>
    <row r="73" spans="1:11" x14ac:dyDescent="0.2">
      <c r="B73" s="23"/>
      <c r="F73" s="7"/>
    </row>
    <row r="74" spans="1:11" ht="16" thickBot="1" x14ac:dyDescent="0.25">
      <c r="A74" s="8" t="s">
        <v>31</v>
      </c>
      <c r="B74" s="9"/>
      <c r="C74" s="8"/>
      <c r="D74" s="9">
        <f>SUM(D68:D73)</f>
        <v>1627.395</v>
      </c>
      <c r="F74" s="7"/>
    </row>
    <row r="75" spans="1:11" x14ac:dyDescent="0.2">
      <c r="B75" s="7"/>
      <c r="D75" s="7"/>
      <c r="F75" s="7"/>
    </row>
    <row r="76" spans="1:11" x14ac:dyDescent="0.2">
      <c r="A76" s="122" t="s">
        <v>46</v>
      </c>
      <c r="B76" s="23"/>
      <c r="F76" s="7"/>
    </row>
    <row r="77" spans="1:11" x14ac:dyDescent="0.2">
      <c r="A77" s="4"/>
      <c r="B77" s="23"/>
      <c r="F77" s="26"/>
      <c r="G77" s="27"/>
    </row>
    <row r="78" spans="1:11" ht="23" customHeight="1" x14ac:dyDescent="0.2">
      <c r="A78" s="1" t="s">
        <v>12</v>
      </c>
      <c r="B78" s="87" t="s">
        <v>14</v>
      </c>
      <c r="C78" s="87" t="s">
        <v>33</v>
      </c>
      <c r="D78" s="1" t="s">
        <v>34</v>
      </c>
      <c r="F78" s="7"/>
      <c r="H78" s="27"/>
      <c r="I78" s="27"/>
      <c r="J78" s="28"/>
      <c r="K78" s="28"/>
    </row>
    <row r="79" spans="1:11" x14ac:dyDescent="0.2">
      <c r="A79" s="115" t="s">
        <v>110</v>
      </c>
      <c r="B79" s="116">
        <v>1</v>
      </c>
      <c r="C79" s="117">
        <v>400</v>
      </c>
      <c r="D79" s="117">
        <f>B79*C79</f>
        <v>400</v>
      </c>
      <c r="F79" s="7"/>
      <c r="H79" s="29"/>
      <c r="I79" s="30"/>
      <c r="J79" s="31"/>
      <c r="K79" s="31"/>
    </row>
    <row r="80" spans="1:11" x14ac:dyDescent="0.2">
      <c r="A80" s="115" t="s">
        <v>47</v>
      </c>
      <c r="B80" s="116">
        <v>1</v>
      </c>
      <c r="C80" s="117">
        <v>400</v>
      </c>
      <c r="D80" s="117">
        <f t="shared" ref="D80:D93" si="10">B80*C80</f>
        <v>400</v>
      </c>
      <c r="F80" s="7"/>
      <c r="I80" s="30"/>
      <c r="J80" s="31"/>
      <c r="K80" s="31"/>
    </row>
    <row r="81" spans="1:11" x14ac:dyDescent="0.2">
      <c r="A81" s="115" t="s">
        <v>48</v>
      </c>
      <c r="B81" s="116">
        <v>2</v>
      </c>
      <c r="C81" s="117">
        <v>400</v>
      </c>
      <c r="D81" s="117">
        <f t="shared" si="10"/>
        <v>800</v>
      </c>
      <c r="F81" s="7"/>
      <c r="I81" s="30"/>
      <c r="J81" s="31"/>
      <c r="K81" s="31"/>
    </row>
    <row r="82" spans="1:11" x14ac:dyDescent="0.2">
      <c r="A82" s="115" t="s">
        <v>49</v>
      </c>
      <c r="B82" s="116">
        <v>3</v>
      </c>
      <c r="C82" s="117">
        <v>500</v>
      </c>
      <c r="D82" s="117">
        <f t="shared" si="10"/>
        <v>1500</v>
      </c>
      <c r="F82" s="7"/>
      <c r="I82" s="30"/>
      <c r="J82" s="31"/>
      <c r="K82" s="31"/>
    </row>
    <row r="83" spans="1:11" x14ac:dyDescent="0.2">
      <c r="A83" s="115" t="s">
        <v>111</v>
      </c>
      <c r="B83" s="116">
        <v>3</v>
      </c>
      <c r="C83" s="117">
        <v>2000</v>
      </c>
      <c r="D83" s="117">
        <f t="shared" si="10"/>
        <v>6000</v>
      </c>
      <c r="F83" s="7"/>
      <c r="I83" s="30"/>
      <c r="J83" s="31"/>
      <c r="K83" s="31"/>
    </row>
    <row r="84" spans="1:11" x14ac:dyDescent="0.2">
      <c r="A84" s="115" t="s">
        <v>112</v>
      </c>
      <c r="B84" s="116">
        <v>4</v>
      </c>
      <c r="C84" s="117">
        <v>2500</v>
      </c>
      <c r="D84" s="117">
        <f t="shared" si="10"/>
        <v>10000</v>
      </c>
      <c r="F84" s="7"/>
      <c r="I84" s="30"/>
      <c r="J84" s="31"/>
      <c r="K84" s="31"/>
    </row>
    <row r="85" spans="1:11" x14ac:dyDescent="0.2">
      <c r="A85" s="115" t="s">
        <v>113</v>
      </c>
      <c r="B85" s="116">
        <v>1</v>
      </c>
      <c r="C85" s="117">
        <v>2000</v>
      </c>
      <c r="D85" s="117">
        <f t="shared" si="10"/>
        <v>2000</v>
      </c>
      <c r="F85" s="7"/>
      <c r="I85" s="30"/>
      <c r="J85" s="31"/>
      <c r="K85" s="31"/>
    </row>
    <row r="86" spans="1:11" x14ac:dyDescent="0.2">
      <c r="A86" s="115" t="s">
        <v>114</v>
      </c>
      <c r="B86" s="116">
        <v>3</v>
      </c>
      <c r="C86" s="117">
        <v>200</v>
      </c>
      <c r="D86" s="117">
        <f t="shared" si="10"/>
        <v>600</v>
      </c>
      <c r="F86" s="7"/>
      <c r="I86" s="30"/>
      <c r="J86" s="31"/>
      <c r="K86" s="31"/>
    </row>
    <row r="87" spans="1:11" x14ac:dyDescent="0.2">
      <c r="A87" s="115" t="s">
        <v>50</v>
      </c>
      <c r="B87" s="116">
        <v>1</v>
      </c>
      <c r="C87" s="117">
        <v>5000</v>
      </c>
      <c r="D87" s="117">
        <f t="shared" si="10"/>
        <v>5000</v>
      </c>
      <c r="F87" s="7"/>
      <c r="I87" s="30"/>
      <c r="J87" s="31"/>
      <c r="K87" s="31"/>
    </row>
    <row r="88" spans="1:11" x14ac:dyDescent="0.2">
      <c r="A88" s="115" t="s">
        <v>51</v>
      </c>
      <c r="B88" s="116">
        <v>1</v>
      </c>
      <c r="C88" s="117">
        <v>1000</v>
      </c>
      <c r="D88" s="117">
        <f t="shared" si="10"/>
        <v>1000</v>
      </c>
      <c r="F88" s="7"/>
      <c r="I88" s="30"/>
      <c r="J88" s="31"/>
      <c r="K88" s="31"/>
    </row>
    <row r="89" spans="1:11" x14ac:dyDescent="0.2">
      <c r="A89" s="115" t="s">
        <v>52</v>
      </c>
      <c r="B89" s="116">
        <v>0.05</v>
      </c>
      <c r="C89" s="117">
        <v>8000</v>
      </c>
      <c r="D89" s="117">
        <f t="shared" si="10"/>
        <v>400</v>
      </c>
      <c r="F89" s="7"/>
      <c r="I89" s="30"/>
      <c r="J89" s="31"/>
      <c r="K89" s="31"/>
    </row>
    <row r="90" spans="1:11" x14ac:dyDescent="0.2">
      <c r="A90" s="115" t="s">
        <v>115</v>
      </c>
      <c r="B90" s="116">
        <v>10</v>
      </c>
      <c r="C90" s="117">
        <v>400</v>
      </c>
      <c r="D90" s="117">
        <f t="shared" si="10"/>
        <v>4000</v>
      </c>
      <c r="F90" s="7"/>
      <c r="I90" s="30"/>
      <c r="J90" s="31"/>
      <c r="K90" s="31"/>
    </row>
    <row r="91" spans="1:11" x14ac:dyDescent="0.2">
      <c r="A91" s="115" t="s">
        <v>54</v>
      </c>
      <c r="B91" s="116">
        <v>0.1</v>
      </c>
      <c r="C91" s="117">
        <v>500</v>
      </c>
      <c r="D91" s="117">
        <f t="shared" si="10"/>
        <v>50</v>
      </c>
      <c r="F91" s="7"/>
      <c r="I91" s="30"/>
      <c r="J91" s="31"/>
      <c r="K91" s="31"/>
    </row>
    <row r="92" spans="1:11" x14ac:dyDescent="0.2">
      <c r="A92" s="115" t="s">
        <v>55</v>
      </c>
      <c r="B92" s="116">
        <v>0.5</v>
      </c>
      <c r="C92" s="117">
        <v>500</v>
      </c>
      <c r="D92" s="117">
        <f t="shared" si="10"/>
        <v>250</v>
      </c>
      <c r="F92" s="7"/>
      <c r="I92" s="30"/>
      <c r="J92" s="31"/>
      <c r="K92" s="31"/>
    </row>
    <row r="93" spans="1:11" ht="19" x14ac:dyDescent="0.25">
      <c r="A93" s="115" t="s">
        <v>56</v>
      </c>
      <c r="B93" s="116">
        <f>1/60</f>
        <v>1.6666666666666666E-2</v>
      </c>
      <c r="C93" s="117">
        <v>1500</v>
      </c>
      <c r="D93" s="117">
        <f t="shared" si="10"/>
        <v>25</v>
      </c>
      <c r="F93" s="41"/>
      <c r="I93" s="32"/>
    </row>
    <row r="94" spans="1:11" x14ac:dyDescent="0.2">
      <c r="D94" s="7"/>
      <c r="F94" s="7"/>
    </row>
    <row r="95" spans="1:11" ht="16" thickBot="1" x14ac:dyDescent="0.25">
      <c r="A95" s="8" t="s">
        <v>31</v>
      </c>
      <c r="B95" s="9"/>
      <c r="C95" s="8"/>
      <c r="D95" s="9">
        <f>SUM(D79:D94)</f>
        <v>32425</v>
      </c>
    </row>
    <row r="96" spans="1:11" x14ac:dyDescent="0.2">
      <c r="B96" s="7"/>
      <c r="D96" s="7"/>
    </row>
    <row r="97" spans="1:20" x14ac:dyDescent="0.2">
      <c r="B97" s="7"/>
      <c r="D97" s="7"/>
    </row>
    <row r="98" spans="1:20" x14ac:dyDescent="0.2">
      <c r="A98" s="4" t="s">
        <v>57</v>
      </c>
    </row>
    <row r="99" spans="1:20" x14ac:dyDescent="0.2">
      <c r="A99" s="14" t="s">
        <v>58</v>
      </c>
      <c r="B99" s="14">
        <v>230</v>
      </c>
      <c r="E99" s="14" t="s">
        <v>58</v>
      </c>
      <c r="F99" s="14">
        <v>230</v>
      </c>
      <c r="J99" s="46"/>
    </row>
    <row r="100" spans="1:20" x14ac:dyDescent="0.2">
      <c r="A100" s="20" t="s">
        <v>59</v>
      </c>
      <c r="B100" s="14">
        <v>1</v>
      </c>
      <c r="E100" s="14" t="s">
        <v>59</v>
      </c>
      <c r="F100" s="14">
        <v>1</v>
      </c>
      <c r="R100" s="44"/>
      <c r="S100" s="44"/>
      <c r="T100" s="44"/>
    </row>
    <row r="101" spans="1:20" x14ac:dyDescent="0.2">
      <c r="A101" s="1" t="s">
        <v>60</v>
      </c>
      <c r="B101" s="1" t="s">
        <v>61</v>
      </c>
      <c r="C101" s="1" t="s">
        <v>62</v>
      </c>
      <c r="D101" s="19"/>
      <c r="E101" s="1" t="s">
        <v>63</v>
      </c>
      <c r="F101" s="1" t="s">
        <v>61</v>
      </c>
      <c r="G101" s="1" t="s">
        <v>62</v>
      </c>
      <c r="R101" s="44"/>
      <c r="S101" s="44"/>
      <c r="T101" s="44"/>
    </row>
    <row r="102" spans="1:20" x14ac:dyDescent="0.2">
      <c r="A102" s="115" t="s">
        <v>64</v>
      </c>
      <c r="B102" s="118">
        <v>3800000</v>
      </c>
      <c r="C102" s="115"/>
      <c r="E102" s="115" t="s">
        <v>64</v>
      </c>
      <c r="F102" s="118">
        <v>1500000</v>
      </c>
      <c r="G102" s="115"/>
      <c r="I102" s="19"/>
      <c r="J102" s="19"/>
      <c r="K102" s="19"/>
      <c r="M102" s="19"/>
      <c r="N102" s="19"/>
      <c r="O102" s="19"/>
      <c r="R102" s="48"/>
      <c r="S102" s="48"/>
      <c r="T102" s="48"/>
    </row>
    <row r="103" spans="1:20" x14ac:dyDescent="0.2">
      <c r="A103" s="115" t="s">
        <v>65</v>
      </c>
      <c r="B103" s="115"/>
      <c r="C103" s="115"/>
      <c r="E103" s="115" t="s">
        <v>65</v>
      </c>
      <c r="F103" s="115"/>
      <c r="G103" s="115"/>
      <c r="J103" s="15"/>
      <c r="N103" s="15"/>
      <c r="R103" s="44"/>
      <c r="S103" s="49"/>
      <c r="T103" s="44"/>
    </row>
    <row r="104" spans="1:20" x14ac:dyDescent="0.2">
      <c r="A104" s="121" t="s">
        <v>64</v>
      </c>
      <c r="B104" s="115"/>
      <c r="C104" s="115"/>
      <c r="E104" s="121" t="s">
        <v>64</v>
      </c>
      <c r="F104" s="115"/>
      <c r="G104" s="115"/>
      <c r="R104" s="44"/>
      <c r="S104" s="44"/>
      <c r="T104" s="44"/>
    </row>
    <row r="105" spans="1:20" x14ac:dyDescent="0.2">
      <c r="A105" s="115" t="s">
        <v>66</v>
      </c>
      <c r="B105" s="115"/>
      <c r="C105" s="115"/>
      <c r="E105" s="115" t="s">
        <v>66</v>
      </c>
      <c r="F105" s="115"/>
      <c r="G105" s="115"/>
      <c r="R105" s="44"/>
      <c r="S105" s="44"/>
      <c r="T105" s="44"/>
    </row>
    <row r="106" spans="1:20" x14ac:dyDescent="0.2">
      <c r="A106" s="123" t="s">
        <v>67</v>
      </c>
      <c r="B106" s="124">
        <v>0.08</v>
      </c>
      <c r="C106" s="125">
        <f t="shared" ref="C106:C115" si="11">+$B$102*B106</f>
        <v>304000</v>
      </c>
      <c r="E106" s="115" t="s">
        <v>67</v>
      </c>
      <c r="F106" s="119">
        <v>0.08</v>
      </c>
      <c r="G106" s="118">
        <f t="shared" ref="G106:G115" si="12">+$F$102*F106</f>
        <v>120000</v>
      </c>
      <c r="R106" s="44"/>
      <c r="S106" s="44"/>
      <c r="T106" s="44"/>
    </row>
    <row r="107" spans="1:20" x14ac:dyDescent="0.2">
      <c r="A107" s="123" t="s">
        <v>68</v>
      </c>
      <c r="B107" s="124">
        <v>0.08</v>
      </c>
      <c r="C107" s="125">
        <f t="shared" si="11"/>
        <v>304000</v>
      </c>
      <c r="E107" s="115" t="s">
        <v>68</v>
      </c>
      <c r="F107" s="119">
        <v>0.08</v>
      </c>
      <c r="G107" s="118">
        <f t="shared" si="12"/>
        <v>120000</v>
      </c>
      <c r="J107" s="47"/>
      <c r="K107" s="15"/>
      <c r="N107" s="47"/>
      <c r="O107" s="15"/>
      <c r="R107" s="44"/>
      <c r="S107" s="50"/>
      <c r="T107" s="49"/>
    </row>
    <row r="108" spans="1:20" x14ac:dyDescent="0.2">
      <c r="A108" s="123" t="s">
        <v>69</v>
      </c>
      <c r="B108" s="124">
        <v>0.04</v>
      </c>
      <c r="C108" s="125">
        <f t="shared" si="11"/>
        <v>152000</v>
      </c>
      <c r="E108" s="115" t="s">
        <v>69</v>
      </c>
      <c r="F108" s="119">
        <v>0.04</v>
      </c>
      <c r="G108" s="118">
        <f t="shared" si="12"/>
        <v>60000</v>
      </c>
      <c r="J108" s="47"/>
      <c r="K108" s="15"/>
      <c r="N108" s="47"/>
      <c r="O108" s="15"/>
      <c r="R108" s="44"/>
      <c r="S108" s="50"/>
      <c r="T108" s="49"/>
    </row>
    <row r="109" spans="1:20" x14ac:dyDescent="0.2">
      <c r="A109" s="123" t="s">
        <v>70</v>
      </c>
      <c r="B109" s="124">
        <v>0.01</v>
      </c>
      <c r="C109" s="125">
        <f t="shared" si="11"/>
        <v>38000</v>
      </c>
      <c r="E109" s="115" t="s">
        <v>70</v>
      </c>
      <c r="F109" s="119">
        <v>0.01</v>
      </c>
      <c r="G109" s="118">
        <f t="shared" si="12"/>
        <v>15000</v>
      </c>
      <c r="J109" s="47"/>
      <c r="K109" s="15"/>
      <c r="N109" s="47"/>
      <c r="O109" s="15"/>
      <c r="R109" s="44"/>
      <c r="S109" s="50"/>
      <c r="T109" s="49"/>
    </row>
    <row r="110" spans="1:20" x14ac:dyDescent="0.2">
      <c r="A110" s="123" t="s">
        <v>71</v>
      </c>
      <c r="B110" s="124">
        <v>8.5000000000000006E-2</v>
      </c>
      <c r="C110" s="125">
        <f t="shared" si="11"/>
        <v>323000</v>
      </c>
      <c r="E110" s="115" t="s">
        <v>71</v>
      </c>
      <c r="F110" s="119">
        <v>8.5000000000000006E-2</v>
      </c>
      <c r="G110" s="118">
        <f t="shared" si="12"/>
        <v>127500.00000000001</v>
      </c>
      <c r="J110" s="47"/>
      <c r="K110" s="15"/>
      <c r="N110" s="47"/>
      <c r="O110" s="15"/>
      <c r="R110" s="44"/>
      <c r="S110" s="50"/>
      <c r="T110" s="49"/>
    </row>
    <row r="111" spans="1:20" x14ac:dyDescent="0.2">
      <c r="A111" s="123" t="s">
        <v>72</v>
      </c>
      <c r="B111" s="124">
        <v>0.12</v>
      </c>
      <c r="C111" s="125">
        <f t="shared" si="11"/>
        <v>456000</v>
      </c>
      <c r="E111" s="115" t="s">
        <v>72</v>
      </c>
      <c r="F111" s="119">
        <v>0.12</v>
      </c>
      <c r="G111" s="118">
        <f t="shared" si="12"/>
        <v>180000</v>
      </c>
      <c r="J111" s="47"/>
      <c r="K111" s="15"/>
      <c r="N111" s="47"/>
      <c r="O111" s="15"/>
      <c r="R111" s="44"/>
      <c r="S111" s="50"/>
      <c r="T111" s="49"/>
    </row>
    <row r="112" spans="1:20" x14ac:dyDescent="0.2">
      <c r="A112" s="123" t="s">
        <v>73</v>
      </c>
      <c r="B112" s="124">
        <v>0.02</v>
      </c>
      <c r="C112" s="125">
        <f t="shared" si="11"/>
        <v>76000</v>
      </c>
      <c r="E112" s="115" t="s">
        <v>73</v>
      </c>
      <c r="F112" s="119">
        <v>2.4E-2</v>
      </c>
      <c r="G112" s="118">
        <f t="shared" si="12"/>
        <v>36000</v>
      </c>
      <c r="J112" s="47"/>
      <c r="K112" s="15"/>
      <c r="N112" s="47"/>
      <c r="O112" s="15"/>
      <c r="R112" s="44"/>
      <c r="S112" s="50"/>
      <c r="T112" s="49"/>
    </row>
    <row r="113" spans="1:20" x14ac:dyDescent="0.2">
      <c r="A113" s="123" t="s">
        <v>74</v>
      </c>
      <c r="B113" s="124">
        <v>0.04</v>
      </c>
      <c r="C113" s="125">
        <f t="shared" si="11"/>
        <v>152000</v>
      </c>
      <c r="E113" s="115" t="s">
        <v>74</v>
      </c>
      <c r="F113" s="119">
        <v>0.04</v>
      </c>
      <c r="G113" s="118">
        <f t="shared" si="12"/>
        <v>60000</v>
      </c>
      <c r="J113" s="47"/>
      <c r="K113" s="15"/>
      <c r="N113" s="47"/>
      <c r="O113" s="15"/>
      <c r="R113" s="44"/>
      <c r="S113" s="50"/>
      <c r="T113" s="49"/>
    </row>
    <row r="114" spans="1:20" x14ac:dyDescent="0.2">
      <c r="A114" s="123" t="s">
        <v>75</v>
      </c>
      <c r="B114" s="124">
        <v>0.02</v>
      </c>
      <c r="C114" s="125">
        <f t="shared" si="11"/>
        <v>76000</v>
      </c>
      <c r="E114" s="115" t="s">
        <v>75</v>
      </c>
      <c r="F114" s="119">
        <v>0.02</v>
      </c>
      <c r="G114" s="118">
        <f t="shared" si="12"/>
        <v>30000</v>
      </c>
      <c r="J114" s="47"/>
      <c r="K114" s="15"/>
      <c r="N114" s="47"/>
      <c r="O114" s="15"/>
      <c r="R114" s="44"/>
      <c r="S114" s="50"/>
      <c r="T114" s="49"/>
    </row>
    <row r="115" spans="1:20" x14ac:dyDescent="0.2">
      <c r="A115" s="123" t="s">
        <v>76</v>
      </c>
      <c r="B115" s="124">
        <v>0.03</v>
      </c>
      <c r="C115" s="125">
        <f t="shared" si="11"/>
        <v>114000</v>
      </c>
      <c r="E115" s="115" t="s">
        <v>76</v>
      </c>
      <c r="F115" s="119">
        <v>0.03</v>
      </c>
      <c r="G115" s="118">
        <f t="shared" si="12"/>
        <v>45000</v>
      </c>
      <c r="J115" s="47"/>
      <c r="K115" s="15"/>
      <c r="N115" s="47"/>
      <c r="O115" s="15"/>
      <c r="R115" s="44"/>
      <c r="S115" s="50"/>
      <c r="T115" s="49"/>
    </row>
    <row r="116" spans="1:20" x14ac:dyDescent="0.2">
      <c r="A116" s="115" t="s">
        <v>77</v>
      </c>
      <c r="B116" s="115"/>
      <c r="C116" s="118">
        <f>SUM(C106:C115)</f>
        <v>1995000</v>
      </c>
      <c r="E116" s="120" t="s">
        <v>78</v>
      </c>
      <c r="F116" s="115"/>
      <c r="G116" s="118">
        <v>117000</v>
      </c>
      <c r="J116" s="47"/>
      <c r="K116" s="15"/>
      <c r="N116" s="47"/>
      <c r="O116" s="15"/>
      <c r="R116" s="44"/>
      <c r="S116" s="50"/>
      <c r="T116" s="49"/>
    </row>
    <row r="117" spans="1:20" x14ac:dyDescent="0.2">
      <c r="A117" s="115" t="s">
        <v>79</v>
      </c>
      <c r="B117" s="115"/>
      <c r="C117" s="118">
        <f>+C116+B102</f>
        <v>5795000</v>
      </c>
      <c r="E117" s="115" t="s">
        <v>80</v>
      </c>
      <c r="F117" s="115"/>
      <c r="G117" s="118">
        <f>SUM(G106:G116)</f>
        <v>910500</v>
      </c>
      <c r="K117" s="15"/>
      <c r="O117" s="15"/>
      <c r="R117" s="44"/>
      <c r="S117" s="44"/>
      <c r="T117" s="49"/>
    </row>
    <row r="118" spans="1:20" x14ac:dyDescent="0.2">
      <c r="A118" s="3"/>
      <c r="B118" s="3"/>
      <c r="C118" s="3"/>
      <c r="E118" s="120" t="s">
        <v>81</v>
      </c>
      <c r="F118" s="115"/>
      <c r="G118" s="118">
        <f>+G117+F102</f>
        <v>2410500</v>
      </c>
      <c r="K118" s="15"/>
      <c r="O118" s="15"/>
      <c r="R118" s="44"/>
      <c r="S118" s="44"/>
      <c r="T118" s="49"/>
    </row>
    <row r="119" spans="1:20" x14ac:dyDescent="0.2">
      <c r="A119" s="12" t="s">
        <v>82</v>
      </c>
      <c r="B119" s="3"/>
      <c r="C119" s="10">
        <f>+C117/B99</f>
        <v>25195.652173913044</v>
      </c>
      <c r="E119" s="115" t="s">
        <v>83</v>
      </c>
      <c r="F119" s="115"/>
      <c r="G119" s="118">
        <f>+G118/B99</f>
        <v>10480.434782608696</v>
      </c>
      <c r="R119" s="44"/>
      <c r="S119" s="44"/>
      <c r="T119" s="44"/>
    </row>
    <row r="120" spans="1:20" x14ac:dyDescent="0.2">
      <c r="A120" s="2"/>
      <c r="C120" s="15"/>
      <c r="G120" s="15"/>
      <c r="I120" s="2"/>
      <c r="K120" s="15"/>
      <c r="M120" s="2"/>
      <c r="O120" s="15"/>
      <c r="R120" s="51"/>
      <c r="S120" s="44"/>
      <c r="T120" s="49"/>
    </row>
    <row r="121" spans="1:20" x14ac:dyDescent="0.2">
      <c r="A121" s="2"/>
      <c r="C121" s="15"/>
      <c r="G121" s="15"/>
      <c r="I121" s="2"/>
      <c r="K121" s="15"/>
      <c r="M121" s="2"/>
      <c r="O121" s="15"/>
      <c r="R121" s="51"/>
      <c r="S121" s="44"/>
      <c r="T121" s="49"/>
    </row>
    <row r="122" spans="1:20" x14ac:dyDescent="0.2">
      <c r="I122" s="2"/>
      <c r="K122" s="15"/>
      <c r="M122" s="2"/>
      <c r="O122" s="15"/>
      <c r="R122" s="51"/>
      <c r="S122" s="44"/>
      <c r="T122" s="49"/>
    </row>
    <row r="123" spans="1:20" x14ac:dyDescent="0.2">
      <c r="A123" s="4" t="s">
        <v>84</v>
      </c>
    </row>
    <row r="124" spans="1:20" x14ac:dyDescent="0.2">
      <c r="A124" s="14"/>
      <c r="B124" s="14"/>
    </row>
    <row r="125" spans="1:20" x14ac:dyDescent="0.2">
      <c r="A125" s="12" t="s">
        <v>85</v>
      </c>
      <c r="B125" s="12" t="s">
        <v>86</v>
      </c>
      <c r="C125" s="12" t="s">
        <v>87</v>
      </c>
    </row>
    <row r="126" spans="1:20" x14ac:dyDescent="0.2">
      <c r="A126" s="115" t="s">
        <v>88</v>
      </c>
      <c r="B126" s="118">
        <v>2388262</v>
      </c>
      <c r="C126" s="118">
        <f>B126/$E$4/B$3</f>
        <v>1990.2183333333332</v>
      </c>
      <c r="D126" s="129" t="s">
        <v>224</v>
      </c>
      <c r="E126" s="130"/>
      <c r="F126" s="130"/>
      <c r="G126" s="130"/>
    </row>
    <row r="127" spans="1:20" x14ac:dyDescent="0.2">
      <c r="A127" s="115" t="s">
        <v>89</v>
      </c>
      <c r="B127" s="118">
        <v>6775276.5</v>
      </c>
      <c r="C127" s="118">
        <f t="shared" ref="C127:C130" si="13">B127/$E$4/B$3</f>
        <v>5646.0637500000003</v>
      </c>
    </row>
    <row r="128" spans="1:20" x14ac:dyDescent="0.2">
      <c r="A128" s="115" t="s">
        <v>90</v>
      </c>
      <c r="B128" s="118">
        <v>4783964.3999999994</v>
      </c>
      <c r="C128" s="118">
        <f t="shared" si="13"/>
        <v>3986.6369999999997</v>
      </c>
    </row>
    <row r="129" spans="1:9" x14ac:dyDescent="0.2">
      <c r="A129" s="115" t="s">
        <v>91</v>
      </c>
      <c r="B129" s="118">
        <v>6688</v>
      </c>
      <c r="C129" s="118">
        <f t="shared" si="13"/>
        <v>5.5733333333333333</v>
      </c>
    </row>
    <row r="130" spans="1:9" x14ac:dyDescent="0.2">
      <c r="A130" s="115" t="s">
        <v>92</v>
      </c>
      <c r="B130" s="118">
        <v>63000</v>
      </c>
      <c r="C130" s="118">
        <f t="shared" si="13"/>
        <v>52.5</v>
      </c>
    </row>
    <row r="131" spans="1:9" ht="16" thickBot="1" x14ac:dyDescent="0.25">
      <c r="A131" s="8" t="s">
        <v>31</v>
      </c>
      <c r="B131" s="8"/>
      <c r="C131" s="21">
        <f>SUM(C126:C130)</f>
        <v>11680.992416666668</v>
      </c>
      <c r="E131" s="7"/>
    </row>
    <row r="132" spans="1:9" x14ac:dyDescent="0.2">
      <c r="D132" s="15"/>
      <c r="F132" s="7"/>
    </row>
    <row r="134" spans="1:9" x14ac:dyDescent="0.2">
      <c r="A134" s="4" t="s">
        <v>128</v>
      </c>
      <c r="H134" s="29"/>
      <c r="I134" s="30"/>
    </row>
    <row r="135" spans="1:9" x14ac:dyDescent="0.2">
      <c r="A135" s="14" t="s">
        <v>102</v>
      </c>
      <c r="B135" s="14">
        <v>4</v>
      </c>
      <c r="H135" s="29"/>
      <c r="I135" s="30"/>
    </row>
    <row r="136" spans="1:9" x14ac:dyDescent="0.2">
      <c r="H136" s="29"/>
      <c r="I136" s="30"/>
    </row>
    <row r="137" spans="1:9" x14ac:dyDescent="0.2">
      <c r="B137" s="1" t="s">
        <v>14</v>
      </c>
      <c r="C137" s="87" t="s">
        <v>33</v>
      </c>
      <c r="D137" s="1" t="s">
        <v>34</v>
      </c>
      <c r="H137" s="29"/>
      <c r="I137" s="30"/>
    </row>
    <row r="138" spans="1:9" ht="16" x14ac:dyDescent="0.2">
      <c r="A138" s="123" t="s">
        <v>117</v>
      </c>
      <c r="B138" s="116">
        <v>1</v>
      </c>
      <c r="C138" s="117">
        <v>10000000</v>
      </c>
      <c r="D138" s="117">
        <f>B138*C138</f>
        <v>10000000</v>
      </c>
      <c r="H138" s="2"/>
      <c r="I138" s="35"/>
    </row>
    <row r="139" spans="1:9" x14ac:dyDescent="0.2">
      <c r="A139" s="115" t="s">
        <v>118</v>
      </c>
      <c r="B139" s="116">
        <v>12</v>
      </c>
      <c r="C139" s="117">
        <v>4000000</v>
      </c>
      <c r="D139" s="117">
        <f t="shared" ref="D139:D148" si="14">B139*C139</f>
        <v>48000000</v>
      </c>
      <c r="H139" s="2"/>
      <c r="I139" s="36"/>
    </row>
    <row r="140" spans="1:9" x14ac:dyDescent="0.2">
      <c r="A140" s="115" t="s">
        <v>119</v>
      </c>
      <c r="B140" s="116">
        <v>6</v>
      </c>
      <c r="C140" s="117">
        <v>1000000</v>
      </c>
      <c r="D140" s="117">
        <f t="shared" si="14"/>
        <v>6000000</v>
      </c>
      <c r="H140" s="2"/>
      <c r="I140" s="36"/>
    </row>
    <row r="141" spans="1:9" x14ac:dyDescent="0.2">
      <c r="A141" s="123" t="s">
        <v>120</v>
      </c>
      <c r="B141" s="116">
        <v>1</v>
      </c>
      <c r="C141" s="117">
        <v>1000000</v>
      </c>
      <c r="D141" s="117">
        <f t="shared" si="14"/>
        <v>1000000</v>
      </c>
    </row>
    <row r="142" spans="1:9" x14ac:dyDescent="0.2">
      <c r="A142" s="123" t="s">
        <v>121</v>
      </c>
      <c r="B142" s="116">
        <v>6</v>
      </c>
      <c r="C142" s="117">
        <v>2000000</v>
      </c>
      <c r="D142" s="117">
        <f t="shared" si="14"/>
        <v>12000000</v>
      </c>
    </row>
    <row r="143" spans="1:9" x14ac:dyDescent="0.2">
      <c r="A143" s="123" t="s">
        <v>122</v>
      </c>
      <c r="B143" s="116">
        <v>3</v>
      </c>
      <c r="C143" s="117">
        <v>2500000</v>
      </c>
      <c r="D143" s="117">
        <f t="shared" si="14"/>
        <v>7500000</v>
      </c>
    </row>
    <row r="144" spans="1:9" x14ac:dyDescent="0.2">
      <c r="A144" s="123" t="s">
        <v>123</v>
      </c>
      <c r="B144" s="116">
        <v>10</v>
      </c>
      <c r="C144" s="117">
        <v>400000</v>
      </c>
      <c r="D144" s="117">
        <f t="shared" si="14"/>
        <v>4000000</v>
      </c>
    </row>
    <row r="145" spans="1:4" x14ac:dyDescent="0.2">
      <c r="A145" s="123" t="s">
        <v>142</v>
      </c>
      <c r="B145" s="116">
        <v>3</v>
      </c>
      <c r="C145" s="117">
        <v>5000000</v>
      </c>
      <c r="D145" s="117">
        <f t="shared" si="14"/>
        <v>15000000</v>
      </c>
    </row>
    <row r="146" spans="1:4" x14ac:dyDescent="0.2">
      <c r="A146" s="123" t="s">
        <v>125</v>
      </c>
      <c r="B146" s="116">
        <v>2</v>
      </c>
      <c r="C146" s="117">
        <v>2000000</v>
      </c>
      <c r="D146" s="117">
        <f t="shared" si="14"/>
        <v>4000000</v>
      </c>
    </row>
    <row r="147" spans="1:4" x14ac:dyDescent="0.2">
      <c r="A147" s="123" t="s">
        <v>126</v>
      </c>
      <c r="B147" s="116">
        <v>5</v>
      </c>
      <c r="C147" s="117">
        <v>400000</v>
      </c>
      <c r="D147" s="117">
        <f t="shared" si="14"/>
        <v>2000000</v>
      </c>
    </row>
    <row r="148" spans="1:4" x14ac:dyDescent="0.2">
      <c r="A148" s="123" t="s">
        <v>127</v>
      </c>
      <c r="B148" s="116">
        <v>3</v>
      </c>
      <c r="C148" s="117">
        <v>575000</v>
      </c>
      <c r="D148" s="117">
        <f t="shared" si="14"/>
        <v>1725000</v>
      </c>
    </row>
    <row r="149" spans="1:4" ht="16" thickBot="1" x14ac:dyDescent="0.25">
      <c r="A149" s="126" t="s">
        <v>31</v>
      </c>
      <c r="B149" s="8"/>
      <c r="C149" s="8"/>
      <c r="D149" s="90">
        <f>SUM(D138:D148)</f>
        <v>111225000</v>
      </c>
    </row>
    <row r="150" spans="1:4" x14ac:dyDescent="0.2">
      <c r="A150" t="s">
        <v>129</v>
      </c>
      <c r="D150" s="34">
        <f>D149/12</f>
        <v>9268750</v>
      </c>
    </row>
    <row r="151" spans="1:4" x14ac:dyDescent="0.2">
      <c r="A151" t="s">
        <v>134</v>
      </c>
      <c r="D151" s="34">
        <f>D150/B135</f>
        <v>2317187.5</v>
      </c>
    </row>
    <row r="152" spans="1:4" x14ac:dyDescent="0.2">
      <c r="A152" t="s">
        <v>133</v>
      </c>
      <c r="D152" s="34">
        <f>D151/E4</f>
        <v>7723.958333333333</v>
      </c>
    </row>
    <row r="153" spans="1:4" x14ac:dyDescent="0.2">
      <c r="D153" s="34"/>
    </row>
    <row r="154" spans="1:4" x14ac:dyDescent="0.2">
      <c r="D154" s="34"/>
    </row>
    <row r="155" spans="1:4" s="75" customFormat="1" x14ac:dyDescent="0.2">
      <c r="A155" s="131" t="s">
        <v>225</v>
      </c>
      <c r="B155" s="131"/>
      <c r="C155" s="131"/>
      <c r="D155" s="131"/>
    </row>
    <row r="156" spans="1:4" s="75" customFormat="1" x14ac:dyDescent="0.2">
      <c r="A156" s="131"/>
      <c r="B156" s="131"/>
      <c r="C156" s="131"/>
      <c r="D156" s="131"/>
    </row>
    <row r="157" spans="1:4" s="58" customFormat="1" x14ac:dyDescent="0.2"/>
    <row r="158" spans="1:4" s="58" customFormat="1" x14ac:dyDescent="0.2"/>
    <row r="159" spans="1:4" ht="21" x14ac:dyDescent="0.25">
      <c r="A159" s="78" t="s">
        <v>141</v>
      </c>
      <c r="B159" s="77"/>
    </row>
    <row r="160" spans="1:4" ht="16" x14ac:dyDescent="0.2">
      <c r="A160" s="79" t="s">
        <v>132</v>
      </c>
      <c r="B160" s="80">
        <v>4</v>
      </c>
    </row>
    <row r="161" spans="1:7" x14ac:dyDescent="0.2">
      <c r="A161" s="79" t="s">
        <v>139</v>
      </c>
      <c r="B161" s="79">
        <v>10</v>
      </c>
      <c r="C161" t="s">
        <v>143</v>
      </c>
      <c r="D161">
        <f>B161*30</f>
        <v>300</v>
      </c>
    </row>
    <row r="162" spans="1:7" x14ac:dyDescent="0.2">
      <c r="A162" t="s">
        <v>95</v>
      </c>
      <c r="B162">
        <v>1</v>
      </c>
    </row>
    <row r="164" spans="1:7" x14ac:dyDescent="0.2">
      <c r="A164" s="38" t="s">
        <v>0</v>
      </c>
    </row>
    <row r="165" spans="1:7" x14ac:dyDescent="0.2">
      <c r="A165" s="2" t="s">
        <v>175</v>
      </c>
      <c r="B165" s="34">
        <f>C165</f>
        <v>184607</v>
      </c>
      <c r="C165" s="7">
        <f>B8</f>
        <v>184607</v>
      </c>
    </row>
    <row r="166" spans="1:7" x14ac:dyDescent="0.2">
      <c r="A166" s="2" t="s">
        <v>171</v>
      </c>
      <c r="B166" s="34">
        <f>O209*K184</f>
        <v>184400</v>
      </c>
      <c r="C166" s="7">
        <f t="shared" ref="C166:C167" si="15">B9</f>
        <v>86200</v>
      </c>
    </row>
    <row r="167" spans="1:7" x14ac:dyDescent="0.2">
      <c r="A167" s="2" t="s">
        <v>170</v>
      </c>
      <c r="B167" s="34">
        <f>G206*C184</f>
        <v>113335.2</v>
      </c>
      <c r="C167" s="7">
        <f t="shared" si="15"/>
        <v>0</v>
      </c>
    </row>
    <row r="168" spans="1:7" x14ac:dyDescent="0.2">
      <c r="A168" s="2" t="s">
        <v>177</v>
      </c>
      <c r="B168" s="39">
        <f>D215</f>
        <v>35300</v>
      </c>
      <c r="C168" s="2"/>
      <c r="D168" s="2"/>
      <c r="E168" s="2"/>
      <c r="F168" s="2"/>
      <c r="G168" s="2"/>
    </row>
    <row r="169" spans="1:7" s="2" customFormat="1" x14ac:dyDescent="0.2">
      <c r="A169" s="2" t="s">
        <v>1</v>
      </c>
      <c r="B169" s="39">
        <f>D227</f>
        <v>10400</v>
      </c>
      <c r="E169" s="61" t="s">
        <v>185</v>
      </c>
      <c r="F169" s="61"/>
    </row>
    <row r="170" spans="1:7" s="2" customFormat="1" x14ac:dyDescent="0.2">
      <c r="A170" s="2" t="s">
        <v>2</v>
      </c>
      <c r="B170" s="39">
        <f>D238</f>
        <v>1627.395</v>
      </c>
      <c r="E170" s="61" t="s">
        <v>186</v>
      </c>
      <c r="F170" s="61">
        <v>33</v>
      </c>
    </row>
    <row r="171" spans="1:7" s="2" customFormat="1" x14ac:dyDescent="0.2">
      <c r="A171" s="2" t="s">
        <v>3</v>
      </c>
      <c r="B171" s="39">
        <f>D259</f>
        <v>11125</v>
      </c>
      <c r="E171" s="61" t="s">
        <v>187</v>
      </c>
      <c r="F171" s="61">
        <v>33</v>
      </c>
    </row>
    <row r="172" spans="1:7" s="2" customFormat="1" x14ac:dyDescent="0.2">
      <c r="A172" s="2" t="s">
        <v>135</v>
      </c>
      <c r="B172" s="39">
        <f>C294</f>
        <v>17248.752416666666</v>
      </c>
      <c r="E172" s="61" t="s">
        <v>188</v>
      </c>
      <c r="F172" s="61">
        <v>33</v>
      </c>
    </row>
    <row r="173" spans="1:7" s="2" customFormat="1" x14ac:dyDescent="0.2">
      <c r="A173" s="2" t="s">
        <v>136</v>
      </c>
      <c r="B173" s="39">
        <f>D313</f>
        <v>7604.166666666667</v>
      </c>
    </row>
    <row r="174" spans="1:7" s="2" customFormat="1" x14ac:dyDescent="0.2">
      <c r="B174" s="39"/>
    </row>
    <row r="175" spans="1:7" s="2" customFormat="1" x14ac:dyDescent="0.2">
      <c r="A175" t="s">
        <v>4</v>
      </c>
      <c r="B175">
        <v>0.08</v>
      </c>
      <c r="C175" s="2" t="s">
        <v>93</v>
      </c>
      <c r="D175"/>
      <c r="E175"/>
      <c r="F175"/>
      <c r="G175"/>
    </row>
    <row r="176" spans="1:7" x14ac:dyDescent="0.2">
      <c r="A176" s="2" t="s">
        <v>5</v>
      </c>
      <c r="B176" s="15">
        <f>B175*B264*C283</f>
        <v>4170.434782608696</v>
      </c>
    </row>
    <row r="177" spans="1:24" x14ac:dyDescent="0.2">
      <c r="A177" t="s">
        <v>7</v>
      </c>
      <c r="B177">
        <v>0.08</v>
      </c>
      <c r="E177" s="70">
        <f>B161*X210/100*F170</f>
        <v>863986.20000000007</v>
      </c>
      <c r="F177" s="71" t="s">
        <v>189</v>
      </c>
    </row>
    <row r="178" spans="1:24" x14ac:dyDescent="0.2">
      <c r="A178" s="2" t="s">
        <v>199</v>
      </c>
      <c r="B178" s="15">
        <f>B177*G283*F264</f>
        <v>838.43478260869574</v>
      </c>
      <c r="E178" s="70">
        <f>B161*O209/100*F171</f>
        <v>608520</v>
      </c>
      <c r="F178" s="71" t="s">
        <v>190</v>
      </c>
    </row>
    <row r="179" spans="1:24" x14ac:dyDescent="0.2">
      <c r="B179" s="15"/>
      <c r="E179" s="70">
        <f>B161*F172/100*G206</f>
        <v>374006.16</v>
      </c>
      <c r="F179" s="71" t="s">
        <v>191</v>
      </c>
    </row>
    <row r="180" spans="1:24" ht="16" x14ac:dyDescent="0.2">
      <c r="A180" s="16" t="s">
        <v>94</v>
      </c>
      <c r="B180" s="91">
        <f>+B168+B176+B178+B169+B170+B171+B172+E17+B173+B165</f>
        <v>272921.18364855071</v>
      </c>
      <c r="C180" s="2" t="s">
        <v>198</v>
      </c>
      <c r="E180" s="70">
        <f>SUM(E177:E179)</f>
        <v>1846512.36</v>
      </c>
      <c r="F180" s="72" t="s">
        <v>194</v>
      </c>
    </row>
    <row r="183" spans="1:24" x14ac:dyDescent="0.2">
      <c r="A183" s="4" t="s">
        <v>11</v>
      </c>
    </row>
    <row r="184" spans="1:24" ht="16" x14ac:dyDescent="0.2">
      <c r="A184" s="4" t="s">
        <v>167</v>
      </c>
      <c r="B184" s="64" t="s">
        <v>107</v>
      </c>
      <c r="C184" s="64">
        <v>1</v>
      </c>
      <c r="G184" s="43"/>
      <c r="H184" s="43"/>
      <c r="I184" s="43" t="s">
        <v>168</v>
      </c>
      <c r="J184" s="64" t="s">
        <v>172</v>
      </c>
      <c r="K184" s="64">
        <v>1</v>
      </c>
      <c r="R184" t="s">
        <v>169</v>
      </c>
      <c r="S184" s="64" t="s">
        <v>172</v>
      </c>
      <c r="T184" s="64">
        <v>1</v>
      </c>
    </row>
    <row r="185" spans="1:24" x14ac:dyDescent="0.2">
      <c r="A185" s="1" t="s">
        <v>12</v>
      </c>
      <c r="B185" s="1" t="s">
        <v>158</v>
      </c>
      <c r="C185" s="1" t="s">
        <v>13</v>
      </c>
      <c r="D185" s="1" t="s">
        <v>14</v>
      </c>
      <c r="E185" s="1" t="s">
        <v>159</v>
      </c>
      <c r="F185" s="1" t="s">
        <v>160</v>
      </c>
      <c r="G185" s="1" t="s">
        <v>161</v>
      </c>
      <c r="H185" s="44"/>
      <c r="I185" s="1" t="s">
        <v>12</v>
      </c>
      <c r="J185" s="1" t="s">
        <v>158</v>
      </c>
      <c r="K185" s="1" t="s">
        <v>13</v>
      </c>
      <c r="L185" s="1" t="s">
        <v>14</v>
      </c>
      <c r="M185" s="1" t="s">
        <v>159</v>
      </c>
      <c r="N185" s="1" t="s">
        <v>160</v>
      </c>
      <c r="O185" s="1" t="s">
        <v>161</v>
      </c>
      <c r="R185" s="1" t="s">
        <v>12</v>
      </c>
      <c r="S185" s="1" t="s">
        <v>158</v>
      </c>
      <c r="T185" s="1" t="s">
        <v>13</v>
      </c>
      <c r="U185" s="1" t="s">
        <v>14</v>
      </c>
      <c r="V185" s="1" t="s">
        <v>159</v>
      </c>
      <c r="W185" s="1" t="s">
        <v>160</v>
      </c>
      <c r="X185" s="1" t="s">
        <v>193</v>
      </c>
    </row>
    <row r="186" spans="1:24" x14ac:dyDescent="0.2">
      <c r="A186" s="3" t="s">
        <v>145</v>
      </c>
      <c r="B186" s="3">
        <v>100</v>
      </c>
      <c r="C186" s="5">
        <v>20.54</v>
      </c>
      <c r="D186" s="5">
        <v>1</v>
      </c>
      <c r="E186" s="6">
        <f>C186*F186/B186</f>
        <v>8216</v>
      </c>
      <c r="F186" s="6">
        <v>40000</v>
      </c>
      <c r="G186" s="52">
        <f>E186</f>
        <v>8216</v>
      </c>
      <c r="H186" s="44"/>
      <c r="I186" s="3" t="s">
        <v>145</v>
      </c>
      <c r="J186" s="3">
        <v>100</v>
      </c>
      <c r="K186" s="5"/>
      <c r="L186" s="5">
        <v>1</v>
      </c>
      <c r="M186" s="6">
        <f t="shared" ref="M186:M196" si="16">K186*N186/J186</f>
        <v>0</v>
      </c>
      <c r="N186" s="6">
        <v>40000</v>
      </c>
      <c r="O186" s="52"/>
      <c r="R186" s="3" t="s">
        <v>163</v>
      </c>
      <c r="S186" s="3">
        <v>500</v>
      </c>
      <c r="T186" s="5">
        <v>600</v>
      </c>
      <c r="U186" s="5">
        <v>1</v>
      </c>
      <c r="V186" s="6">
        <f>T186*W186/S186</f>
        <v>48000</v>
      </c>
      <c r="W186" s="6">
        <v>40000</v>
      </c>
      <c r="X186" s="52">
        <f>U186*W186</f>
        <v>40000</v>
      </c>
    </row>
    <row r="187" spans="1:24" x14ac:dyDescent="0.2">
      <c r="A187" s="3" t="s">
        <v>146</v>
      </c>
      <c r="B187" s="3">
        <v>250</v>
      </c>
      <c r="C187" s="5">
        <v>0</v>
      </c>
      <c r="D187" s="5">
        <v>0</v>
      </c>
      <c r="E187" s="6"/>
      <c r="F187" s="6">
        <v>50000</v>
      </c>
      <c r="G187" s="52">
        <f t="shared" ref="G187:G193" si="17">D187*F187</f>
        <v>0</v>
      </c>
      <c r="H187" s="44"/>
      <c r="I187" s="3" t="s">
        <v>146</v>
      </c>
      <c r="J187" s="3">
        <v>250</v>
      </c>
      <c r="K187" s="5"/>
      <c r="L187" s="5">
        <v>0</v>
      </c>
      <c r="M187" s="6">
        <f t="shared" si="16"/>
        <v>0</v>
      </c>
      <c r="N187" s="6">
        <v>50000</v>
      </c>
      <c r="O187" s="52">
        <f t="shared" ref="O187" si="18">L187*N187</f>
        <v>0</v>
      </c>
      <c r="R187" s="3" t="s">
        <v>164</v>
      </c>
      <c r="S187" s="3">
        <v>500</v>
      </c>
      <c r="T187" s="5">
        <v>0</v>
      </c>
      <c r="U187" s="5">
        <v>0</v>
      </c>
      <c r="V187" s="6">
        <f t="shared" ref="V187:V197" si="19">T187*W187/S187</f>
        <v>0</v>
      </c>
      <c r="W187" s="6">
        <v>61000</v>
      </c>
      <c r="X187" s="52">
        <f t="shared" ref="X187:X192" si="20">U187*W187</f>
        <v>0</v>
      </c>
    </row>
    <row r="188" spans="1:24" x14ac:dyDescent="0.2">
      <c r="A188" s="3" t="s">
        <v>157</v>
      </c>
      <c r="B188" s="3">
        <v>500</v>
      </c>
      <c r="C188" s="5">
        <v>0</v>
      </c>
      <c r="D188" s="5">
        <v>0</v>
      </c>
      <c r="E188" s="6"/>
      <c r="F188" s="6">
        <v>100000</v>
      </c>
      <c r="G188" s="52">
        <f t="shared" si="17"/>
        <v>0</v>
      </c>
      <c r="H188" s="44"/>
      <c r="I188" s="3" t="s">
        <v>157</v>
      </c>
      <c r="J188" s="3">
        <v>500</v>
      </c>
      <c r="K188" s="5">
        <v>147</v>
      </c>
      <c r="L188" s="5">
        <v>0</v>
      </c>
      <c r="M188" s="6">
        <f t="shared" si="16"/>
        <v>29400</v>
      </c>
      <c r="N188" s="6">
        <v>100000</v>
      </c>
      <c r="O188" s="52">
        <f>M188</f>
        <v>29400</v>
      </c>
      <c r="R188" s="3" t="s">
        <v>165</v>
      </c>
      <c r="S188" s="3">
        <v>500</v>
      </c>
      <c r="T188" s="5">
        <v>0</v>
      </c>
      <c r="U188" s="5">
        <v>0</v>
      </c>
      <c r="V188" s="6">
        <f t="shared" si="19"/>
        <v>0</v>
      </c>
      <c r="W188" s="6">
        <v>66000</v>
      </c>
      <c r="X188" s="52">
        <f t="shared" si="20"/>
        <v>0</v>
      </c>
    </row>
    <row r="189" spans="1:24" x14ac:dyDescent="0.2">
      <c r="A189" s="3" t="s">
        <v>147</v>
      </c>
      <c r="B189" s="3">
        <v>1000</v>
      </c>
      <c r="C189" s="5">
        <v>0</v>
      </c>
      <c r="D189" s="5">
        <v>0</v>
      </c>
      <c r="E189" s="6"/>
      <c r="F189" s="6">
        <v>20546.599999999999</v>
      </c>
      <c r="G189" s="52">
        <f t="shared" si="17"/>
        <v>0</v>
      </c>
      <c r="H189" s="44"/>
      <c r="I189" s="3" t="s">
        <v>147</v>
      </c>
      <c r="J189" s="3">
        <v>1000</v>
      </c>
      <c r="K189" s="5"/>
      <c r="L189" s="5">
        <v>0</v>
      </c>
      <c r="M189" s="6">
        <f t="shared" si="16"/>
        <v>0</v>
      </c>
      <c r="N189" s="6">
        <v>20546.599999999999</v>
      </c>
      <c r="O189" s="52">
        <f t="shared" ref="O189:O194" si="21">L189*N189</f>
        <v>0</v>
      </c>
      <c r="R189" s="3" t="s">
        <v>166</v>
      </c>
      <c r="S189" s="3">
        <v>1000</v>
      </c>
      <c r="T189" s="5">
        <v>0</v>
      </c>
      <c r="U189" s="5">
        <v>0</v>
      </c>
      <c r="V189" s="6">
        <f t="shared" si="19"/>
        <v>0</v>
      </c>
      <c r="W189" s="6">
        <v>135000</v>
      </c>
      <c r="X189" s="52">
        <f t="shared" si="20"/>
        <v>0</v>
      </c>
    </row>
    <row r="190" spans="1:24" x14ac:dyDescent="0.2">
      <c r="A190" s="24" t="s">
        <v>150</v>
      </c>
      <c r="B190" s="3">
        <v>10</v>
      </c>
      <c r="C190" s="5">
        <v>0.4</v>
      </c>
      <c r="D190" s="5">
        <v>1</v>
      </c>
      <c r="E190" s="6">
        <f>C190*F190/B190</f>
        <v>60</v>
      </c>
      <c r="F190" s="6">
        <v>1500</v>
      </c>
      <c r="G190" s="52">
        <f t="shared" si="17"/>
        <v>1500</v>
      </c>
      <c r="H190" s="44"/>
      <c r="I190" s="24" t="s">
        <v>150</v>
      </c>
      <c r="J190" s="3">
        <v>10</v>
      </c>
      <c r="K190" s="5"/>
      <c r="L190" s="5">
        <v>1</v>
      </c>
      <c r="M190" s="6">
        <f t="shared" si="16"/>
        <v>0</v>
      </c>
      <c r="N190" s="6">
        <v>1500</v>
      </c>
      <c r="O190" s="52">
        <f t="shared" si="21"/>
        <v>1500</v>
      </c>
      <c r="R190" s="24" t="s">
        <v>150</v>
      </c>
      <c r="S190" s="3">
        <v>10</v>
      </c>
      <c r="T190" s="5">
        <v>30</v>
      </c>
      <c r="U190" s="5">
        <v>1</v>
      </c>
      <c r="V190" s="6">
        <f t="shared" si="19"/>
        <v>4500</v>
      </c>
      <c r="W190" s="6">
        <v>1500</v>
      </c>
      <c r="X190" s="52">
        <f t="shared" si="20"/>
        <v>1500</v>
      </c>
    </row>
    <row r="191" spans="1:24" x14ac:dyDescent="0.2">
      <c r="A191" s="3" t="s">
        <v>21</v>
      </c>
      <c r="B191" s="3">
        <v>10</v>
      </c>
      <c r="C191" s="5">
        <v>0.3624</v>
      </c>
      <c r="D191" s="5">
        <v>1</v>
      </c>
      <c r="E191" s="6">
        <f>C191*F191/B191</f>
        <v>206.56799999999998</v>
      </c>
      <c r="F191" s="6">
        <v>5700</v>
      </c>
      <c r="G191" s="52">
        <f t="shared" si="17"/>
        <v>5700</v>
      </c>
      <c r="H191" s="44"/>
      <c r="I191" s="3" t="s">
        <v>21</v>
      </c>
      <c r="J191" s="3">
        <v>10</v>
      </c>
      <c r="K191" s="5">
        <v>2.4500000000000002</v>
      </c>
      <c r="L191" s="5">
        <v>1</v>
      </c>
      <c r="M191" s="6">
        <f t="shared" si="16"/>
        <v>1396.5000000000002</v>
      </c>
      <c r="N191" s="6">
        <v>5700</v>
      </c>
      <c r="O191" s="52">
        <f t="shared" si="21"/>
        <v>5700</v>
      </c>
      <c r="R191" s="3" t="s">
        <v>21</v>
      </c>
      <c r="S191" s="3">
        <v>10</v>
      </c>
      <c r="T191" s="5">
        <v>10</v>
      </c>
      <c r="U191" s="5">
        <v>1</v>
      </c>
      <c r="V191" s="6">
        <f t="shared" si="19"/>
        <v>5700</v>
      </c>
      <c r="W191" s="6">
        <v>5700</v>
      </c>
      <c r="X191" s="52">
        <f t="shared" si="20"/>
        <v>5700</v>
      </c>
    </row>
    <row r="192" spans="1:24" x14ac:dyDescent="0.2">
      <c r="A192" s="24" t="s">
        <v>149</v>
      </c>
      <c r="B192" s="3">
        <v>10</v>
      </c>
      <c r="C192" s="5">
        <v>1.57</v>
      </c>
      <c r="D192" s="5">
        <v>1</v>
      </c>
      <c r="E192" s="6">
        <f>C192*F192/B192</f>
        <v>235.5</v>
      </c>
      <c r="F192" s="6">
        <v>1500</v>
      </c>
      <c r="G192" s="52">
        <f t="shared" si="17"/>
        <v>1500</v>
      </c>
      <c r="H192" s="44"/>
      <c r="I192" s="24" t="s">
        <v>149</v>
      </c>
      <c r="J192" s="3">
        <v>10</v>
      </c>
      <c r="K192" s="5">
        <v>2.5</v>
      </c>
      <c r="L192" s="5">
        <v>1</v>
      </c>
      <c r="M192" s="6">
        <f t="shared" si="16"/>
        <v>375</v>
      </c>
      <c r="N192" s="6">
        <v>1500</v>
      </c>
      <c r="O192" s="52">
        <f t="shared" si="21"/>
        <v>1500</v>
      </c>
      <c r="R192" s="3" t="s">
        <v>148</v>
      </c>
      <c r="S192" s="3">
        <v>20</v>
      </c>
      <c r="T192" s="5">
        <v>0</v>
      </c>
      <c r="U192" s="5">
        <v>1</v>
      </c>
      <c r="V192" s="6">
        <f t="shared" si="19"/>
        <v>0</v>
      </c>
      <c r="W192" s="6">
        <v>20000</v>
      </c>
      <c r="X192" s="52">
        <f t="shared" si="20"/>
        <v>20000</v>
      </c>
    </row>
    <row r="193" spans="1:24" x14ac:dyDescent="0.2">
      <c r="A193" s="3" t="s">
        <v>24</v>
      </c>
      <c r="B193" s="3">
        <v>10</v>
      </c>
      <c r="C193" s="5">
        <v>0.3624</v>
      </c>
      <c r="D193" s="5">
        <v>1</v>
      </c>
      <c r="E193" s="6">
        <f>C193*F193/B193</f>
        <v>54.36</v>
      </c>
      <c r="F193" s="6">
        <v>1500</v>
      </c>
      <c r="G193" s="52">
        <f t="shared" si="17"/>
        <v>1500</v>
      </c>
      <c r="H193" s="44"/>
      <c r="I193" s="3" t="s">
        <v>24</v>
      </c>
      <c r="J193" s="3">
        <v>10</v>
      </c>
      <c r="K193" s="5">
        <v>9.8000000000000007</v>
      </c>
      <c r="L193" s="5">
        <v>1</v>
      </c>
      <c r="M193" s="6">
        <f t="shared" si="16"/>
        <v>1470.0000000000002</v>
      </c>
      <c r="N193" s="6">
        <v>1500</v>
      </c>
      <c r="O193" s="52">
        <f t="shared" si="21"/>
        <v>1500</v>
      </c>
      <c r="R193" s="24" t="s">
        <v>149</v>
      </c>
      <c r="S193" s="3">
        <v>10</v>
      </c>
      <c r="T193" s="5">
        <v>30</v>
      </c>
      <c r="U193" s="5"/>
      <c r="V193" s="6">
        <f t="shared" si="19"/>
        <v>4500</v>
      </c>
      <c r="W193" s="6">
        <v>1500</v>
      </c>
      <c r="X193" s="6">
        <v>1500</v>
      </c>
    </row>
    <row r="194" spans="1:24" x14ac:dyDescent="0.2">
      <c r="A194" s="3" t="s">
        <v>25</v>
      </c>
      <c r="B194" s="3">
        <v>10</v>
      </c>
      <c r="C194" s="5">
        <v>2.0539999999999998</v>
      </c>
      <c r="D194" s="5">
        <v>0</v>
      </c>
      <c r="E194" s="6">
        <f>C194*F194/B194</f>
        <v>369.71999999999997</v>
      </c>
      <c r="F194" s="6">
        <v>1800</v>
      </c>
      <c r="G194" s="52">
        <v>1800</v>
      </c>
      <c r="H194" s="44"/>
      <c r="I194" s="3" t="s">
        <v>25</v>
      </c>
      <c r="J194" s="3">
        <v>10</v>
      </c>
      <c r="K194" s="5">
        <v>2.5</v>
      </c>
      <c r="L194" s="5">
        <v>0</v>
      </c>
      <c r="M194" s="6">
        <f t="shared" si="16"/>
        <v>450</v>
      </c>
      <c r="N194" s="6">
        <v>1800</v>
      </c>
      <c r="O194" s="52">
        <f t="shared" si="21"/>
        <v>0</v>
      </c>
      <c r="R194" s="3" t="s">
        <v>24</v>
      </c>
      <c r="S194" s="3">
        <v>10</v>
      </c>
      <c r="T194" s="5">
        <v>12</v>
      </c>
      <c r="U194" s="5">
        <v>1</v>
      </c>
      <c r="V194" s="6">
        <f t="shared" si="19"/>
        <v>1800</v>
      </c>
      <c r="W194" s="6">
        <v>1500</v>
      </c>
      <c r="X194" s="52">
        <f t="shared" ref="X194" si="22">U194*W194</f>
        <v>1500</v>
      </c>
    </row>
    <row r="195" spans="1:24" x14ac:dyDescent="0.2">
      <c r="A195" s="3" t="s">
        <v>30</v>
      </c>
      <c r="B195" s="3">
        <v>100</v>
      </c>
      <c r="C195" s="5">
        <v>10.148999999999999</v>
      </c>
      <c r="D195" s="5">
        <v>1</v>
      </c>
      <c r="E195" s="6">
        <f t="shared" ref="E195" si="23">C195*F195/B195</f>
        <v>8119.1999999999989</v>
      </c>
      <c r="F195" s="6">
        <v>80000</v>
      </c>
      <c r="G195" s="6">
        <f>E195</f>
        <v>8119.1999999999989</v>
      </c>
      <c r="H195" s="44"/>
      <c r="I195" s="3" t="s">
        <v>30</v>
      </c>
      <c r="J195" s="3">
        <v>100</v>
      </c>
      <c r="K195" s="5">
        <v>73.5</v>
      </c>
      <c r="L195" s="5"/>
      <c r="M195" s="6">
        <f t="shared" si="16"/>
        <v>58800</v>
      </c>
      <c r="N195" s="6">
        <v>80000</v>
      </c>
      <c r="O195" s="52">
        <f>M195</f>
        <v>58800</v>
      </c>
      <c r="R195" s="3" t="s">
        <v>25</v>
      </c>
      <c r="S195" s="3">
        <v>10</v>
      </c>
      <c r="T195" s="5">
        <v>20</v>
      </c>
      <c r="U195" s="5">
        <v>0</v>
      </c>
      <c r="V195" s="6">
        <f t="shared" si="19"/>
        <v>3600</v>
      </c>
      <c r="W195" s="6">
        <v>1800</v>
      </c>
      <c r="X195" s="6">
        <v>1800</v>
      </c>
    </row>
    <row r="196" spans="1:24" x14ac:dyDescent="0.2">
      <c r="A196" s="3" t="s">
        <v>20</v>
      </c>
      <c r="B196" s="3">
        <v>500</v>
      </c>
      <c r="C196" s="5">
        <v>18</v>
      </c>
      <c r="D196" s="5">
        <v>0</v>
      </c>
      <c r="E196" s="6">
        <f>C196*F196/B196</f>
        <v>389.30399999999997</v>
      </c>
      <c r="F196" s="6">
        <v>10814</v>
      </c>
      <c r="G196" s="52">
        <f t="shared" ref="G196" si="24">D196*F196</f>
        <v>0</v>
      </c>
      <c r="H196" s="44"/>
      <c r="I196" s="3" t="s">
        <v>20</v>
      </c>
      <c r="J196" s="3">
        <v>500</v>
      </c>
      <c r="K196" s="5">
        <v>127</v>
      </c>
      <c r="L196" s="5"/>
      <c r="M196" s="6">
        <f t="shared" si="16"/>
        <v>2746.7559999999999</v>
      </c>
      <c r="N196" s="6">
        <v>10814</v>
      </c>
      <c r="O196" s="52">
        <f t="shared" ref="O196:O197" si="25">L196*N196</f>
        <v>0</v>
      </c>
      <c r="R196" s="3" t="s">
        <v>174</v>
      </c>
      <c r="S196" s="3">
        <v>500</v>
      </c>
      <c r="T196" s="5">
        <v>200</v>
      </c>
      <c r="U196" s="5"/>
      <c r="V196" s="6">
        <f t="shared" si="19"/>
        <v>32000</v>
      </c>
      <c r="W196" s="6">
        <v>80000</v>
      </c>
      <c r="X196" s="6">
        <v>80000</v>
      </c>
    </row>
    <row r="197" spans="1:24" x14ac:dyDescent="0.2">
      <c r="A197" s="3" t="s">
        <v>151</v>
      </c>
      <c r="B197" s="3" t="s">
        <v>192</v>
      </c>
      <c r="C197" s="5">
        <v>1</v>
      </c>
      <c r="D197" s="5"/>
      <c r="E197" s="6">
        <v>13000</v>
      </c>
      <c r="F197" s="6">
        <v>13000</v>
      </c>
      <c r="G197" s="42">
        <v>13000</v>
      </c>
      <c r="H197" s="44"/>
      <c r="I197" s="3" t="s">
        <v>151</v>
      </c>
      <c r="J197" s="3" t="s">
        <v>97</v>
      </c>
      <c r="K197" s="5"/>
      <c r="L197" s="5">
        <v>1</v>
      </c>
      <c r="M197" s="6">
        <v>13000</v>
      </c>
      <c r="N197" s="6">
        <v>13000</v>
      </c>
      <c r="O197" s="52">
        <f t="shared" si="25"/>
        <v>13000</v>
      </c>
      <c r="R197" s="3" t="s">
        <v>20</v>
      </c>
      <c r="S197" s="3">
        <v>500</v>
      </c>
      <c r="T197" s="5">
        <v>250</v>
      </c>
      <c r="U197" s="5"/>
      <c r="V197" s="6">
        <f t="shared" si="19"/>
        <v>5407</v>
      </c>
      <c r="W197" s="6">
        <v>10814</v>
      </c>
      <c r="X197" s="6">
        <v>10814</v>
      </c>
    </row>
    <row r="198" spans="1:24" x14ac:dyDescent="0.2">
      <c r="A198" s="3" t="s">
        <v>152</v>
      </c>
      <c r="B198" s="3"/>
      <c r="C198" s="5">
        <v>1</v>
      </c>
      <c r="D198" s="5"/>
      <c r="E198" s="6">
        <v>23000</v>
      </c>
      <c r="F198" s="6">
        <v>23000</v>
      </c>
      <c r="G198" s="42">
        <v>23000</v>
      </c>
      <c r="H198" s="44"/>
      <c r="I198" s="3" t="s">
        <v>162</v>
      </c>
      <c r="J198" s="3" t="s">
        <v>97</v>
      </c>
      <c r="K198" s="5"/>
      <c r="L198" s="5">
        <v>1</v>
      </c>
      <c r="M198" s="6"/>
      <c r="N198" s="6">
        <v>13000</v>
      </c>
      <c r="O198" s="52"/>
      <c r="R198" s="3" t="s">
        <v>162</v>
      </c>
      <c r="S198" s="3"/>
      <c r="T198" s="5">
        <v>1</v>
      </c>
      <c r="U198" s="5">
        <v>1</v>
      </c>
      <c r="V198" s="6">
        <v>13000</v>
      </c>
      <c r="W198" s="6">
        <v>13000</v>
      </c>
      <c r="X198" s="6">
        <v>13000</v>
      </c>
    </row>
    <row r="199" spans="1:24" x14ac:dyDescent="0.2">
      <c r="A199" s="3" t="s">
        <v>153</v>
      </c>
      <c r="B199" s="3"/>
      <c r="C199" s="5">
        <v>1</v>
      </c>
      <c r="D199" s="5"/>
      <c r="E199" s="6"/>
      <c r="F199" s="6">
        <v>25000</v>
      </c>
      <c r="G199" s="52">
        <f t="shared" ref="G199:G201" si="26">D199*F199</f>
        <v>0</v>
      </c>
      <c r="H199" s="44"/>
      <c r="I199" s="3" t="s">
        <v>152</v>
      </c>
      <c r="J199" s="3" t="s">
        <v>97</v>
      </c>
      <c r="K199" s="5"/>
      <c r="L199" s="5"/>
      <c r="M199" s="52">
        <v>23000</v>
      </c>
      <c r="N199" s="6">
        <v>23000</v>
      </c>
      <c r="O199" s="52">
        <v>23000</v>
      </c>
      <c r="R199" s="3" t="s">
        <v>152</v>
      </c>
      <c r="S199" s="3"/>
      <c r="T199" s="5">
        <v>1</v>
      </c>
      <c r="U199" s="5"/>
      <c r="V199" s="6">
        <v>23000</v>
      </c>
      <c r="W199" s="6">
        <v>23000</v>
      </c>
      <c r="X199" s="6">
        <v>23000</v>
      </c>
    </row>
    <row r="200" spans="1:24" x14ac:dyDescent="0.2">
      <c r="A200" s="3" t="s">
        <v>154</v>
      </c>
      <c r="B200" s="3"/>
      <c r="C200" s="5">
        <v>0</v>
      </c>
      <c r="D200" s="5"/>
      <c r="E200" s="6"/>
      <c r="F200" s="6">
        <v>2000</v>
      </c>
      <c r="G200" s="52">
        <f t="shared" si="26"/>
        <v>0</v>
      </c>
      <c r="H200" s="44"/>
      <c r="I200" s="3" t="s">
        <v>153</v>
      </c>
      <c r="J200" s="3" t="s">
        <v>97</v>
      </c>
      <c r="K200" s="5">
        <v>5</v>
      </c>
      <c r="L200" s="5"/>
      <c r="M200" s="6"/>
      <c r="N200" s="6">
        <v>25000</v>
      </c>
      <c r="O200" s="52">
        <f t="shared" ref="O200:O203" si="27">L200*N200</f>
        <v>0</v>
      </c>
      <c r="R200" s="3" t="s">
        <v>153</v>
      </c>
      <c r="S200" s="3"/>
      <c r="T200" s="5">
        <v>0</v>
      </c>
      <c r="U200" s="5"/>
      <c r="V200" s="6"/>
      <c r="W200" s="6">
        <v>25000</v>
      </c>
      <c r="X200" s="52">
        <f t="shared" ref="X200:X203" si="28">U200*W200</f>
        <v>0</v>
      </c>
    </row>
    <row r="201" spans="1:24" x14ac:dyDescent="0.2">
      <c r="A201" s="24" t="s">
        <v>155</v>
      </c>
      <c r="B201" s="3"/>
      <c r="C201" s="5">
        <v>0</v>
      </c>
      <c r="D201" s="5"/>
      <c r="E201" s="6"/>
      <c r="F201" s="6">
        <v>3000</v>
      </c>
      <c r="G201" s="52">
        <f t="shared" si="26"/>
        <v>0</v>
      </c>
      <c r="H201" s="44"/>
      <c r="I201" s="3" t="s">
        <v>154</v>
      </c>
      <c r="J201" s="3" t="s">
        <v>97</v>
      </c>
      <c r="K201" s="5"/>
      <c r="L201" s="5"/>
      <c r="M201" s="6"/>
      <c r="N201" s="6">
        <v>2000</v>
      </c>
      <c r="O201" s="52">
        <f t="shared" si="27"/>
        <v>0</v>
      </c>
      <c r="R201" s="3" t="s">
        <v>154</v>
      </c>
      <c r="S201" s="3"/>
      <c r="T201" s="5">
        <v>1</v>
      </c>
      <c r="U201" s="5"/>
      <c r="V201" s="6"/>
      <c r="W201" s="6">
        <v>2000</v>
      </c>
      <c r="X201" s="52">
        <f t="shared" si="28"/>
        <v>0</v>
      </c>
    </row>
    <row r="202" spans="1:24" x14ac:dyDescent="0.2">
      <c r="A202" s="24" t="s">
        <v>180</v>
      </c>
      <c r="B202" s="3">
        <v>10</v>
      </c>
      <c r="C202" s="5">
        <v>0</v>
      </c>
      <c r="D202" s="5"/>
      <c r="E202" s="6">
        <v>15000</v>
      </c>
      <c r="F202" s="6">
        <v>15000</v>
      </c>
      <c r="G202" s="6">
        <v>15000</v>
      </c>
      <c r="H202" s="44"/>
      <c r="I202" s="24" t="s">
        <v>155</v>
      </c>
      <c r="J202" s="3" t="s">
        <v>97</v>
      </c>
      <c r="K202" s="5"/>
      <c r="L202" s="5"/>
      <c r="M202" s="6"/>
      <c r="N202" s="6">
        <v>3000</v>
      </c>
      <c r="O202" s="52">
        <f t="shared" si="27"/>
        <v>0</v>
      </c>
      <c r="R202" s="3" t="s">
        <v>173</v>
      </c>
      <c r="S202" s="3"/>
      <c r="T202" s="5">
        <v>1</v>
      </c>
      <c r="U202" s="5"/>
      <c r="V202" s="6"/>
      <c r="W202" s="6">
        <v>3000</v>
      </c>
      <c r="X202" s="52">
        <f t="shared" si="28"/>
        <v>0</v>
      </c>
    </row>
    <row r="203" spans="1:24" x14ac:dyDescent="0.2">
      <c r="A203" s="24" t="s">
        <v>181</v>
      </c>
      <c r="B203" s="3">
        <v>500</v>
      </c>
      <c r="C203" s="3">
        <v>100</v>
      </c>
      <c r="D203" s="3"/>
      <c r="E203" s="6">
        <f>C203*F203/B203</f>
        <v>800</v>
      </c>
      <c r="F203" s="6">
        <v>4000</v>
      </c>
      <c r="G203" s="6">
        <v>4000</v>
      </c>
      <c r="H203" s="44"/>
      <c r="I203" s="24" t="s">
        <v>180</v>
      </c>
      <c r="J203" s="3">
        <v>10</v>
      </c>
      <c r="K203" s="5"/>
      <c r="L203" s="5">
        <v>1</v>
      </c>
      <c r="M203" s="6">
        <v>15000</v>
      </c>
      <c r="N203" s="6">
        <v>15000</v>
      </c>
      <c r="O203" s="52">
        <f t="shared" si="27"/>
        <v>15000</v>
      </c>
      <c r="R203" s="24" t="s">
        <v>155</v>
      </c>
      <c r="S203" s="3"/>
      <c r="T203" s="5">
        <v>1</v>
      </c>
      <c r="U203" s="5"/>
      <c r="V203" s="6"/>
      <c r="W203" s="6">
        <v>3000</v>
      </c>
      <c r="X203" s="52">
        <f t="shared" si="28"/>
        <v>0</v>
      </c>
    </row>
    <row r="204" spans="1:24" x14ac:dyDescent="0.2">
      <c r="A204" s="24" t="s">
        <v>179</v>
      </c>
      <c r="B204" s="3">
        <v>1000</v>
      </c>
      <c r="C204" s="3">
        <v>1</v>
      </c>
      <c r="D204" s="3"/>
      <c r="E204" s="3"/>
      <c r="F204" s="6">
        <v>31000</v>
      </c>
      <c r="G204" s="6"/>
      <c r="H204" s="44"/>
      <c r="I204" s="3" t="s">
        <v>182</v>
      </c>
      <c r="J204" s="3"/>
      <c r="K204" s="5">
        <v>1</v>
      </c>
      <c r="L204" s="5"/>
      <c r="M204" s="52"/>
      <c r="N204" s="6">
        <v>31000</v>
      </c>
      <c r="O204" s="52">
        <f>N204</f>
        <v>31000</v>
      </c>
      <c r="R204" s="3" t="s">
        <v>182</v>
      </c>
      <c r="S204" s="3">
        <v>1000</v>
      </c>
      <c r="T204" s="5"/>
      <c r="U204" s="5">
        <v>0</v>
      </c>
      <c r="V204" s="6">
        <v>31000</v>
      </c>
      <c r="W204" s="6">
        <v>31000</v>
      </c>
      <c r="X204" s="52">
        <f>U204*W204</f>
        <v>0</v>
      </c>
    </row>
    <row r="205" spans="1:24" x14ac:dyDescent="0.2">
      <c r="A205" s="24" t="s">
        <v>178</v>
      </c>
      <c r="B205" s="3">
        <v>500</v>
      </c>
      <c r="C205" s="3"/>
      <c r="D205" s="3"/>
      <c r="E205" s="6">
        <f>F205</f>
        <v>30000</v>
      </c>
      <c r="F205" s="6">
        <v>30000</v>
      </c>
      <c r="G205" s="6">
        <f>F205</f>
        <v>30000</v>
      </c>
      <c r="H205" s="44"/>
      <c r="I205" s="3" t="s">
        <v>101</v>
      </c>
      <c r="J205" s="3"/>
      <c r="K205" s="5"/>
      <c r="L205" s="5"/>
      <c r="M205" s="6">
        <v>30000</v>
      </c>
      <c r="N205" s="6">
        <v>30000</v>
      </c>
      <c r="O205" s="52"/>
      <c r="R205" s="3" t="s">
        <v>101</v>
      </c>
      <c r="S205" s="3">
        <v>500</v>
      </c>
      <c r="T205" s="5"/>
      <c r="U205" s="5"/>
      <c r="V205" s="6"/>
      <c r="W205" s="6">
        <v>30000</v>
      </c>
      <c r="X205" s="52">
        <f t="shared" ref="X205:X209" si="29">U205*W205</f>
        <v>0</v>
      </c>
    </row>
    <row r="206" spans="1:24" x14ac:dyDescent="0.2">
      <c r="A206" s="3" t="s">
        <v>31</v>
      </c>
      <c r="B206" s="3"/>
      <c r="C206" s="3"/>
      <c r="D206" s="3"/>
      <c r="E206" s="54">
        <f>SUM(E186:E205)</f>
        <v>99450.652000000002</v>
      </c>
      <c r="F206" s="6"/>
      <c r="G206" s="53">
        <f>SUM(G186:G205)</f>
        <v>113335.2</v>
      </c>
      <c r="H206" s="44"/>
      <c r="I206" s="3" t="s">
        <v>100</v>
      </c>
      <c r="J206" s="3"/>
      <c r="K206" s="5"/>
      <c r="L206" s="5"/>
      <c r="M206" s="52"/>
      <c r="N206" s="6">
        <v>31000</v>
      </c>
      <c r="O206" s="52"/>
      <c r="R206" s="3" t="s">
        <v>100</v>
      </c>
      <c r="S206" s="3"/>
      <c r="T206" s="5"/>
      <c r="U206" s="5"/>
      <c r="V206" s="6"/>
      <c r="W206" s="6">
        <v>31000</v>
      </c>
      <c r="X206" s="52">
        <f t="shared" si="29"/>
        <v>0</v>
      </c>
    </row>
    <row r="207" spans="1:24" ht="16" thickBot="1" x14ac:dyDescent="0.25">
      <c r="A207" s="62"/>
      <c r="B207" s="62"/>
      <c r="C207" s="62"/>
      <c r="D207" s="62"/>
      <c r="E207" s="62"/>
      <c r="F207" s="33"/>
      <c r="G207" s="63"/>
      <c r="H207" s="45"/>
      <c r="I207" s="3" t="s">
        <v>183</v>
      </c>
      <c r="J207" s="3"/>
      <c r="K207" s="5"/>
      <c r="L207" s="5"/>
      <c r="M207" s="6"/>
      <c r="N207" s="6">
        <v>31000</v>
      </c>
      <c r="O207" s="52"/>
      <c r="R207" s="3" t="s">
        <v>183</v>
      </c>
      <c r="S207" s="3"/>
      <c r="T207" s="5">
        <v>1</v>
      </c>
      <c r="U207" s="5">
        <v>1</v>
      </c>
      <c r="V207" s="6"/>
      <c r="W207" s="6">
        <v>39000</v>
      </c>
      <c r="X207" s="52">
        <f t="shared" si="29"/>
        <v>39000</v>
      </c>
    </row>
    <row r="208" spans="1:24" x14ac:dyDescent="0.2">
      <c r="A208" s="4"/>
      <c r="F208" s="7"/>
      <c r="I208" s="24" t="s">
        <v>156</v>
      </c>
      <c r="J208" s="3">
        <v>500</v>
      </c>
      <c r="K208" s="3">
        <v>98.37</v>
      </c>
      <c r="L208" s="5">
        <v>1</v>
      </c>
      <c r="M208" s="6">
        <f>K208*N208/J208</f>
        <v>786.96</v>
      </c>
      <c r="N208" s="6">
        <v>4000</v>
      </c>
      <c r="O208" s="52">
        <f t="shared" ref="O208" si="30">L208*N208</f>
        <v>4000</v>
      </c>
      <c r="R208" s="24" t="s">
        <v>184</v>
      </c>
      <c r="S208" s="3">
        <v>10</v>
      </c>
      <c r="T208" s="5"/>
      <c r="U208" s="5">
        <v>1</v>
      </c>
      <c r="V208" s="6">
        <v>20000</v>
      </c>
      <c r="W208" s="6">
        <v>20000</v>
      </c>
      <c r="X208" s="52">
        <f t="shared" si="29"/>
        <v>20000</v>
      </c>
    </row>
    <row r="209" spans="1:24" x14ac:dyDescent="0.2">
      <c r="A209" s="4"/>
      <c r="F209" s="7"/>
      <c r="I209" s="3" t="s">
        <v>31</v>
      </c>
      <c r="J209" s="3"/>
      <c r="K209" s="3"/>
      <c r="L209" s="3"/>
      <c r="M209" s="54">
        <f>SUM(M186:M208)</f>
        <v>176425.21599999999</v>
      </c>
      <c r="N209" s="3"/>
      <c r="O209" s="53">
        <f>SUM(O186:O208)</f>
        <v>184400</v>
      </c>
      <c r="R209" s="24" t="s">
        <v>181</v>
      </c>
      <c r="S209" s="3">
        <v>500</v>
      </c>
      <c r="T209" s="3">
        <v>100</v>
      </c>
      <c r="U209" s="3">
        <v>1</v>
      </c>
      <c r="V209" s="6">
        <f t="shared" ref="V209" si="31">T209*W209/S209</f>
        <v>800</v>
      </c>
      <c r="W209" s="6">
        <v>4000</v>
      </c>
      <c r="X209" s="52">
        <f t="shared" si="29"/>
        <v>4000</v>
      </c>
    </row>
    <row r="210" spans="1:24" ht="16" thickBot="1" x14ac:dyDescent="0.25">
      <c r="A210" s="4" t="s">
        <v>176</v>
      </c>
      <c r="F210" s="7"/>
      <c r="I210" s="8"/>
      <c r="J210" s="8"/>
      <c r="K210" s="8"/>
      <c r="L210" s="67"/>
      <c r="M210" s="9"/>
      <c r="N210" s="9"/>
      <c r="O210" s="68"/>
      <c r="R210" s="3" t="s">
        <v>31</v>
      </c>
      <c r="S210" s="3"/>
      <c r="T210" s="3"/>
      <c r="U210" s="3"/>
      <c r="V210" s="54">
        <f>SUM(V186:V209)</f>
        <v>193307</v>
      </c>
      <c r="W210" s="12"/>
      <c r="X210" s="53">
        <f>SUM(X186:X209)</f>
        <v>261814</v>
      </c>
    </row>
    <row r="211" spans="1:24" x14ac:dyDescent="0.2">
      <c r="A211" s="1" t="s">
        <v>12</v>
      </c>
      <c r="B211" s="87" t="s">
        <v>14</v>
      </c>
      <c r="C211" s="87" t="s">
        <v>33</v>
      </c>
      <c r="D211" s="1" t="s">
        <v>34</v>
      </c>
      <c r="I211" s="44"/>
      <c r="L211" s="23"/>
      <c r="N211" s="7"/>
      <c r="O211" s="65"/>
      <c r="U211" s="23"/>
      <c r="W211" s="7"/>
      <c r="X211" s="65"/>
    </row>
    <row r="212" spans="1:24" x14ac:dyDescent="0.2">
      <c r="A212" s="115" t="s">
        <v>96</v>
      </c>
      <c r="B212" s="116">
        <v>1</v>
      </c>
      <c r="C212" s="117">
        <v>1000</v>
      </c>
      <c r="D212" s="117">
        <f>C212*B212</f>
        <v>1000</v>
      </c>
      <c r="M212" s="7"/>
      <c r="O212" s="66"/>
      <c r="U212" s="23"/>
      <c r="W212" s="7"/>
      <c r="X212" s="65"/>
    </row>
    <row r="213" spans="1:24" x14ac:dyDescent="0.2">
      <c r="A213" s="115" t="s">
        <v>98</v>
      </c>
      <c r="B213" s="116">
        <v>0</v>
      </c>
      <c r="C213" s="117">
        <v>290000</v>
      </c>
      <c r="D213" s="117">
        <f>C213*B213</f>
        <v>0</v>
      </c>
      <c r="U213" s="23"/>
      <c r="V213" s="7"/>
      <c r="X213" s="69"/>
    </row>
    <row r="214" spans="1:24" x14ac:dyDescent="0.2">
      <c r="A214" s="115" t="s">
        <v>99</v>
      </c>
      <c r="B214" s="116">
        <f>1/B4</f>
        <v>0.1</v>
      </c>
      <c r="C214" s="117">
        <v>343000</v>
      </c>
      <c r="D214" s="117">
        <f>C214*B214</f>
        <v>34300</v>
      </c>
      <c r="M214" s="7"/>
    </row>
    <row r="215" spans="1:24" ht="16" thickBot="1" x14ac:dyDescent="0.25">
      <c r="A215" s="8" t="s">
        <v>31</v>
      </c>
      <c r="B215" s="8"/>
      <c r="C215" s="8"/>
      <c r="D215" s="9">
        <f>+SUM(D212:D214)</f>
        <v>35300</v>
      </c>
    </row>
    <row r="218" spans="1:24" x14ac:dyDescent="0.2">
      <c r="A218" s="4" t="s">
        <v>32</v>
      </c>
    </row>
    <row r="220" spans="1:24" x14ac:dyDescent="0.2">
      <c r="A220" s="1" t="s">
        <v>12</v>
      </c>
      <c r="B220" s="87" t="s">
        <v>14</v>
      </c>
      <c r="C220" s="87" t="s">
        <v>33</v>
      </c>
      <c r="D220" s="1" t="s">
        <v>34</v>
      </c>
    </row>
    <row r="221" spans="1:24" x14ac:dyDescent="0.2">
      <c r="A221" s="115" t="s">
        <v>35</v>
      </c>
      <c r="B221" s="116">
        <v>2</v>
      </c>
      <c r="C221" s="117">
        <v>500</v>
      </c>
      <c r="D221" s="117">
        <f>C221*B221</f>
        <v>1000</v>
      </c>
    </row>
    <row r="222" spans="1:24" x14ac:dyDescent="0.2">
      <c r="A222" s="115" t="s">
        <v>36</v>
      </c>
      <c r="B222" s="116">
        <v>2</v>
      </c>
      <c r="C222" s="117">
        <v>4000</v>
      </c>
      <c r="D222" s="117">
        <f t="shared" ref="D222:D225" si="32">C222*B222</f>
        <v>8000</v>
      </c>
    </row>
    <row r="223" spans="1:24" x14ac:dyDescent="0.2">
      <c r="A223" s="115" t="s">
        <v>37</v>
      </c>
      <c r="B223" s="116">
        <v>2</v>
      </c>
      <c r="C223" s="117">
        <v>300</v>
      </c>
      <c r="D223" s="117">
        <f t="shared" si="32"/>
        <v>600</v>
      </c>
    </row>
    <row r="224" spans="1:24" x14ac:dyDescent="0.2">
      <c r="A224" s="115" t="s">
        <v>38</v>
      </c>
      <c r="B224" s="116">
        <v>2</v>
      </c>
      <c r="C224" s="117">
        <v>100</v>
      </c>
      <c r="D224" s="117">
        <f t="shared" si="32"/>
        <v>200</v>
      </c>
    </row>
    <row r="225" spans="1:6" x14ac:dyDescent="0.2">
      <c r="A225" s="115" t="s">
        <v>39</v>
      </c>
      <c r="B225" s="116">
        <v>2</v>
      </c>
      <c r="C225" s="117">
        <v>300</v>
      </c>
      <c r="D225" s="117">
        <f t="shared" si="32"/>
        <v>600</v>
      </c>
    </row>
    <row r="227" spans="1:6" ht="16" thickBot="1" x14ac:dyDescent="0.25">
      <c r="A227" s="8" t="s">
        <v>31</v>
      </c>
      <c r="B227" s="9"/>
      <c r="C227" s="8"/>
      <c r="D227" s="9">
        <f>SUM(D221:D226)</f>
        <v>10400</v>
      </c>
    </row>
    <row r="229" spans="1:6" x14ac:dyDescent="0.2">
      <c r="A229" s="135" t="s">
        <v>40</v>
      </c>
      <c r="B229" s="136"/>
      <c r="C229" s="136"/>
      <c r="D229" s="136"/>
    </row>
    <row r="230" spans="1:6" x14ac:dyDescent="0.2">
      <c r="A230" s="136"/>
      <c r="B230" s="136"/>
      <c r="C230" s="136"/>
      <c r="D230" s="136"/>
      <c r="F230" s="7"/>
    </row>
    <row r="231" spans="1:6" ht="16" customHeight="1" x14ac:dyDescent="0.2">
      <c r="A231" s="143" t="s">
        <v>12</v>
      </c>
      <c r="B231" s="143" t="s">
        <v>14</v>
      </c>
      <c r="C231" s="143" t="s">
        <v>33</v>
      </c>
      <c r="D231" s="143" t="s">
        <v>34</v>
      </c>
      <c r="F231" s="7"/>
    </row>
    <row r="232" spans="1:6" x14ac:dyDescent="0.2">
      <c r="A232" s="139" t="s">
        <v>41</v>
      </c>
      <c r="B232" s="144">
        <v>0</v>
      </c>
      <c r="C232" s="145">
        <v>9000</v>
      </c>
      <c r="D232" s="139">
        <f>C232*B232</f>
        <v>0</v>
      </c>
      <c r="F232" s="7"/>
    </row>
    <row r="233" spans="1:6" x14ac:dyDescent="0.2">
      <c r="A233" s="139" t="s">
        <v>42</v>
      </c>
      <c r="B233" s="144">
        <v>1</v>
      </c>
      <c r="C233" s="145">
        <v>1000</v>
      </c>
      <c r="D233" s="139">
        <f t="shared" ref="D233:D236" si="33">C233*B233</f>
        <v>1000</v>
      </c>
      <c r="F233" s="7"/>
    </row>
    <row r="234" spans="1:6" x14ac:dyDescent="0.2">
      <c r="A234" s="139" t="s">
        <v>43</v>
      </c>
      <c r="B234" s="144">
        <v>0</v>
      </c>
      <c r="C234" s="145">
        <v>1200</v>
      </c>
      <c r="D234" s="139">
        <f t="shared" si="33"/>
        <v>0</v>
      </c>
      <c r="F234" s="7"/>
    </row>
    <row r="235" spans="1:6" x14ac:dyDescent="0.2">
      <c r="A235" s="139" t="s">
        <v>44</v>
      </c>
      <c r="B235" s="144">
        <f>1/200</f>
        <v>5.0000000000000001E-3</v>
      </c>
      <c r="C235" s="145">
        <v>70479</v>
      </c>
      <c r="D235" s="139">
        <f t="shared" si="33"/>
        <v>352.39499999999998</v>
      </c>
      <c r="F235" s="7"/>
    </row>
    <row r="236" spans="1:6" x14ac:dyDescent="0.2">
      <c r="A236" s="139" t="s">
        <v>45</v>
      </c>
      <c r="B236" s="144">
        <f>1/200</f>
        <v>5.0000000000000001E-3</v>
      </c>
      <c r="C236" s="145">
        <v>55000</v>
      </c>
      <c r="D236" s="139">
        <f t="shared" si="33"/>
        <v>275</v>
      </c>
      <c r="F236" s="7"/>
    </row>
    <row r="237" spans="1:6" x14ac:dyDescent="0.2">
      <c r="A237" s="136"/>
      <c r="B237" s="148"/>
      <c r="C237" s="136"/>
      <c r="D237" s="136"/>
      <c r="F237" s="7"/>
    </row>
    <row r="238" spans="1:6" ht="16" thickBot="1" x14ac:dyDescent="0.25">
      <c r="A238" s="141" t="s">
        <v>31</v>
      </c>
      <c r="B238" s="151"/>
      <c r="C238" s="141"/>
      <c r="D238" s="151">
        <f>SUM(D232:D237)</f>
        <v>1627.395</v>
      </c>
      <c r="F238" s="7"/>
    </row>
    <row r="239" spans="1:6" x14ac:dyDescent="0.2">
      <c r="B239" s="7"/>
      <c r="D239" s="7"/>
      <c r="F239" s="7"/>
    </row>
    <row r="240" spans="1:6" x14ac:dyDescent="0.2">
      <c r="A240" s="135" t="s">
        <v>46</v>
      </c>
      <c r="B240" s="148"/>
      <c r="C240" s="136"/>
      <c r="D240" s="136"/>
      <c r="F240" s="7"/>
    </row>
    <row r="241" spans="1:6" x14ac:dyDescent="0.2">
      <c r="A241" s="135"/>
      <c r="B241" s="148"/>
      <c r="C241" s="136"/>
      <c r="D241" s="136"/>
      <c r="F241" s="7"/>
    </row>
    <row r="242" spans="1:6" x14ac:dyDescent="0.2">
      <c r="A242" s="143" t="s">
        <v>12</v>
      </c>
      <c r="B242" s="143" t="s">
        <v>14</v>
      </c>
      <c r="C242" s="143" t="s">
        <v>33</v>
      </c>
      <c r="D242" s="143" t="s">
        <v>34</v>
      </c>
      <c r="F242" s="7"/>
    </row>
    <row r="243" spans="1:6" x14ac:dyDescent="0.2">
      <c r="A243" s="139" t="s">
        <v>110</v>
      </c>
      <c r="B243" s="144">
        <v>1</v>
      </c>
      <c r="C243" s="145">
        <v>400</v>
      </c>
      <c r="D243" s="145">
        <f t="shared" ref="D243:D257" si="34">B243*C243</f>
        <v>400</v>
      </c>
      <c r="F243" s="7"/>
    </row>
    <row r="244" spans="1:6" x14ac:dyDescent="0.2">
      <c r="A244" s="139" t="s">
        <v>47</v>
      </c>
      <c r="B244" s="144">
        <v>1</v>
      </c>
      <c r="C244" s="145">
        <v>400</v>
      </c>
      <c r="D244" s="145">
        <f t="shared" si="34"/>
        <v>400</v>
      </c>
      <c r="F244" s="7"/>
    </row>
    <row r="245" spans="1:6" x14ac:dyDescent="0.2">
      <c r="A245" s="139" t="s">
        <v>48</v>
      </c>
      <c r="B245" s="144">
        <v>0</v>
      </c>
      <c r="C245" s="145">
        <v>400</v>
      </c>
      <c r="D245" s="145">
        <f t="shared" si="34"/>
        <v>0</v>
      </c>
      <c r="F245" s="7"/>
    </row>
    <row r="246" spans="1:6" x14ac:dyDescent="0.2">
      <c r="A246" s="139" t="s">
        <v>49</v>
      </c>
      <c r="B246" s="144">
        <v>0</v>
      </c>
      <c r="C246" s="145">
        <v>500</v>
      </c>
      <c r="D246" s="145">
        <f t="shared" si="34"/>
        <v>0</v>
      </c>
      <c r="F246" s="7"/>
    </row>
    <row r="247" spans="1:6" x14ac:dyDescent="0.2">
      <c r="A247" s="139" t="s">
        <v>113</v>
      </c>
      <c r="B247" s="144">
        <v>1</v>
      </c>
      <c r="C247" s="145">
        <v>2000</v>
      </c>
      <c r="D247" s="145">
        <f t="shared" si="34"/>
        <v>2000</v>
      </c>
      <c r="F247" s="7"/>
    </row>
    <row r="248" spans="1:6" x14ac:dyDescent="0.2">
      <c r="A248" s="139" t="s">
        <v>116</v>
      </c>
      <c r="B248" s="144">
        <v>2</v>
      </c>
      <c r="C248" s="145">
        <v>400</v>
      </c>
      <c r="D248" s="145">
        <f t="shared" si="34"/>
        <v>800</v>
      </c>
      <c r="F248" s="7"/>
    </row>
    <row r="249" spans="1:6" x14ac:dyDescent="0.2">
      <c r="A249" s="139" t="s">
        <v>112</v>
      </c>
      <c r="B249" s="144">
        <v>0</v>
      </c>
      <c r="C249" s="145">
        <v>2500</v>
      </c>
      <c r="D249" s="145">
        <f t="shared" si="34"/>
        <v>0</v>
      </c>
      <c r="F249" s="7"/>
    </row>
    <row r="250" spans="1:6" x14ac:dyDescent="0.2">
      <c r="A250" s="149" t="s">
        <v>111</v>
      </c>
      <c r="B250" s="144">
        <v>0</v>
      </c>
      <c r="C250" s="145">
        <v>2000</v>
      </c>
      <c r="D250" s="145">
        <f t="shared" si="34"/>
        <v>0</v>
      </c>
      <c r="F250" s="7"/>
    </row>
    <row r="251" spans="1:6" x14ac:dyDescent="0.2">
      <c r="A251" s="139" t="s">
        <v>50</v>
      </c>
      <c r="B251" s="144">
        <v>1</v>
      </c>
      <c r="C251" s="145">
        <v>5000</v>
      </c>
      <c r="D251" s="145">
        <f t="shared" si="34"/>
        <v>5000</v>
      </c>
      <c r="F251" s="7"/>
    </row>
    <row r="252" spans="1:6" x14ac:dyDescent="0.2">
      <c r="A252" s="139" t="s">
        <v>51</v>
      </c>
      <c r="B252" s="144">
        <v>1</v>
      </c>
      <c r="C252" s="145">
        <v>1000</v>
      </c>
      <c r="D252" s="145">
        <f t="shared" si="34"/>
        <v>1000</v>
      </c>
      <c r="F252" s="7"/>
    </row>
    <row r="253" spans="1:6" x14ac:dyDescent="0.2">
      <c r="A253" s="139" t="s">
        <v>52</v>
      </c>
      <c r="B253" s="144">
        <v>0.05</v>
      </c>
      <c r="C253" s="145">
        <v>8000</v>
      </c>
      <c r="D253" s="145">
        <f t="shared" si="34"/>
        <v>400</v>
      </c>
      <c r="F253" s="7"/>
    </row>
    <row r="254" spans="1:6" x14ac:dyDescent="0.2">
      <c r="A254" s="139" t="s">
        <v>53</v>
      </c>
      <c r="B254" s="144">
        <v>2</v>
      </c>
      <c r="C254" s="145">
        <v>400</v>
      </c>
      <c r="D254" s="145">
        <f t="shared" si="34"/>
        <v>800</v>
      </c>
      <c r="F254" s="7"/>
    </row>
    <row r="255" spans="1:6" x14ac:dyDescent="0.2">
      <c r="A255" s="139" t="s">
        <v>54</v>
      </c>
      <c r="B255" s="144">
        <v>0.1</v>
      </c>
      <c r="C255" s="145">
        <v>500</v>
      </c>
      <c r="D255" s="145">
        <f t="shared" si="34"/>
        <v>50</v>
      </c>
      <c r="F255" s="7"/>
    </row>
    <row r="256" spans="1:6" x14ac:dyDescent="0.2">
      <c r="A256" s="139" t="s">
        <v>55</v>
      </c>
      <c r="B256" s="144">
        <v>0.5</v>
      </c>
      <c r="C256" s="145">
        <v>500</v>
      </c>
      <c r="D256" s="145">
        <f t="shared" si="34"/>
        <v>250</v>
      </c>
      <c r="F256" s="7"/>
    </row>
    <row r="257" spans="1:20" x14ac:dyDescent="0.2">
      <c r="A257" s="139" t="s">
        <v>56</v>
      </c>
      <c r="B257" s="144">
        <f>1/60</f>
        <v>1.6666666666666666E-2</v>
      </c>
      <c r="C257" s="145">
        <v>1500</v>
      </c>
      <c r="D257" s="145">
        <f t="shared" si="34"/>
        <v>25</v>
      </c>
      <c r="F257" s="7"/>
    </row>
    <row r="258" spans="1:20" x14ac:dyDescent="0.2">
      <c r="A258" s="136"/>
      <c r="B258" s="136"/>
      <c r="C258" s="136"/>
      <c r="D258" s="150"/>
      <c r="F258" s="7"/>
    </row>
    <row r="259" spans="1:20" ht="16" thickBot="1" x14ac:dyDescent="0.25">
      <c r="A259" s="141" t="s">
        <v>31</v>
      </c>
      <c r="B259" s="151"/>
      <c r="C259" s="141"/>
      <c r="D259" s="151">
        <f>SUM(D243:D258)</f>
        <v>11125</v>
      </c>
      <c r="F259" s="7"/>
    </row>
    <row r="260" spans="1:20" x14ac:dyDescent="0.2">
      <c r="A260" s="136"/>
      <c r="B260" s="150"/>
      <c r="C260" s="140">
        <f>+$B$102*B270</f>
        <v>304000</v>
      </c>
      <c r="D260" s="150"/>
      <c r="F260" s="7"/>
    </row>
    <row r="261" spans="1:20" x14ac:dyDescent="0.2">
      <c r="F261" s="7"/>
    </row>
    <row r="262" spans="1:20" x14ac:dyDescent="0.2">
      <c r="A262" s="4" t="s">
        <v>57</v>
      </c>
    </row>
    <row r="263" spans="1:20" x14ac:dyDescent="0.2">
      <c r="A263" s="14" t="s">
        <v>58</v>
      </c>
      <c r="B263" s="14">
        <v>230</v>
      </c>
      <c r="E263" s="14" t="s">
        <v>58</v>
      </c>
      <c r="F263" s="14">
        <v>230</v>
      </c>
    </row>
    <row r="264" spans="1:20" x14ac:dyDescent="0.2">
      <c r="A264" s="20" t="s">
        <v>59</v>
      </c>
      <c r="B264" s="14">
        <v>2</v>
      </c>
      <c r="E264" s="14" t="s">
        <v>59</v>
      </c>
      <c r="F264" s="14">
        <v>1</v>
      </c>
    </row>
    <row r="265" spans="1:20" x14ac:dyDescent="0.2">
      <c r="A265" s="1" t="s">
        <v>60</v>
      </c>
      <c r="B265" s="1" t="s">
        <v>61</v>
      </c>
      <c r="C265" s="1" t="s">
        <v>62</v>
      </c>
      <c r="D265" s="19"/>
      <c r="E265" s="1" t="s">
        <v>63</v>
      </c>
      <c r="F265" s="1" t="s">
        <v>61</v>
      </c>
      <c r="G265" s="1" t="s">
        <v>62</v>
      </c>
    </row>
    <row r="266" spans="1:20" x14ac:dyDescent="0.2">
      <c r="A266" s="115" t="s">
        <v>64</v>
      </c>
      <c r="B266" s="118">
        <v>4000000</v>
      </c>
      <c r="C266" s="115"/>
      <c r="E266" s="115" t="s">
        <v>64</v>
      </c>
      <c r="F266" s="118">
        <v>1500000</v>
      </c>
      <c r="G266" s="115"/>
    </row>
    <row r="267" spans="1:20" x14ac:dyDescent="0.2">
      <c r="A267" s="115" t="s">
        <v>65</v>
      </c>
      <c r="B267" s="115"/>
      <c r="C267" s="115"/>
      <c r="E267" s="115" t="s">
        <v>65</v>
      </c>
      <c r="F267" s="115"/>
      <c r="G267" s="115"/>
    </row>
    <row r="268" spans="1:20" x14ac:dyDescent="0.2">
      <c r="A268" s="115" t="s">
        <v>64</v>
      </c>
      <c r="B268" s="115"/>
      <c r="C268" s="115"/>
      <c r="E268" s="115" t="s">
        <v>64</v>
      </c>
      <c r="F268" s="115"/>
      <c r="G268" s="115"/>
      <c r="J268" s="46"/>
    </row>
    <row r="269" spans="1:20" x14ac:dyDescent="0.2">
      <c r="A269" s="115" t="s">
        <v>66</v>
      </c>
      <c r="B269" s="115"/>
      <c r="C269" s="115"/>
      <c r="E269" s="115" t="s">
        <v>66</v>
      </c>
      <c r="F269" s="115"/>
      <c r="G269" s="115"/>
      <c r="R269" s="44"/>
      <c r="S269" s="44"/>
      <c r="T269" s="44"/>
    </row>
    <row r="270" spans="1:20" x14ac:dyDescent="0.2">
      <c r="A270" s="115" t="s">
        <v>67</v>
      </c>
      <c r="B270" s="119">
        <v>0.08</v>
      </c>
      <c r="C270" s="118">
        <f>+$B$102*B270</f>
        <v>304000</v>
      </c>
      <c r="E270" s="115" t="s">
        <v>67</v>
      </c>
      <c r="F270" s="119">
        <v>0.08</v>
      </c>
      <c r="G270" s="118">
        <f t="shared" ref="G270:G279" si="35">+$F$102*F270</f>
        <v>120000</v>
      </c>
      <c r="R270" s="44"/>
      <c r="S270" s="44"/>
      <c r="T270" s="44"/>
    </row>
    <row r="271" spans="1:20" x14ac:dyDescent="0.2">
      <c r="A271" s="115" t="s">
        <v>68</v>
      </c>
      <c r="B271" s="119">
        <v>0.08</v>
      </c>
      <c r="C271" s="118">
        <f>+$B$102*B271</f>
        <v>304000</v>
      </c>
      <c r="E271" s="115" t="s">
        <v>68</v>
      </c>
      <c r="F271" s="119">
        <v>0.08</v>
      </c>
      <c r="G271" s="118">
        <f t="shared" si="35"/>
        <v>120000</v>
      </c>
      <c r="I271" s="19"/>
      <c r="J271" s="19"/>
      <c r="K271" s="19"/>
      <c r="M271" s="19"/>
      <c r="N271" s="19"/>
      <c r="O271" s="19"/>
      <c r="R271" s="48"/>
      <c r="S271" s="48"/>
      <c r="T271" s="48"/>
    </row>
    <row r="272" spans="1:20" x14ac:dyDescent="0.2">
      <c r="A272" s="115" t="s">
        <v>69</v>
      </c>
      <c r="B272" s="119">
        <v>0.04</v>
      </c>
      <c r="C272" s="118">
        <f t="shared" ref="C272:C279" si="36">+$B$102*B272</f>
        <v>152000</v>
      </c>
      <c r="E272" s="115" t="s">
        <v>69</v>
      </c>
      <c r="F272" s="119">
        <v>0.04</v>
      </c>
      <c r="G272" s="118">
        <f t="shared" si="35"/>
        <v>60000</v>
      </c>
      <c r="J272" s="15"/>
      <c r="N272" s="15"/>
      <c r="R272" s="44"/>
      <c r="S272" s="49"/>
      <c r="T272" s="44"/>
    </row>
    <row r="273" spans="1:20" x14ac:dyDescent="0.2">
      <c r="A273" s="115" t="s">
        <v>70</v>
      </c>
      <c r="B273" s="119">
        <v>0.01</v>
      </c>
      <c r="C273" s="118">
        <f t="shared" si="36"/>
        <v>38000</v>
      </c>
      <c r="E273" s="115" t="s">
        <v>70</v>
      </c>
      <c r="F273" s="119">
        <v>0.01</v>
      </c>
      <c r="G273" s="118">
        <f t="shared" si="35"/>
        <v>15000</v>
      </c>
      <c r="R273" s="44"/>
      <c r="S273" s="44"/>
      <c r="T273" s="44"/>
    </row>
    <row r="274" spans="1:20" x14ac:dyDescent="0.2">
      <c r="A274" s="115" t="s">
        <v>71</v>
      </c>
      <c r="B274" s="119">
        <v>8.5000000000000006E-2</v>
      </c>
      <c r="C274" s="118">
        <f t="shared" si="36"/>
        <v>323000</v>
      </c>
      <c r="E274" s="115" t="s">
        <v>71</v>
      </c>
      <c r="F274" s="119">
        <v>8.5000000000000006E-2</v>
      </c>
      <c r="G274" s="118">
        <f t="shared" si="35"/>
        <v>127500.00000000001</v>
      </c>
      <c r="R274" s="44"/>
      <c r="S274" s="44"/>
      <c r="T274" s="44"/>
    </row>
    <row r="275" spans="1:20" x14ac:dyDescent="0.2">
      <c r="A275" s="115" t="s">
        <v>72</v>
      </c>
      <c r="B275" s="119">
        <v>0.12</v>
      </c>
      <c r="C275" s="118">
        <f t="shared" si="36"/>
        <v>456000</v>
      </c>
      <c r="E275" s="115" t="s">
        <v>72</v>
      </c>
      <c r="F275" s="119">
        <v>0.12</v>
      </c>
      <c r="G275" s="118">
        <f t="shared" si="35"/>
        <v>180000</v>
      </c>
      <c r="R275" s="44"/>
      <c r="S275" s="44"/>
      <c r="T275" s="44"/>
    </row>
    <row r="276" spans="1:20" x14ac:dyDescent="0.2">
      <c r="A276" s="115" t="s">
        <v>73</v>
      </c>
      <c r="B276" s="119">
        <v>0.02</v>
      </c>
      <c r="C276" s="118">
        <f t="shared" si="36"/>
        <v>76000</v>
      </c>
      <c r="E276" s="115" t="s">
        <v>73</v>
      </c>
      <c r="F276" s="119">
        <v>2.4E-2</v>
      </c>
      <c r="G276" s="118">
        <f t="shared" si="35"/>
        <v>36000</v>
      </c>
      <c r="J276" s="47"/>
      <c r="K276" s="15"/>
      <c r="N276" s="47"/>
      <c r="O276" s="15"/>
      <c r="R276" s="44"/>
      <c r="S276" s="50"/>
      <c r="T276" s="49"/>
    </row>
    <row r="277" spans="1:20" x14ac:dyDescent="0.2">
      <c r="A277" s="115" t="s">
        <v>74</v>
      </c>
      <c r="B277" s="119">
        <v>0.04</v>
      </c>
      <c r="C277" s="118">
        <f t="shared" si="36"/>
        <v>152000</v>
      </c>
      <c r="E277" s="115" t="s">
        <v>74</v>
      </c>
      <c r="F277" s="119">
        <v>0.04</v>
      </c>
      <c r="G277" s="118">
        <f t="shared" si="35"/>
        <v>60000</v>
      </c>
      <c r="J277" s="47"/>
      <c r="K277" s="15"/>
      <c r="N277" s="47"/>
      <c r="O277" s="15"/>
      <c r="R277" s="44"/>
      <c r="S277" s="50"/>
      <c r="T277" s="49"/>
    </row>
    <row r="278" spans="1:20" x14ac:dyDescent="0.2">
      <c r="A278" s="115" t="s">
        <v>75</v>
      </c>
      <c r="B278" s="119">
        <v>0.02</v>
      </c>
      <c r="C278" s="118">
        <f t="shared" si="36"/>
        <v>76000</v>
      </c>
      <c r="E278" s="115" t="s">
        <v>75</v>
      </c>
      <c r="F278" s="119">
        <v>0.02</v>
      </c>
      <c r="G278" s="118">
        <f t="shared" si="35"/>
        <v>30000</v>
      </c>
      <c r="J278" s="47"/>
      <c r="K278" s="15"/>
      <c r="N278" s="47"/>
      <c r="O278" s="15"/>
      <c r="R278" s="44"/>
      <c r="S278" s="50"/>
      <c r="T278" s="49"/>
    </row>
    <row r="279" spans="1:20" x14ac:dyDescent="0.2">
      <c r="A279" s="115" t="s">
        <v>76</v>
      </c>
      <c r="B279" s="119">
        <v>0.03</v>
      </c>
      <c r="C279" s="118">
        <f t="shared" si="36"/>
        <v>114000</v>
      </c>
      <c r="E279" s="115" t="s">
        <v>76</v>
      </c>
      <c r="F279" s="119">
        <v>0.03</v>
      </c>
      <c r="G279" s="118">
        <f t="shared" si="35"/>
        <v>45000</v>
      </c>
      <c r="J279" s="47"/>
      <c r="K279" s="15"/>
      <c r="N279" s="47"/>
      <c r="O279" s="15"/>
      <c r="R279" s="44"/>
      <c r="S279" s="50"/>
      <c r="T279" s="49"/>
    </row>
    <row r="280" spans="1:20" x14ac:dyDescent="0.2">
      <c r="A280" s="115" t="s">
        <v>77</v>
      </c>
      <c r="B280" s="115"/>
      <c r="C280" s="118">
        <f>SUM(C270:C279)</f>
        <v>1995000</v>
      </c>
      <c r="E280" s="120" t="s">
        <v>78</v>
      </c>
      <c r="F280" s="115"/>
      <c r="G280" s="118">
        <v>117000</v>
      </c>
      <c r="J280" s="47"/>
      <c r="K280" s="15"/>
      <c r="N280" s="47"/>
      <c r="O280" s="15"/>
      <c r="R280" s="44"/>
      <c r="S280" s="50"/>
      <c r="T280" s="49"/>
    </row>
    <row r="281" spans="1:20" x14ac:dyDescent="0.2">
      <c r="A281" s="115" t="s">
        <v>79</v>
      </c>
      <c r="B281" s="115"/>
      <c r="C281" s="118">
        <f>+C280+B266</f>
        <v>5995000</v>
      </c>
      <c r="E281" s="115" t="s">
        <v>80</v>
      </c>
      <c r="F281" s="115"/>
      <c r="G281" s="118">
        <f>SUM(G270:G280)</f>
        <v>910500</v>
      </c>
      <c r="J281" s="47"/>
      <c r="K281" s="15"/>
      <c r="N281" s="47"/>
      <c r="O281" s="15"/>
      <c r="R281" s="44"/>
      <c r="S281" s="50"/>
      <c r="T281" s="49"/>
    </row>
    <row r="282" spans="1:20" x14ac:dyDescent="0.2">
      <c r="A282" s="3"/>
      <c r="B282" s="3"/>
      <c r="C282" s="3"/>
      <c r="E282" s="120" t="s">
        <v>81</v>
      </c>
      <c r="F282" s="115"/>
      <c r="G282" s="118">
        <f>+G281+F266</f>
        <v>2410500</v>
      </c>
      <c r="J282" s="47"/>
      <c r="K282" s="15"/>
      <c r="N282" s="47"/>
      <c r="O282" s="15"/>
      <c r="R282" s="44"/>
      <c r="S282" s="50"/>
      <c r="T282" s="49"/>
    </row>
    <row r="283" spans="1:20" x14ac:dyDescent="0.2">
      <c r="A283" s="12" t="s">
        <v>82</v>
      </c>
      <c r="B283" s="3"/>
      <c r="C283" s="10">
        <f>+C281/B263</f>
        <v>26065.217391304348</v>
      </c>
      <c r="E283" s="115" t="s">
        <v>83</v>
      </c>
      <c r="F283" s="115"/>
      <c r="G283" s="118">
        <f>+G282/B263</f>
        <v>10480.434782608696</v>
      </c>
      <c r="J283" s="47"/>
      <c r="K283" s="15"/>
      <c r="N283" s="47"/>
      <c r="O283" s="15"/>
      <c r="R283" s="44"/>
      <c r="S283" s="50"/>
      <c r="T283" s="49"/>
    </row>
    <row r="284" spans="1:20" x14ac:dyDescent="0.2">
      <c r="F284" s="47"/>
      <c r="G284" s="15"/>
      <c r="J284" s="47"/>
      <c r="K284" s="15"/>
      <c r="N284" s="47"/>
      <c r="O284" s="15"/>
      <c r="R284" s="44"/>
      <c r="S284" s="50"/>
      <c r="T284" s="49"/>
    </row>
    <row r="285" spans="1:20" x14ac:dyDescent="0.2">
      <c r="A285" s="4"/>
      <c r="F285" s="47"/>
      <c r="G285" s="15"/>
    </row>
    <row r="286" spans="1:20" x14ac:dyDescent="0.2">
      <c r="A286" s="135" t="s">
        <v>84</v>
      </c>
      <c r="B286" s="136"/>
      <c r="C286" s="136"/>
      <c r="F286" s="47"/>
      <c r="G286" s="15"/>
    </row>
    <row r="287" spans="1:20" x14ac:dyDescent="0.2">
      <c r="A287" s="137"/>
      <c r="B287" s="137"/>
      <c r="C287" s="136"/>
      <c r="F287" s="47"/>
      <c r="G287" s="15"/>
    </row>
    <row r="288" spans="1:20" x14ac:dyDescent="0.2">
      <c r="A288" s="138" t="s">
        <v>85</v>
      </c>
      <c r="B288" s="138" t="s">
        <v>86</v>
      </c>
      <c r="C288" s="138" t="s">
        <v>87</v>
      </c>
      <c r="F288" s="47"/>
      <c r="G288" s="15"/>
    </row>
    <row r="289" spans="1:9" x14ac:dyDescent="0.2">
      <c r="A289" s="139" t="s">
        <v>88</v>
      </c>
      <c r="B289" s="140">
        <v>2388262</v>
      </c>
      <c r="C289" s="140">
        <f>B289/$E$4/B$3</f>
        <v>1990.2183333333332</v>
      </c>
      <c r="F289" s="47"/>
      <c r="G289" s="15"/>
    </row>
    <row r="290" spans="1:9" x14ac:dyDescent="0.2">
      <c r="A290" s="139" t="s">
        <v>89</v>
      </c>
      <c r="B290" s="140">
        <v>6775276.5</v>
      </c>
      <c r="C290" s="140">
        <f t="shared" ref="C290:C293" si="37">B290/$E$4/B$3</f>
        <v>5646.0637500000003</v>
      </c>
      <c r="F290" s="47"/>
      <c r="G290" s="15"/>
    </row>
    <row r="291" spans="1:9" x14ac:dyDescent="0.2">
      <c r="A291" s="139" t="s">
        <v>90</v>
      </c>
      <c r="B291" s="140">
        <v>4783964.3999999994</v>
      </c>
      <c r="C291" s="140">
        <f t="shared" si="37"/>
        <v>3986.6369999999997</v>
      </c>
      <c r="G291" s="15"/>
    </row>
    <row r="292" spans="1:9" x14ac:dyDescent="0.2">
      <c r="A292" s="139" t="s">
        <v>91</v>
      </c>
      <c r="B292" s="140">
        <v>6688000</v>
      </c>
      <c r="C292" s="140">
        <f t="shared" si="37"/>
        <v>5573.333333333333</v>
      </c>
      <c r="D292" s="27"/>
      <c r="E292" s="27"/>
      <c r="G292" s="15"/>
    </row>
    <row r="293" spans="1:9" x14ac:dyDescent="0.2">
      <c r="A293" s="139" t="s">
        <v>92</v>
      </c>
      <c r="B293" s="140">
        <v>63000</v>
      </c>
      <c r="C293" s="140">
        <f t="shared" si="37"/>
        <v>52.5</v>
      </c>
      <c r="G293" s="15"/>
    </row>
    <row r="294" spans="1:9" ht="16" thickBot="1" x14ac:dyDescent="0.25">
      <c r="A294" s="141" t="s">
        <v>31</v>
      </c>
      <c r="B294" s="141"/>
      <c r="C294" s="142">
        <f>SUM(C289:C293)</f>
        <v>17248.752416666666</v>
      </c>
      <c r="G294" s="15"/>
    </row>
    <row r="296" spans="1:9" x14ac:dyDescent="0.2">
      <c r="A296" s="135" t="s">
        <v>128</v>
      </c>
      <c r="B296" s="136"/>
      <c r="C296" s="136"/>
      <c r="D296" s="136"/>
    </row>
    <row r="297" spans="1:9" x14ac:dyDescent="0.2">
      <c r="A297" s="136"/>
      <c r="B297" s="136"/>
      <c r="C297" s="136"/>
      <c r="D297" s="136"/>
      <c r="H297" s="37"/>
    </row>
    <row r="298" spans="1:9" x14ac:dyDescent="0.2">
      <c r="A298" s="136"/>
      <c r="B298" s="143" t="s">
        <v>14</v>
      </c>
      <c r="C298" s="143" t="s">
        <v>33</v>
      </c>
      <c r="D298" s="143" t="s">
        <v>34</v>
      </c>
    </row>
    <row r="299" spans="1:9" x14ac:dyDescent="0.2">
      <c r="A299" s="139" t="s">
        <v>117</v>
      </c>
      <c r="B299" s="144">
        <v>1</v>
      </c>
      <c r="C299" s="145">
        <v>10000000</v>
      </c>
      <c r="D299" s="145">
        <f t="shared" ref="D299:D309" si="38">B299*C299</f>
        <v>10000000</v>
      </c>
    </row>
    <row r="300" spans="1:9" x14ac:dyDescent="0.2">
      <c r="A300" s="139" t="s">
        <v>118</v>
      </c>
      <c r="B300" s="144">
        <v>12</v>
      </c>
      <c r="C300" s="145">
        <v>4000000</v>
      </c>
      <c r="D300" s="145">
        <f t="shared" si="38"/>
        <v>48000000</v>
      </c>
    </row>
    <row r="301" spans="1:9" x14ac:dyDescent="0.2">
      <c r="A301" s="139" t="s">
        <v>119</v>
      </c>
      <c r="B301" s="144">
        <v>6</v>
      </c>
      <c r="C301" s="145">
        <v>1000000</v>
      </c>
      <c r="D301" s="145">
        <f t="shared" si="38"/>
        <v>6000000</v>
      </c>
    </row>
    <row r="302" spans="1:9" x14ac:dyDescent="0.2">
      <c r="A302" s="139" t="s">
        <v>120</v>
      </c>
      <c r="B302" s="144">
        <v>1</v>
      </c>
      <c r="C302" s="145">
        <v>1000000</v>
      </c>
      <c r="D302" s="145">
        <f t="shared" si="38"/>
        <v>1000000</v>
      </c>
      <c r="I302" s="37"/>
    </row>
    <row r="303" spans="1:9" x14ac:dyDescent="0.2">
      <c r="A303" s="139" t="s">
        <v>121</v>
      </c>
      <c r="B303" s="144">
        <v>6</v>
      </c>
      <c r="C303" s="145">
        <v>2000000</v>
      </c>
      <c r="D303" s="145">
        <f t="shared" si="38"/>
        <v>12000000</v>
      </c>
    </row>
    <row r="304" spans="1:9" x14ac:dyDescent="0.2">
      <c r="A304" s="139" t="s">
        <v>122</v>
      </c>
      <c r="B304" s="144">
        <v>3</v>
      </c>
      <c r="C304" s="145">
        <v>2500000</v>
      </c>
      <c r="D304" s="145">
        <f t="shared" si="38"/>
        <v>7500000</v>
      </c>
      <c r="F304" s="27"/>
      <c r="G304" s="27"/>
    </row>
    <row r="305" spans="1:9" x14ac:dyDescent="0.2">
      <c r="A305" s="139" t="s">
        <v>123</v>
      </c>
      <c r="B305" s="144">
        <v>10</v>
      </c>
      <c r="C305" s="145">
        <v>400000</v>
      </c>
      <c r="D305" s="145">
        <f t="shared" si="38"/>
        <v>4000000</v>
      </c>
      <c r="G305" s="29"/>
    </row>
    <row r="306" spans="1:9" x14ac:dyDescent="0.2">
      <c r="A306" s="139" t="s">
        <v>124</v>
      </c>
      <c r="B306" s="144">
        <v>1</v>
      </c>
      <c r="C306" s="145">
        <v>5000000</v>
      </c>
      <c r="D306" s="145">
        <f t="shared" si="38"/>
        <v>5000000</v>
      </c>
      <c r="H306" s="30"/>
    </row>
    <row r="307" spans="1:9" x14ac:dyDescent="0.2">
      <c r="A307" s="139" t="s">
        <v>125</v>
      </c>
      <c r="B307" s="144">
        <v>2</v>
      </c>
      <c r="C307" s="145">
        <v>2000000</v>
      </c>
      <c r="D307" s="145">
        <f t="shared" si="38"/>
        <v>4000000</v>
      </c>
      <c r="H307" s="29"/>
    </row>
    <row r="308" spans="1:9" x14ac:dyDescent="0.2">
      <c r="A308" s="139" t="s">
        <v>126</v>
      </c>
      <c r="B308" s="144">
        <v>5</v>
      </c>
      <c r="C308" s="145">
        <v>400000</v>
      </c>
      <c r="D308" s="145">
        <f t="shared" si="38"/>
        <v>2000000</v>
      </c>
      <c r="H308" s="29"/>
    </row>
    <row r="309" spans="1:9" x14ac:dyDescent="0.2">
      <c r="A309" s="139" t="s">
        <v>127</v>
      </c>
      <c r="B309" s="144">
        <v>1</v>
      </c>
      <c r="C309" s="145">
        <v>10000000</v>
      </c>
      <c r="D309" s="145">
        <f t="shared" si="38"/>
        <v>10000000</v>
      </c>
      <c r="H309" s="29"/>
    </row>
    <row r="310" spans="1:9" ht="16" thickBot="1" x14ac:dyDescent="0.25">
      <c r="A310" s="141" t="s">
        <v>31</v>
      </c>
      <c r="B310" s="141"/>
      <c r="C310" s="141"/>
      <c r="D310" s="146">
        <f>SUM(D299:D309)</f>
        <v>109500000</v>
      </c>
      <c r="H310" s="29"/>
    </row>
    <row r="311" spans="1:9" x14ac:dyDescent="0.2">
      <c r="A311" s="136" t="s">
        <v>129</v>
      </c>
      <c r="B311" s="136"/>
      <c r="C311" s="136"/>
      <c r="D311" s="147">
        <f>D310/12</f>
        <v>9125000</v>
      </c>
      <c r="H311" s="29"/>
    </row>
    <row r="312" spans="1:9" x14ac:dyDescent="0.2">
      <c r="A312" s="136" t="s">
        <v>138</v>
      </c>
      <c r="B312" s="136"/>
      <c r="C312" s="136"/>
      <c r="D312" s="147">
        <f>D311/B3</f>
        <v>2281250</v>
      </c>
      <c r="H312" s="2"/>
      <c r="I312" s="30"/>
    </row>
    <row r="313" spans="1:9" x14ac:dyDescent="0.2">
      <c r="A313" s="136" t="s">
        <v>140</v>
      </c>
      <c r="B313" s="136"/>
      <c r="C313" s="136"/>
      <c r="D313" s="147">
        <f>D312/D161</f>
        <v>7604.166666666667</v>
      </c>
      <c r="H313" s="2"/>
      <c r="I313" s="30"/>
    </row>
    <row r="314" spans="1:9" x14ac:dyDescent="0.2">
      <c r="H314" s="2"/>
      <c r="I314" s="30"/>
    </row>
    <row r="315" spans="1:9" x14ac:dyDescent="0.2">
      <c r="A315" s="25"/>
      <c r="B315" s="25"/>
      <c r="C315" s="55"/>
      <c r="D315" s="25"/>
      <c r="E315" s="25"/>
      <c r="I315" s="30"/>
    </row>
    <row r="316" spans="1:9" ht="16" x14ac:dyDescent="0.2">
      <c r="A316" s="25"/>
      <c r="B316" s="56"/>
      <c r="C316" s="56"/>
      <c r="D316" s="56"/>
      <c r="E316" s="25"/>
      <c r="I316" s="30"/>
    </row>
    <row r="317" spans="1:9" ht="16" x14ac:dyDescent="0.2">
      <c r="A317" s="25"/>
      <c r="B317" s="57"/>
      <c r="C317" s="57"/>
      <c r="D317" s="57"/>
      <c r="E317" s="25"/>
      <c r="I317" s="35"/>
    </row>
    <row r="318" spans="1:9" x14ac:dyDescent="0.2">
      <c r="A318" s="25"/>
      <c r="B318" s="55"/>
      <c r="C318" s="55"/>
      <c r="D318" s="55"/>
      <c r="E318" s="25"/>
      <c r="I318" s="36"/>
    </row>
    <row r="319" spans="1:9" x14ac:dyDescent="0.2">
      <c r="A319" s="25"/>
      <c r="B319" s="25"/>
      <c r="C319" s="25"/>
      <c r="D319" s="25"/>
      <c r="E319" s="25"/>
      <c r="I319" s="36"/>
    </row>
    <row r="320" spans="1:9" x14ac:dyDescent="0.2">
      <c r="A320" s="25"/>
      <c r="B320" s="25"/>
      <c r="C320" s="25"/>
      <c r="D320" s="25"/>
      <c r="E320" s="25"/>
    </row>
    <row r="321" spans="1:5" x14ac:dyDescent="0.2">
      <c r="A321" s="25"/>
      <c r="B321" s="25"/>
      <c r="C321" s="25"/>
      <c r="D321" s="25"/>
      <c r="E321" s="25"/>
    </row>
    <row r="322" spans="1:5" x14ac:dyDescent="0.2">
      <c r="A322" s="25"/>
      <c r="B322" s="25"/>
      <c r="C322" s="25"/>
      <c r="D322" s="25"/>
      <c r="E322" s="25"/>
    </row>
    <row r="323" spans="1:5" x14ac:dyDescent="0.2">
      <c r="A323" s="25"/>
      <c r="B323" s="25"/>
      <c r="C323" s="25"/>
      <c r="D323" s="25"/>
      <c r="E323" s="25"/>
    </row>
    <row r="324" spans="1:5" x14ac:dyDescent="0.2">
      <c r="A324" s="25"/>
      <c r="B324" s="25"/>
      <c r="C324" s="25"/>
      <c r="D324" s="25"/>
      <c r="E324" s="25"/>
    </row>
    <row r="325" spans="1:5" x14ac:dyDescent="0.2">
      <c r="A325" s="25"/>
      <c r="B325" s="25"/>
      <c r="C325" s="25"/>
      <c r="D325" s="25"/>
      <c r="E325" s="25"/>
    </row>
  </sheetData>
  <mergeCells count="2">
    <mergeCell ref="D126:G126"/>
    <mergeCell ref="A155:D15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25"/>
  <sheetViews>
    <sheetView topLeftCell="A93" zoomScale="170" zoomScaleNormal="170" workbookViewId="0">
      <selection activeCell="A4" sqref="A4"/>
    </sheetView>
  </sheetViews>
  <sheetFormatPr baseColWidth="10" defaultColWidth="8.83203125" defaultRowHeight="15" x14ac:dyDescent="0.2"/>
  <cols>
    <col min="1" max="1" width="55.1640625" bestFit="1" customWidth="1"/>
    <col min="2" max="2" width="17.5" customWidth="1"/>
    <col min="3" max="3" width="19.5" customWidth="1"/>
    <col min="4" max="4" width="17.6640625" customWidth="1"/>
    <col min="5" max="5" width="16.6640625" customWidth="1"/>
    <col min="6" max="6" width="23.83203125" customWidth="1"/>
    <col min="7" max="7" width="17.33203125" bestFit="1" customWidth="1"/>
    <col min="8" max="8" width="21.6640625" customWidth="1"/>
    <col min="9" max="9" width="37.1640625" bestFit="1" customWidth="1"/>
    <col min="10" max="10" width="14.6640625" customWidth="1"/>
    <col min="11" max="12" width="14" bestFit="1" customWidth="1"/>
    <col min="13" max="13" width="23.33203125" customWidth="1"/>
    <col min="14" max="14" width="14.5" bestFit="1" customWidth="1"/>
    <col min="15" max="15" width="16.33203125" customWidth="1"/>
    <col min="18" max="18" width="47.83203125" bestFit="1" customWidth="1"/>
    <col min="19" max="19" width="14" bestFit="1" customWidth="1"/>
    <col min="20" max="20" width="11.33203125" bestFit="1" customWidth="1"/>
    <col min="21" max="21" width="14.6640625" bestFit="1" customWidth="1"/>
    <col min="22" max="22" width="18.33203125" customWidth="1"/>
    <col min="23" max="23" width="14.6640625" customWidth="1"/>
    <col min="24" max="24" width="16.83203125" bestFit="1" customWidth="1"/>
    <col min="25" max="25" width="8.83203125" customWidth="1"/>
  </cols>
  <sheetData>
    <row r="2" spans="1:8" ht="21" x14ac:dyDescent="0.25">
      <c r="A2" s="78" t="s">
        <v>137</v>
      </c>
      <c r="B2" s="77"/>
    </row>
    <row r="3" spans="1:8" ht="16" x14ac:dyDescent="0.2">
      <c r="A3" s="59" t="s">
        <v>132</v>
      </c>
      <c r="B3" s="60">
        <v>4</v>
      </c>
    </row>
    <row r="4" spans="1:8" x14ac:dyDescent="0.2">
      <c r="A4" s="59" t="s">
        <v>195</v>
      </c>
      <c r="B4" s="59">
        <v>10</v>
      </c>
      <c r="C4" s="2" t="s">
        <v>144</v>
      </c>
      <c r="E4" s="89">
        <f>B4*30</f>
        <v>300</v>
      </c>
    </row>
    <row r="7" spans="1:8" x14ac:dyDescent="0.2">
      <c r="A7" s="38" t="s">
        <v>0</v>
      </c>
    </row>
    <row r="8" spans="1:8" x14ac:dyDescent="0.2">
      <c r="A8" s="2" t="s">
        <v>175</v>
      </c>
      <c r="B8" s="7">
        <f>X53*T29</f>
        <v>184607</v>
      </c>
    </row>
    <row r="9" spans="1:8" x14ac:dyDescent="0.2">
      <c r="A9" s="2" t="s">
        <v>171</v>
      </c>
      <c r="B9" s="7">
        <f>O52*K29</f>
        <v>86200</v>
      </c>
    </row>
    <row r="10" spans="1:8" x14ac:dyDescent="0.2">
      <c r="A10" s="2" t="s">
        <v>170</v>
      </c>
      <c r="B10" s="7">
        <f>G51*C29</f>
        <v>0</v>
      </c>
    </row>
    <row r="11" spans="1:8" x14ac:dyDescent="0.2">
      <c r="A11" s="2" t="s">
        <v>1</v>
      </c>
      <c r="B11" s="7">
        <f>D63</f>
        <v>13400</v>
      </c>
    </row>
    <row r="12" spans="1:8" x14ac:dyDescent="0.2">
      <c r="A12" s="2" t="s">
        <v>2</v>
      </c>
      <c r="B12" s="7">
        <f>D74</f>
        <v>1627.395</v>
      </c>
      <c r="F12" s="61" t="s">
        <v>185</v>
      </c>
      <c r="G12" s="61"/>
    </row>
    <row r="13" spans="1:8" x14ac:dyDescent="0.2">
      <c r="A13" s="2" t="s">
        <v>130</v>
      </c>
      <c r="B13" s="7">
        <f>D152</f>
        <v>7604.166666666667</v>
      </c>
      <c r="C13" t="s">
        <v>131</v>
      </c>
      <c r="F13" s="61" t="s">
        <v>186</v>
      </c>
      <c r="G13" s="61">
        <v>33</v>
      </c>
      <c r="H13" s="7"/>
    </row>
    <row r="14" spans="1:8" x14ac:dyDescent="0.2">
      <c r="A14" s="2" t="s">
        <v>8</v>
      </c>
      <c r="B14" s="7">
        <f>C131</f>
        <v>17248.752416666666</v>
      </c>
      <c r="F14" s="61" t="s">
        <v>187</v>
      </c>
      <c r="G14" s="61">
        <v>33</v>
      </c>
      <c r="H14" s="7"/>
    </row>
    <row r="15" spans="1:8" x14ac:dyDescent="0.2">
      <c r="A15" s="2" t="s">
        <v>3</v>
      </c>
      <c r="B15" s="7">
        <f>D95</f>
        <v>32425</v>
      </c>
      <c r="F15" s="61" t="s">
        <v>188</v>
      </c>
      <c r="G15" s="61">
        <v>33</v>
      </c>
      <c r="H15" s="7"/>
    </row>
    <row r="17" spans="1:24" x14ac:dyDescent="0.2">
      <c r="A17" t="s">
        <v>4</v>
      </c>
      <c r="B17">
        <f>0.36</f>
        <v>0.36</v>
      </c>
      <c r="C17" t="s">
        <v>201</v>
      </c>
    </row>
    <row r="18" spans="1:24" x14ac:dyDescent="0.2">
      <c r="A18" s="2" t="s">
        <v>5</v>
      </c>
      <c r="B18" s="15">
        <f>+B17*B100*C119</f>
        <v>9070.434782608696</v>
      </c>
      <c r="C18" s="15" t="s">
        <v>6</v>
      </c>
      <c r="F18" s="71"/>
      <c r="G18" s="71"/>
      <c r="H18" s="71"/>
    </row>
    <row r="19" spans="1:24" x14ac:dyDescent="0.2">
      <c r="A19" t="s">
        <v>202</v>
      </c>
      <c r="B19">
        <v>0.36</v>
      </c>
      <c r="C19" s="18" t="s">
        <v>6</v>
      </c>
      <c r="F19" s="73">
        <f>B4*(G13/100)*X53</f>
        <v>609203.10000000009</v>
      </c>
      <c r="G19" s="71" t="s">
        <v>189</v>
      </c>
      <c r="H19" s="71"/>
    </row>
    <row r="20" spans="1:24" x14ac:dyDescent="0.2">
      <c r="A20" s="2" t="s">
        <v>199</v>
      </c>
      <c r="B20" s="15">
        <f>+B19*G119</f>
        <v>3772.9565217391305</v>
      </c>
      <c r="F20" s="73">
        <f>B4*(G14/100)*O52</f>
        <v>284460</v>
      </c>
      <c r="G20" s="71" t="s">
        <v>190</v>
      </c>
      <c r="H20" s="71"/>
    </row>
    <row r="21" spans="1:24" x14ac:dyDescent="0.2">
      <c r="B21" s="15"/>
      <c r="F21" s="73">
        <f>B4*G15/100*G51</f>
        <v>353100</v>
      </c>
      <c r="G21" s="71" t="s">
        <v>191</v>
      </c>
      <c r="H21" s="71"/>
    </row>
    <row r="22" spans="1:24" ht="16" x14ac:dyDescent="0.2">
      <c r="A22" s="16" t="s">
        <v>9</v>
      </c>
      <c r="B22" s="91">
        <f>+B18+B20+B11+B12+B15+B13+B14+B8</f>
        <v>269755.70538768114</v>
      </c>
      <c r="C22" s="17" t="s">
        <v>197</v>
      </c>
      <c r="D22" s="17"/>
      <c r="F22" s="74">
        <f>SUM(F19:F21)</f>
        <v>1246763.1000000001</v>
      </c>
      <c r="G22" s="72" t="s">
        <v>194</v>
      </c>
      <c r="H22" s="71"/>
    </row>
    <row r="23" spans="1:24" x14ac:dyDescent="0.2">
      <c r="F23" s="71"/>
      <c r="G23" s="71"/>
      <c r="H23" s="71"/>
    </row>
    <row r="26" spans="1:24" x14ac:dyDescent="0.2">
      <c r="A26" t="s">
        <v>10</v>
      </c>
    </row>
    <row r="27" spans="1:24" x14ac:dyDescent="0.2">
      <c r="A27" s="2" t="s">
        <v>6</v>
      </c>
      <c r="E27" s="40"/>
    </row>
    <row r="28" spans="1:24" x14ac:dyDescent="0.2">
      <c r="A28" s="4" t="s">
        <v>11</v>
      </c>
    </row>
    <row r="29" spans="1:24" ht="16" x14ac:dyDescent="0.2">
      <c r="A29" s="88" t="s">
        <v>167</v>
      </c>
      <c r="B29" s="64" t="s">
        <v>107</v>
      </c>
      <c r="C29" s="64">
        <v>0</v>
      </c>
      <c r="G29" s="43"/>
      <c r="H29" s="43"/>
      <c r="I29" s="86" t="s">
        <v>168</v>
      </c>
      <c r="J29" s="64" t="s">
        <v>172</v>
      </c>
      <c r="K29" s="64">
        <v>1</v>
      </c>
      <c r="R29" s="76" t="s">
        <v>169</v>
      </c>
      <c r="S29" s="64" t="s">
        <v>172</v>
      </c>
      <c r="T29" s="64">
        <v>1</v>
      </c>
    </row>
    <row r="30" spans="1:24" ht="29.5" customHeight="1" x14ac:dyDescent="0.2">
      <c r="A30" s="1" t="s">
        <v>12</v>
      </c>
      <c r="B30" s="81" t="s">
        <v>158</v>
      </c>
      <c r="C30" s="82" t="s">
        <v>13</v>
      </c>
      <c r="D30" s="82" t="s">
        <v>14</v>
      </c>
      <c r="E30" s="81" t="s">
        <v>159</v>
      </c>
      <c r="F30" s="82" t="s">
        <v>160</v>
      </c>
      <c r="G30" s="81" t="s">
        <v>161</v>
      </c>
      <c r="H30" s="44"/>
      <c r="I30" s="1" t="s">
        <v>12</v>
      </c>
      <c r="J30" s="81" t="s">
        <v>158</v>
      </c>
      <c r="K30" s="82" t="s">
        <v>13</v>
      </c>
      <c r="L30" s="82" t="s">
        <v>14</v>
      </c>
      <c r="M30" s="81" t="s">
        <v>159</v>
      </c>
      <c r="N30" s="82" t="s">
        <v>160</v>
      </c>
      <c r="O30" s="81" t="s">
        <v>161</v>
      </c>
      <c r="R30" s="1" t="s">
        <v>12</v>
      </c>
      <c r="S30" s="81" t="s">
        <v>158</v>
      </c>
      <c r="T30" s="82" t="s">
        <v>13</v>
      </c>
      <c r="U30" s="82" t="s">
        <v>14</v>
      </c>
      <c r="V30" s="81" t="s">
        <v>159</v>
      </c>
      <c r="W30" s="82" t="s">
        <v>160</v>
      </c>
      <c r="X30" s="81" t="s">
        <v>193</v>
      </c>
    </row>
    <row r="31" spans="1:24" x14ac:dyDescent="0.2">
      <c r="A31" s="3" t="s">
        <v>145</v>
      </c>
      <c r="B31" s="3">
        <v>100</v>
      </c>
      <c r="C31" s="83">
        <v>50</v>
      </c>
      <c r="D31" s="83">
        <v>1</v>
      </c>
      <c r="E31" s="6">
        <f>C31*F31/B31</f>
        <v>20000</v>
      </c>
      <c r="F31" s="85">
        <v>40000</v>
      </c>
      <c r="G31" s="52">
        <f>E31</f>
        <v>20000</v>
      </c>
      <c r="H31" s="44"/>
      <c r="I31" s="3" t="s">
        <v>145</v>
      </c>
      <c r="J31" s="3">
        <v>100</v>
      </c>
      <c r="K31" s="83">
        <v>0</v>
      </c>
      <c r="L31" s="83">
        <v>1</v>
      </c>
      <c r="M31" s="6">
        <f t="shared" ref="M31:M51" si="0">K31*N31/J31</f>
        <v>0</v>
      </c>
      <c r="N31" s="85">
        <v>40000</v>
      </c>
      <c r="O31" s="52"/>
      <c r="R31" s="3" t="s">
        <v>163</v>
      </c>
      <c r="S31" s="3">
        <v>500</v>
      </c>
      <c r="T31" s="83">
        <v>600</v>
      </c>
      <c r="U31" s="83">
        <v>1</v>
      </c>
      <c r="V31" s="6">
        <f>T31*W31/S31</f>
        <v>48000</v>
      </c>
      <c r="W31" s="85">
        <v>40000</v>
      </c>
      <c r="X31" s="52">
        <f>(W31/S31)*T31</f>
        <v>48000</v>
      </c>
    </row>
    <row r="32" spans="1:24" x14ac:dyDescent="0.2">
      <c r="A32" s="3" t="s">
        <v>146</v>
      </c>
      <c r="B32" s="3">
        <v>250</v>
      </c>
      <c r="C32" s="83">
        <v>0</v>
      </c>
      <c r="D32" s="83">
        <v>0</v>
      </c>
      <c r="E32" s="6">
        <f t="shared" ref="E32:E34" si="1">C32*F32/B32</f>
        <v>0</v>
      </c>
      <c r="F32" s="85">
        <v>50000</v>
      </c>
      <c r="G32" s="52">
        <f t="shared" ref="G32:G46" si="2">D32*F32</f>
        <v>0</v>
      </c>
      <c r="H32" s="44"/>
      <c r="I32" s="3" t="s">
        <v>146</v>
      </c>
      <c r="J32" s="3">
        <v>250</v>
      </c>
      <c r="K32" s="83">
        <v>0</v>
      </c>
      <c r="L32" s="83">
        <v>0</v>
      </c>
      <c r="M32" s="6">
        <f t="shared" si="0"/>
        <v>0</v>
      </c>
      <c r="N32" s="85">
        <v>50000</v>
      </c>
      <c r="O32" s="52">
        <f t="shared" ref="O32:O51" si="3">L32*N32</f>
        <v>0</v>
      </c>
      <c r="R32" s="3" t="s">
        <v>164</v>
      </c>
      <c r="S32" s="3">
        <v>500</v>
      </c>
      <c r="T32" s="83">
        <v>0</v>
      </c>
      <c r="U32" s="83">
        <v>0</v>
      </c>
      <c r="V32" s="6">
        <f t="shared" ref="V32:V42" si="4">T32*W32/S32</f>
        <v>0</v>
      </c>
      <c r="W32" s="85">
        <v>61000</v>
      </c>
      <c r="X32" s="52">
        <f t="shared" ref="X32:X52" si="5">(W32/S32)*T32</f>
        <v>0</v>
      </c>
    </row>
    <row r="33" spans="1:24" x14ac:dyDescent="0.2">
      <c r="A33" s="3" t="s">
        <v>157</v>
      </c>
      <c r="B33" s="3">
        <v>500</v>
      </c>
      <c r="C33" s="83">
        <v>100</v>
      </c>
      <c r="D33" s="83">
        <v>0</v>
      </c>
      <c r="E33" s="6">
        <f t="shared" si="1"/>
        <v>20000</v>
      </c>
      <c r="F33" s="85">
        <v>100000</v>
      </c>
      <c r="G33" s="52">
        <f>D33*F33</f>
        <v>0</v>
      </c>
      <c r="H33" s="44"/>
      <c r="I33" s="3" t="s">
        <v>157</v>
      </c>
      <c r="J33" s="3">
        <v>500</v>
      </c>
      <c r="K33" s="83">
        <v>0</v>
      </c>
      <c r="L33" s="83">
        <v>0</v>
      </c>
      <c r="M33" s="6">
        <f t="shared" si="0"/>
        <v>0</v>
      </c>
      <c r="N33" s="85">
        <v>100000</v>
      </c>
      <c r="O33" s="52">
        <f>M33</f>
        <v>0</v>
      </c>
      <c r="R33" s="3" t="s">
        <v>165</v>
      </c>
      <c r="S33" s="3">
        <v>500</v>
      </c>
      <c r="T33" s="83">
        <v>0</v>
      </c>
      <c r="U33" s="83">
        <v>0</v>
      </c>
      <c r="V33" s="6">
        <f t="shared" si="4"/>
        <v>0</v>
      </c>
      <c r="W33" s="85">
        <v>66000</v>
      </c>
      <c r="X33" s="52">
        <f t="shared" si="5"/>
        <v>0</v>
      </c>
    </row>
    <row r="34" spans="1:24" x14ac:dyDescent="0.2">
      <c r="A34" s="3" t="s">
        <v>147</v>
      </c>
      <c r="B34" s="3">
        <v>1000</v>
      </c>
      <c r="C34" s="83">
        <v>0</v>
      </c>
      <c r="D34" s="83">
        <v>0</v>
      </c>
      <c r="E34" s="6">
        <f t="shared" si="1"/>
        <v>0</v>
      </c>
      <c r="F34" s="85">
        <v>20546.599999999999</v>
      </c>
      <c r="G34" s="52">
        <f t="shared" si="2"/>
        <v>0</v>
      </c>
      <c r="H34" s="44"/>
      <c r="I34" s="3" t="s">
        <v>147</v>
      </c>
      <c r="J34" s="3">
        <v>1000</v>
      </c>
      <c r="K34" s="83">
        <v>0</v>
      </c>
      <c r="L34" s="83">
        <v>0</v>
      </c>
      <c r="M34" s="6">
        <f t="shared" si="0"/>
        <v>0</v>
      </c>
      <c r="N34" s="85">
        <v>20546.599999999999</v>
      </c>
      <c r="O34" s="52">
        <f t="shared" si="3"/>
        <v>0</v>
      </c>
      <c r="R34" s="3" t="s">
        <v>166</v>
      </c>
      <c r="S34" s="3">
        <v>1000</v>
      </c>
      <c r="T34" s="83">
        <v>0</v>
      </c>
      <c r="U34" s="83">
        <v>0</v>
      </c>
      <c r="V34" s="6">
        <f t="shared" si="4"/>
        <v>0</v>
      </c>
      <c r="W34" s="85">
        <v>135000</v>
      </c>
      <c r="X34" s="52">
        <f t="shared" si="5"/>
        <v>0</v>
      </c>
    </row>
    <row r="35" spans="1:24" x14ac:dyDescent="0.2">
      <c r="A35" s="24" t="s">
        <v>150</v>
      </c>
      <c r="B35" s="3">
        <v>10</v>
      </c>
      <c r="C35" s="83">
        <v>0</v>
      </c>
      <c r="D35" s="83">
        <v>1</v>
      </c>
      <c r="E35" s="6">
        <f>C35*F35/B35</f>
        <v>0</v>
      </c>
      <c r="F35" s="85">
        <v>1500</v>
      </c>
      <c r="G35" s="52">
        <f t="shared" si="2"/>
        <v>1500</v>
      </c>
      <c r="H35" s="44"/>
      <c r="I35" s="24" t="s">
        <v>150</v>
      </c>
      <c r="J35" s="3">
        <v>10</v>
      </c>
      <c r="K35" s="83">
        <v>0</v>
      </c>
      <c r="L35" s="83">
        <v>1</v>
      </c>
      <c r="M35" s="6">
        <f t="shared" si="0"/>
        <v>0</v>
      </c>
      <c r="N35" s="85">
        <v>1500</v>
      </c>
      <c r="O35" s="52">
        <f t="shared" si="3"/>
        <v>1500</v>
      </c>
      <c r="R35" s="24" t="s">
        <v>150</v>
      </c>
      <c r="S35" s="3">
        <v>10</v>
      </c>
      <c r="T35" s="83">
        <v>30</v>
      </c>
      <c r="U35" s="83">
        <v>1</v>
      </c>
      <c r="V35" s="6">
        <f t="shared" si="4"/>
        <v>4500</v>
      </c>
      <c r="W35" s="85">
        <v>1500</v>
      </c>
      <c r="X35" s="52">
        <f t="shared" si="5"/>
        <v>4500</v>
      </c>
    </row>
    <row r="36" spans="1:24" x14ac:dyDescent="0.2">
      <c r="A36" s="3" t="s">
        <v>21</v>
      </c>
      <c r="B36" s="3">
        <v>10</v>
      </c>
      <c r="C36" s="83">
        <v>0</v>
      </c>
      <c r="D36" s="83">
        <v>1</v>
      </c>
      <c r="E36" s="6">
        <f>C36*F36/B36</f>
        <v>0</v>
      </c>
      <c r="F36" s="85">
        <v>5700</v>
      </c>
      <c r="G36" s="52">
        <f t="shared" si="2"/>
        <v>5700</v>
      </c>
      <c r="H36" s="44"/>
      <c r="I36" s="3" t="s">
        <v>21</v>
      </c>
      <c r="J36" s="3">
        <v>10</v>
      </c>
      <c r="K36" s="83">
        <v>0</v>
      </c>
      <c r="L36" s="83">
        <v>1</v>
      </c>
      <c r="M36" s="6">
        <f t="shared" si="0"/>
        <v>0</v>
      </c>
      <c r="N36" s="85">
        <v>5700</v>
      </c>
      <c r="O36" s="52">
        <f t="shared" si="3"/>
        <v>5700</v>
      </c>
      <c r="R36" s="3" t="s">
        <v>21</v>
      </c>
      <c r="S36" s="3">
        <v>10</v>
      </c>
      <c r="T36" s="83">
        <v>10</v>
      </c>
      <c r="U36" s="83">
        <v>1</v>
      </c>
      <c r="V36" s="6">
        <f t="shared" si="4"/>
        <v>5700</v>
      </c>
      <c r="W36" s="85">
        <v>5700</v>
      </c>
      <c r="X36" s="52">
        <f t="shared" si="5"/>
        <v>5700</v>
      </c>
    </row>
    <row r="37" spans="1:24" x14ac:dyDescent="0.2">
      <c r="A37" s="24" t="s">
        <v>149</v>
      </c>
      <c r="B37" s="3">
        <v>10</v>
      </c>
      <c r="C37" s="83">
        <v>0</v>
      </c>
      <c r="D37" s="83">
        <v>1</v>
      </c>
      <c r="E37" s="6">
        <f>C37*F37/B37</f>
        <v>0</v>
      </c>
      <c r="F37" s="85">
        <v>1500</v>
      </c>
      <c r="G37" s="52">
        <f t="shared" si="2"/>
        <v>1500</v>
      </c>
      <c r="H37" s="44"/>
      <c r="I37" s="24" t="s">
        <v>149</v>
      </c>
      <c r="J37" s="3">
        <v>10</v>
      </c>
      <c r="K37" s="83">
        <v>0</v>
      </c>
      <c r="L37" s="83">
        <v>1</v>
      </c>
      <c r="M37" s="6">
        <f t="shared" si="0"/>
        <v>0</v>
      </c>
      <c r="N37" s="85">
        <v>1500</v>
      </c>
      <c r="O37" s="52">
        <f t="shared" si="3"/>
        <v>1500</v>
      </c>
      <c r="R37" s="3" t="s">
        <v>148</v>
      </c>
      <c r="S37" s="3">
        <v>20</v>
      </c>
      <c r="T37" s="83">
        <v>0</v>
      </c>
      <c r="U37" s="83">
        <v>1</v>
      </c>
      <c r="V37" s="6">
        <f t="shared" si="4"/>
        <v>0</v>
      </c>
      <c r="W37" s="85">
        <v>20000</v>
      </c>
      <c r="X37" s="52">
        <f t="shared" si="5"/>
        <v>0</v>
      </c>
    </row>
    <row r="38" spans="1:24" x14ac:dyDescent="0.2">
      <c r="A38" s="3" t="s">
        <v>24</v>
      </c>
      <c r="B38" s="3">
        <v>10</v>
      </c>
      <c r="C38" s="83">
        <v>0</v>
      </c>
      <c r="D38" s="83">
        <v>1</v>
      </c>
      <c r="E38" s="6">
        <f>C38*F38/B38</f>
        <v>0</v>
      </c>
      <c r="F38" s="85">
        <v>1500</v>
      </c>
      <c r="G38" s="52">
        <f t="shared" si="2"/>
        <v>1500</v>
      </c>
      <c r="H38" s="44"/>
      <c r="I38" s="3" t="s">
        <v>24</v>
      </c>
      <c r="J38" s="3">
        <v>10</v>
      </c>
      <c r="K38" s="83">
        <v>0</v>
      </c>
      <c r="L38" s="83">
        <v>1</v>
      </c>
      <c r="M38" s="6">
        <f t="shared" si="0"/>
        <v>0</v>
      </c>
      <c r="N38" s="85">
        <v>1500</v>
      </c>
      <c r="O38" s="52">
        <f t="shared" si="3"/>
        <v>1500</v>
      </c>
      <c r="R38" s="24" t="s">
        <v>149</v>
      </c>
      <c r="S38" s="3">
        <v>10</v>
      </c>
      <c r="T38" s="83">
        <v>30</v>
      </c>
      <c r="U38" s="83"/>
      <c r="V38" s="6">
        <f t="shared" si="4"/>
        <v>4500</v>
      </c>
      <c r="W38" s="85">
        <v>1500</v>
      </c>
      <c r="X38" s="52">
        <f t="shared" si="5"/>
        <v>4500</v>
      </c>
    </row>
    <row r="39" spans="1:24" x14ac:dyDescent="0.2">
      <c r="A39" s="3" t="s">
        <v>25</v>
      </c>
      <c r="B39" s="3">
        <v>10</v>
      </c>
      <c r="C39" s="83">
        <v>0</v>
      </c>
      <c r="D39" s="83">
        <v>0</v>
      </c>
      <c r="E39" s="6">
        <f>C39*F39/B39</f>
        <v>0</v>
      </c>
      <c r="F39" s="85">
        <v>1800</v>
      </c>
      <c r="G39" s="52">
        <v>1800</v>
      </c>
      <c r="H39" s="44"/>
      <c r="I39" s="3" t="s">
        <v>25</v>
      </c>
      <c r="J39" s="3">
        <v>10</v>
      </c>
      <c r="K39" s="83">
        <v>0</v>
      </c>
      <c r="L39" s="83">
        <v>0</v>
      </c>
      <c r="M39" s="6">
        <f t="shared" si="0"/>
        <v>0</v>
      </c>
      <c r="N39" s="85">
        <v>1800</v>
      </c>
      <c r="O39" s="52">
        <f t="shared" si="3"/>
        <v>0</v>
      </c>
      <c r="R39" s="3" t="s">
        <v>24</v>
      </c>
      <c r="S39" s="3">
        <v>10</v>
      </c>
      <c r="T39" s="83">
        <v>12</v>
      </c>
      <c r="U39" s="83">
        <v>1</v>
      </c>
      <c r="V39" s="6">
        <f t="shared" si="4"/>
        <v>1800</v>
      </c>
      <c r="W39" s="85">
        <v>1500</v>
      </c>
      <c r="X39" s="52">
        <f t="shared" si="5"/>
        <v>1800</v>
      </c>
    </row>
    <row r="40" spans="1:24" x14ac:dyDescent="0.2">
      <c r="A40" s="3" t="s">
        <v>30</v>
      </c>
      <c r="B40" s="3">
        <v>100</v>
      </c>
      <c r="C40" s="83">
        <v>0</v>
      </c>
      <c r="D40" s="83">
        <v>1</v>
      </c>
      <c r="E40" s="6">
        <f t="shared" ref="E40" si="6">C40*F40/B40</f>
        <v>0</v>
      </c>
      <c r="F40" s="85">
        <v>80000</v>
      </c>
      <c r="G40" s="6">
        <f>E40</f>
        <v>0</v>
      </c>
      <c r="H40" s="44"/>
      <c r="I40" s="3" t="s">
        <v>30</v>
      </c>
      <c r="J40" s="3">
        <v>100</v>
      </c>
      <c r="K40" s="83">
        <v>0</v>
      </c>
      <c r="L40" s="83"/>
      <c r="M40" s="6">
        <f t="shared" si="0"/>
        <v>0</v>
      </c>
      <c r="N40" s="85">
        <v>80000</v>
      </c>
      <c r="O40" s="52">
        <f>M40</f>
        <v>0</v>
      </c>
      <c r="R40" s="3" t="s">
        <v>25</v>
      </c>
      <c r="S40" s="3">
        <v>10</v>
      </c>
      <c r="T40" s="83">
        <v>20</v>
      </c>
      <c r="U40" s="83">
        <v>0</v>
      </c>
      <c r="V40" s="6">
        <f t="shared" si="4"/>
        <v>3600</v>
      </c>
      <c r="W40" s="85">
        <v>1800</v>
      </c>
      <c r="X40" s="52">
        <f t="shared" si="5"/>
        <v>3600</v>
      </c>
    </row>
    <row r="41" spans="1:24" x14ac:dyDescent="0.2">
      <c r="A41" s="3" t="s">
        <v>20</v>
      </c>
      <c r="B41" s="3">
        <v>500</v>
      </c>
      <c r="C41" s="83">
        <v>0</v>
      </c>
      <c r="D41" s="83">
        <v>0</v>
      </c>
      <c r="E41" s="6">
        <f>C41*F41/B41</f>
        <v>0</v>
      </c>
      <c r="F41" s="85">
        <v>10814</v>
      </c>
      <c r="G41" s="52">
        <f t="shared" si="2"/>
        <v>0</v>
      </c>
      <c r="H41" s="44"/>
      <c r="I41" s="3" t="s">
        <v>20</v>
      </c>
      <c r="J41" s="3">
        <v>500</v>
      </c>
      <c r="K41" s="83">
        <v>0</v>
      </c>
      <c r="L41" s="83"/>
      <c r="M41" s="6">
        <f t="shared" si="0"/>
        <v>0</v>
      </c>
      <c r="N41" s="85">
        <v>10814</v>
      </c>
      <c r="O41" s="52">
        <f t="shared" si="3"/>
        <v>0</v>
      </c>
      <c r="R41" s="3" t="s">
        <v>174</v>
      </c>
      <c r="S41" s="3">
        <v>500</v>
      </c>
      <c r="T41" s="83">
        <v>200</v>
      </c>
      <c r="U41" s="83"/>
      <c r="V41" s="6">
        <f t="shared" si="4"/>
        <v>32000</v>
      </c>
      <c r="W41" s="85">
        <v>80000</v>
      </c>
      <c r="X41" s="52">
        <f t="shared" si="5"/>
        <v>32000</v>
      </c>
    </row>
    <row r="42" spans="1:24" x14ac:dyDescent="0.2">
      <c r="A42" s="3" t="s">
        <v>151</v>
      </c>
      <c r="B42" s="3">
        <v>1</v>
      </c>
      <c r="C42" s="83">
        <v>0</v>
      </c>
      <c r="D42" s="83">
        <v>0</v>
      </c>
      <c r="E42" s="6">
        <f>C42*F42/B42</f>
        <v>0</v>
      </c>
      <c r="F42" s="85">
        <v>13000</v>
      </c>
      <c r="G42" s="42">
        <v>13000</v>
      </c>
      <c r="H42" s="44"/>
      <c r="I42" s="3" t="s">
        <v>151</v>
      </c>
      <c r="J42" s="3">
        <v>1</v>
      </c>
      <c r="K42" s="83">
        <v>0</v>
      </c>
      <c r="L42" s="83">
        <v>1</v>
      </c>
      <c r="M42" s="6">
        <f t="shared" si="0"/>
        <v>0</v>
      </c>
      <c r="N42" s="85">
        <v>13000</v>
      </c>
      <c r="O42" s="52">
        <f t="shared" si="3"/>
        <v>13000</v>
      </c>
      <c r="R42" s="3" t="s">
        <v>20</v>
      </c>
      <c r="S42" s="3">
        <v>500</v>
      </c>
      <c r="T42" s="83">
        <v>250</v>
      </c>
      <c r="U42" s="83"/>
      <c r="V42" s="6">
        <f t="shared" si="4"/>
        <v>5407</v>
      </c>
      <c r="W42" s="85">
        <v>10814</v>
      </c>
      <c r="X42" s="52">
        <f t="shared" si="5"/>
        <v>5407</v>
      </c>
    </row>
    <row r="43" spans="1:24" x14ac:dyDescent="0.2">
      <c r="A43" s="3" t="s">
        <v>152</v>
      </c>
      <c r="B43" s="3">
        <v>1</v>
      </c>
      <c r="C43" s="83">
        <v>0</v>
      </c>
      <c r="D43" s="83"/>
      <c r="E43" s="6">
        <f t="shared" ref="E43:E49" si="7">C43*F43/B43</f>
        <v>0</v>
      </c>
      <c r="F43" s="85">
        <v>23000</v>
      </c>
      <c r="G43" s="42">
        <v>23000</v>
      </c>
      <c r="H43" s="44"/>
      <c r="I43" s="3" t="s">
        <v>162</v>
      </c>
      <c r="J43" s="3">
        <v>1</v>
      </c>
      <c r="K43" s="83">
        <v>0</v>
      </c>
      <c r="L43" s="83">
        <v>1</v>
      </c>
      <c r="M43" s="6">
        <f t="shared" si="0"/>
        <v>0</v>
      </c>
      <c r="N43" s="85">
        <v>13000</v>
      </c>
      <c r="O43" s="52"/>
      <c r="R43" s="3" t="s">
        <v>162</v>
      </c>
      <c r="S43" s="3">
        <v>1</v>
      </c>
      <c r="T43" s="83">
        <v>1</v>
      </c>
      <c r="U43" s="83">
        <v>1</v>
      </c>
      <c r="V43" s="6"/>
      <c r="W43" s="85">
        <v>13000</v>
      </c>
      <c r="X43" s="52">
        <f t="shared" si="5"/>
        <v>13000</v>
      </c>
    </row>
    <row r="44" spans="1:24" x14ac:dyDescent="0.2">
      <c r="A44" s="3" t="s">
        <v>153</v>
      </c>
      <c r="B44" s="3">
        <v>1</v>
      </c>
      <c r="C44" s="83">
        <v>0</v>
      </c>
      <c r="D44" s="83"/>
      <c r="E44" s="6">
        <f t="shared" si="7"/>
        <v>0</v>
      </c>
      <c r="F44" s="85">
        <v>25000</v>
      </c>
      <c r="G44" s="52">
        <f t="shared" si="2"/>
        <v>0</v>
      </c>
      <c r="H44" s="44"/>
      <c r="I44" s="3" t="s">
        <v>152</v>
      </c>
      <c r="J44" s="3">
        <v>1</v>
      </c>
      <c r="K44" s="83">
        <v>0</v>
      </c>
      <c r="L44" s="83"/>
      <c r="M44" s="6">
        <f t="shared" si="0"/>
        <v>0</v>
      </c>
      <c r="N44" s="85">
        <v>23000</v>
      </c>
      <c r="O44" s="52">
        <v>23000</v>
      </c>
      <c r="R44" s="3" t="s">
        <v>152</v>
      </c>
      <c r="S44" s="3">
        <v>1</v>
      </c>
      <c r="T44" s="83">
        <v>1</v>
      </c>
      <c r="U44" s="83"/>
      <c r="V44" s="6"/>
      <c r="W44" s="85">
        <v>23000</v>
      </c>
      <c r="X44" s="52">
        <f t="shared" si="5"/>
        <v>23000</v>
      </c>
    </row>
    <row r="45" spans="1:24" x14ac:dyDescent="0.2">
      <c r="A45" s="3" t="s">
        <v>154</v>
      </c>
      <c r="B45" s="3">
        <v>5</v>
      </c>
      <c r="C45" s="83">
        <v>0</v>
      </c>
      <c r="D45" s="83"/>
      <c r="E45" s="6">
        <f t="shared" si="7"/>
        <v>0</v>
      </c>
      <c r="F45" s="85">
        <v>2000</v>
      </c>
      <c r="G45" s="52">
        <f t="shared" si="2"/>
        <v>0</v>
      </c>
      <c r="H45" s="44"/>
      <c r="I45" s="3" t="s">
        <v>153</v>
      </c>
      <c r="J45" s="3">
        <v>1</v>
      </c>
      <c r="K45" s="83">
        <v>0</v>
      </c>
      <c r="L45" s="83"/>
      <c r="M45" s="6">
        <f t="shared" si="0"/>
        <v>0</v>
      </c>
      <c r="N45" s="85">
        <v>25000</v>
      </c>
      <c r="O45" s="52">
        <f t="shared" si="3"/>
        <v>0</v>
      </c>
      <c r="R45" s="3" t="s">
        <v>153</v>
      </c>
      <c r="S45" s="3">
        <v>1</v>
      </c>
      <c r="T45" s="83">
        <v>0</v>
      </c>
      <c r="U45" s="83"/>
      <c r="V45" s="6"/>
      <c r="W45" s="85">
        <v>25000</v>
      </c>
      <c r="X45" s="52">
        <f>(W45/S45)*T45</f>
        <v>0</v>
      </c>
    </row>
    <row r="46" spans="1:24" x14ac:dyDescent="0.2">
      <c r="A46" s="24" t="s">
        <v>155</v>
      </c>
      <c r="B46" s="3">
        <v>10</v>
      </c>
      <c r="C46" s="83">
        <v>0</v>
      </c>
      <c r="D46" s="83"/>
      <c r="E46" s="6">
        <f t="shared" si="7"/>
        <v>0</v>
      </c>
      <c r="F46" s="85">
        <v>3000</v>
      </c>
      <c r="G46" s="52">
        <f t="shared" si="2"/>
        <v>0</v>
      </c>
      <c r="H46" s="44"/>
      <c r="I46" s="3" t="s">
        <v>154</v>
      </c>
      <c r="J46" s="3">
        <v>5</v>
      </c>
      <c r="K46" s="83">
        <v>0</v>
      </c>
      <c r="L46" s="83"/>
      <c r="M46" s="6">
        <f t="shared" si="0"/>
        <v>0</v>
      </c>
      <c r="N46" s="85">
        <v>2000</v>
      </c>
      <c r="O46" s="52">
        <f t="shared" si="3"/>
        <v>0</v>
      </c>
      <c r="R46" s="3" t="s">
        <v>154</v>
      </c>
      <c r="S46" s="3">
        <v>5</v>
      </c>
      <c r="T46" s="83">
        <v>1</v>
      </c>
      <c r="U46" s="83"/>
      <c r="V46" s="6"/>
      <c r="W46" s="85">
        <v>2000</v>
      </c>
      <c r="X46" s="52">
        <f t="shared" si="5"/>
        <v>400</v>
      </c>
    </row>
    <row r="47" spans="1:24" x14ac:dyDescent="0.2">
      <c r="A47" s="24" t="s">
        <v>180</v>
      </c>
      <c r="B47" s="3">
        <v>10</v>
      </c>
      <c r="C47" s="83">
        <v>0</v>
      </c>
      <c r="D47" s="83"/>
      <c r="E47" s="6">
        <f t="shared" si="7"/>
        <v>0</v>
      </c>
      <c r="F47" s="85">
        <v>15000</v>
      </c>
      <c r="G47" s="6">
        <v>15000</v>
      </c>
      <c r="H47" s="44"/>
      <c r="I47" s="24" t="s">
        <v>155</v>
      </c>
      <c r="J47" s="3">
        <v>10</v>
      </c>
      <c r="K47" s="83">
        <v>0</v>
      </c>
      <c r="L47" s="83"/>
      <c r="M47" s="6">
        <f t="shared" si="0"/>
        <v>0</v>
      </c>
      <c r="N47" s="85">
        <v>3000</v>
      </c>
      <c r="O47" s="52">
        <f t="shared" si="3"/>
        <v>0</v>
      </c>
      <c r="R47" s="3" t="s">
        <v>173</v>
      </c>
      <c r="S47" s="3">
        <v>5</v>
      </c>
      <c r="T47" s="83">
        <v>1</v>
      </c>
      <c r="U47" s="83"/>
      <c r="V47" s="6"/>
      <c r="W47" s="85">
        <v>3000</v>
      </c>
      <c r="X47" s="52">
        <f t="shared" si="5"/>
        <v>600</v>
      </c>
    </row>
    <row r="48" spans="1:24" x14ac:dyDescent="0.2">
      <c r="A48" s="24" t="s">
        <v>181</v>
      </c>
      <c r="B48" s="3">
        <v>500</v>
      </c>
      <c r="C48" s="83">
        <v>0</v>
      </c>
      <c r="D48" s="84"/>
      <c r="E48" s="6">
        <f t="shared" si="7"/>
        <v>0</v>
      </c>
      <c r="F48" s="85">
        <v>4000</v>
      </c>
      <c r="G48" s="6">
        <v>4000</v>
      </c>
      <c r="H48" s="44"/>
      <c r="I48" s="24" t="s">
        <v>180</v>
      </c>
      <c r="J48" s="3">
        <v>10</v>
      </c>
      <c r="K48" s="83">
        <v>0</v>
      </c>
      <c r="L48" s="83">
        <v>1</v>
      </c>
      <c r="M48" s="6">
        <f t="shared" si="0"/>
        <v>0</v>
      </c>
      <c r="N48" s="85">
        <v>15000</v>
      </c>
      <c r="O48" s="52">
        <f t="shared" si="3"/>
        <v>15000</v>
      </c>
      <c r="R48" s="24" t="s">
        <v>155</v>
      </c>
      <c r="S48" s="3">
        <v>10</v>
      </c>
      <c r="T48" s="83">
        <v>1</v>
      </c>
      <c r="U48" s="83"/>
      <c r="V48" s="6"/>
      <c r="W48" s="85">
        <v>3000</v>
      </c>
      <c r="X48" s="52">
        <f t="shared" si="5"/>
        <v>300</v>
      </c>
    </row>
    <row r="49" spans="1:24" x14ac:dyDescent="0.2">
      <c r="A49" s="24" t="s">
        <v>179</v>
      </c>
      <c r="B49" s="3">
        <v>1</v>
      </c>
      <c r="C49" s="83">
        <v>0</v>
      </c>
      <c r="D49" s="84"/>
      <c r="E49" s="6">
        <f t="shared" si="7"/>
        <v>0</v>
      </c>
      <c r="F49" s="85">
        <v>31000</v>
      </c>
      <c r="G49" s="6"/>
      <c r="H49" s="44"/>
      <c r="I49" s="24" t="s">
        <v>179</v>
      </c>
      <c r="J49" s="3">
        <v>1</v>
      </c>
      <c r="K49" s="83">
        <v>0</v>
      </c>
      <c r="L49" s="83"/>
      <c r="M49" s="6">
        <f t="shared" si="0"/>
        <v>0</v>
      </c>
      <c r="N49" s="85">
        <v>21000</v>
      </c>
      <c r="O49" s="52">
        <f>N49</f>
        <v>21000</v>
      </c>
      <c r="R49" s="24" t="s">
        <v>200</v>
      </c>
      <c r="S49" s="3">
        <v>1</v>
      </c>
      <c r="T49" s="83">
        <v>1</v>
      </c>
      <c r="U49" s="83">
        <v>1</v>
      </c>
      <c r="V49" s="6"/>
      <c r="W49" s="85">
        <v>39000</v>
      </c>
      <c r="X49" s="52">
        <f t="shared" si="5"/>
        <v>39000</v>
      </c>
    </row>
    <row r="50" spans="1:24" x14ac:dyDescent="0.2">
      <c r="A50" s="24" t="s">
        <v>178</v>
      </c>
      <c r="B50" s="3">
        <v>1</v>
      </c>
      <c r="C50" s="83">
        <v>0</v>
      </c>
      <c r="D50" s="84"/>
      <c r="E50" s="6">
        <f>C50*F50/B50</f>
        <v>0</v>
      </c>
      <c r="F50" s="85">
        <v>20000</v>
      </c>
      <c r="G50" s="6">
        <f>F50</f>
        <v>20000</v>
      </c>
      <c r="H50" s="44"/>
      <c r="I50" s="24" t="s">
        <v>178</v>
      </c>
      <c r="J50" s="3">
        <v>1</v>
      </c>
      <c r="K50" s="83">
        <v>0</v>
      </c>
      <c r="L50" s="83"/>
      <c r="M50" s="6">
        <f t="shared" si="0"/>
        <v>0</v>
      </c>
      <c r="N50" s="85">
        <v>20000</v>
      </c>
      <c r="O50" s="52"/>
      <c r="R50" s="22" t="s">
        <v>178</v>
      </c>
      <c r="S50" s="3">
        <v>1</v>
      </c>
      <c r="T50" s="83">
        <v>0</v>
      </c>
      <c r="U50" s="83"/>
      <c r="V50" s="6"/>
      <c r="W50" s="85">
        <v>30000</v>
      </c>
      <c r="X50" s="52">
        <f t="shared" si="5"/>
        <v>0</v>
      </c>
    </row>
    <row r="51" spans="1:24" x14ac:dyDescent="0.2">
      <c r="A51" s="3" t="s">
        <v>31</v>
      </c>
      <c r="B51" s="3"/>
      <c r="C51" s="84"/>
      <c r="D51" s="84"/>
      <c r="E51" s="54">
        <f>SUM(E31:E50)</f>
        <v>40000</v>
      </c>
      <c r="F51" s="85"/>
      <c r="G51" s="53">
        <f>SUM(G31:G50)</f>
        <v>107000</v>
      </c>
      <c r="H51" s="44"/>
      <c r="I51" s="24" t="s">
        <v>156</v>
      </c>
      <c r="J51" s="3">
        <v>500</v>
      </c>
      <c r="K51" s="83">
        <v>0</v>
      </c>
      <c r="L51" s="83">
        <v>1</v>
      </c>
      <c r="M51" s="6">
        <f t="shared" si="0"/>
        <v>0</v>
      </c>
      <c r="N51" s="85">
        <v>4000</v>
      </c>
      <c r="O51" s="52">
        <f t="shared" si="3"/>
        <v>4000</v>
      </c>
      <c r="R51" s="24" t="s">
        <v>184</v>
      </c>
      <c r="S51" s="3">
        <v>10</v>
      </c>
      <c r="T51" s="83">
        <v>1</v>
      </c>
      <c r="U51" s="83">
        <v>1</v>
      </c>
      <c r="V51" s="6"/>
      <c r="W51" s="85">
        <v>20000</v>
      </c>
      <c r="X51" s="52">
        <f t="shared" si="5"/>
        <v>2000</v>
      </c>
    </row>
    <row r="52" spans="1:24" ht="16" thickBot="1" x14ac:dyDescent="0.25">
      <c r="A52" s="62"/>
      <c r="B52" s="62"/>
      <c r="C52" s="62"/>
      <c r="D52" s="62"/>
      <c r="E52" s="62"/>
      <c r="F52" s="33"/>
      <c r="G52" s="63"/>
      <c r="H52" s="45"/>
      <c r="I52" s="3" t="s">
        <v>31</v>
      </c>
      <c r="J52" s="3"/>
      <c r="K52" s="84"/>
      <c r="L52" s="84"/>
      <c r="M52" s="54">
        <f>SUM(M31:M51)</f>
        <v>0</v>
      </c>
      <c r="N52" s="84"/>
      <c r="O52" s="53">
        <f>SUM(O31:O51)</f>
        <v>86200</v>
      </c>
      <c r="R52" s="24" t="s">
        <v>181</v>
      </c>
      <c r="S52" s="3">
        <v>500</v>
      </c>
      <c r="T52" s="83">
        <v>100</v>
      </c>
      <c r="U52" s="84">
        <v>1</v>
      </c>
      <c r="V52" s="6">
        <f>T52*W52/S52</f>
        <v>800</v>
      </c>
      <c r="W52" s="85">
        <v>4000</v>
      </c>
      <c r="X52" s="52">
        <f t="shared" si="5"/>
        <v>800</v>
      </c>
    </row>
    <row r="53" spans="1:24" x14ac:dyDescent="0.2">
      <c r="F53" s="7"/>
      <c r="G53" s="44"/>
      <c r="H53" s="45"/>
      <c r="R53" s="3" t="s">
        <v>31</v>
      </c>
      <c r="S53" s="3"/>
      <c r="T53" s="3"/>
      <c r="U53" s="3"/>
      <c r="V53" s="54">
        <f>SUM(V31:V52)</f>
        <v>106307</v>
      </c>
      <c r="W53" s="12"/>
      <c r="X53" s="53">
        <f>SUM(X31:X52)</f>
        <v>184607</v>
      </c>
    </row>
    <row r="54" spans="1:24" ht="16" customHeight="1" x14ac:dyDescent="0.2">
      <c r="A54" s="4" t="s">
        <v>32</v>
      </c>
      <c r="F54" s="7"/>
      <c r="G54" s="44"/>
      <c r="H54" s="45"/>
    </row>
    <row r="55" spans="1:24" x14ac:dyDescent="0.2">
      <c r="F55" s="7"/>
      <c r="G55" s="44"/>
      <c r="H55" s="45"/>
    </row>
    <row r="56" spans="1:24" ht="29" customHeight="1" x14ac:dyDescent="0.2">
      <c r="A56" s="1" t="s">
        <v>12</v>
      </c>
      <c r="B56" s="82" t="s">
        <v>14</v>
      </c>
      <c r="C56" s="82" t="s">
        <v>33</v>
      </c>
      <c r="D56" s="1" t="s">
        <v>34</v>
      </c>
      <c r="F56" s="7"/>
      <c r="G56" s="44"/>
      <c r="H56" s="45"/>
    </row>
    <row r="57" spans="1:24" x14ac:dyDescent="0.2">
      <c r="A57" s="115" t="s">
        <v>35</v>
      </c>
      <c r="B57" s="116">
        <v>4</v>
      </c>
      <c r="C57" s="117">
        <v>1000</v>
      </c>
      <c r="D57" s="117">
        <f>C57*B57</f>
        <v>4000</v>
      </c>
      <c r="F57" s="7"/>
      <c r="G57" s="44"/>
      <c r="H57" s="44"/>
    </row>
    <row r="58" spans="1:24" x14ac:dyDescent="0.2">
      <c r="A58" s="115" t="s">
        <v>36</v>
      </c>
      <c r="B58" s="116">
        <v>2</v>
      </c>
      <c r="C58" s="117">
        <v>4000</v>
      </c>
      <c r="D58" s="117">
        <f t="shared" ref="D58:D61" si="8">C58*B58</f>
        <v>8000</v>
      </c>
      <c r="F58" s="7"/>
      <c r="H58" s="44"/>
    </row>
    <row r="59" spans="1:24" x14ac:dyDescent="0.2">
      <c r="A59" s="115" t="s">
        <v>37</v>
      </c>
      <c r="B59" s="116">
        <v>2</v>
      </c>
      <c r="C59" s="117">
        <v>300</v>
      </c>
      <c r="D59" s="117">
        <f t="shared" si="8"/>
        <v>600</v>
      </c>
      <c r="F59" s="7"/>
    </row>
    <row r="60" spans="1:24" x14ac:dyDescent="0.2">
      <c r="A60" s="115" t="s">
        <v>38</v>
      </c>
      <c r="B60" s="116">
        <v>2</v>
      </c>
      <c r="C60" s="117">
        <v>100</v>
      </c>
      <c r="D60" s="117">
        <f t="shared" si="8"/>
        <v>200</v>
      </c>
      <c r="F60" s="7"/>
    </row>
    <row r="61" spans="1:24" x14ac:dyDescent="0.2">
      <c r="A61" s="115" t="s">
        <v>39</v>
      </c>
      <c r="B61" s="116">
        <v>2</v>
      </c>
      <c r="C61" s="117">
        <v>300</v>
      </c>
      <c r="D61" s="117">
        <f t="shared" si="8"/>
        <v>600</v>
      </c>
      <c r="F61" s="7"/>
    </row>
    <row r="62" spans="1:24" x14ac:dyDescent="0.2">
      <c r="F62" s="7"/>
    </row>
    <row r="63" spans="1:24" ht="16" thickBot="1" x14ac:dyDescent="0.25">
      <c r="A63" s="8" t="s">
        <v>31</v>
      </c>
      <c r="B63" s="9"/>
      <c r="C63" s="8"/>
      <c r="D63" s="9">
        <f>SUM(D57:D62)</f>
        <v>13400</v>
      </c>
      <c r="F63" s="7"/>
    </row>
    <row r="64" spans="1:24" x14ac:dyDescent="0.2">
      <c r="F64" s="7"/>
    </row>
    <row r="65" spans="1:11" x14ac:dyDescent="0.2">
      <c r="A65" s="122" t="s">
        <v>40</v>
      </c>
      <c r="F65" s="7"/>
    </row>
    <row r="66" spans="1:11" x14ac:dyDescent="0.2">
      <c r="F66" s="7"/>
    </row>
    <row r="67" spans="1:11" ht="23.5" customHeight="1" x14ac:dyDescent="0.2">
      <c r="A67" s="1" t="s">
        <v>12</v>
      </c>
      <c r="B67" s="87" t="s">
        <v>14</v>
      </c>
      <c r="C67" s="87" t="s">
        <v>33</v>
      </c>
      <c r="D67" s="1" t="s">
        <v>34</v>
      </c>
      <c r="F67" s="7"/>
    </row>
    <row r="68" spans="1:11" x14ac:dyDescent="0.2">
      <c r="A68" s="115" t="s">
        <v>41</v>
      </c>
      <c r="B68" s="127">
        <v>0.08</v>
      </c>
      <c r="C68" s="117">
        <v>9000</v>
      </c>
      <c r="D68" s="115">
        <f>C68*B68</f>
        <v>720</v>
      </c>
      <c r="F68" s="7"/>
    </row>
    <row r="69" spans="1:11" x14ac:dyDescent="0.2">
      <c r="A69" s="115" t="s">
        <v>196</v>
      </c>
      <c r="B69" s="127">
        <v>0.1</v>
      </c>
      <c r="C69" s="117">
        <v>1000</v>
      </c>
      <c r="D69" s="115">
        <f t="shared" ref="D69:D72" si="9">C69*B69</f>
        <v>100</v>
      </c>
      <c r="F69" s="7"/>
    </row>
    <row r="70" spans="1:11" x14ac:dyDescent="0.2">
      <c r="A70" s="115" t="s">
        <v>43</v>
      </c>
      <c r="B70" s="127">
        <v>0.15</v>
      </c>
      <c r="C70" s="117">
        <v>1200</v>
      </c>
      <c r="D70" s="115">
        <f t="shared" si="9"/>
        <v>180</v>
      </c>
      <c r="F70" s="7"/>
    </row>
    <row r="71" spans="1:11" x14ac:dyDescent="0.2">
      <c r="A71" s="115" t="s">
        <v>210</v>
      </c>
      <c r="B71" s="128">
        <f>1/200</f>
        <v>5.0000000000000001E-3</v>
      </c>
      <c r="C71" s="117">
        <v>70479</v>
      </c>
      <c r="D71" s="115">
        <f t="shared" si="9"/>
        <v>352.39499999999998</v>
      </c>
      <c r="F71" s="7"/>
    </row>
    <row r="72" spans="1:11" x14ac:dyDescent="0.2">
      <c r="A72" s="115" t="s">
        <v>211</v>
      </c>
      <c r="B72" s="128">
        <f>1/200</f>
        <v>5.0000000000000001E-3</v>
      </c>
      <c r="C72" s="117">
        <v>55000</v>
      </c>
      <c r="D72" s="115">
        <f t="shared" si="9"/>
        <v>275</v>
      </c>
      <c r="F72" s="7"/>
    </row>
    <row r="73" spans="1:11" x14ac:dyDescent="0.2">
      <c r="B73" s="23"/>
      <c r="F73" s="7"/>
    </row>
    <row r="74" spans="1:11" ht="16" thickBot="1" x14ac:dyDescent="0.25">
      <c r="A74" s="8" t="s">
        <v>31</v>
      </c>
      <c r="B74" s="9"/>
      <c r="C74" s="8"/>
      <c r="D74" s="9">
        <f>SUM(D68:D73)</f>
        <v>1627.395</v>
      </c>
      <c r="F74" s="7"/>
    </row>
    <row r="75" spans="1:11" x14ac:dyDescent="0.2">
      <c r="B75" s="7"/>
      <c r="D75" s="7"/>
      <c r="F75" s="7"/>
    </row>
    <row r="76" spans="1:11" x14ac:dyDescent="0.2">
      <c r="A76" s="122" t="s">
        <v>46</v>
      </c>
      <c r="B76" s="23"/>
      <c r="F76" s="7"/>
    </row>
    <row r="77" spans="1:11" x14ac:dyDescent="0.2">
      <c r="A77" s="4"/>
      <c r="B77" s="23"/>
      <c r="F77" s="26"/>
      <c r="G77" s="27"/>
    </row>
    <row r="78" spans="1:11" ht="23" customHeight="1" x14ac:dyDescent="0.2">
      <c r="A78" s="1" t="s">
        <v>12</v>
      </c>
      <c r="B78" s="87" t="s">
        <v>14</v>
      </c>
      <c r="C78" s="87" t="s">
        <v>33</v>
      </c>
      <c r="D78" s="1" t="s">
        <v>34</v>
      </c>
      <c r="F78" s="7"/>
      <c r="H78" s="27"/>
      <c r="I78" s="27"/>
      <c r="J78" s="28"/>
      <c r="K78" s="28"/>
    </row>
    <row r="79" spans="1:11" x14ac:dyDescent="0.2">
      <c r="A79" s="115" t="s">
        <v>110</v>
      </c>
      <c r="B79" s="116">
        <v>1</v>
      </c>
      <c r="C79" s="117">
        <v>400</v>
      </c>
      <c r="D79" s="117">
        <f>B79*C79</f>
        <v>400</v>
      </c>
      <c r="F79" s="7"/>
      <c r="H79" s="29"/>
      <c r="I79" s="30"/>
      <c r="J79" s="31"/>
      <c r="K79" s="31"/>
    </row>
    <row r="80" spans="1:11" x14ac:dyDescent="0.2">
      <c r="A80" s="115" t="s">
        <v>47</v>
      </c>
      <c r="B80" s="116">
        <v>1</v>
      </c>
      <c r="C80" s="117">
        <v>400</v>
      </c>
      <c r="D80" s="117">
        <f t="shared" ref="D80:D93" si="10">B80*C80</f>
        <v>400</v>
      </c>
      <c r="F80" s="7"/>
      <c r="I80" s="30"/>
      <c r="J80" s="31"/>
      <c r="K80" s="31"/>
    </row>
    <row r="81" spans="1:11" x14ac:dyDescent="0.2">
      <c r="A81" s="115" t="s">
        <v>48</v>
      </c>
      <c r="B81" s="116">
        <v>2</v>
      </c>
      <c r="C81" s="117">
        <v>400</v>
      </c>
      <c r="D81" s="117">
        <f t="shared" si="10"/>
        <v>800</v>
      </c>
      <c r="F81" s="7"/>
      <c r="I81" s="30"/>
      <c r="J81" s="31"/>
      <c r="K81" s="31"/>
    </row>
    <row r="82" spans="1:11" x14ac:dyDescent="0.2">
      <c r="A82" s="115" t="s">
        <v>49</v>
      </c>
      <c r="B82" s="116">
        <v>3</v>
      </c>
      <c r="C82" s="117">
        <v>500</v>
      </c>
      <c r="D82" s="117">
        <f t="shared" si="10"/>
        <v>1500</v>
      </c>
      <c r="F82" s="7"/>
      <c r="I82" s="30"/>
      <c r="J82" s="31"/>
      <c r="K82" s="31"/>
    </row>
    <row r="83" spans="1:11" x14ac:dyDescent="0.2">
      <c r="A83" s="115" t="s">
        <v>111</v>
      </c>
      <c r="B83" s="116">
        <v>3</v>
      </c>
      <c r="C83" s="117">
        <v>2000</v>
      </c>
      <c r="D83" s="117">
        <f t="shared" si="10"/>
        <v>6000</v>
      </c>
      <c r="F83" s="7"/>
      <c r="I83" s="30"/>
      <c r="J83" s="31"/>
      <c r="K83" s="31"/>
    </row>
    <row r="84" spans="1:11" x14ac:dyDescent="0.2">
      <c r="A84" s="115" t="s">
        <v>112</v>
      </c>
      <c r="B84" s="116">
        <v>4</v>
      </c>
      <c r="C84" s="117">
        <v>2500</v>
      </c>
      <c r="D84" s="117">
        <f t="shared" si="10"/>
        <v>10000</v>
      </c>
      <c r="F84" s="7"/>
      <c r="I84" s="30"/>
      <c r="J84" s="31"/>
      <c r="K84" s="31"/>
    </row>
    <row r="85" spans="1:11" x14ac:dyDescent="0.2">
      <c r="A85" s="115" t="s">
        <v>113</v>
      </c>
      <c r="B85" s="116">
        <v>1</v>
      </c>
      <c r="C85" s="117">
        <v>2000</v>
      </c>
      <c r="D85" s="117">
        <f t="shared" si="10"/>
        <v>2000</v>
      </c>
      <c r="F85" s="7"/>
      <c r="I85" s="30"/>
      <c r="J85" s="31"/>
      <c r="K85" s="31"/>
    </row>
    <row r="86" spans="1:11" x14ac:dyDescent="0.2">
      <c r="A86" s="115" t="s">
        <v>114</v>
      </c>
      <c r="B86" s="116">
        <v>3</v>
      </c>
      <c r="C86" s="117">
        <v>200</v>
      </c>
      <c r="D86" s="117">
        <f t="shared" si="10"/>
        <v>600</v>
      </c>
      <c r="F86" s="7"/>
      <c r="I86" s="30"/>
      <c r="J86" s="31"/>
      <c r="K86" s="31"/>
    </row>
    <row r="87" spans="1:11" x14ac:dyDescent="0.2">
      <c r="A87" s="115" t="s">
        <v>50</v>
      </c>
      <c r="B87" s="116">
        <v>1</v>
      </c>
      <c r="C87" s="117">
        <v>5000</v>
      </c>
      <c r="D87" s="117">
        <f t="shared" si="10"/>
        <v>5000</v>
      </c>
      <c r="F87" s="7"/>
      <c r="I87" s="30"/>
      <c r="J87" s="31"/>
      <c r="K87" s="31"/>
    </row>
    <row r="88" spans="1:11" x14ac:dyDescent="0.2">
      <c r="A88" s="115" t="s">
        <v>51</v>
      </c>
      <c r="B88" s="116">
        <v>1</v>
      </c>
      <c r="C88" s="117">
        <v>1000</v>
      </c>
      <c r="D88" s="117">
        <f t="shared" si="10"/>
        <v>1000</v>
      </c>
      <c r="F88" s="7"/>
      <c r="I88" s="30"/>
      <c r="J88" s="31"/>
      <c r="K88" s="31"/>
    </row>
    <row r="89" spans="1:11" x14ac:dyDescent="0.2">
      <c r="A89" s="115" t="s">
        <v>52</v>
      </c>
      <c r="B89" s="116">
        <v>0.05</v>
      </c>
      <c r="C89" s="117">
        <v>8000</v>
      </c>
      <c r="D89" s="117">
        <f t="shared" si="10"/>
        <v>400</v>
      </c>
      <c r="F89" s="7"/>
      <c r="I89" s="30"/>
      <c r="J89" s="31"/>
      <c r="K89" s="31"/>
    </row>
    <row r="90" spans="1:11" x14ac:dyDescent="0.2">
      <c r="A90" s="115" t="s">
        <v>115</v>
      </c>
      <c r="B90" s="116">
        <v>10</v>
      </c>
      <c r="C90" s="117">
        <v>400</v>
      </c>
      <c r="D90" s="117">
        <f t="shared" si="10"/>
        <v>4000</v>
      </c>
      <c r="F90" s="7"/>
      <c r="I90" s="30"/>
      <c r="J90" s="31"/>
      <c r="K90" s="31"/>
    </row>
    <row r="91" spans="1:11" x14ac:dyDescent="0.2">
      <c r="A91" s="115" t="s">
        <v>54</v>
      </c>
      <c r="B91" s="116">
        <v>0.1</v>
      </c>
      <c r="C91" s="117">
        <v>500</v>
      </c>
      <c r="D91" s="117">
        <f t="shared" si="10"/>
        <v>50</v>
      </c>
      <c r="F91" s="7"/>
      <c r="I91" s="30"/>
      <c r="J91" s="31"/>
      <c r="K91" s="31"/>
    </row>
    <row r="92" spans="1:11" x14ac:dyDescent="0.2">
      <c r="A92" s="115" t="s">
        <v>55</v>
      </c>
      <c r="B92" s="116">
        <v>0.5</v>
      </c>
      <c r="C92" s="117">
        <v>500</v>
      </c>
      <c r="D92" s="117">
        <f t="shared" si="10"/>
        <v>250</v>
      </c>
      <c r="F92" s="7"/>
      <c r="I92" s="30"/>
      <c r="J92" s="31"/>
      <c r="K92" s="31"/>
    </row>
    <row r="93" spans="1:11" ht="19" x14ac:dyDescent="0.25">
      <c r="A93" s="115" t="s">
        <v>56</v>
      </c>
      <c r="B93" s="116">
        <f>1/60</f>
        <v>1.6666666666666666E-2</v>
      </c>
      <c r="C93" s="117">
        <v>1500</v>
      </c>
      <c r="D93" s="117">
        <f t="shared" si="10"/>
        <v>25</v>
      </c>
      <c r="F93" s="41"/>
      <c r="I93" s="32"/>
    </row>
    <row r="94" spans="1:11" x14ac:dyDescent="0.2">
      <c r="D94" s="7"/>
      <c r="F94" s="7"/>
    </row>
    <row r="95" spans="1:11" ht="16" thickBot="1" x14ac:dyDescent="0.25">
      <c r="A95" s="8" t="s">
        <v>31</v>
      </c>
      <c r="B95" s="9"/>
      <c r="C95" s="8"/>
      <c r="D95" s="9">
        <f>SUM(D79:D94)</f>
        <v>32425</v>
      </c>
    </row>
    <row r="96" spans="1:11" x14ac:dyDescent="0.2">
      <c r="B96" s="7"/>
      <c r="D96" s="7"/>
    </row>
    <row r="97" spans="1:20" x14ac:dyDescent="0.2">
      <c r="B97" s="7"/>
      <c r="D97" s="7"/>
    </row>
    <row r="98" spans="1:20" x14ac:dyDescent="0.2">
      <c r="A98" s="4" t="s">
        <v>57</v>
      </c>
    </row>
    <row r="99" spans="1:20" x14ac:dyDescent="0.2">
      <c r="A99" s="14" t="s">
        <v>58</v>
      </c>
      <c r="B99" s="14">
        <v>230</v>
      </c>
      <c r="E99" s="14" t="s">
        <v>58</v>
      </c>
      <c r="F99" s="14">
        <v>230</v>
      </c>
      <c r="J99" s="46"/>
    </row>
    <row r="100" spans="1:20" x14ac:dyDescent="0.2">
      <c r="A100" s="20" t="s">
        <v>59</v>
      </c>
      <c r="B100" s="14">
        <v>1</v>
      </c>
      <c r="E100" s="14" t="s">
        <v>59</v>
      </c>
      <c r="F100" s="14">
        <v>1</v>
      </c>
      <c r="R100" s="44"/>
      <c r="S100" s="44"/>
      <c r="T100" s="44"/>
    </row>
    <row r="101" spans="1:20" x14ac:dyDescent="0.2">
      <c r="A101" s="1" t="s">
        <v>60</v>
      </c>
      <c r="B101" s="1" t="s">
        <v>61</v>
      </c>
      <c r="C101" s="1" t="s">
        <v>62</v>
      </c>
      <c r="D101" s="19"/>
      <c r="E101" s="1" t="s">
        <v>63</v>
      </c>
      <c r="F101" s="1" t="s">
        <v>61</v>
      </c>
      <c r="G101" s="1" t="s">
        <v>62</v>
      </c>
      <c r="R101" s="44"/>
      <c r="S101" s="44"/>
      <c r="T101" s="44"/>
    </row>
    <row r="102" spans="1:20" x14ac:dyDescent="0.2">
      <c r="A102" s="115" t="s">
        <v>64</v>
      </c>
      <c r="B102" s="118">
        <v>3800000</v>
      </c>
      <c r="C102" s="115"/>
      <c r="E102" s="115" t="s">
        <v>64</v>
      </c>
      <c r="F102" s="118">
        <v>1500000</v>
      </c>
      <c r="G102" s="115"/>
      <c r="I102" s="19"/>
      <c r="J102" s="19"/>
      <c r="K102" s="19"/>
      <c r="M102" s="19"/>
      <c r="N102" s="19"/>
      <c r="O102" s="19"/>
      <c r="R102" s="48"/>
      <c r="S102" s="48"/>
      <c r="T102" s="48"/>
    </row>
    <row r="103" spans="1:20" x14ac:dyDescent="0.2">
      <c r="A103" s="115" t="s">
        <v>65</v>
      </c>
      <c r="B103" s="115"/>
      <c r="C103" s="115"/>
      <c r="E103" s="115" t="s">
        <v>65</v>
      </c>
      <c r="F103" s="115"/>
      <c r="G103" s="115"/>
      <c r="J103" s="15"/>
      <c r="N103" s="15"/>
      <c r="R103" s="44"/>
      <c r="S103" s="49"/>
      <c r="T103" s="44"/>
    </row>
    <row r="104" spans="1:20" x14ac:dyDescent="0.2">
      <c r="A104" s="121" t="s">
        <v>64</v>
      </c>
      <c r="B104" s="115"/>
      <c r="C104" s="115"/>
      <c r="E104" s="121" t="s">
        <v>64</v>
      </c>
      <c r="F104" s="115"/>
      <c r="G104" s="115"/>
      <c r="R104" s="44"/>
      <c r="S104" s="44"/>
      <c r="T104" s="44"/>
    </row>
    <row r="105" spans="1:20" x14ac:dyDescent="0.2">
      <c r="A105" s="115" t="s">
        <v>66</v>
      </c>
      <c r="B105" s="115"/>
      <c r="C105" s="115"/>
      <c r="E105" s="115" t="s">
        <v>66</v>
      </c>
      <c r="F105" s="115"/>
      <c r="G105" s="115"/>
      <c r="R105" s="44"/>
      <c r="S105" s="44"/>
      <c r="T105" s="44"/>
    </row>
    <row r="106" spans="1:20" x14ac:dyDescent="0.2">
      <c r="A106" s="123" t="s">
        <v>67</v>
      </c>
      <c r="B106" s="124">
        <v>0.08</v>
      </c>
      <c r="C106" s="125">
        <f t="shared" ref="C106:C115" si="11">+$B$102*B106</f>
        <v>304000</v>
      </c>
      <c r="E106" s="115" t="s">
        <v>67</v>
      </c>
      <c r="F106" s="119">
        <v>0.08</v>
      </c>
      <c r="G106" s="118">
        <f t="shared" ref="G106:G115" si="12">+$F$102*F106</f>
        <v>120000</v>
      </c>
      <c r="R106" s="44"/>
      <c r="S106" s="44"/>
      <c r="T106" s="44"/>
    </row>
    <row r="107" spans="1:20" x14ac:dyDescent="0.2">
      <c r="A107" s="123" t="s">
        <v>68</v>
      </c>
      <c r="B107" s="124">
        <v>0.08</v>
      </c>
      <c r="C107" s="125">
        <f t="shared" si="11"/>
        <v>304000</v>
      </c>
      <c r="E107" s="115" t="s">
        <v>68</v>
      </c>
      <c r="F107" s="119">
        <v>0.08</v>
      </c>
      <c r="G107" s="118">
        <f t="shared" si="12"/>
        <v>120000</v>
      </c>
      <c r="J107" s="47"/>
      <c r="K107" s="15"/>
      <c r="N107" s="47"/>
      <c r="O107" s="15"/>
      <c r="R107" s="44"/>
      <c r="S107" s="50"/>
      <c r="T107" s="49"/>
    </row>
    <row r="108" spans="1:20" x14ac:dyDescent="0.2">
      <c r="A108" s="123" t="s">
        <v>69</v>
      </c>
      <c r="B108" s="124">
        <v>0.04</v>
      </c>
      <c r="C108" s="125">
        <f t="shared" si="11"/>
        <v>152000</v>
      </c>
      <c r="E108" s="115" t="s">
        <v>69</v>
      </c>
      <c r="F108" s="119">
        <v>0.04</v>
      </c>
      <c r="G108" s="118">
        <f t="shared" si="12"/>
        <v>60000</v>
      </c>
      <c r="J108" s="47"/>
      <c r="K108" s="15"/>
      <c r="N108" s="47"/>
      <c r="O108" s="15"/>
      <c r="R108" s="44"/>
      <c r="S108" s="50"/>
      <c r="T108" s="49"/>
    </row>
    <row r="109" spans="1:20" x14ac:dyDescent="0.2">
      <c r="A109" s="123" t="s">
        <v>70</v>
      </c>
      <c r="B109" s="124">
        <v>0.01</v>
      </c>
      <c r="C109" s="125">
        <f t="shared" si="11"/>
        <v>38000</v>
      </c>
      <c r="E109" s="115" t="s">
        <v>70</v>
      </c>
      <c r="F109" s="119">
        <v>0.01</v>
      </c>
      <c r="G109" s="118">
        <f t="shared" si="12"/>
        <v>15000</v>
      </c>
      <c r="J109" s="47"/>
      <c r="K109" s="15"/>
      <c r="N109" s="47"/>
      <c r="O109" s="15"/>
      <c r="R109" s="44"/>
      <c r="S109" s="50"/>
      <c r="T109" s="49"/>
    </row>
    <row r="110" spans="1:20" x14ac:dyDescent="0.2">
      <c r="A110" s="123" t="s">
        <v>71</v>
      </c>
      <c r="B110" s="124">
        <v>8.5000000000000006E-2</v>
      </c>
      <c r="C110" s="125">
        <f t="shared" si="11"/>
        <v>323000</v>
      </c>
      <c r="E110" s="115" t="s">
        <v>71</v>
      </c>
      <c r="F110" s="119">
        <v>8.5000000000000006E-2</v>
      </c>
      <c r="G110" s="118">
        <f t="shared" si="12"/>
        <v>127500.00000000001</v>
      </c>
      <c r="J110" s="47"/>
      <c r="K110" s="15"/>
      <c r="N110" s="47"/>
      <c r="O110" s="15"/>
      <c r="R110" s="44"/>
      <c r="S110" s="50"/>
      <c r="T110" s="49"/>
    </row>
    <row r="111" spans="1:20" x14ac:dyDescent="0.2">
      <c r="A111" s="123" t="s">
        <v>72</v>
      </c>
      <c r="B111" s="124">
        <v>0.12</v>
      </c>
      <c r="C111" s="125">
        <f t="shared" si="11"/>
        <v>456000</v>
      </c>
      <c r="E111" s="115" t="s">
        <v>72</v>
      </c>
      <c r="F111" s="119">
        <v>0.12</v>
      </c>
      <c r="G111" s="118">
        <f t="shared" si="12"/>
        <v>180000</v>
      </c>
      <c r="J111" s="47"/>
      <c r="K111" s="15"/>
      <c r="N111" s="47"/>
      <c r="O111" s="15"/>
      <c r="R111" s="44"/>
      <c r="S111" s="50"/>
      <c r="T111" s="49"/>
    </row>
    <row r="112" spans="1:20" x14ac:dyDescent="0.2">
      <c r="A112" s="123" t="s">
        <v>73</v>
      </c>
      <c r="B112" s="124">
        <v>0.02</v>
      </c>
      <c r="C112" s="125">
        <f t="shared" si="11"/>
        <v>76000</v>
      </c>
      <c r="E112" s="115" t="s">
        <v>73</v>
      </c>
      <c r="F112" s="119">
        <v>2.4E-2</v>
      </c>
      <c r="G112" s="118">
        <f t="shared" si="12"/>
        <v>36000</v>
      </c>
      <c r="J112" s="47"/>
      <c r="K112" s="15"/>
      <c r="N112" s="47"/>
      <c r="O112" s="15"/>
      <c r="R112" s="44"/>
      <c r="S112" s="50"/>
      <c r="T112" s="49"/>
    </row>
    <row r="113" spans="1:20" x14ac:dyDescent="0.2">
      <c r="A113" s="123" t="s">
        <v>74</v>
      </c>
      <c r="B113" s="124">
        <v>0.04</v>
      </c>
      <c r="C113" s="125">
        <f t="shared" si="11"/>
        <v>152000</v>
      </c>
      <c r="E113" s="115" t="s">
        <v>74</v>
      </c>
      <c r="F113" s="119">
        <v>0.04</v>
      </c>
      <c r="G113" s="118">
        <f t="shared" si="12"/>
        <v>60000</v>
      </c>
      <c r="J113" s="47"/>
      <c r="K113" s="15"/>
      <c r="N113" s="47"/>
      <c r="O113" s="15"/>
      <c r="R113" s="44"/>
      <c r="S113" s="50"/>
      <c r="T113" s="49"/>
    </row>
    <row r="114" spans="1:20" x14ac:dyDescent="0.2">
      <c r="A114" s="123" t="s">
        <v>75</v>
      </c>
      <c r="B114" s="124">
        <v>0.02</v>
      </c>
      <c r="C114" s="125">
        <f t="shared" si="11"/>
        <v>76000</v>
      </c>
      <c r="E114" s="115" t="s">
        <v>75</v>
      </c>
      <c r="F114" s="119">
        <v>0.02</v>
      </c>
      <c r="G114" s="118">
        <f t="shared" si="12"/>
        <v>30000</v>
      </c>
      <c r="J114" s="47"/>
      <c r="K114" s="15"/>
      <c r="N114" s="47"/>
      <c r="O114" s="15"/>
      <c r="R114" s="44"/>
      <c r="S114" s="50"/>
      <c r="T114" s="49"/>
    </row>
    <row r="115" spans="1:20" x14ac:dyDescent="0.2">
      <c r="A115" s="123" t="s">
        <v>76</v>
      </c>
      <c r="B115" s="124">
        <v>0.03</v>
      </c>
      <c r="C115" s="125">
        <f t="shared" si="11"/>
        <v>114000</v>
      </c>
      <c r="E115" s="115" t="s">
        <v>76</v>
      </c>
      <c r="F115" s="119">
        <v>0.03</v>
      </c>
      <c r="G115" s="118">
        <f t="shared" si="12"/>
        <v>45000</v>
      </c>
      <c r="J115" s="47"/>
      <c r="K115" s="15"/>
      <c r="N115" s="47"/>
      <c r="O115" s="15"/>
      <c r="R115" s="44"/>
      <c r="S115" s="50"/>
      <c r="T115" s="49"/>
    </row>
    <row r="116" spans="1:20" x14ac:dyDescent="0.2">
      <c r="A116" s="115" t="s">
        <v>77</v>
      </c>
      <c r="B116" s="115"/>
      <c r="C116" s="118">
        <f>SUM(C106:C115)</f>
        <v>1995000</v>
      </c>
      <c r="E116" s="120" t="s">
        <v>78</v>
      </c>
      <c r="F116" s="115"/>
      <c r="G116" s="118">
        <v>117000</v>
      </c>
      <c r="J116" s="47"/>
      <c r="K116" s="15"/>
      <c r="N116" s="47"/>
      <c r="O116" s="15"/>
      <c r="R116" s="44"/>
      <c r="S116" s="50"/>
      <c r="T116" s="49"/>
    </row>
    <row r="117" spans="1:20" x14ac:dyDescent="0.2">
      <c r="A117" s="115" t="s">
        <v>79</v>
      </c>
      <c r="B117" s="115"/>
      <c r="C117" s="118">
        <f>+C116+B102</f>
        <v>5795000</v>
      </c>
      <c r="E117" s="115" t="s">
        <v>80</v>
      </c>
      <c r="F117" s="115"/>
      <c r="G117" s="118">
        <f>SUM(G106:G116)</f>
        <v>910500</v>
      </c>
      <c r="K117" s="15"/>
      <c r="O117" s="15"/>
      <c r="R117" s="44"/>
      <c r="S117" s="44"/>
      <c r="T117" s="49"/>
    </row>
    <row r="118" spans="1:20" x14ac:dyDescent="0.2">
      <c r="A118" s="3"/>
      <c r="B118" s="3"/>
      <c r="C118" s="3"/>
      <c r="E118" s="120" t="s">
        <v>81</v>
      </c>
      <c r="F118" s="115"/>
      <c r="G118" s="118">
        <f>+G117+F102</f>
        <v>2410500</v>
      </c>
      <c r="K118" s="15"/>
      <c r="O118" s="15"/>
      <c r="R118" s="44"/>
      <c r="S118" s="44"/>
      <c r="T118" s="49"/>
    </row>
    <row r="119" spans="1:20" x14ac:dyDescent="0.2">
      <c r="A119" s="12" t="s">
        <v>82</v>
      </c>
      <c r="B119" s="3"/>
      <c r="C119" s="10">
        <f>+C117/B99</f>
        <v>25195.652173913044</v>
      </c>
      <c r="E119" s="115" t="s">
        <v>83</v>
      </c>
      <c r="F119" s="115"/>
      <c r="G119" s="118">
        <f>+G118/B99</f>
        <v>10480.434782608696</v>
      </c>
      <c r="R119" s="44"/>
      <c r="S119" s="44"/>
      <c r="T119" s="44"/>
    </row>
    <row r="120" spans="1:20" x14ac:dyDescent="0.2">
      <c r="A120" s="2"/>
      <c r="C120" s="15"/>
      <c r="G120" s="15"/>
      <c r="I120" s="2"/>
      <c r="K120" s="15"/>
      <c r="M120" s="2"/>
      <c r="O120" s="15"/>
      <c r="R120" s="51"/>
      <c r="S120" s="44"/>
      <c r="T120" s="49"/>
    </row>
    <row r="121" spans="1:20" x14ac:dyDescent="0.2">
      <c r="A121" s="2"/>
      <c r="C121" s="15"/>
      <c r="G121" s="15"/>
      <c r="I121" s="2"/>
      <c r="K121" s="15"/>
      <c r="M121" s="2"/>
      <c r="O121" s="15"/>
      <c r="R121" s="51"/>
      <c r="S121" s="44"/>
      <c r="T121" s="49"/>
    </row>
    <row r="122" spans="1:20" x14ac:dyDescent="0.2">
      <c r="I122" s="2"/>
      <c r="K122" s="15"/>
      <c r="M122" s="2"/>
      <c r="O122" s="15"/>
      <c r="R122" s="51"/>
      <c r="S122" s="44"/>
      <c r="T122" s="49"/>
    </row>
    <row r="123" spans="1:20" x14ac:dyDescent="0.2">
      <c r="A123" s="4" t="s">
        <v>84</v>
      </c>
    </row>
    <row r="124" spans="1:20" x14ac:dyDescent="0.2">
      <c r="A124" s="14"/>
      <c r="B124" s="14"/>
    </row>
    <row r="125" spans="1:20" x14ac:dyDescent="0.2">
      <c r="A125" s="12" t="s">
        <v>85</v>
      </c>
      <c r="B125" s="12" t="s">
        <v>86</v>
      </c>
      <c r="C125" s="12" t="s">
        <v>87</v>
      </c>
    </row>
    <row r="126" spans="1:20" x14ac:dyDescent="0.2">
      <c r="A126" s="115" t="s">
        <v>88</v>
      </c>
      <c r="B126" s="118">
        <v>2388262</v>
      </c>
      <c r="C126" s="118">
        <f>B126/$E$4/B$3</f>
        <v>1990.2183333333332</v>
      </c>
      <c r="D126" s="129" t="s">
        <v>224</v>
      </c>
      <c r="E126" s="130"/>
      <c r="F126" s="130"/>
      <c r="G126" s="130"/>
    </row>
    <row r="127" spans="1:20" x14ac:dyDescent="0.2">
      <c r="A127" s="115" t="s">
        <v>89</v>
      </c>
      <c r="B127" s="118">
        <v>6775276.5</v>
      </c>
      <c r="C127" s="118">
        <f t="shared" ref="C127:C130" si="13">B127/$E$4/B$3</f>
        <v>5646.0637500000003</v>
      </c>
    </row>
    <row r="128" spans="1:20" x14ac:dyDescent="0.2">
      <c r="A128" s="115" t="s">
        <v>90</v>
      </c>
      <c r="B128" s="118">
        <v>4783964.3999999994</v>
      </c>
      <c r="C128" s="118">
        <f t="shared" si="13"/>
        <v>3986.6369999999997</v>
      </c>
    </row>
    <row r="129" spans="1:9" x14ac:dyDescent="0.2">
      <c r="A129" s="115" t="s">
        <v>91</v>
      </c>
      <c r="B129" s="118">
        <v>6688000</v>
      </c>
      <c r="C129" s="118">
        <f t="shared" si="13"/>
        <v>5573.333333333333</v>
      </c>
    </row>
    <row r="130" spans="1:9" x14ac:dyDescent="0.2">
      <c r="A130" s="115" t="s">
        <v>92</v>
      </c>
      <c r="B130" s="118">
        <v>63000</v>
      </c>
      <c r="C130" s="118">
        <f t="shared" si="13"/>
        <v>52.5</v>
      </c>
    </row>
    <row r="131" spans="1:9" ht="16" thickBot="1" x14ac:dyDescent="0.25">
      <c r="A131" s="8" t="s">
        <v>31</v>
      </c>
      <c r="B131" s="8"/>
      <c r="C131" s="21">
        <f>SUM(C126:C130)</f>
        <v>17248.752416666666</v>
      </c>
      <c r="E131" s="7"/>
    </row>
    <row r="132" spans="1:9" x14ac:dyDescent="0.2">
      <c r="D132" s="15"/>
      <c r="F132" s="7"/>
    </row>
    <row r="134" spans="1:9" x14ac:dyDescent="0.2">
      <c r="A134" s="4" t="s">
        <v>128</v>
      </c>
      <c r="H134" s="29"/>
      <c r="I134" s="30"/>
    </row>
    <row r="135" spans="1:9" x14ac:dyDescent="0.2">
      <c r="A135" s="14" t="s">
        <v>102</v>
      </c>
      <c r="B135" s="14">
        <v>4</v>
      </c>
      <c r="H135" s="29"/>
      <c r="I135" s="30"/>
    </row>
    <row r="136" spans="1:9" x14ac:dyDescent="0.2">
      <c r="H136" s="29"/>
      <c r="I136" s="30"/>
    </row>
    <row r="137" spans="1:9" x14ac:dyDescent="0.2">
      <c r="B137" s="1" t="s">
        <v>14</v>
      </c>
      <c r="C137" s="87" t="s">
        <v>33</v>
      </c>
      <c r="D137" s="1" t="s">
        <v>34</v>
      </c>
      <c r="H137" s="29"/>
      <c r="I137" s="30"/>
    </row>
    <row r="138" spans="1:9" ht="16" x14ac:dyDescent="0.2">
      <c r="A138" s="123" t="s">
        <v>117</v>
      </c>
      <c r="B138" s="116">
        <v>1</v>
      </c>
      <c r="C138" s="117">
        <v>10000000</v>
      </c>
      <c r="D138" s="117">
        <f>B138*C138</f>
        <v>10000000</v>
      </c>
      <c r="H138" s="2"/>
      <c r="I138" s="35"/>
    </row>
    <row r="139" spans="1:9" x14ac:dyDescent="0.2">
      <c r="A139" s="115" t="s">
        <v>118</v>
      </c>
      <c r="B139" s="116">
        <v>12</v>
      </c>
      <c r="C139" s="117">
        <v>4000000</v>
      </c>
      <c r="D139" s="117">
        <f t="shared" ref="D139:D148" si="14">B139*C139</f>
        <v>48000000</v>
      </c>
      <c r="H139" s="2"/>
      <c r="I139" s="36"/>
    </row>
    <row r="140" spans="1:9" x14ac:dyDescent="0.2">
      <c r="A140" s="115" t="s">
        <v>119</v>
      </c>
      <c r="B140" s="116">
        <v>6</v>
      </c>
      <c r="C140" s="117">
        <v>1000000</v>
      </c>
      <c r="D140" s="117">
        <f t="shared" si="14"/>
        <v>6000000</v>
      </c>
      <c r="H140" s="2"/>
      <c r="I140" s="36"/>
    </row>
    <row r="141" spans="1:9" x14ac:dyDescent="0.2">
      <c r="A141" s="123" t="s">
        <v>120</v>
      </c>
      <c r="B141" s="116">
        <v>1</v>
      </c>
      <c r="C141" s="117">
        <v>1000000</v>
      </c>
      <c r="D141" s="117">
        <f t="shared" si="14"/>
        <v>1000000</v>
      </c>
    </row>
    <row r="142" spans="1:9" x14ac:dyDescent="0.2">
      <c r="A142" s="123" t="s">
        <v>121</v>
      </c>
      <c r="B142" s="116">
        <v>6</v>
      </c>
      <c r="C142" s="117">
        <v>2000000</v>
      </c>
      <c r="D142" s="117">
        <f t="shared" si="14"/>
        <v>12000000</v>
      </c>
    </row>
    <row r="143" spans="1:9" x14ac:dyDescent="0.2">
      <c r="A143" s="123" t="s">
        <v>122</v>
      </c>
      <c r="B143" s="116">
        <v>3</v>
      </c>
      <c r="C143" s="117">
        <v>2500000</v>
      </c>
      <c r="D143" s="117">
        <f t="shared" si="14"/>
        <v>7500000</v>
      </c>
    </row>
    <row r="144" spans="1:9" x14ac:dyDescent="0.2">
      <c r="A144" s="123" t="s">
        <v>123</v>
      </c>
      <c r="B144" s="116">
        <v>10</v>
      </c>
      <c r="C144" s="117">
        <v>400000</v>
      </c>
      <c r="D144" s="117">
        <f t="shared" si="14"/>
        <v>4000000</v>
      </c>
    </row>
    <row r="145" spans="1:4" x14ac:dyDescent="0.2">
      <c r="A145" s="123" t="s">
        <v>142</v>
      </c>
      <c r="B145" s="116">
        <v>1</v>
      </c>
      <c r="C145" s="117">
        <v>5000000</v>
      </c>
      <c r="D145" s="117">
        <f t="shared" si="14"/>
        <v>5000000</v>
      </c>
    </row>
    <row r="146" spans="1:4" x14ac:dyDescent="0.2">
      <c r="A146" s="123" t="s">
        <v>125</v>
      </c>
      <c r="B146" s="116">
        <v>2</v>
      </c>
      <c r="C146" s="117">
        <v>2000000</v>
      </c>
      <c r="D146" s="117">
        <f t="shared" si="14"/>
        <v>4000000</v>
      </c>
    </row>
    <row r="147" spans="1:4" x14ac:dyDescent="0.2">
      <c r="A147" s="123" t="s">
        <v>126</v>
      </c>
      <c r="B147" s="116">
        <v>5</v>
      </c>
      <c r="C147" s="117">
        <v>400000</v>
      </c>
      <c r="D147" s="117">
        <f t="shared" si="14"/>
        <v>2000000</v>
      </c>
    </row>
    <row r="148" spans="1:4" x14ac:dyDescent="0.2">
      <c r="A148" s="123" t="s">
        <v>127</v>
      </c>
      <c r="B148" s="116">
        <v>1</v>
      </c>
      <c r="C148" s="117">
        <v>10000000</v>
      </c>
      <c r="D148" s="117">
        <f t="shared" si="14"/>
        <v>10000000</v>
      </c>
    </row>
    <row r="149" spans="1:4" ht="16" thickBot="1" x14ac:dyDescent="0.25">
      <c r="A149" s="126" t="s">
        <v>31</v>
      </c>
      <c r="B149" s="8"/>
      <c r="C149" s="8"/>
      <c r="D149" s="90">
        <f>SUM(D138:D148)</f>
        <v>109500000</v>
      </c>
    </row>
    <row r="150" spans="1:4" x14ac:dyDescent="0.2">
      <c r="A150" t="s">
        <v>129</v>
      </c>
      <c r="D150" s="34">
        <f>D149/12</f>
        <v>9125000</v>
      </c>
    </row>
    <row r="151" spans="1:4" x14ac:dyDescent="0.2">
      <c r="A151" t="s">
        <v>134</v>
      </c>
      <c r="D151" s="34">
        <f>D150/B135</f>
        <v>2281250</v>
      </c>
    </row>
    <row r="152" spans="1:4" x14ac:dyDescent="0.2">
      <c r="A152" t="s">
        <v>133</v>
      </c>
      <c r="D152" s="34">
        <f>D151/E4</f>
        <v>7604.166666666667</v>
      </c>
    </row>
    <row r="153" spans="1:4" x14ac:dyDescent="0.2">
      <c r="D153" s="34"/>
    </row>
    <row r="154" spans="1:4" x14ac:dyDescent="0.2">
      <c r="D154" s="34"/>
    </row>
    <row r="155" spans="1:4" s="75" customFormat="1" x14ac:dyDescent="0.2">
      <c r="A155" s="131" t="s">
        <v>225</v>
      </c>
      <c r="B155" s="131"/>
      <c r="C155" s="131"/>
      <c r="D155" s="131"/>
    </row>
    <row r="156" spans="1:4" s="75" customFormat="1" x14ac:dyDescent="0.2">
      <c r="A156" s="131"/>
      <c r="B156" s="131"/>
      <c r="C156" s="131"/>
      <c r="D156" s="131"/>
    </row>
    <row r="157" spans="1:4" s="58" customFormat="1" x14ac:dyDescent="0.2"/>
    <row r="158" spans="1:4" s="58" customFormat="1" x14ac:dyDescent="0.2"/>
    <row r="159" spans="1:4" ht="21" x14ac:dyDescent="0.25">
      <c r="A159" s="78" t="s">
        <v>141</v>
      </c>
      <c r="B159" s="77"/>
    </row>
    <row r="160" spans="1:4" ht="16" x14ac:dyDescent="0.2">
      <c r="A160" s="79" t="s">
        <v>132</v>
      </c>
      <c r="B160" s="80">
        <v>4</v>
      </c>
    </row>
    <row r="161" spans="1:7" x14ac:dyDescent="0.2">
      <c r="A161" s="79" t="s">
        <v>139</v>
      </c>
      <c r="B161" s="79">
        <v>10</v>
      </c>
      <c r="C161" t="s">
        <v>143</v>
      </c>
      <c r="D161">
        <f>B161*30</f>
        <v>300</v>
      </c>
    </row>
    <row r="162" spans="1:7" x14ac:dyDescent="0.2">
      <c r="A162" t="s">
        <v>95</v>
      </c>
      <c r="B162">
        <v>1</v>
      </c>
    </row>
    <row r="164" spans="1:7" x14ac:dyDescent="0.2">
      <c r="A164" s="38" t="s">
        <v>0</v>
      </c>
    </row>
    <row r="165" spans="1:7" x14ac:dyDescent="0.2">
      <c r="A165" s="2" t="s">
        <v>175</v>
      </c>
      <c r="B165" s="34">
        <f>C165</f>
        <v>184607</v>
      </c>
      <c r="C165" s="7">
        <f>B8</f>
        <v>184607</v>
      </c>
    </row>
    <row r="166" spans="1:7" x14ac:dyDescent="0.2">
      <c r="A166" s="2" t="s">
        <v>171</v>
      </c>
      <c r="B166" s="34">
        <f>O209*K184</f>
        <v>184400</v>
      </c>
      <c r="C166" s="7">
        <f t="shared" ref="C166:C167" si="15">B9</f>
        <v>86200</v>
      </c>
    </row>
    <row r="167" spans="1:7" x14ac:dyDescent="0.2">
      <c r="A167" s="2" t="s">
        <v>170</v>
      </c>
      <c r="B167" s="34">
        <f>G206*C184</f>
        <v>113335.2</v>
      </c>
      <c r="C167" s="7">
        <f t="shared" si="15"/>
        <v>0</v>
      </c>
    </row>
    <row r="168" spans="1:7" x14ac:dyDescent="0.2">
      <c r="A168" s="2" t="s">
        <v>177</v>
      </c>
      <c r="B168" s="39">
        <f>D215</f>
        <v>35300</v>
      </c>
      <c r="C168" s="2"/>
      <c r="D168" s="2"/>
      <c r="E168" s="2"/>
      <c r="F168" s="2"/>
      <c r="G168" s="2"/>
    </row>
    <row r="169" spans="1:7" s="2" customFormat="1" x14ac:dyDescent="0.2">
      <c r="A169" s="2" t="s">
        <v>1</v>
      </c>
      <c r="B169" s="39">
        <f>D227</f>
        <v>10400</v>
      </c>
      <c r="E169" s="61" t="s">
        <v>185</v>
      </c>
      <c r="F169" s="61"/>
    </row>
    <row r="170" spans="1:7" s="2" customFormat="1" x14ac:dyDescent="0.2">
      <c r="A170" s="2" t="s">
        <v>2</v>
      </c>
      <c r="B170" s="39">
        <f>D238</f>
        <v>1627.395</v>
      </c>
      <c r="E170" s="61" t="s">
        <v>186</v>
      </c>
      <c r="F170" s="61">
        <v>33</v>
      </c>
    </row>
    <row r="171" spans="1:7" s="2" customFormat="1" x14ac:dyDescent="0.2">
      <c r="A171" s="2" t="s">
        <v>3</v>
      </c>
      <c r="B171" s="39">
        <f>D259</f>
        <v>11125</v>
      </c>
      <c r="E171" s="61" t="s">
        <v>187</v>
      </c>
      <c r="F171" s="61">
        <v>33</v>
      </c>
    </row>
    <row r="172" spans="1:7" s="2" customFormat="1" x14ac:dyDescent="0.2">
      <c r="A172" s="2" t="s">
        <v>135</v>
      </c>
      <c r="B172" s="39">
        <f>C294</f>
        <v>17248.752416666666</v>
      </c>
      <c r="E172" s="61" t="s">
        <v>188</v>
      </c>
      <c r="F172" s="61">
        <v>33</v>
      </c>
    </row>
    <row r="173" spans="1:7" s="2" customFormat="1" x14ac:dyDescent="0.2">
      <c r="A173" s="2" t="s">
        <v>136</v>
      </c>
      <c r="B173" s="39">
        <f>D313</f>
        <v>7604.166666666667</v>
      </c>
    </row>
    <row r="174" spans="1:7" s="2" customFormat="1" x14ac:dyDescent="0.2">
      <c r="B174" s="39"/>
    </row>
    <row r="175" spans="1:7" s="2" customFormat="1" x14ac:dyDescent="0.2">
      <c r="A175" t="s">
        <v>4</v>
      </c>
      <c r="B175">
        <v>0.08</v>
      </c>
      <c r="C175" s="2" t="s">
        <v>93</v>
      </c>
      <c r="D175"/>
      <c r="E175"/>
      <c r="F175"/>
      <c r="G175"/>
    </row>
    <row r="176" spans="1:7" x14ac:dyDescent="0.2">
      <c r="A176" s="2" t="s">
        <v>5</v>
      </c>
      <c r="B176" s="15">
        <f>B175*B264*C283</f>
        <v>4170.434782608696</v>
      </c>
    </row>
    <row r="177" spans="1:24" x14ac:dyDescent="0.2">
      <c r="A177" t="s">
        <v>7</v>
      </c>
      <c r="B177">
        <v>0.08</v>
      </c>
      <c r="E177" s="70">
        <f>B161*X210/100*F170</f>
        <v>863986.20000000007</v>
      </c>
      <c r="F177" s="71" t="s">
        <v>189</v>
      </c>
    </row>
    <row r="178" spans="1:24" x14ac:dyDescent="0.2">
      <c r="A178" s="2" t="s">
        <v>199</v>
      </c>
      <c r="B178" s="15">
        <f>B177*G283*F264</f>
        <v>838.43478260869574</v>
      </c>
      <c r="E178" s="70">
        <f>B161*O209/100*F171</f>
        <v>608520</v>
      </c>
      <c r="F178" s="71" t="s">
        <v>190</v>
      </c>
    </row>
    <row r="179" spans="1:24" x14ac:dyDescent="0.2">
      <c r="B179" s="15"/>
      <c r="E179" s="70">
        <f>B161*F172/100*G206</f>
        <v>374006.16</v>
      </c>
      <c r="F179" s="71" t="s">
        <v>191</v>
      </c>
    </row>
    <row r="180" spans="1:24" ht="16" x14ac:dyDescent="0.2">
      <c r="A180" s="16" t="s">
        <v>94</v>
      </c>
      <c r="B180" s="91">
        <f>+B168+B176+B178+B169+B170+B171+B172+E17+B173+B165</f>
        <v>272921.18364855071</v>
      </c>
      <c r="C180" s="2" t="s">
        <v>198</v>
      </c>
      <c r="E180" s="70">
        <f>SUM(E177:E179)</f>
        <v>1846512.36</v>
      </c>
      <c r="F180" s="72" t="s">
        <v>194</v>
      </c>
    </row>
    <row r="183" spans="1:24" x14ac:dyDescent="0.2">
      <c r="A183" s="4" t="s">
        <v>11</v>
      </c>
    </row>
    <row r="184" spans="1:24" ht="16" x14ac:dyDescent="0.2">
      <c r="A184" s="4" t="s">
        <v>167</v>
      </c>
      <c r="B184" s="64" t="s">
        <v>107</v>
      </c>
      <c r="C184" s="64">
        <v>1</v>
      </c>
      <c r="G184" s="43"/>
      <c r="H184" s="43"/>
      <c r="I184" s="43" t="s">
        <v>168</v>
      </c>
      <c r="J184" s="64" t="s">
        <v>172</v>
      </c>
      <c r="K184" s="64">
        <v>1</v>
      </c>
      <c r="R184" t="s">
        <v>169</v>
      </c>
      <c r="S184" s="64" t="s">
        <v>172</v>
      </c>
      <c r="T184" s="64">
        <v>1</v>
      </c>
    </row>
    <row r="185" spans="1:24" x14ac:dyDescent="0.2">
      <c r="A185" s="1" t="s">
        <v>12</v>
      </c>
      <c r="B185" s="1" t="s">
        <v>158</v>
      </c>
      <c r="C185" s="1" t="s">
        <v>13</v>
      </c>
      <c r="D185" s="1" t="s">
        <v>14</v>
      </c>
      <c r="E185" s="1" t="s">
        <v>159</v>
      </c>
      <c r="F185" s="1" t="s">
        <v>160</v>
      </c>
      <c r="G185" s="1" t="s">
        <v>161</v>
      </c>
      <c r="H185" s="44"/>
      <c r="I185" s="1" t="s">
        <v>12</v>
      </c>
      <c r="J185" s="1" t="s">
        <v>158</v>
      </c>
      <c r="K185" s="1" t="s">
        <v>13</v>
      </c>
      <c r="L185" s="1" t="s">
        <v>14</v>
      </c>
      <c r="M185" s="1" t="s">
        <v>159</v>
      </c>
      <c r="N185" s="1" t="s">
        <v>160</v>
      </c>
      <c r="O185" s="1" t="s">
        <v>161</v>
      </c>
      <c r="R185" s="1" t="s">
        <v>12</v>
      </c>
      <c r="S185" s="1" t="s">
        <v>158</v>
      </c>
      <c r="T185" s="1" t="s">
        <v>13</v>
      </c>
      <c r="U185" s="1" t="s">
        <v>14</v>
      </c>
      <c r="V185" s="1" t="s">
        <v>159</v>
      </c>
      <c r="W185" s="1" t="s">
        <v>160</v>
      </c>
      <c r="X185" s="1" t="s">
        <v>193</v>
      </c>
    </row>
    <row r="186" spans="1:24" x14ac:dyDescent="0.2">
      <c r="A186" s="3" t="s">
        <v>145</v>
      </c>
      <c r="B186" s="3">
        <v>100</v>
      </c>
      <c r="C186" s="5">
        <v>20.54</v>
      </c>
      <c r="D186" s="5">
        <v>1</v>
      </c>
      <c r="E186" s="6">
        <f>C186*F186/B186</f>
        <v>8216</v>
      </c>
      <c r="F186" s="6">
        <v>40000</v>
      </c>
      <c r="G186" s="52">
        <f>E186</f>
        <v>8216</v>
      </c>
      <c r="H186" s="44"/>
      <c r="I186" s="3" t="s">
        <v>145</v>
      </c>
      <c r="J186" s="3">
        <v>100</v>
      </c>
      <c r="K186" s="5"/>
      <c r="L186" s="5">
        <v>1</v>
      </c>
      <c r="M186" s="6">
        <f t="shared" ref="M186:M196" si="16">K186*N186/J186</f>
        <v>0</v>
      </c>
      <c r="N186" s="6">
        <v>40000</v>
      </c>
      <c r="O186" s="52"/>
      <c r="R186" s="3" t="s">
        <v>163</v>
      </c>
      <c r="S186" s="3">
        <v>500</v>
      </c>
      <c r="T186" s="5">
        <v>600</v>
      </c>
      <c r="U186" s="5">
        <v>1</v>
      </c>
      <c r="V186" s="6">
        <f>T186*W186/S186</f>
        <v>48000</v>
      </c>
      <c r="W186" s="6">
        <v>40000</v>
      </c>
      <c r="X186" s="52">
        <f>U186*W186</f>
        <v>40000</v>
      </c>
    </row>
    <row r="187" spans="1:24" x14ac:dyDescent="0.2">
      <c r="A187" s="3" t="s">
        <v>146</v>
      </c>
      <c r="B187" s="3">
        <v>250</v>
      </c>
      <c r="C187" s="5">
        <v>0</v>
      </c>
      <c r="D187" s="5">
        <v>0</v>
      </c>
      <c r="E187" s="6"/>
      <c r="F187" s="6">
        <v>50000</v>
      </c>
      <c r="G187" s="52">
        <f t="shared" ref="G187:G193" si="17">D187*F187</f>
        <v>0</v>
      </c>
      <c r="H187" s="44"/>
      <c r="I187" s="3" t="s">
        <v>146</v>
      </c>
      <c r="J187" s="3">
        <v>250</v>
      </c>
      <c r="K187" s="5"/>
      <c r="L187" s="5">
        <v>0</v>
      </c>
      <c r="M187" s="6">
        <f t="shared" si="16"/>
        <v>0</v>
      </c>
      <c r="N187" s="6">
        <v>50000</v>
      </c>
      <c r="O187" s="52">
        <f t="shared" ref="O187" si="18">L187*N187</f>
        <v>0</v>
      </c>
      <c r="R187" s="3" t="s">
        <v>164</v>
      </c>
      <c r="S187" s="3">
        <v>500</v>
      </c>
      <c r="T187" s="5">
        <v>0</v>
      </c>
      <c r="U187" s="5">
        <v>0</v>
      </c>
      <c r="V187" s="6">
        <f t="shared" ref="V187:V197" si="19">T187*W187/S187</f>
        <v>0</v>
      </c>
      <c r="W187" s="6">
        <v>61000</v>
      </c>
      <c r="X187" s="52">
        <f t="shared" ref="X187:X192" si="20">U187*W187</f>
        <v>0</v>
      </c>
    </row>
    <row r="188" spans="1:24" x14ac:dyDescent="0.2">
      <c r="A188" s="3" t="s">
        <v>157</v>
      </c>
      <c r="B188" s="3">
        <v>500</v>
      </c>
      <c r="C188" s="5">
        <v>0</v>
      </c>
      <c r="D188" s="5">
        <v>0</v>
      </c>
      <c r="E188" s="6"/>
      <c r="F188" s="6">
        <v>100000</v>
      </c>
      <c r="G188" s="52">
        <f t="shared" si="17"/>
        <v>0</v>
      </c>
      <c r="H188" s="44"/>
      <c r="I188" s="3" t="s">
        <v>157</v>
      </c>
      <c r="J188" s="3">
        <v>500</v>
      </c>
      <c r="K188" s="5">
        <v>147</v>
      </c>
      <c r="L188" s="5">
        <v>0</v>
      </c>
      <c r="M188" s="6">
        <f t="shared" si="16"/>
        <v>29400</v>
      </c>
      <c r="N188" s="6">
        <v>100000</v>
      </c>
      <c r="O188" s="52">
        <f>M188</f>
        <v>29400</v>
      </c>
      <c r="R188" s="3" t="s">
        <v>165</v>
      </c>
      <c r="S188" s="3">
        <v>500</v>
      </c>
      <c r="T188" s="5">
        <v>0</v>
      </c>
      <c r="U188" s="5">
        <v>0</v>
      </c>
      <c r="V188" s="6">
        <f t="shared" si="19"/>
        <v>0</v>
      </c>
      <c r="W188" s="6">
        <v>66000</v>
      </c>
      <c r="X188" s="52">
        <f t="shared" si="20"/>
        <v>0</v>
      </c>
    </row>
    <row r="189" spans="1:24" x14ac:dyDescent="0.2">
      <c r="A189" s="3" t="s">
        <v>147</v>
      </c>
      <c r="B189" s="3">
        <v>1000</v>
      </c>
      <c r="C189" s="5">
        <v>0</v>
      </c>
      <c r="D189" s="5">
        <v>0</v>
      </c>
      <c r="E189" s="6"/>
      <c r="F189" s="6">
        <v>20546.599999999999</v>
      </c>
      <c r="G189" s="52">
        <f t="shared" si="17"/>
        <v>0</v>
      </c>
      <c r="H189" s="44"/>
      <c r="I189" s="3" t="s">
        <v>147</v>
      </c>
      <c r="J189" s="3">
        <v>1000</v>
      </c>
      <c r="K189" s="5"/>
      <c r="L189" s="5">
        <v>0</v>
      </c>
      <c r="M189" s="6">
        <f t="shared" si="16"/>
        <v>0</v>
      </c>
      <c r="N189" s="6">
        <v>20546.599999999999</v>
      </c>
      <c r="O189" s="52">
        <f t="shared" ref="O189:O194" si="21">L189*N189</f>
        <v>0</v>
      </c>
      <c r="R189" s="3" t="s">
        <v>166</v>
      </c>
      <c r="S189" s="3">
        <v>1000</v>
      </c>
      <c r="T189" s="5">
        <v>0</v>
      </c>
      <c r="U189" s="5">
        <v>0</v>
      </c>
      <c r="V189" s="6">
        <f t="shared" si="19"/>
        <v>0</v>
      </c>
      <c r="W189" s="6">
        <v>135000</v>
      </c>
      <c r="X189" s="52">
        <f t="shared" si="20"/>
        <v>0</v>
      </c>
    </row>
    <row r="190" spans="1:24" x14ac:dyDescent="0.2">
      <c r="A190" s="24" t="s">
        <v>150</v>
      </c>
      <c r="B190" s="3">
        <v>10</v>
      </c>
      <c r="C190" s="5">
        <v>0.4</v>
      </c>
      <c r="D190" s="5">
        <v>1</v>
      </c>
      <c r="E190" s="6">
        <f>C190*F190/B190</f>
        <v>60</v>
      </c>
      <c r="F190" s="6">
        <v>1500</v>
      </c>
      <c r="G190" s="52">
        <f t="shared" si="17"/>
        <v>1500</v>
      </c>
      <c r="H190" s="44"/>
      <c r="I190" s="24" t="s">
        <v>150</v>
      </c>
      <c r="J190" s="3">
        <v>10</v>
      </c>
      <c r="K190" s="5"/>
      <c r="L190" s="5">
        <v>1</v>
      </c>
      <c r="M190" s="6">
        <f t="shared" si="16"/>
        <v>0</v>
      </c>
      <c r="N190" s="6">
        <v>1500</v>
      </c>
      <c r="O190" s="52">
        <f t="shared" si="21"/>
        <v>1500</v>
      </c>
      <c r="R190" s="24" t="s">
        <v>150</v>
      </c>
      <c r="S190" s="3">
        <v>10</v>
      </c>
      <c r="T190" s="5">
        <v>30</v>
      </c>
      <c r="U190" s="5">
        <v>1</v>
      </c>
      <c r="V190" s="6">
        <f t="shared" si="19"/>
        <v>4500</v>
      </c>
      <c r="W190" s="6">
        <v>1500</v>
      </c>
      <c r="X190" s="52">
        <f t="shared" si="20"/>
        <v>1500</v>
      </c>
    </row>
    <row r="191" spans="1:24" x14ac:dyDescent="0.2">
      <c r="A191" s="3" t="s">
        <v>21</v>
      </c>
      <c r="B191" s="3">
        <v>10</v>
      </c>
      <c r="C191" s="5">
        <v>0.3624</v>
      </c>
      <c r="D191" s="5">
        <v>1</v>
      </c>
      <c r="E191" s="6">
        <f>C191*F191/B191</f>
        <v>206.56799999999998</v>
      </c>
      <c r="F191" s="6">
        <v>5700</v>
      </c>
      <c r="G191" s="52">
        <f t="shared" si="17"/>
        <v>5700</v>
      </c>
      <c r="H191" s="44"/>
      <c r="I191" s="3" t="s">
        <v>21</v>
      </c>
      <c r="J191" s="3">
        <v>10</v>
      </c>
      <c r="K191" s="5">
        <v>2.4500000000000002</v>
      </c>
      <c r="L191" s="5">
        <v>1</v>
      </c>
      <c r="M191" s="6">
        <f t="shared" si="16"/>
        <v>1396.5000000000002</v>
      </c>
      <c r="N191" s="6">
        <v>5700</v>
      </c>
      <c r="O191" s="52">
        <f t="shared" si="21"/>
        <v>5700</v>
      </c>
      <c r="R191" s="3" t="s">
        <v>21</v>
      </c>
      <c r="S191" s="3">
        <v>10</v>
      </c>
      <c r="T191" s="5">
        <v>10</v>
      </c>
      <c r="U191" s="5">
        <v>1</v>
      </c>
      <c r="V191" s="6">
        <f t="shared" si="19"/>
        <v>5700</v>
      </c>
      <c r="W191" s="6">
        <v>5700</v>
      </c>
      <c r="X191" s="52">
        <f t="shared" si="20"/>
        <v>5700</v>
      </c>
    </row>
    <row r="192" spans="1:24" x14ac:dyDescent="0.2">
      <c r="A192" s="24" t="s">
        <v>149</v>
      </c>
      <c r="B192" s="3">
        <v>10</v>
      </c>
      <c r="C192" s="5">
        <v>1.57</v>
      </c>
      <c r="D192" s="5">
        <v>1</v>
      </c>
      <c r="E192" s="6">
        <f>C192*F192/B192</f>
        <v>235.5</v>
      </c>
      <c r="F192" s="6">
        <v>1500</v>
      </c>
      <c r="G192" s="52">
        <f t="shared" si="17"/>
        <v>1500</v>
      </c>
      <c r="H192" s="44"/>
      <c r="I192" s="24" t="s">
        <v>149</v>
      </c>
      <c r="J192" s="3">
        <v>10</v>
      </c>
      <c r="K192" s="5">
        <v>2.5</v>
      </c>
      <c r="L192" s="5">
        <v>1</v>
      </c>
      <c r="M192" s="6">
        <f t="shared" si="16"/>
        <v>375</v>
      </c>
      <c r="N192" s="6">
        <v>1500</v>
      </c>
      <c r="O192" s="52">
        <f t="shared" si="21"/>
        <v>1500</v>
      </c>
      <c r="R192" s="3" t="s">
        <v>148</v>
      </c>
      <c r="S192" s="3">
        <v>20</v>
      </c>
      <c r="T192" s="5">
        <v>0</v>
      </c>
      <c r="U192" s="5">
        <v>1</v>
      </c>
      <c r="V192" s="6">
        <f t="shared" si="19"/>
        <v>0</v>
      </c>
      <c r="W192" s="6">
        <v>20000</v>
      </c>
      <c r="X192" s="52">
        <f t="shared" si="20"/>
        <v>20000</v>
      </c>
    </row>
    <row r="193" spans="1:24" x14ac:dyDescent="0.2">
      <c r="A193" s="3" t="s">
        <v>24</v>
      </c>
      <c r="B193" s="3">
        <v>10</v>
      </c>
      <c r="C193" s="5">
        <v>0.3624</v>
      </c>
      <c r="D193" s="5">
        <v>1</v>
      </c>
      <c r="E193" s="6">
        <f>C193*F193/B193</f>
        <v>54.36</v>
      </c>
      <c r="F193" s="6">
        <v>1500</v>
      </c>
      <c r="G193" s="52">
        <f t="shared" si="17"/>
        <v>1500</v>
      </c>
      <c r="H193" s="44"/>
      <c r="I193" s="3" t="s">
        <v>24</v>
      </c>
      <c r="J193" s="3">
        <v>10</v>
      </c>
      <c r="K193" s="5">
        <v>9.8000000000000007</v>
      </c>
      <c r="L193" s="5">
        <v>1</v>
      </c>
      <c r="M193" s="6">
        <f t="shared" si="16"/>
        <v>1470.0000000000002</v>
      </c>
      <c r="N193" s="6">
        <v>1500</v>
      </c>
      <c r="O193" s="52">
        <f t="shared" si="21"/>
        <v>1500</v>
      </c>
      <c r="R193" s="24" t="s">
        <v>149</v>
      </c>
      <c r="S193" s="3">
        <v>10</v>
      </c>
      <c r="T193" s="5">
        <v>30</v>
      </c>
      <c r="U193" s="5"/>
      <c r="V193" s="6">
        <f t="shared" si="19"/>
        <v>4500</v>
      </c>
      <c r="W193" s="6">
        <v>1500</v>
      </c>
      <c r="X193" s="6">
        <v>1500</v>
      </c>
    </row>
    <row r="194" spans="1:24" x14ac:dyDescent="0.2">
      <c r="A194" s="3" t="s">
        <v>25</v>
      </c>
      <c r="B194" s="3">
        <v>10</v>
      </c>
      <c r="C194" s="5">
        <v>2.0539999999999998</v>
      </c>
      <c r="D194" s="5">
        <v>0</v>
      </c>
      <c r="E194" s="6">
        <f>C194*F194/B194</f>
        <v>369.71999999999997</v>
      </c>
      <c r="F194" s="6">
        <v>1800</v>
      </c>
      <c r="G194" s="52">
        <v>1800</v>
      </c>
      <c r="H194" s="44"/>
      <c r="I194" s="3" t="s">
        <v>25</v>
      </c>
      <c r="J194" s="3">
        <v>10</v>
      </c>
      <c r="K194" s="5">
        <v>2.5</v>
      </c>
      <c r="L194" s="5">
        <v>0</v>
      </c>
      <c r="M194" s="6">
        <f t="shared" si="16"/>
        <v>450</v>
      </c>
      <c r="N194" s="6">
        <v>1800</v>
      </c>
      <c r="O194" s="52">
        <f t="shared" si="21"/>
        <v>0</v>
      </c>
      <c r="R194" s="3" t="s">
        <v>24</v>
      </c>
      <c r="S194" s="3">
        <v>10</v>
      </c>
      <c r="T194" s="5">
        <v>12</v>
      </c>
      <c r="U194" s="5">
        <v>1</v>
      </c>
      <c r="V194" s="6">
        <f t="shared" si="19"/>
        <v>1800</v>
      </c>
      <c r="W194" s="6">
        <v>1500</v>
      </c>
      <c r="X194" s="52">
        <f t="shared" ref="X194" si="22">U194*W194</f>
        <v>1500</v>
      </c>
    </row>
    <row r="195" spans="1:24" x14ac:dyDescent="0.2">
      <c r="A195" s="3" t="s">
        <v>30</v>
      </c>
      <c r="B195" s="3">
        <v>100</v>
      </c>
      <c r="C195" s="5">
        <v>10.148999999999999</v>
      </c>
      <c r="D195" s="5">
        <v>1</v>
      </c>
      <c r="E195" s="6">
        <f t="shared" ref="E195" si="23">C195*F195/B195</f>
        <v>8119.1999999999989</v>
      </c>
      <c r="F195" s="6">
        <v>80000</v>
      </c>
      <c r="G195" s="6">
        <f>E195</f>
        <v>8119.1999999999989</v>
      </c>
      <c r="H195" s="44"/>
      <c r="I195" s="3" t="s">
        <v>30</v>
      </c>
      <c r="J195" s="3">
        <v>100</v>
      </c>
      <c r="K195" s="5">
        <v>73.5</v>
      </c>
      <c r="L195" s="5"/>
      <c r="M195" s="6">
        <f t="shared" si="16"/>
        <v>58800</v>
      </c>
      <c r="N195" s="6">
        <v>80000</v>
      </c>
      <c r="O195" s="52">
        <f>M195</f>
        <v>58800</v>
      </c>
      <c r="R195" s="3" t="s">
        <v>25</v>
      </c>
      <c r="S195" s="3">
        <v>10</v>
      </c>
      <c r="T195" s="5">
        <v>20</v>
      </c>
      <c r="U195" s="5">
        <v>0</v>
      </c>
      <c r="V195" s="6">
        <f t="shared" si="19"/>
        <v>3600</v>
      </c>
      <c r="W195" s="6">
        <v>1800</v>
      </c>
      <c r="X195" s="6">
        <v>1800</v>
      </c>
    </row>
    <row r="196" spans="1:24" x14ac:dyDescent="0.2">
      <c r="A196" s="3" t="s">
        <v>20</v>
      </c>
      <c r="B196" s="3">
        <v>500</v>
      </c>
      <c r="C196" s="5">
        <v>18</v>
      </c>
      <c r="D196" s="5">
        <v>0</v>
      </c>
      <c r="E196" s="6">
        <f>C196*F196/B196</f>
        <v>389.30399999999997</v>
      </c>
      <c r="F196" s="6">
        <v>10814</v>
      </c>
      <c r="G196" s="52">
        <f t="shared" ref="G196" si="24">D196*F196</f>
        <v>0</v>
      </c>
      <c r="H196" s="44"/>
      <c r="I196" s="3" t="s">
        <v>20</v>
      </c>
      <c r="J196" s="3">
        <v>500</v>
      </c>
      <c r="K196" s="5">
        <v>127</v>
      </c>
      <c r="L196" s="5"/>
      <c r="M196" s="6">
        <f t="shared" si="16"/>
        <v>2746.7559999999999</v>
      </c>
      <c r="N196" s="6">
        <v>10814</v>
      </c>
      <c r="O196" s="52">
        <f t="shared" ref="O196:O197" si="25">L196*N196</f>
        <v>0</v>
      </c>
      <c r="R196" s="3" t="s">
        <v>174</v>
      </c>
      <c r="S196" s="3">
        <v>500</v>
      </c>
      <c r="T196" s="5">
        <v>200</v>
      </c>
      <c r="U196" s="5"/>
      <c r="V196" s="6">
        <f t="shared" si="19"/>
        <v>32000</v>
      </c>
      <c r="W196" s="6">
        <v>80000</v>
      </c>
      <c r="X196" s="6">
        <v>80000</v>
      </c>
    </row>
    <row r="197" spans="1:24" x14ac:dyDescent="0.2">
      <c r="A197" s="3" t="s">
        <v>151</v>
      </c>
      <c r="B197" s="3" t="s">
        <v>192</v>
      </c>
      <c r="C197" s="5">
        <v>1</v>
      </c>
      <c r="D197" s="5"/>
      <c r="E197" s="6">
        <v>13000</v>
      </c>
      <c r="F197" s="6">
        <v>13000</v>
      </c>
      <c r="G197" s="42">
        <v>13000</v>
      </c>
      <c r="H197" s="44"/>
      <c r="I197" s="3" t="s">
        <v>151</v>
      </c>
      <c r="J197" s="3" t="s">
        <v>97</v>
      </c>
      <c r="K197" s="5"/>
      <c r="L197" s="5">
        <v>1</v>
      </c>
      <c r="M197" s="6">
        <v>13000</v>
      </c>
      <c r="N197" s="6">
        <v>13000</v>
      </c>
      <c r="O197" s="52">
        <f t="shared" si="25"/>
        <v>13000</v>
      </c>
      <c r="R197" s="3" t="s">
        <v>20</v>
      </c>
      <c r="S197" s="3">
        <v>500</v>
      </c>
      <c r="T197" s="5">
        <v>250</v>
      </c>
      <c r="U197" s="5"/>
      <c r="V197" s="6">
        <f t="shared" si="19"/>
        <v>5407</v>
      </c>
      <c r="W197" s="6">
        <v>10814</v>
      </c>
      <c r="X197" s="6">
        <v>10814</v>
      </c>
    </row>
    <row r="198" spans="1:24" x14ac:dyDescent="0.2">
      <c r="A198" s="3" t="s">
        <v>152</v>
      </c>
      <c r="B198" s="3"/>
      <c r="C198" s="5">
        <v>1</v>
      </c>
      <c r="D198" s="5"/>
      <c r="E198" s="6">
        <v>23000</v>
      </c>
      <c r="F198" s="6">
        <v>23000</v>
      </c>
      <c r="G198" s="42">
        <v>23000</v>
      </c>
      <c r="H198" s="44"/>
      <c r="I198" s="3" t="s">
        <v>162</v>
      </c>
      <c r="J198" s="3" t="s">
        <v>97</v>
      </c>
      <c r="K198" s="5"/>
      <c r="L198" s="5">
        <v>1</v>
      </c>
      <c r="M198" s="6"/>
      <c r="N198" s="6">
        <v>13000</v>
      </c>
      <c r="O198" s="52"/>
      <c r="R198" s="3" t="s">
        <v>162</v>
      </c>
      <c r="S198" s="3"/>
      <c r="T198" s="5">
        <v>1</v>
      </c>
      <c r="U198" s="5">
        <v>1</v>
      </c>
      <c r="V198" s="6">
        <v>13000</v>
      </c>
      <c r="W198" s="6">
        <v>13000</v>
      </c>
      <c r="X198" s="6">
        <v>13000</v>
      </c>
    </row>
    <row r="199" spans="1:24" x14ac:dyDescent="0.2">
      <c r="A199" s="3" t="s">
        <v>153</v>
      </c>
      <c r="B199" s="3"/>
      <c r="C199" s="5">
        <v>1</v>
      </c>
      <c r="D199" s="5"/>
      <c r="E199" s="6"/>
      <c r="F199" s="6">
        <v>25000</v>
      </c>
      <c r="G199" s="52">
        <f t="shared" ref="G199:G201" si="26">D199*F199</f>
        <v>0</v>
      </c>
      <c r="H199" s="44"/>
      <c r="I199" s="3" t="s">
        <v>152</v>
      </c>
      <c r="J199" s="3" t="s">
        <v>97</v>
      </c>
      <c r="K199" s="5"/>
      <c r="L199" s="5"/>
      <c r="M199" s="52">
        <v>23000</v>
      </c>
      <c r="N199" s="6">
        <v>23000</v>
      </c>
      <c r="O199" s="52">
        <v>23000</v>
      </c>
      <c r="R199" s="3" t="s">
        <v>152</v>
      </c>
      <c r="S199" s="3"/>
      <c r="T199" s="5">
        <v>1</v>
      </c>
      <c r="U199" s="5"/>
      <c r="V199" s="6">
        <v>23000</v>
      </c>
      <c r="W199" s="6">
        <v>23000</v>
      </c>
      <c r="X199" s="6">
        <v>23000</v>
      </c>
    </row>
    <row r="200" spans="1:24" x14ac:dyDescent="0.2">
      <c r="A200" s="3" t="s">
        <v>154</v>
      </c>
      <c r="B200" s="3"/>
      <c r="C200" s="5">
        <v>0</v>
      </c>
      <c r="D200" s="5"/>
      <c r="E200" s="6"/>
      <c r="F200" s="6">
        <v>2000</v>
      </c>
      <c r="G200" s="52">
        <f t="shared" si="26"/>
        <v>0</v>
      </c>
      <c r="H200" s="44"/>
      <c r="I200" s="3" t="s">
        <v>153</v>
      </c>
      <c r="J200" s="3" t="s">
        <v>97</v>
      </c>
      <c r="K200" s="5">
        <v>5</v>
      </c>
      <c r="L200" s="5"/>
      <c r="M200" s="6"/>
      <c r="N200" s="6">
        <v>25000</v>
      </c>
      <c r="O200" s="52">
        <f t="shared" ref="O200:O203" si="27">L200*N200</f>
        <v>0</v>
      </c>
      <c r="R200" s="3" t="s">
        <v>153</v>
      </c>
      <c r="S200" s="3"/>
      <c r="T200" s="5">
        <v>0</v>
      </c>
      <c r="U200" s="5"/>
      <c r="V200" s="6"/>
      <c r="W200" s="6">
        <v>25000</v>
      </c>
      <c r="X200" s="52">
        <f t="shared" ref="X200:X203" si="28">U200*W200</f>
        <v>0</v>
      </c>
    </row>
    <row r="201" spans="1:24" x14ac:dyDescent="0.2">
      <c r="A201" s="24" t="s">
        <v>155</v>
      </c>
      <c r="B201" s="3"/>
      <c r="C201" s="5">
        <v>0</v>
      </c>
      <c r="D201" s="5"/>
      <c r="E201" s="6"/>
      <c r="F201" s="6">
        <v>3000</v>
      </c>
      <c r="G201" s="52">
        <f t="shared" si="26"/>
        <v>0</v>
      </c>
      <c r="H201" s="44"/>
      <c r="I201" s="3" t="s">
        <v>154</v>
      </c>
      <c r="J201" s="3" t="s">
        <v>97</v>
      </c>
      <c r="K201" s="5"/>
      <c r="L201" s="5"/>
      <c r="M201" s="6"/>
      <c r="N201" s="6">
        <v>2000</v>
      </c>
      <c r="O201" s="52">
        <f t="shared" si="27"/>
        <v>0</v>
      </c>
      <c r="R201" s="3" t="s">
        <v>154</v>
      </c>
      <c r="S201" s="3"/>
      <c r="T201" s="5">
        <v>1</v>
      </c>
      <c r="U201" s="5"/>
      <c r="V201" s="6"/>
      <c r="W201" s="6">
        <v>2000</v>
      </c>
      <c r="X201" s="52">
        <f t="shared" si="28"/>
        <v>0</v>
      </c>
    </row>
    <row r="202" spans="1:24" x14ac:dyDescent="0.2">
      <c r="A202" s="24" t="s">
        <v>180</v>
      </c>
      <c r="B202" s="3">
        <v>10</v>
      </c>
      <c r="C202" s="5">
        <v>0</v>
      </c>
      <c r="D202" s="5"/>
      <c r="E202" s="6">
        <v>15000</v>
      </c>
      <c r="F202" s="6">
        <v>15000</v>
      </c>
      <c r="G202" s="6">
        <v>15000</v>
      </c>
      <c r="H202" s="44"/>
      <c r="I202" s="24" t="s">
        <v>155</v>
      </c>
      <c r="J202" s="3" t="s">
        <v>97</v>
      </c>
      <c r="K202" s="5"/>
      <c r="L202" s="5"/>
      <c r="M202" s="6"/>
      <c r="N202" s="6">
        <v>3000</v>
      </c>
      <c r="O202" s="52">
        <f t="shared" si="27"/>
        <v>0</v>
      </c>
      <c r="R202" s="3" t="s">
        <v>173</v>
      </c>
      <c r="S202" s="3"/>
      <c r="T202" s="5">
        <v>1</v>
      </c>
      <c r="U202" s="5"/>
      <c r="V202" s="6"/>
      <c r="W202" s="6">
        <v>3000</v>
      </c>
      <c r="X202" s="52">
        <f t="shared" si="28"/>
        <v>0</v>
      </c>
    </row>
    <row r="203" spans="1:24" x14ac:dyDescent="0.2">
      <c r="A203" s="24" t="s">
        <v>181</v>
      </c>
      <c r="B203" s="3">
        <v>500</v>
      </c>
      <c r="C203" s="3">
        <v>100</v>
      </c>
      <c r="D203" s="3"/>
      <c r="E203" s="6">
        <f>C203*F203/B203</f>
        <v>800</v>
      </c>
      <c r="F203" s="6">
        <v>4000</v>
      </c>
      <c r="G203" s="6">
        <v>4000</v>
      </c>
      <c r="H203" s="44"/>
      <c r="I203" s="24" t="s">
        <v>180</v>
      </c>
      <c r="J203" s="3">
        <v>10</v>
      </c>
      <c r="K203" s="5"/>
      <c r="L203" s="5">
        <v>1</v>
      </c>
      <c r="M203" s="6">
        <v>15000</v>
      </c>
      <c r="N203" s="6">
        <v>15000</v>
      </c>
      <c r="O203" s="52">
        <f t="shared" si="27"/>
        <v>15000</v>
      </c>
      <c r="R203" s="24" t="s">
        <v>155</v>
      </c>
      <c r="S203" s="3"/>
      <c r="T203" s="5">
        <v>1</v>
      </c>
      <c r="U203" s="5"/>
      <c r="V203" s="6"/>
      <c r="W203" s="6">
        <v>3000</v>
      </c>
      <c r="X203" s="52">
        <f t="shared" si="28"/>
        <v>0</v>
      </c>
    </row>
    <row r="204" spans="1:24" x14ac:dyDescent="0.2">
      <c r="A204" s="24" t="s">
        <v>179</v>
      </c>
      <c r="B204" s="3">
        <v>1000</v>
      </c>
      <c r="C204" s="3">
        <v>1</v>
      </c>
      <c r="D204" s="3"/>
      <c r="E204" s="3"/>
      <c r="F204" s="6">
        <v>31000</v>
      </c>
      <c r="G204" s="6"/>
      <c r="H204" s="44"/>
      <c r="I204" s="3" t="s">
        <v>182</v>
      </c>
      <c r="J204" s="3"/>
      <c r="K204" s="5">
        <v>1</v>
      </c>
      <c r="L204" s="5"/>
      <c r="M204" s="52"/>
      <c r="N204" s="6">
        <v>31000</v>
      </c>
      <c r="O204" s="52">
        <f>N204</f>
        <v>31000</v>
      </c>
      <c r="R204" s="3" t="s">
        <v>182</v>
      </c>
      <c r="S204" s="3">
        <v>1000</v>
      </c>
      <c r="T204" s="5"/>
      <c r="U204" s="5">
        <v>0</v>
      </c>
      <c r="V204" s="6">
        <v>31000</v>
      </c>
      <c r="W204" s="6">
        <v>31000</v>
      </c>
      <c r="X204" s="52">
        <f>U204*W204</f>
        <v>0</v>
      </c>
    </row>
    <row r="205" spans="1:24" x14ac:dyDescent="0.2">
      <c r="A205" s="24" t="s">
        <v>178</v>
      </c>
      <c r="B205" s="3">
        <v>500</v>
      </c>
      <c r="C205" s="3"/>
      <c r="D205" s="3"/>
      <c r="E205" s="6">
        <f>F205</f>
        <v>30000</v>
      </c>
      <c r="F205" s="6">
        <v>30000</v>
      </c>
      <c r="G205" s="6">
        <f>F205</f>
        <v>30000</v>
      </c>
      <c r="H205" s="44"/>
      <c r="I205" s="3" t="s">
        <v>101</v>
      </c>
      <c r="J205" s="3"/>
      <c r="K205" s="5"/>
      <c r="L205" s="5"/>
      <c r="M205" s="6">
        <v>30000</v>
      </c>
      <c r="N205" s="6">
        <v>30000</v>
      </c>
      <c r="O205" s="52"/>
      <c r="R205" s="3" t="s">
        <v>101</v>
      </c>
      <c r="S205" s="3">
        <v>500</v>
      </c>
      <c r="T205" s="5"/>
      <c r="U205" s="5"/>
      <c r="V205" s="6"/>
      <c r="W205" s="6">
        <v>30000</v>
      </c>
      <c r="X205" s="52">
        <f t="shared" ref="X205:X209" si="29">U205*W205</f>
        <v>0</v>
      </c>
    </row>
    <row r="206" spans="1:24" x14ac:dyDescent="0.2">
      <c r="A206" s="3" t="s">
        <v>31</v>
      </c>
      <c r="B206" s="3"/>
      <c r="C206" s="3"/>
      <c r="D206" s="3"/>
      <c r="E206" s="54">
        <f>SUM(E186:E205)</f>
        <v>99450.652000000002</v>
      </c>
      <c r="F206" s="6"/>
      <c r="G206" s="53">
        <f>SUM(G186:G205)</f>
        <v>113335.2</v>
      </c>
      <c r="H206" s="44"/>
      <c r="I206" s="3" t="s">
        <v>100</v>
      </c>
      <c r="J206" s="3"/>
      <c r="K206" s="5"/>
      <c r="L206" s="5"/>
      <c r="M206" s="52"/>
      <c r="N206" s="6">
        <v>31000</v>
      </c>
      <c r="O206" s="52"/>
      <c r="R206" s="3" t="s">
        <v>100</v>
      </c>
      <c r="S206" s="3"/>
      <c r="T206" s="5"/>
      <c r="U206" s="5"/>
      <c r="V206" s="6"/>
      <c r="W206" s="6">
        <v>31000</v>
      </c>
      <c r="X206" s="52">
        <f t="shared" si="29"/>
        <v>0</v>
      </c>
    </row>
    <row r="207" spans="1:24" ht="16" thickBot="1" x14ac:dyDescent="0.25">
      <c r="A207" s="62"/>
      <c r="B207" s="62"/>
      <c r="C207" s="62"/>
      <c r="D207" s="62"/>
      <c r="E207" s="62"/>
      <c r="F207" s="33"/>
      <c r="G207" s="63"/>
      <c r="H207" s="45"/>
      <c r="I207" s="3" t="s">
        <v>183</v>
      </c>
      <c r="J207" s="3"/>
      <c r="K207" s="5"/>
      <c r="L207" s="5"/>
      <c r="M207" s="6"/>
      <c r="N207" s="6">
        <v>31000</v>
      </c>
      <c r="O207" s="52"/>
      <c r="R207" s="3" t="s">
        <v>183</v>
      </c>
      <c r="S207" s="3"/>
      <c r="T207" s="5">
        <v>1</v>
      </c>
      <c r="U207" s="5">
        <v>1</v>
      </c>
      <c r="V207" s="6"/>
      <c r="W207" s="6">
        <v>39000</v>
      </c>
      <c r="X207" s="52">
        <f t="shared" si="29"/>
        <v>39000</v>
      </c>
    </row>
    <row r="208" spans="1:24" x14ac:dyDescent="0.2">
      <c r="A208" s="4"/>
      <c r="F208" s="7"/>
      <c r="I208" s="24" t="s">
        <v>156</v>
      </c>
      <c r="J208" s="3">
        <v>500</v>
      </c>
      <c r="K208" s="3">
        <v>98.37</v>
      </c>
      <c r="L208" s="5">
        <v>1</v>
      </c>
      <c r="M208" s="6">
        <f>K208*N208/J208</f>
        <v>786.96</v>
      </c>
      <c r="N208" s="6">
        <v>4000</v>
      </c>
      <c r="O208" s="52">
        <f t="shared" ref="O208" si="30">L208*N208</f>
        <v>4000</v>
      </c>
      <c r="R208" s="24" t="s">
        <v>184</v>
      </c>
      <c r="S208" s="3">
        <v>10</v>
      </c>
      <c r="T208" s="5"/>
      <c r="U208" s="5">
        <v>1</v>
      </c>
      <c r="V208" s="6">
        <v>20000</v>
      </c>
      <c r="W208" s="6">
        <v>20000</v>
      </c>
      <c r="X208" s="52">
        <f t="shared" si="29"/>
        <v>20000</v>
      </c>
    </row>
    <row r="209" spans="1:24" x14ac:dyDescent="0.2">
      <c r="A209" s="4"/>
      <c r="F209" s="7"/>
      <c r="I209" s="3" t="s">
        <v>31</v>
      </c>
      <c r="J209" s="3"/>
      <c r="K209" s="3"/>
      <c r="L209" s="3"/>
      <c r="M209" s="54">
        <f>SUM(M186:M208)</f>
        <v>176425.21599999999</v>
      </c>
      <c r="N209" s="3"/>
      <c r="O209" s="53">
        <f>SUM(O186:O208)</f>
        <v>184400</v>
      </c>
      <c r="R209" s="24" t="s">
        <v>181</v>
      </c>
      <c r="S209" s="3">
        <v>500</v>
      </c>
      <c r="T209" s="3">
        <v>100</v>
      </c>
      <c r="U209" s="3">
        <v>1</v>
      </c>
      <c r="V209" s="6">
        <f t="shared" ref="V209" si="31">T209*W209/S209</f>
        <v>800</v>
      </c>
      <c r="W209" s="6">
        <v>4000</v>
      </c>
      <c r="X209" s="52">
        <f t="shared" si="29"/>
        <v>4000</v>
      </c>
    </row>
    <row r="210" spans="1:24" ht="16" thickBot="1" x14ac:dyDescent="0.25">
      <c r="A210" s="4" t="s">
        <v>176</v>
      </c>
      <c r="F210" s="7"/>
      <c r="I210" s="8"/>
      <c r="J210" s="8"/>
      <c r="K210" s="8"/>
      <c r="L210" s="67"/>
      <c r="M210" s="9"/>
      <c r="N210" s="9"/>
      <c r="O210" s="68"/>
      <c r="R210" s="3" t="s">
        <v>31</v>
      </c>
      <c r="S210" s="3"/>
      <c r="T210" s="3"/>
      <c r="U210" s="3"/>
      <c r="V210" s="54">
        <f>SUM(V186:V209)</f>
        <v>193307</v>
      </c>
      <c r="W210" s="12"/>
      <c r="X210" s="53">
        <f>SUM(X186:X209)</f>
        <v>261814</v>
      </c>
    </row>
    <row r="211" spans="1:24" x14ac:dyDescent="0.2">
      <c r="A211" s="1" t="s">
        <v>12</v>
      </c>
      <c r="B211" s="87" t="s">
        <v>14</v>
      </c>
      <c r="C211" s="87" t="s">
        <v>33</v>
      </c>
      <c r="D211" s="1" t="s">
        <v>34</v>
      </c>
      <c r="I211" s="44"/>
      <c r="L211" s="23"/>
      <c r="N211" s="7"/>
      <c r="O211" s="65"/>
      <c r="U211" s="23"/>
      <c r="W211" s="7"/>
      <c r="X211" s="65"/>
    </row>
    <row r="212" spans="1:24" x14ac:dyDescent="0.2">
      <c r="A212" s="115" t="s">
        <v>96</v>
      </c>
      <c r="B212" s="116">
        <v>1</v>
      </c>
      <c r="C212" s="117">
        <v>1000</v>
      </c>
      <c r="D212" s="117">
        <f>C212*B212</f>
        <v>1000</v>
      </c>
      <c r="M212" s="7"/>
      <c r="O212" s="66"/>
      <c r="U212" s="23"/>
      <c r="W212" s="7"/>
      <c r="X212" s="65"/>
    </row>
    <row r="213" spans="1:24" x14ac:dyDescent="0.2">
      <c r="A213" s="115" t="s">
        <v>98</v>
      </c>
      <c r="B213" s="116">
        <v>0</v>
      </c>
      <c r="C213" s="117">
        <v>290000</v>
      </c>
      <c r="D213" s="117">
        <f>C213*B213</f>
        <v>0</v>
      </c>
      <c r="U213" s="23"/>
      <c r="V213" s="7"/>
      <c r="X213" s="69"/>
    </row>
    <row r="214" spans="1:24" x14ac:dyDescent="0.2">
      <c r="A214" s="115" t="s">
        <v>99</v>
      </c>
      <c r="B214" s="116">
        <f>1/B4</f>
        <v>0.1</v>
      </c>
      <c r="C214" s="117">
        <v>343000</v>
      </c>
      <c r="D214" s="117">
        <f>C214*B214</f>
        <v>34300</v>
      </c>
      <c r="M214" s="7"/>
    </row>
    <row r="215" spans="1:24" ht="16" thickBot="1" x14ac:dyDescent="0.25">
      <c r="A215" s="8" t="s">
        <v>31</v>
      </c>
      <c r="B215" s="8"/>
      <c r="C215" s="8"/>
      <c r="D215" s="9">
        <f>+SUM(D212:D214)</f>
        <v>35300</v>
      </c>
    </row>
    <row r="218" spans="1:24" x14ac:dyDescent="0.2">
      <c r="A218" s="4" t="s">
        <v>32</v>
      </c>
    </row>
    <row r="220" spans="1:24" x14ac:dyDescent="0.2">
      <c r="A220" s="1" t="s">
        <v>12</v>
      </c>
      <c r="B220" s="87" t="s">
        <v>14</v>
      </c>
      <c r="C220" s="87" t="s">
        <v>33</v>
      </c>
      <c r="D220" s="1" t="s">
        <v>34</v>
      </c>
    </row>
    <row r="221" spans="1:24" x14ac:dyDescent="0.2">
      <c r="A221" s="115" t="s">
        <v>35</v>
      </c>
      <c r="B221" s="116">
        <v>2</v>
      </c>
      <c r="C221" s="117">
        <v>500</v>
      </c>
      <c r="D221" s="117">
        <f>C221*B221</f>
        <v>1000</v>
      </c>
    </row>
    <row r="222" spans="1:24" x14ac:dyDescent="0.2">
      <c r="A222" s="115" t="s">
        <v>36</v>
      </c>
      <c r="B222" s="116">
        <v>2</v>
      </c>
      <c r="C222" s="117">
        <v>4000</v>
      </c>
      <c r="D222" s="117">
        <f t="shared" ref="D222:D225" si="32">C222*B222</f>
        <v>8000</v>
      </c>
    </row>
    <row r="223" spans="1:24" x14ac:dyDescent="0.2">
      <c r="A223" s="115" t="s">
        <v>37</v>
      </c>
      <c r="B223" s="116">
        <v>2</v>
      </c>
      <c r="C223" s="117">
        <v>300</v>
      </c>
      <c r="D223" s="117">
        <f t="shared" si="32"/>
        <v>600</v>
      </c>
    </row>
    <row r="224" spans="1:24" x14ac:dyDescent="0.2">
      <c r="A224" s="115" t="s">
        <v>38</v>
      </c>
      <c r="B224" s="116">
        <v>2</v>
      </c>
      <c r="C224" s="117">
        <v>100</v>
      </c>
      <c r="D224" s="117">
        <f t="shared" si="32"/>
        <v>200</v>
      </c>
    </row>
    <row r="225" spans="1:6" x14ac:dyDescent="0.2">
      <c r="A225" s="115" t="s">
        <v>39</v>
      </c>
      <c r="B225" s="116">
        <v>2</v>
      </c>
      <c r="C225" s="117">
        <v>300</v>
      </c>
      <c r="D225" s="117">
        <f t="shared" si="32"/>
        <v>600</v>
      </c>
    </row>
    <row r="227" spans="1:6" ht="16" thickBot="1" x14ac:dyDescent="0.25">
      <c r="A227" s="8" t="s">
        <v>31</v>
      </c>
      <c r="B227" s="9"/>
      <c r="C227" s="8"/>
      <c r="D227" s="9">
        <f>SUM(D221:D226)</f>
        <v>10400</v>
      </c>
    </row>
    <row r="229" spans="1:6" x14ac:dyDescent="0.2">
      <c r="A229" s="135" t="s">
        <v>40</v>
      </c>
      <c r="B229" s="136"/>
      <c r="C229" s="136"/>
      <c r="D229" s="136"/>
    </row>
    <row r="230" spans="1:6" x14ac:dyDescent="0.2">
      <c r="A230" s="136"/>
      <c r="B230" s="136"/>
      <c r="C230" s="136"/>
      <c r="D230" s="136"/>
      <c r="F230" s="7"/>
    </row>
    <row r="231" spans="1:6" ht="16" customHeight="1" x14ac:dyDescent="0.2">
      <c r="A231" s="143" t="s">
        <v>12</v>
      </c>
      <c r="B231" s="143" t="s">
        <v>14</v>
      </c>
      <c r="C231" s="143" t="s">
        <v>33</v>
      </c>
      <c r="D231" s="143" t="s">
        <v>34</v>
      </c>
      <c r="F231" s="7"/>
    </row>
    <row r="232" spans="1:6" x14ac:dyDescent="0.2">
      <c r="A232" s="139" t="s">
        <v>41</v>
      </c>
      <c r="B232" s="144">
        <v>0</v>
      </c>
      <c r="C232" s="145">
        <v>9000</v>
      </c>
      <c r="D232" s="139">
        <f>C232*B232</f>
        <v>0</v>
      </c>
      <c r="F232" s="7"/>
    </row>
    <row r="233" spans="1:6" x14ac:dyDescent="0.2">
      <c r="A233" s="139" t="s">
        <v>42</v>
      </c>
      <c r="B233" s="144">
        <v>1</v>
      </c>
      <c r="C233" s="145">
        <v>1000</v>
      </c>
      <c r="D233" s="139">
        <f t="shared" ref="D233:D236" si="33">C233*B233</f>
        <v>1000</v>
      </c>
      <c r="F233" s="7"/>
    </row>
    <row r="234" spans="1:6" x14ac:dyDescent="0.2">
      <c r="A234" s="139" t="s">
        <v>43</v>
      </c>
      <c r="B234" s="144">
        <v>0</v>
      </c>
      <c r="C234" s="145">
        <v>1200</v>
      </c>
      <c r="D234" s="139">
        <f t="shared" si="33"/>
        <v>0</v>
      </c>
      <c r="F234" s="7"/>
    </row>
    <row r="235" spans="1:6" x14ac:dyDescent="0.2">
      <c r="A235" s="139" t="s">
        <v>44</v>
      </c>
      <c r="B235" s="144">
        <f>1/200</f>
        <v>5.0000000000000001E-3</v>
      </c>
      <c r="C235" s="145">
        <v>70479</v>
      </c>
      <c r="D235" s="139">
        <f t="shared" si="33"/>
        <v>352.39499999999998</v>
      </c>
      <c r="F235" s="7"/>
    </row>
    <row r="236" spans="1:6" x14ac:dyDescent="0.2">
      <c r="A236" s="139" t="s">
        <v>45</v>
      </c>
      <c r="B236" s="144">
        <f>1/200</f>
        <v>5.0000000000000001E-3</v>
      </c>
      <c r="C236" s="145">
        <v>55000</v>
      </c>
      <c r="D236" s="139">
        <f t="shared" si="33"/>
        <v>275</v>
      </c>
      <c r="F236" s="7"/>
    </row>
    <row r="237" spans="1:6" x14ac:dyDescent="0.2">
      <c r="A237" s="136"/>
      <c r="B237" s="148"/>
      <c r="C237" s="136"/>
      <c r="D237" s="136"/>
      <c r="F237" s="7"/>
    </row>
    <row r="238" spans="1:6" ht="16" thickBot="1" x14ac:dyDescent="0.25">
      <c r="A238" s="141" t="s">
        <v>31</v>
      </c>
      <c r="B238" s="151"/>
      <c r="C238" s="141"/>
      <c r="D238" s="151">
        <f>SUM(D232:D237)</f>
        <v>1627.395</v>
      </c>
      <c r="F238" s="7"/>
    </row>
    <row r="239" spans="1:6" x14ac:dyDescent="0.2">
      <c r="B239" s="7"/>
      <c r="D239" s="7"/>
      <c r="F239" s="7"/>
    </row>
    <row r="240" spans="1:6" x14ac:dyDescent="0.2">
      <c r="A240" s="135" t="s">
        <v>46</v>
      </c>
      <c r="B240" s="148"/>
      <c r="C240" s="136"/>
      <c r="D240" s="136"/>
      <c r="F240" s="7"/>
    </row>
    <row r="241" spans="1:6" x14ac:dyDescent="0.2">
      <c r="A241" s="135"/>
      <c r="B241" s="148"/>
      <c r="C241" s="136"/>
      <c r="D241" s="136"/>
      <c r="F241" s="7"/>
    </row>
    <row r="242" spans="1:6" x14ac:dyDescent="0.2">
      <c r="A242" s="143" t="s">
        <v>12</v>
      </c>
      <c r="B242" s="143" t="s">
        <v>14</v>
      </c>
      <c r="C242" s="143" t="s">
        <v>33</v>
      </c>
      <c r="D242" s="143" t="s">
        <v>34</v>
      </c>
      <c r="F242" s="7"/>
    </row>
    <row r="243" spans="1:6" x14ac:dyDescent="0.2">
      <c r="A243" s="139" t="s">
        <v>110</v>
      </c>
      <c r="B243" s="144">
        <v>1</v>
      </c>
      <c r="C243" s="145">
        <v>400</v>
      </c>
      <c r="D243" s="145">
        <f t="shared" ref="D243:D257" si="34">B243*C243</f>
        <v>400</v>
      </c>
      <c r="F243" s="7"/>
    </row>
    <row r="244" spans="1:6" x14ac:dyDescent="0.2">
      <c r="A244" s="139" t="s">
        <v>47</v>
      </c>
      <c r="B244" s="144">
        <v>1</v>
      </c>
      <c r="C244" s="145">
        <v>400</v>
      </c>
      <c r="D244" s="145">
        <f t="shared" si="34"/>
        <v>400</v>
      </c>
      <c r="F244" s="7"/>
    </row>
    <row r="245" spans="1:6" x14ac:dyDescent="0.2">
      <c r="A245" s="139" t="s">
        <v>48</v>
      </c>
      <c r="B245" s="144">
        <v>0</v>
      </c>
      <c r="C245" s="145">
        <v>400</v>
      </c>
      <c r="D245" s="145">
        <f t="shared" si="34"/>
        <v>0</v>
      </c>
      <c r="F245" s="7"/>
    </row>
    <row r="246" spans="1:6" x14ac:dyDescent="0.2">
      <c r="A246" s="139" t="s">
        <v>49</v>
      </c>
      <c r="B246" s="144">
        <v>0</v>
      </c>
      <c r="C246" s="145">
        <v>500</v>
      </c>
      <c r="D246" s="145">
        <f t="shared" si="34"/>
        <v>0</v>
      </c>
      <c r="F246" s="7"/>
    </row>
    <row r="247" spans="1:6" x14ac:dyDescent="0.2">
      <c r="A247" s="139" t="s">
        <v>113</v>
      </c>
      <c r="B247" s="144">
        <v>1</v>
      </c>
      <c r="C247" s="145">
        <v>2000</v>
      </c>
      <c r="D247" s="145">
        <f t="shared" si="34"/>
        <v>2000</v>
      </c>
      <c r="F247" s="7"/>
    </row>
    <row r="248" spans="1:6" x14ac:dyDescent="0.2">
      <c r="A248" s="139" t="s">
        <v>116</v>
      </c>
      <c r="B248" s="144">
        <v>2</v>
      </c>
      <c r="C248" s="145">
        <v>400</v>
      </c>
      <c r="D248" s="145">
        <f t="shared" si="34"/>
        <v>800</v>
      </c>
      <c r="F248" s="7"/>
    </row>
    <row r="249" spans="1:6" x14ac:dyDescent="0.2">
      <c r="A249" s="139" t="s">
        <v>112</v>
      </c>
      <c r="B249" s="144">
        <v>0</v>
      </c>
      <c r="C249" s="145">
        <v>2500</v>
      </c>
      <c r="D249" s="145">
        <f t="shared" si="34"/>
        <v>0</v>
      </c>
      <c r="F249" s="7"/>
    </row>
    <row r="250" spans="1:6" x14ac:dyDescent="0.2">
      <c r="A250" s="149" t="s">
        <v>111</v>
      </c>
      <c r="B250" s="144">
        <v>0</v>
      </c>
      <c r="C250" s="145">
        <v>2000</v>
      </c>
      <c r="D250" s="145">
        <f t="shared" si="34"/>
        <v>0</v>
      </c>
      <c r="F250" s="7"/>
    </row>
    <row r="251" spans="1:6" x14ac:dyDescent="0.2">
      <c r="A251" s="139" t="s">
        <v>50</v>
      </c>
      <c r="B251" s="144">
        <v>1</v>
      </c>
      <c r="C251" s="145">
        <v>5000</v>
      </c>
      <c r="D251" s="145">
        <f t="shared" si="34"/>
        <v>5000</v>
      </c>
      <c r="F251" s="7"/>
    </row>
    <row r="252" spans="1:6" x14ac:dyDescent="0.2">
      <c r="A252" s="139" t="s">
        <v>51</v>
      </c>
      <c r="B252" s="144">
        <v>1</v>
      </c>
      <c r="C252" s="145">
        <v>1000</v>
      </c>
      <c r="D252" s="145">
        <f t="shared" si="34"/>
        <v>1000</v>
      </c>
      <c r="F252" s="7"/>
    </row>
    <row r="253" spans="1:6" x14ac:dyDescent="0.2">
      <c r="A253" s="139" t="s">
        <v>52</v>
      </c>
      <c r="B253" s="144">
        <v>0.05</v>
      </c>
      <c r="C253" s="145">
        <v>8000</v>
      </c>
      <c r="D253" s="145">
        <f t="shared" si="34"/>
        <v>400</v>
      </c>
      <c r="F253" s="7"/>
    </row>
    <row r="254" spans="1:6" x14ac:dyDescent="0.2">
      <c r="A254" s="139" t="s">
        <v>53</v>
      </c>
      <c r="B254" s="144">
        <v>2</v>
      </c>
      <c r="C254" s="145">
        <v>400</v>
      </c>
      <c r="D254" s="145">
        <f t="shared" si="34"/>
        <v>800</v>
      </c>
      <c r="F254" s="7"/>
    </row>
    <row r="255" spans="1:6" x14ac:dyDescent="0.2">
      <c r="A255" s="139" t="s">
        <v>54</v>
      </c>
      <c r="B255" s="144">
        <v>0.1</v>
      </c>
      <c r="C255" s="145">
        <v>500</v>
      </c>
      <c r="D255" s="145">
        <f t="shared" si="34"/>
        <v>50</v>
      </c>
      <c r="F255" s="7"/>
    </row>
    <row r="256" spans="1:6" x14ac:dyDescent="0.2">
      <c r="A256" s="139" t="s">
        <v>55</v>
      </c>
      <c r="B256" s="144">
        <v>0.5</v>
      </c>
      <c r="C256" s="145">
        <v>500</v>
      </c>
      <c r="D256" s="145">
        <f t="shared" si="34"/>
        <v>250</v>
      </c>
      <c r="F256" s="7"/>
    </row>
    <row r="257" spans="1:20" x14ac:dyDescent="0.2">
      <c r="A257" s="139" t="s">
        <v>56</v>
      </c>
      <c r="B257" s="144">
        <f>1/60</f>
        <v>1.6666666666666666E-2</v>
      </c>
      <c r="C257" s="145">
        <v>1500</v>
      </c>
      <c r="D257" s="145">
        <f t="shared" si="34"/>
        <v>25</v>
      </c>
      <c r="F257" s="7"/>
    </row>
    <row r="258" spans="1:20" x14ac:dyDescent="0.2">
      <c r="A258" s="136"/>
      <c r="B258" s="136"/>
      <c r="C258" s="136"/>
      <c r="D258" s="150"/>
      <c r="F258" s="7"/>
    </row>
    <row r="259" spans="1:20" ht="16" thickBot="1" x14ac:dyDescent="0.25">
      <c r="A259" s="141" t="s">
        <v>31</v>
      </c>
      <c r="B259" s="151"/>
      <c r="C259" s="141"/>
      <c r="D259" s="151">
        <f>SUM(D243:D258)</f>
        <v>11125</v>
      </c>
      <c r="F259" s="7"/>
    </row>
    <row r="260" spans="1:20" x14ac:dyDescent="0.2">
      <c r="A260" s="136"/>
      <c r="B260" s="150"/>
      <c r="C260" s="140">
        <f>+$B$102*B270</f>
        <v>304000</v>
      </c>
      <c r="D260" s="150"/>
      <c r="F260" s="7"/>
    </row>
    <row r="261" spans="1:20" x14ac:dyDescent="0.2">
      <c r="F261" s="7"/>
    </row>
    <row r="262" spans="1:20" x14ac:dyDescent="0.2">
      <c r="A262" s="4" t="s">
        <v>57</v>
      </c>
    </row>
    <row r="263" spans="1:20" x14ac:dyDescent="0.2">
      <c r="A263" s="14" t="s">
        <v>58</v>
      </c>
      <c r="B263" s="14">
        <v>230</v>
      </c>
      <c r="E263" s="14" t="s">
        <v>58</v>
      </c>
      <c r="F263" s="14">
        <v>230</v>
      </c>
    </row>
    <row r="264" spans="1:20" x14ac:dyDescent="0.2">
      <c r="A264" s="20" t="s">
        <v>59</v>
      </c>
      <c r="B264" s="14">
        <v>2</v>
      </c>
      <c r="E264" s="14" t="s">
        <v>59</v>
      </c>
      <c r="F264" s="14">
        <v>1</v>
      </c>
    </row>
    <row r="265" spans="1:20" x14ac:dyDescent="0.2">
      <c r="A265" s="1" t="s">
        <v>60</v>
      </c>
      <c r="B265" s="1" t="s">
        <v>61</v>
      </c>
      <c r="C265" s="1" t="s">
        <v>62</v>
      </c>
      <c r="D265" s="19"/>
      <c r="E265" s="1" t="s">
        <v>63</v>
      </c>
      <c r="F265" s="1" t="s">
        <v>61</v>
      </c>
      <c r="G265" s="1" t="s">
        <v>62</v>
      </c>
    </row>
    <row r="266" spans="1:20" x14ac:dyDescent="0.2">
      <c r="A266" s="115" t="s">
        <v>64</v>
      </c>
      <c r="B266" s="118">
        <v>4000000</v>
      </c>
      <c r="C266" s="115"/>
      <c r="E266" s="115" t="s">
        <v>64</v>
      </c>
      <c r="F266" s="118">
        <v>1500000</v>
      </c>
      <c r="G266" s="115"/>
    </row>
    <row r="267" spans="1:20" x14ac:dyDescent="0.2">
      <c r="A267" s="115" t="s">
        <v>65</v>
      </c>
      <c r="B267" s="115"/>
      <c r="C267" s="115"/>
      <c r="E267" s="115" t="s">
        <v>65</v>
      </c>
      <c r="F267" s="115"/>
      <c r="G267" s="115"/>
    </row>
    <row r="268" spans="1:20" x14ac:dyDescent="0.2">
      <c r="A268" s="115" t="s">
        <v>64</v>
      </c>
      <c r="B268" s="115"/>
      <c r="C268" s="115"/>
      <c r="E268" s="115" t="s">
        <v>64</v>
      </c>
      <c r="F268" s="115"/>
      <c r="G268" s="115"/>
      <c r="J268" s="46"/>
    </row>
    <row r="269" spans="1:20" x14ac:dyDescent="0.2">
      <c r="A269" s="115" t="s">
        <v>66</v>
      </c>
      <c r="B269" s="115"/>
      <c r="C269" s="115"/>
      <c r="E269" s="115" t="s">
        <v>66</v>
      </c>
      <c r="F269" s="115"/>
      <c r="G269" s="115"/>
      <c r="R269" s="44"/>
      <c r="S269" s="44"/>
      <c r="T269" s="44"/>
    </row>
    <row r="270" spans="1:20" x14ac:dyDescent="0.2">
      <c r="A270" s="115" t="s">
        <v>67</v>
      </c>
      <c r="B270" s="119">
        <v>0.08</v>
      </c>
      <c r="C270" s="118">
        <f>+$B$102*B270</f>
        <v>304000</v>
      </c>
      <c r="E270" s="115" t="s">
        <v>67</v>
      </c>
      <c r="F270" s="119">
        <v>0.08</v>
      </c>
      <c r="G270" s="118">
        <f t="shared" ref="G270:G279" si="35">+$F$102*F270</f>
        <v>120000</v>
      </c>
      <c r="R270" s="44"/>
      <c r="S270" s="44"/>
      <c r="T270" s="44"/>
    </row>
    <row r="271" spans="1:20" x14ac:dyDescent="0.2">
      <c r="A271" s="115" t="s">
        <v>68</v>
      </c>
      <c r="B271" s="119">
        <v>0.08</v>
      </c>
      <c r="C271" s="118">
        <f>+$B$102*B271</f>
        <v>304000</v>
      </c>
      <c r="E271" s="115" t="s">
        <v>68</v>
      </c>
      <c r="F271" s="119">
        <v>0.08</v>
      </c>
      <c r="G271" s="118">
        <f t="shared" si="35"/>
        <v>120000</v>
      </c>
      <c r="I271" s="19"/>
      <c r="J271" s="19"/>
      <c r="K271" s="19"/>
      <c r="M271" s="19"/>
      <c r="N271" s="19"/>
      <c r="O271" s="19"/>
      <c r="R271" s="48"/>
      <c r="S271" s="48"/>
      <c r="T271" s="48"/>
    </row>
    <row r="272" spans="1:20" x14ac:dyDescent="0.2">
      <c r="A272" s="115" t="s">
        <v>69</v>
      </c>
      <c r="B272" s="119">
        <v>0.04</v>
      </c>
      <c r="C272" s="118">
        <f t="shared" ref="C272:C279" si="36">+$B$102*B272</f>
        <v>152000</v>
      </c>
      <c r="E272" s="115" t="s">
        <v>69</v>
      </c>
      <c r="F272" s="119">
        <v>0.04</v>
      </c>
      <c r="G272" s="118">
        <f t="shared" si="35"/>
        <v>60000</v>
      </c>
      <c r="J272" s="15"/>
      <c r="N272" s="15"/>
      <c r="R272" s="44"/>
      <c r="S272" s="49"/>
      <c r="T272" s="44"/>
    </row>
    <row r="273" spans="1:20" x14ac:dyDescent="0.2">
      <c r="A273" s="115" t="s">
        <v>70</v>
      </c>
      <c r="B273" s="119">
        <v>0.01</v>
      </c>
      <c r="C273" s="118">
        <f t="shared" si="36"/>
        <v>38000</v>
      </c>
      <c r="E273" s="115" t="s">
        <v>70</v>
      </c>
      <c r="F273" s="119">
        <v>0.01</v>
      </c>
      <c r="G273" s="118">
        <f t="shared" si="35"/>
        <v>15000</v>
      </c>
      <c r="R273" s="44"/>
      <c r="S273" s="44"/>
      <c r="T273" s="44"/>
    </row>
    <row r="274" spans="1:20" x14ac:dyDescent="0.2">
      <c r="A274" s="115" t="s">
        <v>71</v>
      </c>
      <c r="B274" s="119">
        <v>8.5000000000000006E-2</v>
      </c>
      <c r="C274" s="118">
        <f t="shared" si="36"/>
        <v>323000</v>
      </c>
      <c r="E274" s="115" t="s">
        <v>71</v>
      </c>
      <c r="F274" s="119">
        <v>8.5000000000000006E-2</v>
      </c>
      <c r="G274" s="118">
        <f t="shared" si="35"/>
        <v>127500.00000000001</v>
      </c>
      <c r="R274" s="44"/>
      <c r="S274" s="44"/>
      <c r="T274" s="44"/>
    </row>
    <row r="275" spans="1:20" x14ac:dyDescent="0.2">
      <c r="A275" s="115" t="s">
        <v>72</v>
      </c>
      <c r="B275" s="119">
        <v>0.12</v>
      </c>
      <c r="C275" s="118">
        <f t="shared" si="36"/>
        <v>456000</v>
      </c>
      <c r="E275" s="115" t="s">
        <v>72</v>
      </c>
      <c r="F275" s="119">
        <v>0.12</v>
      </c>
      <c r="G275" s="118">
        <f t="shared" si="35"/>
        <v>180000</v>
      </c>
      <c r="R275" s="44"/>
      <c r="S275" s="44"/>
      <c r="T275" s="44"/>
    </row>
    <row r="276" spans="1:20" x14ac:dyDescent="0.2">
      <c r="A276" s="115" t="s">
        <v>73</v>
      </c>
      <c r="B276" s="119">
        <v>0.02</v>
      </c>
      <c r="C276" s="118">
        <f t="shared" si="36"/>
        <v>76000</v>
      </c>
      <c r="E276" s="115" t="s">
        <v>73</v>
      </c>
      <c r="F276" s="119">
        <v>2.4E-2</v>
      </c>
      <c r="G276" s="118">
        <f t="shared" si="35"/>
        <v>36000</v>
      </c>
      <c r="J276" s="47"/>
      <c r="K276" s="15"/>
      <c r="N276" s="47"/>
      <c r="O276" s="15"/>
      <c r="R276" s="44"/>
      <c r="S276" s="50"/>
      <c r="T276" s="49"/>
    </row>
    <row r="277" spans="1:20" x14ac:dyDescent="0.2">
      <c r="A277" s="115" t="s">
        <v>74</v>
      </c>
      <c r="B277" s="119">
        <v>0.04</v>
      </c>
      <c r="C277" s="118">
        <f t="shared" si="36"/>
        <v>152000</v>
      </c>
      <c r="E277" s="115" t="s">
        <v>74</v>
      </c>
      <c r="F277" s="119">
        <v>0.04</v>
      </c>
      <c r="G277" s="118">
        <f t="shared" si="35"/>
        <v>60000</v>
      </c>
      <c r="J277" s="47"/>
      <c r="K277" s="15"/>
      <c r="N277" s="47"/>
      <c r="O277" s="15"/>
      <c r="R277" s="44"/>
      <c r="S277" s="50"/>
      <c r="T277" s="49"/>
    </row>
    <row r="278" spans="1:20" x14ac:dyDescent="0.2">
      <c r="A278" s="115" t="s">
        <v>75</v>
      </c>
      <c r="B278" s="119">
        <v>0.02</v>
      </c>
      <c r="C278" s="118">
        <f t="shared" si="36"/>
        <v>76000</v>
      </c>
      <c r="E278" s="115" t="s">
        <v>75</v>
      </c>
      <c r="F278" s="119">
        <v>0.02</v>
      </c>
      <c r="G278" s="118">
        <f t="shared" si="35"/>
        <v>30000</v>
      </c>
      <c r="J278" s="47"/>
      <c r="K278" s="15"/>
      <c r="N278" s="47"/>
      <c r="O278" s="15"/>
      <c r="R278" s="44"/>
      <c r="S278" s="50"/>
      <c r="T278" s="49"/>
    </row>
    <row r="279" spans="1:20" x14ac:dyDescent="0.2">
      <c r="A279" s="115" t="s">
        <v>76</v>
      </c>
      <c r="B279" s="119">
        <v>0.03</v>
      </c>
      <c r="C279" s="118">
        <f t="shared" si="36"/>
        <v>114000</v>
      </c>
      <c r="E279" s="115" t="s">
        <v>76</v>
      </c>
      <c r="F279" s="119">
        <v>0.03</v>
      </c>
      <c r="G279" s="118">
        <f t="shared" si="35"/>
        <v>45000</v>
      </c>
      <c r="J279" s="47"/>
      <c r="K279" s="15"/>
      <c r="N279" s="47"/>
      <c r="O279" s="15"/>
      <c r="R279" s="44"/>
      <c r="S279" s="50"/>
      <c r="T279" s="49"/>
    </row>
    <row r="280" spans="1:20" x14ac:dyDescent="0.2">
      <c r="A280" s="115" t="s">
        <v>77</v>
      </c>
      <c r="B280" s="115"/>
      <c r="C280" s="118">
        <f>SUM(C270:C279)</f>
        <v>1995000</v>
      </c>
      <c r="E280" s="120" t="s">
        <v>78</v>
      </c>
      <c r="F280" s="115"/>
      <c r="G280" s="118">
        <v>117000</v>
      </c>
      <c r="J280" s="47"/>
      <c r="K280" s="15"/>
      <c r="N280" s="47"/>
      <c r="O280" s="15"/>
      <c r="R280" s="44"/>
      <c r="S280" s="50"/>
      <c r="T280" s="49"/>
    </row>
    <row r="281" spans="1:20" x14ac:dyDescent="0.2">
      <c r="A281" s="115" t="s">
        <v>79</v>
      </c>
      <c r="B281" s="115"/>
      <c r="C281" s="118">
        <f>+C280+B266</f>
        <v>5995000</v>
      </c>
      <c r="E281" s="115" t="s">
        <v>80</v>
      </c>
      <c r="F281" s="115"/>
      <c r="G281" s="118">
        <f>SUM(G270:G280)</f>
        <v>910500</v>
      </c>
      <c r="J281" s="47"/>
      <c r="K281" s="15"/>
      <c r="N281" s="47"/>
      <c r="O281" s="15"/>
      <c r="R281" s="44"/>
      <c r="S281" s="50"/>
      <c r="T281" s="49"/>
    </row>
    <row r="282" spans="1:20" x14ac:dyDescent="0.2">
      <c r="A282" s="3"/>
      <c r="B282" s="3"/>
      <c r="C282" s="3"/>
      <c r="E282" s="120" t="s">
        <v>81</v>
      </c>
      <c r="F282" s="115"/>
      <c r="G282" s="118">
        <f>+G281+F266</f>
        <v>2410500</v>
      </c>
      <c r="J282" s="47"/>
      <c r="K282" s="15"/>
      <c r="N282" s="47"/>
      <c r="O282" s="15"/>
      <c r="R282" s="44"/>
      <c r="S282" s="50"/>
      <c r="T282" s="49"/>
    </row>
    <row r="283" spans="1:20" x14ac:dyDescent="0.2">
      <c r="A283" s="12" t="s">
        <v>82</v>
      </c>
      <c r="B283" s="3"/>
      <c r="C283" s="10">
        <f>+C281/B263</f>
        <v>26065.217391304348</v>
      </c>
      <c r="E283" s="115" t="s">
        <v>83</v>
      </c>
      <c r="F283" s="115"/>
      <c r="G283" s="118">
        <f>+G282/B263</f>
        <v>10480.434782608696</v>
      </c>
      <c r="J283" s="47"/>
      <c r="K283" s="15"/>
      <c r="N283" s="47"/>
      <c r="O283" s="15"/>
      <c r="R283" s="44"/>
      <c r="S283" s="50"/>
      <c r="T283" s="49"/>
    </row>
    <row r="284" spans="1:20" x14ac:dyDescent="0.2">
      <c r="F284" s="47"/>
      <c r="G284" s="15"/>
      <c r="J284" s="47"/>
      <c r="K284" s="15"/>
      <c r="N284" s="47"/>
      <c r="O284" s="15"/>
      <c r="R284" s="44"/>
      <c r="S284" s="50"/>
      <c r="T284" s="49"/>
    </row>
    <row r="285" spans="1:20" x14ac:dyDescent="0.2">
      <c r="A285" s="4"/>
      <c r="F285" s="47"/>
      <c r="G285" s="15"/>
    </row>
    <row r="286" spans="1:20" x14ac:dyDescent="0.2">
      <c r="A286" s="135" t="s">
        <v>84</v>
      </c>
      <c r="B286" s="136"/>
      <c r="C286" s="136"/>
      <c r="F286" s="47"/>
      <c r="G286" s="15"/>
    </row>
    <row r="287" spans="1:20" x14ac:dyDescent="0.2">
      <c r="A287" s="137"/>
      <c r="B287" s="137"/>
      <c r="C287" s="136"/>
      <c r="F287" s="47"/>
      <c r="G287" s="15"/>
    </row>
    <row r="288" spans="1:20" x14ac:dyDescent="0.2">
      <c r="A288" s="138" t="s">
        <v>85</v>
      </c>
      <c r="B288" s="138" t="s">
        <v>86</v>
      </c>
      <c r="C288" s="138" t="s">
        <v>87</v>
      </c>
      <c r="F288" s="47"/>
      <c r="G288" s="15"/>
    </row>
    <row r="289" spans="1:9" x14ac:dyDescent="0.2">
      <c r="A289" s="139" t="s">
        <v>88</v>
      </c>
      <c r="B289" s="140">
        <v>2388262</v>
      </c>
      <c r="C289" s="140">
        <f>B289/$E$4/B$3</f>
        <v>1990.2183333333332</v>
      </c>
      <c r="F289" s="47"/>
      <c r="G289" s="15"/>
    </row>
    <row r="290" spans="1:9" x14ac:dyDescent="0.2">
      <c r="A290" s="139" t="s">
        <v>89</v>
      </c>
      <c r="B290" s="140">
        <v>6775276.5</v>
      </c>
      <c r="C290" s="140">
        <f t="shared" ref="C290:C293" si="37">B290/$E$4/B$3</f>
        <v>5646.0637500000003</v>
      </c>
      <c r="F290" s="47"/>
      <c r="G290" s="15"/>
    </row>
    <row r="291" spans="1:9" x14ac:dyDescent="0.2">
      <c r="A291" s="139" t="s">
        <v>90</v>
      </c>
      <c r="B291" s="140">
        <v>4783964.3999999994</v>
      </c>
      <c r="C291" s="140">
        <f t="shared" si="37"/>
        <v>3986.6369999999997</v>
      </c>
      <c r="G291" s="15"/>
    </row>
    <row r="292" spans="1:9" x14ac:dyDescent="0.2">
      <c r="A292" s="139" t="s">
        <v>91</v>
      </c>
      <c r="B292" s="140">
        <v>6688000</v>
      </c>
      <c r="C292" s="140">
        <f t="shared" si="37"/>
        <v>5573.333333333333</v>
      </c>
      <c r="D292" s="27"/>
      <c r="E292" s="27"/>
      <c r="G292" s="15"/>
    </row>
    <row r="293" spans="1:9" x14ac:dyDescent="0.2">
      <c r="A293" s="139" t="s">
        <v>92</v>
      </c>
      <c r="B293" s="140">
        <v>63000</v>
      </c>
      <c r="C293" s="140">
        <f t="shared" si="37"/>
        <v>52.5</v>
      </c>
      <c r="G293" s="15"/>
    </row>
    <row r="294" spans="1:9" ht="16" thickBot="1" x14ac:dyDescent="0.25">
      <c r="A294" s="141" t="s">
        <v>31</v>
      </c>
      <c r="B294" s="141"/>
      <c r="C294" s="142">
        <f>SUM(C289:C293)</f>
        <v>17248.752416666666</v>
      </c>
      <c r="G294" s="15"/>
    </row>
    <row r="296" spans="1:9" x14ac:dyDescent="0.2">
      <c r="A296" s="135" t="s">
        <v>128</v>
      </c>
      <c r="B296" s="136"/>
      <c r="C296" s="136"/>
      <c r="D296" s="136"/>
    </row>
    <row r="297" spans="1:9" x14ac:dyDescent="0.2">
      <c r="A297" s="136"/>
      <c r="B297" s="136"/>
      <c r="C297" s="136"/>
      <c r="D297" s="136"/>
      <c r="H297" s="37"/>
    </row>
    <row r="298" spans="1:9" x14ac:dyDescent="0.2">
      <c r="A298" s="136"/>
      <c r="B298" s="143" t="s">
        <v>14</v>
      </c>
      <c r="C298" s="143" t="s">
        <v>33</v>
      </c>
      <c r="D298" s="143" t="s">
        <v>34</v>
      </c>
    </row>
    <row r="299" spans="1:9" x14ac:dyDescent="0.2">
      <c r="A299" s="139" t="s">
        <v>117</v>
      </c>
      <c r="B299" s="144">
        <v>1</v>
      </c>
      <c r="C299" s="145">
        <v>10000000</v>
      </c>
      <c r="D299" s="145">
        <f t="shared" ref="D299:D309" si="38">B299*C299</f>
        <v>10000000</v>
      </c>
    </row>
    <row r="300" spans="1:9" x14ac:dyDescent="0.2">
      <c r="A300" s="139" t="s">
        <v>118</v>
      </c>
      <c r="B300" s="144">
        <v>12</v>
      </c>
      <c r="C300" s="145">
        <v>4000000</v>
      </c>
      <c r="D300" s="145">
        <f t="shared" si="38"/>
        <v>48000000</v>
      </c>
    </row>
    <row r="301" spans="1:9" x14ac:dyDescent="0.2">
      <c r="A301" s="139" t="s">
        <v>119</v>
      </c>
      <c r="B301" s="144">
        <v>6</v>
      </c>
      <c r="C301" s="145">
        <v>1000000</v>
      </c>
      <c r="D301" s="145">
        <f t="shared" si="38"/>
        <v>6000000</v>
      </c>
    </row>
    <row r="302" spans="1:9" x14ac:dyDescent="0.2">
      <c r="A302" s="139" t="s">
        <v>120</v>
      </c>
      <c r="B302" s="144">
        <v>1</v>
      </c>
      <c r="C302" s="145">
        <v>1000000</v>
      </c>
      <c r="D302" s="145">
        <f t="shared" si="38"/>
        <v>1000000</v>
      </c>
      <c r="I302" s="37"/>
    </row>
    <row r="303" spans="1:9" x14ac:dyDescent="0.2">
      <c r="A303" s="139" t="s">
        <v>121</v>
      </c>
      <c r="B303" s="144">
        <v>6</v>
      </c>
      <c r="C303" s="145">
        <v>2000000</v>
      </c>
      <c r="D303" s="145">
        <f t="shared" si="38"/>
        <v>12000000</v>
      </c>
    </row>
    <row r="304" spans="1:9" x14ac:dyDescent="0.2">
      <c r="A304" s="139" t="s">
        <v>122</v>
      </c>
      <c r="B304" s="144">
        <v>3</v>
      </c>
      <c r="C304" s="145">
        <v>2500000</v>
      </c>
      <c r="D304" s="145">
        <f t="shared" si="38"/>
        <v>7500000</v>
      </c>
      <c r="F304" s="27"/>
      <c r="G304" s="27"/>
    </row>
    <row r="305" spans="1:9" x14ac:dyDescent="0.2">
      <c r="A305" s="139" t="s">
        <v>123</v>
      </c>
      <c r="B305" s="144">
        <v>10</v>
      </c>
      <c r="C305" s="145">
        <v>400000</v>
      </c>
      <c r="D305" s="145">
        <f t="shared" si="38"/>
        <v>4000000</v>
      </c>
      <c r="G305" s="29"/>
    </row>
    <row r="306" spans="1:9" x14ac:dyDescent="0.2">
      <c r="A306" s="139" t="s">
        <v>124</v>
      </c>
      <c r="B306" s="144">
        <v>1</v>
      </c>
      <c r="C306" s="145">
        <v>5000000</v>
      </c>
      <c r="D306" s="145">
        <f t="shared" si="38"/>
        <v>5000000</v>
      </c>
      <c r="H306" s="30"/>
    </row>
    <row r="307" spans="1:9" x14ac:dyDescent="0.2">
      <c r="A307" s="139" t="s">
        <v>125</v>
      </c>
      <c r="B307" s="144">
        <v>2</v>
      </c>
      <c r="C307" s="145">
        <v>2000000</v>
      </c>
      <c r="D307" s="145">
        <f t="shared" si="38"/>
        <v>4000000</v>
      </c>
      <c r="H307" s="29"/>
    </row>
    <row r="308" spans="1:9" x14ac:dyDescent="0.2">
      <c r="A308" s="139" t="s">
        <v>126</v>
      </c>
      <c r="B308" s="144">
        <v>5</v>
      </c>
      <c r="C308" s="145">
        <v>400000</v>
      </c>
      <c r="D308" s="145">
        <f t="shared" si="38"/>
        <v>2000000</v>
      </c>
      <c r="H308" s="29"/>
    </row>
    <row r="309" spans="1:9" x14ac:dyDescent="0.2">
      <c r="A309" s="139" t="s">
        <v>127</v>
      </c>
      <c r="B309" s="144">
        <v>1</v>
      </c>
      <c r="C309" s="145">
        <v>10000000</v>
      </c>
      <c r="D309" s="145">
        <f t="shared" si="38"/>
        <v>10000000</v>
      </c>
      <c r="H309" s="29"/>
    </row>
    <row r="310" spans="1:9" ht="16" thickBot="1" x14ac:dyDescent="0.25">
      <c r="A310" s="141" t="s">
        <v>31</v>
      </c>
      <c r="B310" s="141"/>
      <c r="C310" s="141"/>
      <c r="D310" s="146">
        <f>SUM(D299:D309)</f>
        <v>109500000</v>
      </c>
      <c r="H310" s="29"/>
    </row>
    <row r="311" spans="1:9" x14ac:dyDescent="0.2">
      <c r="A311" s="136" t="s">
        <v>129</v>
      </c>
      <c r="B311" s="136"/>
      <c r="C311" s="136"/>
      <c r="D311" s="147">
        <f>D310/12</f>
        <v>9125000</v>
      </c>
      <c r="H311" s="29"/>
    </row>
    <row r="312" spans="1:9" x14ac:dyDescent="0.2">
      <c r="A312" s="136" t="s">
        <v>138</v>
      </c>
      <c r="B312" s="136"/>
      <c r="C312" s="136"/>
      <c r="D312" s="147">
        <f>D311/B3</f>
        <v>2281250</v>
      </c>
      <c r="H312" s="2"/>
      <c r="I312" s="30"/>
    </row>
    <row r="313" spans="1:9" x14ac:dyDescent="0.2">
      <c r="A313" s="136" t="s">
        <v>140</v>
      </c>
      <c r="B313" s="136"/>
      <c r="C313" s="136"/>
      <c r="D313" s="147">
        <f>D312/D161</f>
        <v>7604.166666666667</v>
      </c>
      <c r="H313" s="2"/>
      <c r="I313" s="30"/>
    </row>
    <row r="314" spans="1:9" x14ac:dyDescent="0.2">
      <c r="H314" s="2"/>
      <c r="I314" s="30"/>
    </row>
    <row r="315" spans="1:9" x14ac:dyDescent="0.2">
      <c r="A315" s="25"/>
      <c r="B315" s="25"/>
      <c r="C315" s="55"/>
      <c r="D315" s="25"/>
      <c r="E315" s="25"/>
      <c r="I315" s="30"/>
    </row>
    <row r="316" spans="1:9" ht="16" x14ac:dyDescent="0.2">
      <c r="A316" s="25"/>
      <c r="B316" s="56"/>
      <c r="C316" s="56"/>
      <c r="D316" s="56"/>
      <c r="E316" s="25"/>
      <c r="I316" s="30"/>
    </row>
    <row r="317" spans="1:9" ht="16" x14ac:dyDescent="0.2">
      <c r="A317" s="25"/>
      <c r="B317" s="57"/>
      <c r="C317" s="57"/>
      <c r="D317" s="57"/>
      <c r="E317" s="25"/>
      <c r="I317" s="35"/>
    </row>
    <row r="318" spans="1:9" x14ac:dyDescent="0.2">
      <c r="A318" s="25"/>
      <c r="B318" s="55"/>
      <c r="C318" s="55"/>
      <c r="D318" s="55"/>
      <c r="E318" s="25"/>
      <c r="I318" s="36"/>
    </row>
    <row r="319" spans="1:9" x14ac:dyDescent="0.2">
      <c r="A319" s="25"/>
      <c r="B319" s="25"/>
      <c r="C319" s="25"/>
      <c r="D319" s="25"/>
      <c r="E319" s="25"/>
      <c r="I319" s="36"/>
    </row>
    <row r="320" spans="1:9" x14ac:dyDescent="0.2">
      <c r="A320" s="25"/>
      <c r="B320" s="25"/>
      <c r="C320" s="25"/>
      <c r="D320" s="25"/>
      <c r="E320" s="25"/>
    </row>
    <row r="321" spans="1:5" x14ac:dyDescent="0.2">
      <c r="A321" s="25"/>
      <c r="B321" s="25"/>
      <c r="C321" s="25"/>
      <c r="D321" s="25"/>
      <c r="E321" s="25"/>
    </row>
    <row r="322" spans="1:5" x14ac:dyDescent="0.2">
      <c r="A322" s="25"/>
      <c r="B322" s="25"/>
      <c r="C322" s="25"/>
      <c r="D322" s="25"/>
      <c r="E322" s="25"/>
    </row>
    <row r="323" spans="1:5" x14ac:dyDescent="0.2">
      <c r="A323" s="25"/>
      <c r="B323" s="25"/>
      <c r="C323" s="25"/>
      <c r="D323" s="25"/>
      <c r="E323" s="25"/>
    </row>
    <row r="324" spans="1:5" x14ac:dyDescent="0.2">
      <c r="A324" s="25"/>
      <c r="B324" s="25"/>
      <c r="C324" s="25"/>
      <c r="D324" s="25"/>
      <c r="E324" s="25"/>
    </row>
    <row r="325" spans="1:5" x14ac:dyDescent="0.2">
      <c r="A325" s="25"/>
      <c r="B325" s="25"/>
      <c r="C325" s="25"/>
      <c r="D325" s="25"/>
      <c r="E325" s="25"/>
    </row>
  </sheetData>
  <mergeCells count="2">
    <mergeCell ref="D126:G126"/>
    <mergeCell ref="A155:D15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313A9-C4FC-CF4E-895F-FFFD8D968FA4}">
  <dimension ref="A6:I53"/>
  <sheetViews>
    <sheetView showGridLines="0" topLeftCell="A11" zoomScale="114" zoomScaleNormal="114" workbookViewId="0">
      <selection activeCell="A27" sqref="A27"/>
    </sheetView>
  </sheetViews>
  <sheetFormatPr baseColWidth="10" defaultColWidth="8.83203125" defaultRowHeight="15" x14ac:dyDescent="0.2"/>
  <cols>
    <col min="1" max="1" width="42.5" bestFit="1" customWidth="1"/>
    <col min="2" max="2" width="14" bestFit="1" customWidth="1"/>
    <col min="3" max="3" width="17.83203125" bestFit="1" customWidth="1"/>
    <col min="4" max="4" width="15.1640625" bestFit="1" customWidth="1"/>
    <col min="5" max="5" width="17.83203125" bestFit="1" customWidth="1"/>
    <col min="6" max="6" width="38.1640625" bestFit="1" customWidth="1"/>
    <col min="7" max="7" width="12.5" bestFit="1" customWidth="1"/>
    <col min="8" max="8" width="13.5" bestFit="1" customWidth="1"/>
    <col min="9" max="9" width="9.83203125" bestFit="1" customWidth="1"/>
  </cols>
  <sheetData>
    <row r="6" spans="1:2" x14ac:dyDescent="0.2">
      <c r="A6" t="s">
        <v>103</v>
      </c>
      <c r="B6" t="s">
        <v>104</v>
      </c>
    </row>
    <row r="7" spans="1:2" x14ac:dyDescent="0.2">
      <c r="A7" t="s">
        <v>105</v>
      </c>
      <c r="B7">
        <v>150</v>
      </c>
    </row>
    <row r="13" spans="1:2" x14ac:dyDescent="0.2">
      <c r="A13" t="s">
        <v>106</v>
      </c>
    </row>
    <row r="14" spans="1:2" x14ac:dyDescent="0.2">
      <c r="A14" s="2" t="s">
        <v>6</v>
      </c>
    </row>
    <row r="15" spans="1:2" x14ac:dyDescent="0.2">
      <c r="A15" s="4" t="s">
        <v>11</v>
      </c>
    </row>
    <row r="17" spans="1:6" x14ac:dyDescent="0.2">
      <c r="A17" s="1" t="s">
        <v>12</v>
      </c>
      <c r="B17" s="1" t="s">
        <v>107</v>
      </c>
      <c r="C17" s="1" t="s">
        <v>15</v>
      </c>
      <c r="D17" s="1" t="s">
        <v>16</v>
      </c>
      <c r="E17" s="1" t="s">
        <v>17</v>
      </c>
      <c r="F17" s="1" t="s">
        <v>18</v>
      </c>
    </row>
    <row r="18" spans="1:6" x14ac:dyDescent="0.2">
      <c r="A18" s="3" t="s">
        <v>19</v>
      </c>
      <c r="B18" s="5">
        <v>20.54</v>
      </c>
      <c r="C18" s="6">
        <v>40857</v>
      </c>
      <c r="D18" s="6">
        <v>839202.77999999991</v>
      </c>
      <c r="E18" s="6">
        <f>C18*1.9</f>
        <v>77628.3</v>
      </c>
      <c r="F18" s="6">
        <f>E18*B18</f>
        <v>1594485.2819999999</v>
      </c>
    </row>
    <row r="19" spans="1:6" x14ac:dyDescent="0.2">
      <c r="A19" s="3" t="s">
        <v>20</v>
      </c>
      <c r="B19" s="5">
        <v>22.95</v>
      </c>
      <c r="C19" s="6">
        <v>10814</v>
      </c>
      <c r="D19" s="6">
        <v>248181.3</v>
      </c>
      <c r="E19" s="6">
        <f t="shared" ref="E19:E29" si="0">C19*1.9</f>
        <v>20546.599999999999</v>
      </c>
      <c r="F19" s="6">
        <f t="shared" ref="F19:F29" si="1">E19*B19</f>
        <v>471544.47</v>
      </c>
    </row>
    <row r="20" spans="1:6" x14ac:dyDescent="0.2">
      <c r="A20" s="3" t="s">
        <v>21</v>
      </c>
      <c r="B20" s="5">
        <v>0.3624</v>
      </c>
      <c r="C20" s="6">
        <v>393</v>
      </c>
      <c r="D20" s="6">
        <v>142.42320000000001</v>
      </c>
      <c r="E20" s="6">
        <f t="shared" si="0"/>
        <v>746.69999999999993</v>
      </c>
      <c r="F20" s="6">
        <f t="shared" si="1"/>
        <v>270.60407999999995</v>
      </c>
    </row>
    <row r="21" spans="1:6" x14ac:dyDescent="0.2">
      <c r="A21" s="3" t="s">
        <v>22</v>
      </c>
      <c r="B21" s="5">
        <v>1.57</v>
      </c>
      <c r="C21" s="6">
        <v>262</v>
      </c>
      <c r="D21" s="6">
        <v>411.34</v>
      </c>
      <c r="E21" s="6">
        <f t="shared" si="0"/>
        <v>497.79999999999995</v>
      </c>
      <c r="F21" s="6">
        <f t="shared" si="1"/>
        <v>781.54599999999994</v>
      </c>
    </row>
    <row r="22" spans="1:6" x14ac:dyDescent="0.2">
      <c r="A22" s="3" t="s">
        <v>23</v>
      </c>
      <c r="B22" s="5">
        <v>0.60399999999999998</v>
      </c>
      <c r="C22" s="6">
        <v>263</v>
      </c>
      <c r="D22" s="6">
        <v>158.852</v>
      </c>
      <c r="E22" s="6">
        <f t="shared" si="0"/>
        <v>499.7</v>
      </c>
      <c r="F22" s="6">
        <f t="shared" si="1"/>
        <v>301.81880000000001</v>
      </c>
    </row>
    <row r="23" spans="1:6" x14ac:dyDescent="0.2">
      <c r="A23" s="3" t="s">
        <v>24</v>
      </c>
      <c r="B23" s="5">
        <v>0.3624</v>
      </c>
      <c r="C23" s="6">
        <v>319</v>
      </c>
      <c r="D23" s="6">
        <v>115.6056</v>
      </c>
      <c r="E23" s="6">
        <f t="shared" si="0"/>
        <v>606.1</v>
      </c>
      <c r="F23" s="6">
        <f t="shared" si="1"/>
        <v>219.65064000000001</v>
      </c>
    </row>
    <row r="24" spans="1:6" x14ac:dyDescent="0.2">
      <c r="A24" s="3" t="s">
        <v>25</v>
      </c>
      <c r="B24" s="5">
        <v>2.0539999999999998</v>
      </c>
      <c r="C24" s="6">
        <v>194</v>
      </c>
      <c r="D24" s="6">
        <v>398.47599999999989</v>
      </c>
      <c r="E24" s="6">
        <f t="shared" si="0"/>
        <v>368.59999999999997</v>
      </c>
      <c r="F24" s="6">
        <f t="shared" si="1"/>
        <v>757.10439999999983</v>
      </c>
    </row>
    <row r="25" spans="1:6" x14ac:dyDescent="0.2">
      <c r="A25" s="3" t="s">
        <v>26</v>
      </c>
      <c r="B25" s="5">
        <v>0.60399999999999998</v>
      </c>
      <c r="C25" s="6">
        <v>688</v>
      </c>
      <c r="D25" s="6">
        <v>415.55200000000002</v>
      </c>
      <c r="E25" s="6">
        <f t="shared" si="0"/>
        <v>1307.2</v>
      </c>
      <c r="F25" s="6">
        <f t="shared" si="1"/>
        <v>789.54880000000003</v>
      </c>
    </row>
    <row r="26" spans="1:6" x14ac:dyDescent="0.2">
      <c r="A26" s="3" t="s">
        <v>27</v>
      </c>
      <c r="B26" s="5">
        <v>1.4490000000000001</v>
      </c>
      <c r="C26" s="6">
        <v>49424</v>
      </c>
      <c r="D26" s="6">
        <v>71615.376000000004</v>
      </c>
      <c r="E26" s="6">
        <f t="shared" si="0"/>
        <v>93905.599999999991</v>
      </c>
      <c r="F26" s="6">
        <f t="shared" si="1"/>
        <v>136069.2144</v>
      </c>
    </row>
    <row r="27" spans="1:6" x14ac:dyDescent="0.2">
      <c r="A27" s="3" t="s">
        <v>28</v>
      </c>
      <c r="B27" s="5">
        <v>0.3614</v>
      </c>
      <c r="C27" s="6">
        <v>218</v>
      </c>
      <c r="D27" s="6">
        <v>78.785200000000003</v>
      </c>
      <c r="E27" s="6">
        <f t="shared" si="0"/>
        <v>414.2</v>
      </c>
      <c r="F27" s="6">
        <f t="shared" si="1"/>
        <v>149.69188</v>
      </c>
    </row>
    <row r="28" spans="1:6" x14ac:dyDescent="0.2">
      <c r="A28" s="3" t="s">
        <v>29</v>
      </c>
      <c r="B28" s="5">
        <v>54.097999999999999</v>
      </c>
      <c r="C28" s="6">
        <v>2672</v>
      </c>
      <c r="D28" s="6">
        <v>144549.856</v>
      </c>
      <c r="E28" s="6">
        <f t="shared" si="0"/>
        <v>5076.8</v>
      </c>
      <c r="F28" s="6">
        <f t="shared" si="1"/>
        <v>274644.72639999999</v>
      </c>
    </row>
    <row r="29" spans="1:6" x14ac:dyDescent="0.2">
      <c r="A29" s="3" t="s">
        <v>30</v>
      </c>
      <c r="B29" s="5">
        <v>10.148999999999999</v>
      </c>
      <c r="C29" s="6">
        <v>280</v>
      </c>
      <c r="D29" s="6">
        <v>2841.72</v>
      </c>
      <c r="E29" s="6">
        <f t="shared" si="0"/>
        <v>532</v>
      </c>
      <c r="F29" s="6">
        <f t="shared" si="1"/>
        <v>5399.2679999999991</v>
      </c>
    </row>
    <row r="31" spans="1:6" ht="16" thickBot="1" x14ac:dyDescent="0.25">
      <c r="A31" s="8" t="s">
        <v>31</v>
      </c>
      <c r="B31" s="8"/>
      <c r="C31" s="8"/>
      <c r="D31" s="8"/>
      <c r="E31" s="8"/>
      <c r="F31" s="9">
        <f>+SUM(F18:F29)</f>
        <v>2485412.9254000001</v>
      </c>
    </row>
    <row r="33" spans="1:9" x14ac:dyDescent="0.2">
      <c r="A33" s="4" t="s">
        <v>57</v>
      </c>
    </row>
    <row r="34" spans="1:9" x14ac:dyDescent="0.2">
      <c r="A34" t="s">
        <v>58</v>
      </c>
      <c r="B34">
        <v>230</v>
      </c>
    </row>
    <row r="35" spans="1:9" x14ac:dyDescent="0.2">
      <c r="A35" s="1" t="s">
        <v>60</v>
      </c>
      <c r="B35" s="1"/>
      <c r="C35" s="1" t="s">
        <v>61</v>
      </c>
      <c r="D35" s="1" t="s">
        <v>62</v>
      </c>
      <c r="F35" s="1" t="s">
        <v>108</v>
      </c>
      <c r="G35" s="1"/>
      <c r="H35" s="1" t="s">
        <v>61</v>
      </c>
      <c r="I35" s="1" t="s">
        <v>62</v>
      </c>
    </row>
    <row r="36" spans="1:9" x14ac:dyDescent="0.2">
      <c r="A36" s="3" t="s">
        <v>64</v>
      </c>
      <c r="B36" s="10">
        <v>4200000</v>
      </c>
      <c r="C36" s="3"/>
      <c r="D36" s="3"/>
      <c r="F36" s="3" t="s">
        <v>64</v>
      </c>
      <c r="G36" s="10">
        <v>900000</v>
      </c>
      <c r="H36" s="3"/>
      <c r="I36" s="3"/>
    </row>
    <row r="37" spans="1:9" x14ac:dyDescent="0.2">
      <c r="A37" s="3" t="s">
        <v>65</v>
      </c>
      <c r="B37" s="3"/>
      <c r="C37" s="3"/>
      <c r="D37" s="3"/>
      <c r="F37" s="3" t="s">
        <v>65</v>
      </c>
      <c r="G37" s="3"/>
      <c r="H37" s="3"/>
      <c r="I37" s="3"/>
    </row>
    <row r="38" spans="1:9" x14ac:dyDescent="0.2">
      <c r="A38" s="3" t="s">
        <v>64</v>
      </c>
      <c r="B38" s="3"/>
      <c r="C38" s="3"/>
      <c r="D38" s="3"/>
      <c r="F38" s="3" t="s">
        <v>64</v>
      </c>
      <c r="G38" s="3"/>
      <c r="H38" s="3"/>
      <c r="I38" s="3"/>
    </row>
    <row r="39" spans="1:9" x14ac:dyDescent="0.2">
      <c r="A39" s="3" t="s">
        <v>66</v>
      </c>
      <c r="B39" s="3"/>
      <c r="C39" s="3"/>
      <c r="D39" s="3"/>
      <c r="F39" s="3" t="s">
        <v>66</v>
      </c>
      <c r="G39" s="3"/>
      <c r="H39" s="3"/>
      <c r="I39" s="3"/>
    </row>
    <row r="40" spans="1:9" x14ac:dyDescent="0.2">
      <c r="A40" s="3" t="s">
        <v>67</v>
      </c>
      <c r="B40" s="11">
        <v>0.08</v>
      </c>
      <c r="C40" s="10">
        <f>+$B$36*B40</f>
        <v>336000</v>
      </c>
      <c r="D40" s="3"/>
      <c r="F40" s="3" t="s">
        <v>67</v>
      </c>
      <c r="G40" s="11">
        <v>0.08</v>
      </c>
      <c r="H40" s="10">
        <f>+$G$36*G40</f>
        <v>72000</v>
      </c>
      <c r="I40" s="3"/>
    </row>
    <row r="41" spans="1:9" x14ac:dyDescent="0.2">
      <c r="A41" s="3" t="s">
        <v>68</v>
      </c>
      <c r="B41" s="11">
        <v>0.08</v>
      </c>
      <c r="C41" s="10">
        <f t="shared" ref="C41:C49" si="2">+$B$36*B41</f>
        <v>336000</v>
      </c>
      <c r="D41" s="3"/>
      <c r="F41" s="3" t="s">
        <v>68</v>
      </c>
      <c r="G41" s="11">
        <v>0.08</v>
      </c>
      <c r="H41" s="10">
        <f t="shared" ref="H41:H49" si="3">+$G$36*G41</f>
        <v>72000</v>
      </c>
      <c r="I41" s="3"/>
    </row>
    <row r="42" spans="1:9" x14ac:dyDescent="0.2">
      <c r="A42" s="3" t="s">
        <v>69</v>
      </c>
      <c r="B42" s="11">
        <v>0.04</v>
      </c>
      <c r="C42" s="10">
        <f t="shared" si="2"/>
        <v>168000</v>
      </c>
      <c r="D42" s="3"/>
      <c r="F42" s="3" t="s">
        <v>69</v>
      </c>
      <c r="G42" s="11">
        <v>0.04</v>
      </c>
      <c r="H42" s="10">
        <f t="shared" si="3"/>
        <v>36000</v>
      </c>
      <c r="I42" s="3"/>
    </row>
    <row r="43" spans="1:9" x14ac:dyDescent="0.2">
      <c r="A43" s="3" t="s">
        <v>70</v>
      </c>
      <c r="B43" s="11">
        <v>0.01</v>
      </c>
      <c r="C43" s="10">
        <f t="shared" si="2"/>
        <v>42000</v>
      </c>
      <c r="D43" s="3"/>
      <c r="F43" s="3" t="s">
        <v>70</v>
      </c>
      <c r="G43" s="11">
        <v>0.01</v>
      </c>
      <c r="H43" s="10">
        <f t="shared" si="3"/>
        <v>9000</v>
      </c>
      <c r="I43" s="3"/>
    </row>
    <row r="44" spans="1:9" x14ac:dyDescent="0.2">
      <c r="A44" s="3" t="s">
        <v>71</v>
      </c>
      <c r="B44" s="11">
        <v>8.5000000000000006E-2</v>
      </c>
      <c r="C44" s="10">
        <f t="shared" si="2"/>
        <v>357000</v>
      </c>
      <c r="D44" s="3"/>
      <c r="F44" s="3" t="s">
        <v>71</v>
      </c>
      <c r="G44" s="11">
        <v>8.5000000000000006E-2</v>
      </c>
      <c r="H44" s="10">
        <f t="shared" si="3"/>
        <v>76500</v>
      </c>
      <c r="I44" s="3"/>
    </row>
    <row r="45" spans="1:9" x14ac:dyDescent="0.2">
      <c r="A45" s="3" t="s">
        <v>72</v>
      </c>
      <c r="B45" s="11">
        <v>0.12</v>
      </c>
      <c r="C45" s="10">
        <f t="shared" si="2"/>
        <v>504000</v>
      </c>
      <c r="D45" s="3"/>
      <c r="F45" s="3" t="s">
        <v>72</v>
      </c>
      <c r="G45" s="11">
        <v>0.12</v>
      </c>
      <c r="H45" s="10">
        <f t="shared" si="3"/>
        <v>108000</v>
      </c>
      <c r="I45" s="3"/>
    </row>
    <row r="46" spans="1:9" x14ac:dyDescent="0.2">
      <c r="A46" s="3" t="s">
        <v>73</v>
      </c>
      <c r="B46" s="11">
        <v>0.02</v>
      </c>
      <c r="C46" s="10">
        <f t="shared" si="2"/>
        <v>84000</v>
      </c>
      <c r="D46" s="3"/>
      <c r="F46" s="3" t="s">
        <v>73</v>
      </c>
      <c r="G46" s="11">
        <v>2.4E-2</v>
      </c>
      <c r="H46" s="10">
        <f t="shared" si="3"/>
        <v>21600</v>
      </c>
      <c r="I46" s="3"/>
    </row>
    <row r="47" spans="1:9" x14ac:dyDescent="0.2">
      <c r="A47" s="3" t="s">
        <v>74</v>
      </c>
      <c r="B47" s="11">
        <v>0.04</v>
      </c>
      <c r="C47" s="10">
        <f t="shared" si="2"/>
        <v>168000</v>
      </c>
      <c r="D47" s="3"/>
      <c r="F47" s="3" t="s">
        <v>74</v>
      </c>
      <c r="G47" s="11">
        <v>0.04</v>
      </c>
      <c r="H47" s="10">
        <f t="shared" si="3"/>
        <v>36000</v>
      </c>
      <c r="I47" s="3"/>
    </row>
    <row r="48" spans="1:9" x14ac:dyDescent="0.2">
      <c r="A48" s="3" t="s">
        <v>75</v>
      </c>
      <c r="B48" s="11">
        <v>0.02</v>
      </c>
      <c r="C48" s="10">
        <f t="shared" si="2"/>
        <v>84000</v>
      </c>
      <c r="D48" s="3"/>
      <c r="F48" s="3" t="s">
        <v>75</v>
      </c>
      <c r="G48" s="11">
        <v>0.02</v>
      </c>
      <c r="H48" s="10">
        <f t="shared" si="3"/>
        <v>18000</v>
      </c>
      <c r="I48" s="3"/>
    </row>
    <row r="49" spans="1:9" x14ac:dyDescent="0.2">
      <c r="A49" s="3" t="s">
        <v>76</v>
      </c>
      <c r="B49" s="11">
        <v>0.03</v>
      </c>
      <c r="C49" s="10">
        <f t="shared" si="2"/>
        <v>126000</v>
      </c>
      <c r="D49" s="3"/>
      <c r="F49" s="3" t="s">
        <v>76</v>
      </c>
      <c r="G49" s="11">
        <v>0.03</v>
      </c>
      <c r="H49" s="10">
        <f t="shared" si="3"/>
        <v>27000</v>
      </c>
      <c r="I49" s="3"/>
    </row>
    <row r="50" spans="1:9" x14ac:dyDescent="0.2">
      <c r="A50" s="3" t="s">
        <v>77</v>
      </c>
      <c r="B50" s="3"/>
      <c r="C50" s="10">
        <f>SUM(C40:C49)</f>
        <v>2205000</v>
      </c>
      <c r="D50" s="3"/>
      <c r="F50" s="13" t="s">
        <v>78</v>
      </c>
      <c r="G50" s="3"/>
      <c r="H50" s="10">
        <v>117000</v>
      </c>
      <c r="I50" s="3"/>
    </row>
    <row r="51" spans="1:9" x14ac:dyDescent="0.2">
      <c r="A51" s="3" t="s">
        <v>79</v>
      </c>
      <c r="B51" s="3"/>
      <c r="C51" s="10">
        <f>+C50+B36</f>
        <v>6405000</v>
      </c>
      <c r="D51" s="3"/>
      <c r="F51" s="3" t="s">
        <v>109</v>
      </c>
      <c r="G51" s="3"/>
      <c r="H51" s="10">
        <f>SUM(H40:H50)</f>
        <v>593100</v>
      </c>
      <c r="I51" s="3"/>
    </row>
    <row r="52" spans="1:9" x14ac:dyDescent="0.2">
      <c r="A52" s="12" t="s">
        <v>82</v>
      </c>
      <c r="B52" s="3"/>
      <c r="C52" s="10">
        <f>+C51/B34</f>
        <v>27847.82608695652</v>
      </c>
      <c r="D52" s="3"/>
      <c r="F52" s="13" t="s">
        <v>81</v>
      </c>
      <c r="G52" s="3"/>
      <c r="H52" s="10">
        <f>+H51+G36</f>
        <v>1493100</v>
      </c>
      <c r="I52" s="3"/>
    </row>
    <row r="53" spans="1:9" x14ac:dyDescent="0.2">
      <c r="F53" s="3" t="s">
        <v>83</v>
      </c>
      <c r="G53" s="3"/>
      <c r="H53" s="10">
        <f>+H52/B34</f>
        <v>6491.739130434783</v>
      </c>
      <c r="I5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C93E-6A2D-594D-B06A-D7EE668DC9F8}">
  <dimension ref="I9:J29"/>
  <sheetViews>
    <sheetView workbookViewId="0">
      <selection activeCell="L26" sqref="L26"/>
    </sheetView>
  </sheetViews>
  <sheetFormatPr baseColWidth="10" defaultRowHeight="15" x14ac:dyDescent="0.2"/>
  <sheetData>
    <row r="9" spans="9:10" x14ac:dyDescent="0.2">
      <c r="I9" s="5"/>
      <c r="J9">
        <f>I9*4</f>
        <v>0</v>
      </c>
    </row>
    <row r="10" spans="9:10" x14ac:dyDescent="0.2">
      <c r="I10" s="5"/>
      <c r="J10">
        <f t="shared" ref="J10:J29" si="0">I10*4</f>
        <v>0</v>
      </c>
    </row>
    <row r="11" spans="9:10" x14ac:dyDescent="0.2">
      <c r="I11" s="5">
        <v>147</v>
      </c>
      <c r="J11">
        <f t="shared" si="0"/>
        <v>588</v>
      </c>
    </row>
    <row r="12" spans="9:10" x14ac:dyDescent="0.2">
      <c r="I12" s="5"/>
      <c r="J12">
        <f t="shared" si="0"/>
        <v>0</v>
      </c>
    </row>
    <row r="13" spans="9:10" x14ac:dyDescent="0.2">
      <c r="I13" s="5"/>
      <c r="J13">
        <f t="shared" si="0"/>
        <v>0</v>
      </c>
    </row>
    <row r="14" spans="9:10" x14ac:dyDescent="0.2">
      <c r="I14" s="5">
        <v>2.4500000000000002</v>
      </c>
      <c r="J14">
        <f t="shared" si="0"/>
        <v>9.8000000000000007</v>
      </c>
    </row>
    <row r="15" spans="9:10" x14ac:dyDescent="0.2">
      <c r="I15" s="5">
        <v>2.5</v>
      </c>
      <c r="J15">
        <f t="shared" si="0"/>
        <v>10</v>
      </c>
    </row>
    <row r="16" spans="9:10" x14ac:dyDescent="0.2">
      <c r="I16" s="5">
        <v>2.5</v>
      </c>
      <c r="J16">
        <f t="shared" si="0"/>
        <v>10</v>
      </c>
    </row>
    <row r="17" spans="9:10" x14ac:dyDescent="0.2">
      <c r="I17" s="5">
        <v>9.8000000000000007</v>
      </c>
      <c r="J17">
        <f t="shared" si="0"/>
        <v>39.200000000000003</v>
      </c>
    </row>
    <row r="18" spans="9:10" x14ac:dyDescent="0.2">
      <c r="I18" s="5"/>
      <c r="J18">
        <f t="shared" si="0"/>
        <v>0</v>
      </c>
    </row>
    <row r="19" spans="9:10" x14ac:dyDescent="0.2">
      <c r="I19" s="5">
        <v>73.5</v>
      </c>
      <c r="J19">
        <f t="shared" si="0"/>
        <v>294</v>
      </c>
    </row>
    <row r="20" spans="9:10" x14ac:dyDescent="0.2">
      <c r="I20" s="5">
        <v>127</v>
      </c>
      <c r="J20">
        <f t="shared" si="0"/>
        <v>508</v>
      </c>
    </row>
    <row r="21" spans="9:10" x14ac:dyDescent="0.2">
      <c r="I21" s="5"/>
      <c r="J21">
        <f t="shared" si="0"/>
        <v>0</v>
      </c>
    </row>
    <row r="22" spans="9:10" x14ac:dyDescent="0.2">
      <c r="I22" s="5"/>
      <c r="J22">
        <f t="shared" si="0"/>
        <v>0</v>
      </c>
    </row>
    <row r="23" spans="9:10" x14ac:dyDescent="0.2">
      <c r="I23" s="5"/>
      <c r="J23">
        <f t="shared" si="0"/>
        <v>0</v>
      </c>
    </row>
    <row r="24" spans="9:10" x14ac:dyDescent="0.2">
      <c r="I24" s="5">
        <v>5</v>
      </c>
      <c r="J24">
        <f t="shared" si="0"/>
        <v>20</v>
      </c>
    </row>
    <row r="25" spans="9:10" x14ac:dyDescent="0.2">
      <c r="I25" s="5"/>
      <c r="J25">
        <f t="shared" si="0"/>
        <v>0</v>
      </c>
    </row>
    <row r="26" spans="9:10" x14ac:dyDescent="0.2">
      <c r="I26" s="5"/>
      <c r="J26">
        <f t="shared" si="0"/>
        <v>0</v>
      </c>
    </row>
    <row r="27" spans="9:10" x14ac:dyDescent="0.2">
      <c r="I27" s="5"/>
      <c r="J27">
        <f t="shared" si="0"/>
        <v>0</v>
      </c>
    </row>
    <row r="28" spans="9:10" x14ac:dyDescent="0.2">
      <c r="I28" s="3">
        <v>98.37</v>
      </c>
      <c r="J28">
        <f t="shared" si="0"/>
        <v>393.48</v>
      </c>
    </row>
    <row r="29" spans="9:10" x14ac:dyDescent="0.2">
      <c r="I29" s="3"/>
      <c r="J29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DDAB5-037E-4F8A-8C89-C898E252AB15}">
  <dimension ref="A2:F26"/>
  <sheetViews>
    <sheetView showGridLines="0" topLeftCell="A3" zoomScale="80" zoomScaleNormal="80" workbookViewId="0">
      <selection activeCell="B21" sqref="B21"/>
    </sheetView>
  </sheetViews>
  <sheetFormatPr baseColWidth="10" defaultRowHeight="15" x14ac:dyDescent="0.2"/>
  <cols>
    <col min="1" max="1" width="53.83203125" bestFit="1" customWidth="1"/>
    <col min="2" max="2" width="15.83203125" bestFit="1" customWidth="1"/>
    <col min="3" max="3" width="12.5" customWidth="1"/>
    <col min="4" max="4" width="59.6640625" bestFit="1" customWidth="1"/>
    <col min="5" max="5" width="15.83203125" bestFit="1" customWidth="1"/>
    <col min="6" max="6" width="13.6640625" customWidth="1"/>
  </cols>
  <sheetData>
    <row r="2" spans="1:6" ht="21" x14ac:dyDescent="0.25">
      <c r="A2" s="134" t="s">
        <v>209</v>
      </c>
      <c r="B2" s="134"/>
      <c r="C2" s="134"/>
      <c r="D2" s="134"/>
      <c r="E2" s="134"/>
    </row>
    <row r="4" spans="1:6" ht="21" x14ac:dyDescent="0.25">
      <c r="A4" s="132" t="s">
        <v>137</v>
      </c>
      <c r="B4" s="133"/>
      <c r="D4" s="132" t="s">
        <v>207</v>
      </c>
      <c r="E4" s="133"/>
    </row>
    <row r="5" spans="1:6" ht="16" x14ac:dyDescent="0.2">
      <c r="A5" s="95" t="s">
        <v>132</v>
      </c>
      <c r="B5" s="96">
        <v>4</v>
      </c>
      <c r="D5" s="95" t="s">
        <v>132</v>
      </c>
      <c r="E5" s="96">
        <v>4</v>
      </c>
    </row>
    <row r="6" spans="1:6" x14ac:dyDescent="0.2">
      <c r="A6" s="97" t="s">
        <v>195</v>
      </c>
      <c r="B6" s="98">
        <v>10</v>
      </c>
      <c r="C6" s="92"/>
      <c r="D6" s="97" t="s">
        <v>139</v>
      </c>
      <c r="E6" s="98">
        <v>10</v>
      </c>
      <c r="F6" s="92"/>
    </row>
    <row r="7" spans="1:6" x14ac:dyDescent="0.2">
      <c r="A7" s="97" t="s">
        <v>206</v>
      </c>
      <c r="B7" s="98">
        <f>B6*30</f>
        <v>300</v>
      </c>
      <c r="D7" s="101" t="s">
        <v>206</v>
      </c>
      <c r="E7" s="102">
        <f>E6*30</f>
        <v>300</v>
      </c>
    </row>
    <row r="8" spans="1:6" x14ac:dyDescent="0.2">
      <c r="A8" s="99"/>
      <c r="B8" s="100"/>
    </row>
    <row r="9" spans="1:6" x14ac:dyDescent="0.2">
      <c r="A9" s="38" t="s">
        <v>0</v>
      </c>
      <c r="D9" s="38" t="s">
        <v>0</v>
      </c>
    </row>
    <row r="10" spans="1:6" x14ac:dyDescent="0.2">
      <c r="A10" s="2" t="s">
        <v>175</v>
      </c>
      <c r="B10" s="39">
        <v>184607</v>
      </c>
      <c r="D10" s="2" t="s">
        <v>175</v>
      </c>
      <c r="E10" s="39">
        <v>184607</v>
      </c>
      <c r="F10" s="7"/>
    </row>
    <row r="11" spans="1:6" hidden="1" x14ac:dyDescent="0.2">
      <c r="A11" s="2" t="s">
        <v>171</v>
      </c>
      <c r="B11" s="39">
        <v>86200</v>
      </c>
      <c r="D11" s="2" t="s">
        <v>171</v>
      </c>
      <c r="E11" s="34">
        <v>184400</v>
      </c>
      <c r="F11" s="7"/>
    </row>
    <row r="12" spans="1:6" hidden="1" x14ac:dyDescent="0.2">
      <c r="A12" s="2" t="s">
        <v>170</v>
      </c>
      <c r="B12" s="39">
        <v>107000</v>
      </c>
      <c r="D12" s="2" t="s">
        <v>170</v>
      </c>
      <c r="E12" s="34">
        <v>113335.2</v>
      </c>
      <c r="F12" s="7"/>
    </row>
    <row r="13" spans="1:6" x14ac:dyDescent="0.2">
      <c r="D13" s="76" t="s">
        <v>177</v>
      </c>
      <c r="E13" s="94">
        <v>35300</v>
      </c>
      <c r="F13" s="2"/>
    </row>
    <row r="14" spans="1:6" x14ac:dyDescent="0.2">
      <c r="A14" s="2" t="s">
        <v>1</v>
      </c>
      <c r="B14" s="94">
        <v>13400</v>
      </c>
      <c r="D14" s="2" t="s">
        <v>1</v>
      </c>
      <c r="E14" s="39">
        <v>10400</v>
      </c>
      <c r="F14" s="2"/>
    </row>
    <row r="15" spans="1:6" x14ac:dyDescent="0.2">
      <c r="A15" s="2" t="s">
        <v>2</v>
      </c>
      <c r="B15" s="39">
        <v>1627.395</v>
      </c>
      <c r="C15" s="93"/>
      <c r="D15" s="2" t="s">
        <v>2</v>
      </c>
      <c r="E15" s="39">
        <v>1627.395</v>
      </c>
      <c r="F15" s="2"/>
    </row>
    <row r="16" spans="1:6" x14ac:dyDescent="0.2">
      <c r="A16" s="2" t="s">
        <v>3</v>
      </c>
      <c r="B16" s="94">
        <v>32425</v>
      </c>
      <c r="D16" s="2" t="s">
        <v>3</v>
      </c>
      <c r="E16" s="39">
        <v>11125</v>
      </c>
      <c r="F16" s="2"/>
    </row>
    <row r="17" spans="1:6" x14ac:dyDescent="0.2">
      <c r="A17" s="2" t="s">
        <v>205</v>
      </c>
      <c r="B17" s="39">
        <v>17248.752416666666</v>
      </c>
      <c r="D17" s="2" t="s">
        <v>204</v>
      </c>
      <c r="E17" s="39">
        <v>17248.752416666666</v>
      </c>
      <c r="F17" s="2"/>
    </row>
    <row r="18" spans="1:6" x14ac:dyDescent="0.2">
      <c r="A18" s="2" t="s">
        <v>203</v>
      </c>
      <c r="B18" s="39">
        <v>7604.166666666667</v>
      </c>
      <c r="D18" s="2" t="s">
        <v>136</v>
      </c>
      <c r="E18" s="39">
        <v>7604.166666666667</v>
      </c>
      <c r="F18" s="2"/>
    </row>
    <row r="19" spans="1:6" x14ac:dyDescent="0.2">
      <c r="D19" s="2"/>
      <c r="E19" s="39"/>
      <c r="F19" s="2"/>
    </row>
    <row r="20" spans="1:6" x14ac:dyDescent="0.2">
      <c r="A20" s="103" t="s">
        <v>4</v>
      </c>
      <c r="B20" s="103">
        <v>0.36</v>
      </c>
      <c r="C20" s="104" t="s">
        <v>201</v>
      </c>
      <c r="D20" s="103" t="s">
        <v>4</v>
      </c>
      <c r="E20" s="103">
        <v>0.08</v>
      </c>
      <c r="F20" s="104" t="s">
        <v>93</v>
      </c>
    </row>
    <row r="21" spans="1:6" x14ac:dyDescent="0.2">
      <c r="A21" s="104" t="s">
        <v>5</v>
      </c>
      <c r="B21" s="105">
        <v>18140.869565217392</v>
      </c>
      <c r="C21" s="106" t="s">
        <v>6</v>
      </c>
      <c r="D21" s="104" t="s">
        <v>5</v>
      </c>
      <c r="E21" s="106">
        <v>4381.913043478261</v>
      </c>
      <c r="F21" s="103"/>
    </row>
    <row r="22" spans="1:6" x14ac:dyDescent="0.2">
      <c r="A22" s="103" t="s">
        <v>202</v>
      </c>
      <c r="B22" s="103">
        <v>0.36</v>
      </c>
      <c r="C22" s="107" t="s">
        <v>6</v>
      </c>
      <c r="D22" s="103" t="s">
        <v>7</v>
      </c>
      <c r="E22" s="103">
        <v>0.08</v>
      </c>
    </row>
    <row r="23" spans="1:6" x14ac:dyDescent="0.2">
      <c r="A23" s="104" t="s">
        <v>199</v>
      </c>
      <c r="B23" s="105">
        <v>3772.9565217391305</v>
      </c>
      <c r="C23" s="103"/>
      <c r="D23" s="104" t="s">
        <v>199</v>
      </c>
      <c r="E23" s="106">
        <v>838.43478260869574</v>
      </c>
    </row>
    <row r="24" spans="1:6" x14ac:dyDescent="0.2">
      <c r="B24" s="15"/>
      <c r="E24" s="15"/>
    </row>
    <row r="25" spans="1:6" ht="19" x14ac:dyDescent="0.25">
      <c r="A25" s="16" t="s">
        <v>9</v>
      </c>
      <c r="B25" s="109">
        <v>278826.1401702899</v>
      </c>
      <c r="C25" s="108"/>
      <c r="D25" s="16" t="s">
        <v>94</v>
      </c>
      <c r="E25" s="109">
        <v>273132.66190942028</v>
      </c>
      <c r="F25" s="2"/>
    </row>
    <row r="26" spans="1:6" ht="16" x14ac:dyDescent="0.2">
      <c r="D26" s="110" t="s">
        <v>208</v>
      </c>
      <c r="E26" s="111">
        <f>B25-E25</f>
        <v>5693.478260869626</v>
      </c>
    </row>
  </sheetData>
  <mergeCells count="3">
    <mergeCell ref="A4:B4"/>
    <mergeCell ref="D4:E4"/>
    <mergeCell ref="A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29E8-BAD3-4721-9453-D416E7B0A793}">
  <dimension ref="A8:D16"/>
  <sheetViews>
    <sheetView workbookViewId="0">
      <selection activeCell="A12" sqref="A12"/>
    </sheetView>
  </sheetViews>
  <sheetFormatPr baseColWidth="10" defaultRowHeight="15" x14ac:dyDescent="0.2"/>
  <cols>
    <col min="1" max="1" width="50.33203125" customWidth="1"/>
    <col min="2" max="2" width="16" bestFit="1" customWidth="1"/>
    <col min="3" max="3" width="23.1640625" customWidth="1"/>
    <col min="4" max="4" width="21.6640625" customWidth="1"/>
  </cols>
  <sheetData>
    <row r="8" spans="1:4" x14ac:dyDescent="0.2">
      <c r="A8" s="4" t="s">
        <v>212</v>
      </c>
    </row>
    <row r="9" spans="1:4" x14ac:dyDescent="0.2">
      <c r="A9" s="1" t="s">
        <v>12</v>
      </c>
      <c r="B9" s="87" t="s">
        <v>14</v>
      </c>
      <c r="C9" s="87" t="s">
        <v>33</v>
      </c>
      <c r="D9" s="1" t="s">
        <v>34</v>
      </c>
    </row>
    <row r="10" spans="1:4" x14ac:dyDescent="0.2">
      <c r="A10" s="3" t="s">
        <v>216</v>
      </c>
      <c r="B10" s="83">
        <v>1</v>
      </c>
      <c r="C10" s="85">
        <v>400000</v>
      </c>
      <c r="D10" s="6">
        <f>B10*C10</f>
        <v>400000</v>
      </c>
    </row>
    <row r="11" spans="1:4" x14ac:dyDescent="0.2">
      <c r="A11" s="3" t="s">
        <v>213</v>
      </c>
      <c r="B11" s="83">
        <v>5</v>
      </c>
      <c r="C11" s="85">
        <v>50000</v>
      </c>
      <c r="D11" s="6">
        <f t="shared" ref="D11:D15" si="0">B11*C11</f>
        <v>250000</v>
      </c>
    </row>
    <row r="12" spans="1:4" x14ac:dyDescent="0.2">
      <c r="A12" s="3" t="s">
        <v>214</v>
      </c>
      <c r="B12" s="83">
        <v>5</v>
      </c>
      <c r="C12" s="85">
        <v>50000</v>
      </c>
      <c r="D12" s="6">
        <f t="shared" si="0"/>
        <v>250000</v>
      </c>
    </row>
    <row r="13" spans="1:4" x14ac:dyDescent="0.2">
      <c r="A13" s="3" t="s">
        <v>215</v>
      </c>
      <c r="B13" s="83">
        <v>5</v>
      </c>
      <c r="C13" s="85">
        <v>50000</v>
      </c>
      <c r="D13" s="6">
        <f t="shared" si="0"/>
        <v>250000</v>
      </c>
    </row>
    <row r="14" spans="1:4" x14ac:dyDescent="0.2">
      <c r="A14" s="112" t="s">
        <v>217</v>
      </c>
      <c r="B14" s="113">
        <v>1</v>
      </c>
      <c r="C14" s="114">
        <v>20000</v>
      </c>
      <c r="D14" s="6">
        <f t="shared" si="0"/>
        <v>20000</v>
      </c>
    </row>
    <row r="15" spans="1:4" x14ac:dyDescent="0.2">
      <c r="A15" s="112" t="s">
        <v>218</v>
      </c>
      <c r="B15" s="113">
        <v>2</v>
      </c>
      <c r="C15" s="114">
        <v>5000</v>
      </c>
      <c r="D15" s="6">
        <f t="shared" si="0"/>
        <v>10000</v>
      </c>
    </row>
    <row r="16" spans="1:4" ht="16" thickBot="1" x14ac:dyDescent="0.25">
      <c r="A16" s="8" t="s">
        <v>31</v>
      </c>
      <c r="B16" s="8"/>
      <c r="C16" s="8"/>
      <c r="D16" s="9">
        <f>SUM(D10:D15)</f>
        <v>1180000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FD5F-B1DF-4969-A4C2-279A92B202FC}">
  <dimension ref="A4:C9"/>
  <sheetViews>
    <sheetView workbookViewId="0">
      <selection activeCell="A4" sqref="A4"/>
    </sheetView>
  </sheetViews>
  <sheetFormatPr baseColWidth="10" defaultRowHeight="15" x14ac:dyDescent="0.2"/>
  <cols>
    <col min="1" max="1" width="42.83203125" customWidth="1"/>
    <col min="2" max="2" width="22.83203125" customWidth="1"/>
    <col min="3" max="3" width="21.5" customWidth="1"/>
  </cols>
  <sheetData>
    <row r="4" spans="1:3" x14ac:dyDescent="0.2">
      <c r="A4" s="4" t="s">
        <v>219</v>
      </c>
    </row>
    <row r="5" spans="1:3" x14ac:dyDescent="0.2">
      <c r="A5" s="1" t="s">
        <v>12</v>
      </c>
      <c r="B5" s="87" t="s">
        <v>14</v>
      </c>
      <c r="C5" s="87" t="s">
        <v>33</v>
      </c>
    </row>
    <row r="6" spans="1:3" x14ac:dyDescent="0.2">
      <c r="A6" s="3" t="s">
        <v>220</v>
      </c>
      <c r="B6" s="83">
        <v>1</v>
      </c>
      <c r="C6" s="85">
        <v>200000</v>
      </c>
    </row>
    <row r="7" spans="1:3" x14ac:dyDescent="0.2">
      <c r="A7" s="3" t="s">
        <v>221</v>
      </c>
      <c r="B7" s="83">
        <v>0</v>
      </c>
      <c r="C7" s="85">
        <v>300000</v>
      </c>
    </row>
    <row r="8" spans="1:3" x14ac:dyDescent="0.2">
      <c r="A8" s="3" t="s">
        <v>222</v>
      </c>
      <c r="B8" s="83">
        <v>0</v>
      </c>
      <c r="C8" s="85">
        <v>0</v>
      </c>
    </row>
    <row r="9" spans="1:3" x14ac:dyDescent="0.2">
      <c r="A9" s="3" t="s">
        <v>223</v>
      </c>
      <c r="B9" s="83">
        <v>0</v>
      </c>
      <c r="C9" s="8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19869a-5527-41f8-bf27-4fbef748067a">
      <Terms xmlns="http://schemas.microsoft.com/office/infopath/2007/PartnerControls"/>
    </lcf76f155ced4ddcb4097134ff3c332f>
    <TaxCatchAll xmlns="ec36c1b3-45c0-40c9-96d4-e57661e8d4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DF9B5A93DCAFC458C2AC7806CA98A95" ma:contentTypeVersion="13" ma:contentTypeDescription="Crear nuevo documento." ma:contentTypeScope="" ma:versionID="d8a0b36e56b723c1886532595dd5151a">
  <xsd:schema xmlns:xsd="http://www.w3.org/2001/XMLSchema" xmlns:xs="http://www.w3.org/2001/XMLSchema" xmlns:p="http://schemas.microsoft.com/office/2006/metadata/properties" xmlns:ns2="b819869a-5527-41f8-bf27-4fbef748067a" xmlns:ns3="ec36c1b3-45c0-40c9-96d4-e57661e8d407" targetNamespace="http://schemas.microsoft.com/office/2006/metadata/properties" ma:root="true" ma:fieldsID="5ccdd94dee6f3848ae17e84baf957797" ns2:_="" ns3:_="">
    <xsd:import namespace="b819869a-5527-41f8-bf27-4fbef748067a"/>
    <xsd:import namespace="ec36c1b3-45c0-40c9-96d4-e57661e8d4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9869a-5527-41f8-bf27-4fbef74806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Etiquetas de imagen" ma:readOnly="false" ma:fieldId="{5cf76f15-5ced-4ddc-b409-7134ff3c332f}" ma:taxonomyMulti="true" ma:sspId="f251f563-f11a-49b9-8125-581bc804f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6c1b3-45c0-40c9-96d4-e57661e8d40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a2e69e29-3b44-49dd-ae33-7bde1fee6128}" ma:internalName="TaxCatchAll" ma:showField="CatchAllData" ma:web="ec36c1b3-45c0-40c9-96d4-e57661e8d4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4463B3-A800-4DEA-BE06-2554ACC631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3A8DC6-E796-4DA8-B834-97E70B707C60}">
  <ds:schemaRefs>
    <ds:schemaRef ds:uri="http://schemas.microsoft.com/office/2006/metadata/properties"/>
    <ds:schemaRef ds:uri="http://schemas.microsoft.com/office/infopath/2007/PartnerControls"/>
    <ds:schemaRef ds:uri="b819869a-5527-41f8-bf27-4fbef748067a"/>
    <ds:schemaRef ds:uri="ec36c1b3-45c0-40c9-96d4-e57661e8d407"/>
  </ds:schemaRefs>
</ds:datastoreItem>
</file>

<file path=customXml/itemProps3.xml><?xml version="1.0" encoding="utf-8"?>
<ds:datastoreItem xmlns:ds="http://schemas.openxmlformats.org/officeDocument/2006/customXml" ds:itemID="{907054FB-D4B2-4BBB-A4B5-5238AE8109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19869a-5527-41f8-bf27-4fbef748067a"/>
    <ds:schemaRef ds:uri="ec36c1b3-45c0-40c9-96d4-e57661e8d4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Metodo 1 (2)</vt:lpstr>
      <vt:lpstr>Metodo 1</vt:lpstr>
      <vt:lpstr>Metodo 2</vt:lpstr>
      <vt:lpstr>Sheet1</vt:lpstr>
      <vt:lpstr>Hoja Resumen</vt:lpstr>
      <vt:lpstr>APEX</vt:lpstr>
      <vt:lpstr>NUTRIFLEX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Joseph Varela</cp:lastModifiedBy>
  <cp:revision/>
  <dcterms:created xsi:type="dcterms:W3CDTF">2024-11-25T16:51:48Z</dcterms:created>
  <dcterms:modified xsi:type="dcterms:W3CDTF">2025-07-15T20:35:23Z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de25a8-ef47-40a7-b7ec-c38f3edc2acf_Enabled">
    <vt:lpwstr>true</vt:lpwstr>
  </property>
  <property fmtid="{D5CDD505-2E9C-101B-9397-08002B2CF9AE}" pid="3" name="MSIP_Label_a8de25a8-ef47-40a7-b7ec-c38f3edc2acf_SetDate">
    <vt:lpwstr>2024-12-23T17:10:38Z</vt:lpwstr>
  </property>
  <property fmtid="{D5CDD505-2E9C-101B-9397-08002B2CF9AE}" pid="4" name="MSIP_Label_a8de25a8-ef47-40a7-b7ec-c38f3edc2acf_Method">
    <vt:lpwstr>Standard</vt:lpwstr>
  </property>
  <property fmtid="{D5CDD505-2E9C-101B-9397-08002B2CF9AE}" pid="5" name="MSIP_Label_a8de25a8-ef47-40a7-b7ec-c38f3edc2acf_Name">
    <vt:lpwstr>a8de25a8-ef47-40a7-b7ec-c38f3edc2acf</vt:lpwstr>
  </property>
  <property fmtid="{D5CDD505-2E9C-101B-9397-08002B2CF9AE}" pid="6" name="MSIP_Label_a8de25a8-ef47-40a7-b7ec-c38f3edc2acf_SiteId">
    <vt:lpwstr>15d1bef2-0a6a-46f9-be4c-023279325e51</vt:lpwstr>
  </property>
  <property fmtid="{D5CDD505-2E9C-101B-9397-08002B2CF9AE}" pid="7" name="MSIP_Label_a8de25a8-ef47-40a7-b7ec-c38f3edc2acf_ActionId">
    <vt:lpwstr>0098e6d7-18ad-43fd-9eaa-2cd22e3bf6b9</vt:lpwstr>
  </property>
  <property fmtid="{D5CDD505-2E9C-101B-9397-08002B2CF9AE}" pid="8" name="MSIP_Label_a8de25a8-ef47-40a7-b7ec-c38f3edc2acf_ContentBits">
    <vt:lpwstr>0</vt:lpwstr>
  </property>
  <property fmtid="{D5CDD505-2E9C-101B-9397-08002B2CF9AE}" pid="9" name="ContentTypeId">
    <vt:lpwstr>0x0101007DF9B5A93DCAFC458C2AC7806CA98A95</vt:lpwstr>
  </property>
</Properties>
</file>