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nichiaglobal-my.sharepoint.com/personal/j90742_nichiaglobal_com/Documents/Documents/GitHub/Python-Early-Codes/"/>
    </mc:Choice>
  </mc:AlternateContent>
  <xr:revisionPtr revIDLastSave="0" documentId="11_5897789C3D56AB58B98D67372877B369E990F374" xr6:coauthVersionLast="45" xr6:coauthVersionMax="45" xr10:uidLastSave="{00000000-0000-0000-0000-000000000000}"/>
  <bookViews>
    <workbookView xWindow="2730" yWindow="2730" windowWidth="21600" windowHeight="11325" tabRatio="580" firstSheet="3" activeTab="6" xr2:uid="{00000000-000D-0000-FFFF-FFFF00000000}"/>
  </bookViews>
  <sheets>
    <sheet name="Instructions" sheetId="1" r:id="rId1"/>
    <sheet name="Point source estimation" sheetId="2" r:id="rId2"/>
    <sheet name="Lambertian dist and flux" sheetId="3" r:id="rId3"/>
    <sheet name="Linear distribution and flux" sheetId="4" r:id="rId4"/>
    <sheet name="Flux maps w values" sheetId="5" state="hidden" r:id="rId5"/>
    <sheet name="Flux maps Refractor final" sheetId="6" r:id="rId6"/>
    <sheet name="Refractor design sheet" sheetId="7" r:id="rId7"/>
    <sheet name="Candela Comparison" sheetId="8" r:id="rId8"/>
    <sheet name="RefractorTest3" sheetId="9" r:id="rId9"/>
  </sheets>
  <definedNames>
    <definedName name="Flux">'Lambertian dist and flux'!$J$3</definedName>
    <definedName name="Intensity">'Lambertian dist and flux'!$B$1</definedName>
    <definedName name="TotalLumens">'Lambertian dist and flux'!$G$1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20" i="8" l="1"/>
  <c r="T20" i="8" s="1"/>
  <c r="O20" i="8"/>
  <c r="P20" i="8" s="1"/>
  <c r="T19" i="8"/>
  <c r="S19" i="8"/>
  <c r="O19" i="8"/>
  <c r="P19" i="8" s="1"/>
  <c r="T18" i="8"/>
  <c r="S18" i="8"/>
  <c r="O18" i="8"/>
  <c r="P18" i="8" s="1"/>
  <c r="S17" i="8"/>
  <c r="T17" i="8" s="1"/>
  <c r="O17" i="8"/>
  <c r="P17" i="8" s="1"/>
  <c r="S16" i="8"/>
  <c r="T16" i="8" s="1"/>
  <c r="O16" i="8"/>
  <c r="P16" i="8" s="1"/>
  <c r="T15" i="8"/>
  <c r="S15" i="8"/>
  <c r="O15" i="8"/>
  <c r="P15" i="8" s="1"/>
  <c r="T14" i="8"/>
  <c r="S14" i="8"/>
  <c r="P14" i="8"/>
  <c r="O14" i="8"/>
  <c r="T13" i="8"/>
  <c r="S13" i="8"/>
  <c r="P13" i="8"/>
  <c r="O13" i="8"/>
  <c r="S12" i="8"/>
  <c r="T12" i="8" s="1"/>
  <c r="O12" i="8"/>
  <c r="P12" i="8" s="1"/>
  <c r="S11" i="8"/>
  <c r="T11" i="8" s="1"/>
  <c r="P11" i="8"/>
  <c r="O11" i="8"/>
  <c r="S10" i="8"/>
  <c r="T10" i="8" s="1"/>
  <c r="O10" i="8"/>
  <c r="P10" i="8" s="1"/>
  <c r="S9" i="8"/>
  <c r="T9" i="8" s="1"/>
  <c r="O9" i="8"/>
  <c r="P9" i="8" s="1"/>
  <c r="S8" i="8"/>
  <c r="T8" i="8" s="1"/>
  <c r="O8" i="8"/>
  <c r="P8" i="8" s="1"/>
  <c r="T7" i="8"/>
  <c r="S7" i="8"/>
  <c r="O7" i="8"/>
  <c r="P7" i="8" s="1"/>
  <c r="S6" i="8"/>
  <c r="T6" i="8" s="1"/>
  <c r="O6" i="8"/>
  <c r="P6" i="8" s="1"/>
  <c r="S5" i="8"/>
  <c r="T5" i="8" s="1"/>
  <c r="P5" i="8"/>
  <c r="O5" i="8"/>
  <c r="A5" i="8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T4" i="8"/>
  <c r="S4" i="8"/>
  <c r="O4" i="8"/>
  <c r="P4" i="8" s="1"/>
  <c r="T3" i="8"/>
  <c r="S3" i="8"/>
  <c r="O3" i="8"/>
  <c r="P3" i="8" s="1"/>
  <c r="A3" i="8"/>
  <c r="A4" i="8" s="1"/>
  <c r="S2" i="8"/>
  <c r="T2" i="8" s="1"/>
  <c r="O2" i="8"/>
  <c r="P2" i="8" s="1"/>
  <c r="AE106" i="7"/>
  <c r="AE105" i="7"/>
  <c r="AE104" i="7"/>
  <c r="P59" i="7"/>
  <c r="AC54" i="7" s="1"/>
  <c r="AF54" i="7" s="1"/>
  <c r="O59" i="7"/>
  <c r="A51" i="7" s="1"/>
  <c r="AJ54" i="7"/>
  <c r="A52" i="7"/>
  <c r="L50" i="7"/>
  <c r="J46" i="7"/>
  <c r="E5" i="7"/>
  <c r="O60" i="7" s="1"/>
  <c r="B2" i="7"/>
  <c r="F49" i="7" s="1"/>
  <c r="K50" i="7" s="1"/>
  <c r="N124" i="6"/>
  <c r="N123" i="6"/>
  <c r="N122" i="6"/>
  <c r="N121" i="6"/>
  <c r="N120" i="6"/>
  <c r="N119" i="6"/>
  <c r="N118" i="6"/>
  <c r="N117" i="6"/>
  <c r="N116" i="6"/>
  <c r="N115" i="6"/>
  <c r="N114" i="6"/>
  <c r="N113" i="6"/>
  <c r="N112" i="6"/>
  <c r="N111" i="6"/>
  <c r="N110" i="6"/>
  <c r="N109" i="6"/>
  <c r="N108" i="6"/>
  <c r="N107" i="6"/>
  <c r="N106" i="6"/>
  <c r="N105" i="6"/>
  <c r="N104" i="6"/>
  <c r="N103" i="6"/>
  <c r="N102" i="6"/>
  <c r="N101" i="6"/>
  <c r="N100" i="6"/>
  <c r="N99" i="6"/>
  <c r="N98" i="6"/>
  <c r="N97" i="6"/>
  <c r="N96" i="6"/>
  <c r="N95" i="6"/>
  <c r="N94" i="6"/>
  <c r="N93" i="6"/>
  <c r="N92" i="6"/>
  <c r="N91" i="6"/>
  <c r="N90" i="6"/>
  <c r="N89" i="6"/>
  <c r="N88" i="6"/>
  <c r="N87" i="6"/>
  <c r="N86" i="6"/>
  <c r="N85" i="6"/>
  <c r="N84" i="6"/>
  <c r="N83" i="6"/>
  <c r="N82" i="6"/>
  <c r="N81" i="6"/>
  <c r="N80" i="6"/>
  <c r="N79" i="6"/>
  <c r="N78" i="6"/>
  <c r="A36" i="6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J35" i="6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A35" i="6"/>
  <c r="O34" i="6"/>
  <c r="F33" i="6"/>
  <c r="B30" i="6"/>
  <c r="R125" i="5"/>
  <c r="Q125" i="5" a="1"/>
  <c r="Q125" i="5" s="1"/>
  <c r="J125" i="5"/>
  <c r="W79" i="5"/>
  <c r="W78" i="5"/>
  <c r="W77" i="5"/>
  <c r="W76" i="5"/>
  <c r="W75" i="5"/>
  <c r="W74" i="5"/>
  <c r="W73" i="5"/>
  <c r="W72" i="5"/>
  <c r="W71" i="5"/>
  <c r="W70" i="5"/>
  <c r="W69" i="5"/>
  <c r="W68" i="5"/>
  <c r="W67" i="5"/>
  <c r="W66" i="5"/>
  <c r="W65" i="5"/>
  <c r="W64" i="5"/>
  <c r="W63" i="5"/>
  <c r="W62" i="5"/>
  <c r="W61" i="5"/>
  <c r="W60" i="5"/>
  <c r="W59" i="5"/>
  <c r="W58" i="5"/>
  <c r="W57" i="5"/>
  <c r="W56" i="5"/>
  <c r="W55" i="5"/>
  <c r="W54" i="5"/>
  <c r="W53" i="5"/>
  <c r="W52" i="5"/>
  <c r="W51" i="5"/>
  <c r="W50" i="5"/>
  <c r="W49" i="5"/>
  <c r="W48" i="5"/>
  <c r="W47" i="5"/>
  <c r="W46" i="5"/>
  <c r="W45" i="5"/>
  <c r="W44" i="5"/>
  <c r="W43" i="5"/>
  <c r="W42" i="5"/>
  <c r="W41" i="5"/>
  <c r="W40" i="5"/>
  <c r="W39" i="5"/>
  <c r="W38" i="5"/>
  <c r="W37" i="5"/>
  <c r="W36" i="5"/>
  <c r="T36" i="5"/>
  <c r="V36" i="5" s="1"/>
  <c r="X36" i="5" s="1"/>
  <c r="X35" i="5"/>
  <c r="W35" i="5"/>
  <c r="T35" i="5"/>
  <c r="V35" i="5" s="1"/>
  <c r="A35" i="5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X34" i="5"/>
  <c r="W34" i="5"/>
  <c r="V34" i="5"/>
  <c r="R34" i="5"/>
  <c r="B30" i="5"/>
  <c r="C30" i="5" s="1"/>
  <c r="B8" i="4"/>
  <c r="C7" i="4"/>
  <c r="A7" i="4" s="1"/>
  <c r="G7" i="4" s="1"/>
  <c r="E34" i="6" s="1"/>
  <c r="G96" i="3"/>
  <c r="F124" i="6" s="1"/>
  <c r="D96" i="3"/>
  <c r="B7" i="3"/>
  <c r="C7" i="3" s="1"/>
  <c r="A7" i="3" s="1"/>
  <c r="C6" i="3"/>
  <c r="A6" i="3" s="1"/>
  <c r="I188" i="2"/>
  <c r="G188" i="2"/>
  <c r="I187" i="2"/>
  <c r="G187" i="2"/>
  <c r="I186" i="2"/>
  <c r="G186" i="2"/>
  <c r="I185" i="2"/>
  <c r="G185" i="2"/>
  <c r="I184" i="2"/>
  <c r="G184" i="2"/>
  <c r="I183" i="2"/>
  <c r="G183" i="2"/>
  <c r="I182" i="2"/>
  <c r="G182" i="2"/>
  <c r="I181" i="2"/>
  <c r="G181" i="2"/>
  <c r="I180" i="2"/>
  <c r="G180" i="2"/>
  <c r="I179" i="2"/>
  <c r="G179" i="2"/>
  <c r="I178" i="2"/>
  <c r="G178" i="2"/>
  <c r="I177" i="2"/>
  <c r="G177" i="2"/>
  <c r="I176" i="2"/>
  <c r="G176" i="2"/>
  <c r="I175" i="2"/>
  <c r="G175" i="2"/>
  <c r="I174" i="2"/>
  <c r="G174" i="2"/>
  <c r="I173" i="2"/>
  <c r="G173" i="2"/>
  <c r="I172" i="2"/>
  <c r="G172" i="2"/>
  <c r="I171" i="2"/>
  <c r="G171" i="2"/>
  <c r="I170" i="2"/>
  <c r="G170" i="2"/>
  <c r="I169" i="2"/>
  <c r="G169" i="2"/>
  <c r="I168" i="2"/>
  <c r="G168" i="2"/>
  <c r="I167" i="2"/>
  <c r="G167" i="2"/>
  <c r="I166" i="2"/>
  <c r="G166" i="2"/>
  <c r="I165" i="2"/>
  <c r="G165" i="2"/>
  <c r="I164" i="2"/>
  <c r="G164" i="2"/>
  <c r="I163" i="2"/>
  <c r="G163" i="2"/>
  <c r="I162" i="2"/>
  <c r="G162" i="2"/>
  <c r="I161" i="2"/>
  <c r="G161" i="2"/>
  <c r="I160" i="2"/>
  <c r="G160" i="2"/>
  <c r="I159" i="2"/>
  <c r="G159" i="2"/>
  <c r="I158" i="2"/>
  <c r="G158" i="2"/>
  <c r="I157" i="2"/>
  <c r="G157" i="2"/>
  <c r="I156" i="2"/>
  <c r="G156" i="2"/>
  <c r="I155" i="2"/>
  <c r="G155" i="2"/>
  <c r="I154" i="2"/>
  <c r="G154" i="2"/>
  <c r="I153" i="2"/>
  <c r="G153" i="2"/>
  <c r="I152" i="2"/>
  <c r="G152" i="2"/>
  <c r="I151" i="2"/>
  <c r="G151" i="2"/>
  <c r="I150" i="2"/>
  <c r="G150" i="2"/>
  <c r="I149" i="2"/>
  <c r="G149" i="2"/>
  <c r="I148" i="2"/>
  <c r="G148" i="2"/>
  <c r="I147" i="2"/>
  <c r="G147" i="2"/>
  <c r="I146" i="2"/>
  <c r="G146" i="2"/>
  <c r="I145" i="2"/>
  <c r="G145" i="2"/>
  <c r="I144" i="2"/>
  <c r="G144" i="2"/>
  <c r="I143" i="2"/>
  <c r="G143" i="2"/>
  <c r="I142" i="2"/>
  <c r="G142" i="2"/>
  <c r="I141" i="2"/>
  <c r="G141" i="2"/>
  <c r="I140" i="2"/>
  <c r="G140" i="2"/>
  <c r="I139" i="2"/>
  <c r="G139" i="2"/>
  <c r="I138" i="2"/>
  <c r="G138" i="2"/>
  <c r="I137" i="2"/>
  <c r="G137" i="2"/>
  <c r="I136" i="2"/>
  <c r="G136" i="2"/>
  <c r="I135" i="2"/>
  <c r="G135" i="2"/>
  <c r="I134" i="2"/>
  <c r="G134" i="2"/>
  <c r="I133" i="2"/>
  <c r="G133" i="2"/>
  <c r="I132" i="2"/>
  <c r="G132" i="2"/>
  <c r="I131" i="2"/>
  <c r="G131" i="2"/>
  <c r="I130" i="2"/>
  <c r="G130" i="2"/>
  <c r="I129" i="2"/>
  <c r="G129" i="2"/>
  <c r="I128" i="2"/>
  <c r="G128" i="2"/>
  <c r="I127" i="2"/>
  <c r="G127" i="2"/>
  <c r="I126" i="2"/>
  <c r="G126" i="2"/>
  <c r="I125" i="2"/>
  <c r="G125" i="2"/>
  <c r="I124" i="2"/>
  <c r="G124" i="2"/>
  <c r="I123" i="2"/>
  <c r="G123" i="2"/>
  <c r="I122" i="2"/>
  <c r="G122" i="2"/>
  <c r="I121" i="2"/>
  <c r="G121" i="2"/>
  <c r="I120" i="2"/>
  <c r="G120" i="2"/>
  <c r="I119" i="2"/>
  <c r="G119" i="2"/>
  <c r="I118" i="2"/>
  <c r="G118" i="2"/>
  <c r="I117" i="2"/>
  <c r="G117" i="2"/>
  <c r="I116" i="2"/>
  <c r="G116" i="2"/>
  <c r="I115" i="2"/>
  <c r="G115" i="2"/>
  <c r="I114" i="2"/>
  <c r="G114" i="2"/>
  <c r="I113" i="2"/>
  <c r="G113" i="2"/>
  <c r="I112" i="2"/>
  <c r="G112" i="2"/>
  <c r="I111" i="2"/>
  <c r="G111" i="2"/>
  <c r="I110" i="2"/>
  <c r="G110" i="2"/>
  <c r="I109" i="2"/>
  <c r="G109" i="2"/>
  <c r="I108" i="2"/>
  <c r="G108" i="2"/>
  <c r="I107" i="2"/>
  <c r="G107" i="2"/>
  <c r="I106" i="2"/>
  <c r="G106" i="2"/>
  <c r="I105" i="2"/>
  <c r="G105" i="2"/>
  <c r="I104" i="2"/>
  <c r="G104" i="2"/>
  <c r="I103" i="2"/>
  <c r="G103" i="2"/>
  <c r="I102" i="2"/>
  <c r="G102" i="2"/>
  <c r="I101" i="2"/>
  <c r="G101" i="2"/>
  <c r="I100" i="2"/>
  <c r="G100" i="2"/>
  <c r="I99" i="2"/>
  <c r="G99" i="2"/>
  <c r="I98" i="2"/>
  <c r="G98" i="2"/>
  <c r="I97" i="2"/>
  <c r="G97" i="2"/>
  <c r="I96" i="2"/>
  <c r="G96" i="2"/>
  <c r="I95" i="2"/>
  <c r="G95" i="2"/>
  <c r="I94" i="2"/>
  <c r="G94" i="2"/>
  <c r="I93" i="2"/>
  <c r="G93" i="2"/>
  <c r="I92" i="2"/>
  <c r="G92" i="2"/>
  <c r="I91" i="2"/>
  <c r="G91" i="2"/>
  <c r="I90" i="2"/>
  <c r="G90" i="2"/>
  <c r="I89" i="2"/>
  <c r="G89" i="2"/>
  <c r="I88" i="2"/>
  <c r="G88" i="2"/>
  <c r="I87" i="2"/>
  <c r="G87" i="2"/>
  <c r="I86" i="2"/>
  <c r="G86" i="2"/>
  <c r="I85" i="2"/>
  <c r="G85" i="2"/>
  <c r="I84" i="2"/>
  <c r="G84" i="2"/>
  <c r="I83" i="2"/>
  <c r="G83" i="2"/>
  <c r="I82" i="2"/>
  <c r="G82" i="2"/>
  <c r="I81" i="2"/>
  <c r="G81" i="2"/>
  <c r="I80" i="2"/>
  <c r="G80" i="2"/>
  <c r="I79" i="2"/>
  <c r="G79" i="2"/>
  <c r="I78" i="2"/>
  <c r="G78" i="2"/>
  <c r="I77" i="2"/>
  <c r="G77" i="2"/>
  <c r="I76" i="2"/>
  <c r="G76" i="2"/>
  <c r="I75" i="2"/>
  <c r="G75" i="2"/>
  <c r="I74" i="2"/>
  <c r="G74" i="2"/>
  <c r="I73" i="2"/>
  <c r="G73" i="2"/>
  <c r="I72" i="2"/>
  <c r="G72" i="2"/>
  <c r="I71" i="2"/>
  <c r="G71" i="2"/>
  <c r="I70" i="2"/>
  <c r="G70" i="2"/>
  <c r="I69" i="2"/>
  <c r="G69" i="2"/>
  <c r="I68" i="2"/>
  <c r="G68" i="2"/>
  <c r="I67" i="2"/>
  <c r="G67" i="2"/>
  <c r="I66" i="2"/>
  <c r="G66" i="2"/>
  <c r="I65" i="2"/>
  <c r="G65" i="2"/>
  <c r="I64" i="2"/>
  <c r="G64" i="2"/>
  <c r="I63" i="2"/>
  <c r="G63" i="2"/>
  <c r="I62" i="2"/>
  <c r="G62" i="2"/>
  <c r="I61" i="2"/>
  <c r="G61" i="2"/>
  <c r="I60" i="2"/>
  <c r="G60" i="2"/>
  <c r="I59" i="2"/>
  <c r="G59" i="2"/>
  <c r="I58" i="2"/>
  <c r="G58" i="2"/>
  <c r="I57" i="2"/>
  <c r="G57" i="2"/>
  <c r="I56" i="2"/>
  <c r="G56" i="2"/>
  <c r="I55" i="2"/>
  <c r="G55" i="2"/>
  <c r="I54" i="2"/>
  <c r="G54" i="2"/>
  <c r="I53" i="2"/>
  <c r="G53" i="2"/>
  <c r="I52" i="2"/>
  <c r="G52" i="2"/>
  <c r="I51" i="2"/>
  <c r="G51" i="2"/>
  <c r="I50" i="2"/>
  <c r="G50" i="2"/>
  <c r="I49" i="2"/>
  <c r="G49" i="2"/>
  <c r="I48" i="2"/>
  <c r="G48" i="2"/>
  <c r="I47" i="2"/>
  <c r="G47" i="2"/>
  <c r="I46" i="2"/>
  <c r="G46" i="2"/>
  <c r="I45" i="2"/>
  <c r="G45" i="2"/>
  <c r="I44" i="2"/>
  <c r="G44" i="2"/>
  <c r="I43" i="2"/>
  <c r="G43" i="2"/>
  <c r="I42" i="2"/>
  <c r="G42" i="2"/>
  <c r="I41" i="2"/>
  <c r="G41" i="2"/>
  <c r="I40" i="2"/>
  <c r="G40" i="2"/>
  <c r="I39" i="2"/>
  <c r="G39" i="2"/>
  <c r="I38" i="2"/>
  <c r="G38" i="2"/>
  <c r="I37" i="2"/>
  <c r="G37" i="2"/>
  <c r="I36" i="2"/>
  <c r="G36" i="2"/>
  <c r="I35" i="2"/>
  <c r="G35" i="2"/>
  <c r="I34" i="2"/>
  <c r="G34" i="2"/>
  <c r="I33" i="2"/>
  <c r="G33" i="2"/>
  <c r="I32" i="2"/>
  <c r="G32" i="2"/>
  <c r="I31" i="2"/>
  <c r="G31" i="2"/>
  <c r="I30" i="2"/>
  <c r="G30" i="2"/>
  <c r="I29" i="2"/>
  <c r="G29" i="2"/>
  <c r="I28" i="2"/>
  <c r="G28" i="2"/>
  <c r="I27" i="2"/>
  <c r="G27" i="2"/>
  <c r="I26" i="2"/>
  <c r="G26" i="2"/>
  <c r="I25" i="2"/>
  <c r="G25" i="2"/>
  <c r="I24" i="2"/>
  <c r="G24" i="2"/>
  <c r="I23" i="2"/>
  <c r="G23" i="2"/>
  <c r="I22" i="2"/>
  <c r="G22" i="2"/>
  <c r="I21" i="2"/>
  <c r="G21" i="2"/>
  <c r="I20" i="2"/>
  <c r="G20" i="2"/>
  <c r="I19" i="2"/>
  <c r="G19" i="2"/>
  <c r="I18" i="2"/>
  <c r="G18" i="2"/>
  <c r="I17" i="2"/>
  <c r="G17" i="2"/>
  <c r="I16" i="2"/>
  <c r="G16" i="2"/>
  <c r="I15" i="2"/>
  <c r="G15" i="2"/>
  <c r="I14" i="2"/>
  <c r="G14" i="2"/>
  <c r="I13" i="2"/>
  <c r="G13" i="2"/>
  <c r="I12" i="2"/>
  <c r="G12" i="2"/>
  <c r="I11" i="2"/>
  <c r="G11" i="2"/>
  <c r="A11" i="2"/>
  <c r="I10" i="2"/>
  <c r="G10" i="2"/>
  <c r="J9" i="2"/>
  <c r="I9" i="2"/>
  <c r="H9" i="2"/>
  <c r="H10" i="2" s="1"/>
  <c r="G9" i="2"/>
  <c r="C9" i="2"/>
  <c r="D9" i="2" s="1"/>
  <c r="E9" i="2" s="1"/>
  <c r="F9" i="2" s="1"/>
  <c r="A9" i="2"/>
  <c r="A10" i="2" s="1"/>
  <c r="C10" i="2" s="1"/>
  <c r="D10" i="2" s="1"/>
  <c r="E10" i="2" s="1"/>
  <c r="F10" i="2" s="1"/>
  <c r="J8" i="2"/>
  <c r="I8" i="2"/>
  <c r="G8" i="2"/>
  <c r="D8" i="2"/>
  <c r="E8" i="2" s="1"/>
  <c r="C8" i="2"/>
  <c r="J5" i="2"/>
  <c r="I5" i="2"/>
  <c r="A12" i="2" l="1"/>
  <c r="C11" i="2"/>
  <c r="D11" i="2" s="1"/>
  <c r="E11" i="2" s="1"/>
  <c r="F11" i="2" s="1"/>
  <c r="J10" i="2"/>
  <c r="K10" i="2" s="1"/>
  <c r="H11" i="2"/>
  <c r="K8" i="2"/>
  <c r="K9" i="2"/>
  <c r="F8" i="2"/>
  <c r="G6" i="3"/>
  <c r="D6" i="3"/>
  <c r="E6" i="3"/>
  <c r="G7" i="3"/>
  <c r="D7" i="3"/>
  <c r="E7" i="3" s="1"/>
  <c r="F7" i="3" s="1"/>
  <c r="C8" i="4"/>
  <c r="A8" i="4" s="1"/>
  <c r="B9" i="4"/>
  <c r="B8" i="3"/>
  <c r="E96" i="3"/>
  <c r="F96" i="3" s="1"/>
  <c r="D7" i="4"/>
  <c r="E7" i="4" s="1"/>
  <c r="C31" i="5"/>
  <c r="B31" i="5"/>
  <c r="D30" i="5"/>
  <c r="H75" i="5" a="1"/>
  <c r="H75" i="5" s="1"/>
  <c r="R75" i="5" s="1"/>
  <c r="A76" i="5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H124" i="5" s="1" a="1"/>
  <c r="H124" i="5" s="1"/>
  <c r="R124" i="5" s="1"/>
  <c r="H84" i="5" a="1"/>
  <c r="H84" i="5" s="1"/>
  <c r="R84" i="5" s="1"/>
  <c r="T37" i="5"/>
  <c r="E6" i="7"/>
  <c r="E51" i="7"/>
  <c r="D35" i="6" l="1"/>
  <c r="D35" i="5"/>
  <c r="I7" i="3"/>
  <c r="F7" i="4"/>
  <c r="H102" i="5" a="1"/>
  <c r="H102" i="5" s="1"/>
  <c r="R102" i="5" s="1"/>
  <c r="H83" i="5" a="1"/>
  <c r="H83" i="5" s="1"/>
  <c r="R83" i="5" s="1"/>
  <c r="H112" i="5" a="1"/>
  <c r="H112" i="5" s="1"/>
  <c r="R112" i="5" s="1"/>
  <c r="F35" i="6"/>
  <c r="H7" i="3"/>
  <c r="H86" i="5" a="1"/>
  <c r="H86" i="5" s="1"/>
  <c r="R86" i="5" s="1"/>
  <c r="H96" i="5" a="1"/>
  <c r="H96" i="5" s="1"/>
  <c r="R96" i="5" s="1"/>
  <c r="H89" i="5" a="1"/>
  <c r="H89" i="5" s="1"/>
  <c r="R89" i="5" s="1"/>
  <c r="H79" i="5" a="1"/>
  <c r="H79" i="5" s="1"/>
  <c r="R79" i="5" s="1"/>
  <c r="H115" i="5" a="1"/>
  <c r="H115" i="5" s="1"/>
  <c r="R115" i="5" s="1"/>
  <c r="V37" i="5"/>
  <c r="X37" i="5" s="1"/>
  <c r="T38" i="5"/>
  <c r="H107" i="5" a="1"/>
  <c r="H107" i="5" s="1"/>
  <c r="R107" i="5" s="1"/>
  <c r="H92" i="5" a="1"/>
  <c r="H92" i="5" s="1"/>
  <c r="R92" i="5" s="1"/>
  <c r="H82" i="5" a="1"/>
  <c r="H82" i="5" s="1"/>
  <c r="R82" i="5" s="1"/>
  <c r="H118" i="5" a="1"/>
  <c r="H118" i="5" s="1"/>
  <c r="R118" i="5" s="1"/>
  <c r="F34" i="6"/>
  <c r="G34" i="6" s="1"/>
  <c r="H6" i="3"/>
  <c r="H95" i="5" a="1"/>
  <c r="H95" i="5" s="1"/>
  <c r="R95" i="5" s="1"/>
  <c r="H85" i="5" a="1"/>
  <c r="H85" i="5" s="1"/>
  <c r="R85" i="5" s="1"/>
  <c r="H121" i="5" a="1"/>
  <c r="H121" i="5" s="1"/>
  <c r="R121" i="5" s="1"/>
  <c r="D124" i="6"/>
  <c r="D124" i="5"/>
  <c r="H93" i="5" a="1"/>
  <c r="H93" i="5" s="1"/>
  <c r="R93" i="5" s="1"/>
  <c r="H78" i="5" a="1"/>
  <c r="H78" i="5" s="1"/>
  <c r="R78" i="5" s="1"/>
  <c r="H98" i="5" a="1"/>
  <c r="H98" i="5" s="1"/>
  <c r="R98" i="5" s="1"/>
  <c r="H88" i="5" a="1"/>
  <c r="H88" i="5" s="1"/>
  <c r="R88" i="5" s="1"/>
  <c r="H101" i="5" a="1"/>
  <c r="H101" i="5" s="1"/>
  <c r="R101" i="5" s="1"/>
  <c r="H91" i="5" a="1"/>
  <c r="H91" i="5" s="1"/>
  <c r="R91" i="5" s="1"/>
  <c r="H111" i="5" a="1"/>
  <c r="H111" i="5" s="1"/>
  <c r="R111" i="5" s="1"/>
  <c r="B9" i="3"/>
  <c r="C8" i="3"/>
  <c r="A8" i="3" s="1"/>
  <c r="H122" i="5" a="1"/>
  <c r="H122" i="5" s="1"/>
  <c r="R122" i="5" s="1"/>
  <c r="H105" i="5" a="1"/>
  <c r="H105" i="5" s="1"/>
  <c r="R105" i="5" s="1"/>
  <c r="H87" i="5" a="1"/>
  <c r="H87" i="5" s="1"/>
  <c r="R87" i="5" s="1"/>
  <c r="H113" i="5" a="1"/>
  <c r="H113" i="5" s="1"/>
  <c r="R113" i="5" s="1"/>
  <c r="H104" i="5" a="1"/>
  <c r="H104" i="5" s="1"/>
  <c r="R104" i="5" s="1"/>
  <c r="H94" i="5" a="1"/>
  <c r="H94" i="5" s="1"/>
  <c r="R94" i="5" s="1"/>
  <c r="H114" i="5" a="1"/>
  <c r="H114" i="5" s="1"/>
  <c r="R114" i="5" s="1"/>
  <c r="B10" i="4"/>
  <c r="C9" i="4"/>
  <c r="A9" i="4" s="1"/>
  <c r="O61" i="7"/>
  <c r="A53" i="7" s="1"/>
  <c r="E7" i="7"/>
  <c r="H99" i="5" a="1"/>
  <c r="H99" i="5" s="1"/>
  <c r="R99" i="5" s="1"/>
  <c r="H77" i="5" a="1"/>
  <c r="H77" i="5" s="1"/>
  <c r="R77" i="5" s="1"/>
  <c r="H108" i="5" a="1"/>
  <c r="H108" i="5" s="1"/>
  <c r="R108" i="5" s="1"/>
  <c r="H97" i="5" a="1"/>
  <c r="H97" i="5" s="1"/>
  <c r="R97" i="5" s="1"/>
  <c r="H117" i="5" a="1"/>
  <c r="H117" i="5" s="1"/>
  <c r="R117" i="5" s="1"/>
  <c r="D8" i="4"/>
  <c r="E8" i="4" s="1"/>
  <c r="G8" i="4"/>
  <c r="E35" i="6" s="1"/>
  <c r="G35" i="6" s="1"/>
  <c r="J11" i="2"/>
  <c r="K11" i="2" s="1"/>
  <c r="H12" i="2"/>
  <c r="H81" i="5" a="1"/>
  <c r="H81" i="5" s="1"/>
  <c r="R81" i="5" s="1"/>
  <c r="H116" i="5" a="1"/>
  <c r="H116" i="5" s="1"/>
  <c r="R116" i="5" s="1"/>
  <c r="H110" i="5" a="1"/>
  <c r="H110" i="5" s="1"/>
  <c r="R110" i="5" s="1"/>
  <c r="H100" i="5" a="1"/>
  <c r="H100" i="5" s="1"/>
  <c r="R100" i="5" s="1"/>
  <c r="H120" i="5" a="1"/>
  <c r="H120" i="5" s="1"/>
  <c r="R120" i="5" s="1"/>
  <c r="F6" i="3"/>
  <c r="H76" i="5" a="1"/>
  <c r="H76" i="5" s="1"/>
  <c r="R76" i="5" s="1"/>
  <c r="H109" i="5" a="1"/>
  <c r="H109" i="5" s="1"/>
  <c r="R109" i="5" s="1"/>
  <c r="H103" i="5" a="1"/>
  <c r="H103" i="5" s="1"/>
  <c r="R103" i="5" s="1"/>
  <c r="H123" i="5" a="1"/>
  <c r="H123" i="5" s="1"/>
  <c r="R123" i="5" s="1"/>
  <c r="H90" i="5" a="1"/>
  <c r="H90" i="5" s="1"/>
  <c r="R90" i="5" s="1"/>
  <c r="H80" i="5" a="1"/>
  <c r="H80" i="5" s="1"/>
  <c r="R80" i="5" s="1"/>
  <c r="H119" i="5" a="1"/>
  <c r="H119" i="5" s="1"/>
  <c r="R119" i="5" s="1"/>
  <c r="H106" i="5" a="1"/>
  <c r="H106" i="5" s="1"/>
  <c r="R106" i="5" s="1"/>
  <c r="C12" i="2"/>
  <c r="D12" i="2" s="1"/>
  <c r="E12" i="2" s="1"/>
  <c r="A13" i="2"/>
  <c r="F8" i="4" l="1"/>
  <c r="J12" i="2"/>
  <c r="K12" i="2" s="1"/>
  <c r="H13" i="2"/>
  <c r="D9" i="4"/>
  <c r="E9" i="4" s="1"/>
  <c r="G9" i="4"/>
  <c r="E36" i="6" s="1"/>
  <c r="B11" i="4"/>
  <c r="C10" i="4"/>
  <c r="A10" i="4" s="1"/>
  <c r="F12" i="2"/>
  <c r="C13" i="2"/>
  <c r="D13" i="2" s="1"/>
  <c r="E13" i="2" s="1"/>
  <c r="F13" i="2" s="1"/>
  <c r="A14" i="2"/>
  <c r="D34" i="6"/>
  <c r="D34" i="5"/>
  <c r="V38" i="5"/>
  <c r="X38" i="5" s="1"/>
  <c r="T39" i="5"/>
  <c r="B34" i="6"/>
  <c r="B34" i="5"/>
  <c r="O62" i="7"/>
  <c r="A54" i="7" s="1"/>
  <c r="E8" i="7"/>
  <c r="G8" i="3"/>
  <c r="D8" i="3"/>
  <c r="E8" i="3" s="1"/>
  <c r="B10" i="3"/>
  <c r="C9" i="3"/>
  <c r="A9" i="3" s="1"/>
  <c r="F8" i="3" l="1"/>
  <c r="F9" i="4"/>
  <c r="B12" i="4"/>
  <c r="C11" i="4"/>
  <c r="A11" i="4" s="1"/>
  <c r="O63" i="7"/>
  <c r="A55" i="7" s="1"/>
  <c r="E9" i="7"/>
  <c r="G34" i="5"/>
  <c r="V39" i="5"/>
  <c r="X39" i="5" s="1"/>
  <c r="T40" i="5"/>
  <c r="J13" i="2"/>
  <c r="K13" i="2" s="1"/>
  <c r="H14" i="2"/>
  <c r="M34" i="6"/>
  <c r="C10" i="3"/>
  <c r="A10" i="3" s="1"/>
  <c r="B11" i="3"/>
  <c r="G10" i="4"/>
  <c r="E37" i="6" s="1"/>
  <c r="D10" i="4"/>
  <c r="E10" i="4" s="1"/>
  <c r="F34" i="5"/>
  <c r="C14" i="2"/>
  <c r="D14" i="2" s="1"/>
  <c r="E14" i="2" s="1"/>
  <c r="A15" i="2"/>
  <c r="B35" i="6"/>
  <c r="M35" i="6" s="1"/>
  <c r="B35" i="5"/>
  <c r="G9" i="3"/>
  <c r="D9" i="3"/>
  <c r="E9" i="3" s="1"/>
  <c r="F36" i="6"/>
  <c r="G36" i="6" s="1"/>
  <c r="H8" i="3"/>
  <c r="F9" i="3" l="1"/>
  <c r="F10" i="4"/>
  <c r="O64" i="7"/>
  <c r="A56" i="7" s="1"/>
  <c r="E10" i="7"/>
  <c r="G11" i="4"/>
  <c r="E38" i="6" s="1"/>
  <c r="D11" i="4"/>
  <c r="E11" i="4" s="1"/>
  <c r="B13" i="4"/>
  <c r="C12" i="4"/>
  <c r="A12" i="4" s="1"/>
  <c r="B12" i="3"/>
  <c r="C11" i="3"/>
  <c r="A11" i="3" s="1"/>
  <c r="G35" i="5"/>
  <c r="F35" i="5"/>
  <c r="C15" i="2"/>
  <c r="D15" i="2" s="1"/>
  <c r="E15" i="2" s="1"/>
  <c r="F15" i="2" s="1"/>
  <c r="A16" i="2"/>
  <c r="H15" i="2"/>
  <c r="J14" i="2"/>
  <c r="K14" i="2" s="1"/>
  <c r="D10" i="3"/>
  <c r="E10" i="3" s="1"/>
  <c r="G10" i="3"/>
  <c r="N34" i="6"/>
  <c r="B36" i="6"/>
  <c r="M36" i="6" s="1"/>
  <c r="B36" i="5"/>
  <c r="H36" i="5" s="1" a="1"/>
  <c r="H36" i="5" s="1"/>
  <c r="V40" i="5"/>
  <c r="X40" i="5" s="1"/>
  <c r="T41" i="5"/>
  <c r="F37" i="6"/>
  <c r="G37" i="6" s="1"/>
  <c r="H9" i="3"/>
  <c r="F14" i="2"/>
  <c r="H35" i="5" a="1"/>
  <c r="H35" i="5" s="1"/>
  <c r="D36" i="6"/>
  <c r="D36" i="5"/>
  <c r="F10" i="3" l="1"/>
  <c r="F11" i="4"/>
  <c r="C16" i="2"/>
  <c r="D16" i="2" s="1"/>
  <c r="E16" i="2" s="1"/>
  <c r="F16" i="2" s="1"/>
  <c r="A17" i="2"/>
  <c r="O65" i="7"/>
  <c r="A57" i="7" s="1"/>
  <c r="E11" i="7"/>
  <c r="G36" i="5"/>
  <c r="K125" i="5"/>
  <c r="G11" i="3"/>
  <c r="D11" i="3"/>
  <c r="E11" i="3" s="1"/>
  <c r="B37" i="6"/>
  <c r="B37" i="5"/>
  <c r="V41" i="5"/>
  <c r="X41" i="5" s="1"/>
  <c r="T42" i="5"/>
  <c r="B13" i="3"/>
  <c r="C12" i="3"/>
  <c r="A12" i="3" s="1"/>
  <c r="B14" i="4"/>
  <c r="C13" i="4"/>
  <c r="A13" i="4" s="1"/>
  <c r="J15" i="2"/>
  <c r="K15" i="2" s="1"/>
  <c r="H16" i="2"/>
  <c r="F36" i="5"/>
  <c r="F38" i="6"/>
  <c r="G38" i="6" s="1"/>
  <c r="H10" i="3"/>
  <c r="G12" i="4"/>
  <c r="E39" i="6" s="1"/>
  <c r="D12" i="4"/>
  <c r="E12" i="4" s="1"/>
  <c r="F12" i="4" s="1"/>
  <c r="D37" i="6"/>
  <c r="D37" i="5"/>
  <c r="F11" i="3" l="1"/>
  <c r="B39" i="6"/>
  <c r="B39" i="5"/>
  <c r="O66" i="7"/>
  <c r="A58" i="7" s="1"/>
  <c r="E12" i="7"/>
  <c r="G37" i="5"/>
  <c r="M37" i="6"/>
  <c r="A18" i="2"/>
  <c r="C17" i="2"/>
  <c r="D17" i="2" s="1"/>
  <c r="E17" i="2" s="1"/>
  <c r="F17" i="2" s="1"/>
  <c r="E13" i="4"/>
  <c r="F13" i="4" s="1"/>
  <c r="D13" i="4"/>
  <c r="G13" i="4"/>
  <c r="E40" i="6" s="1"/>
  <c r="B15" i="4"/>
  <c r="C14" i="4"/>
  <c r="A14" i="4" s="1"/>
  <c r="F39" i="6"/>
  <c r="G39" i="6" s="1"/>
  <c r="H11" i="3"/>
  <c r="F37" i="5"/>
  <c r="B38" i="6"/>
  <c r="M38" i="6" s="1"/>
  <c r="B38" i="5"/>
  <c r="C13" i="3"/>
  <c r="A13" i="3" s="1"/>
  <c r="B14" i="3"/>
  <c r="D38" i="6"/>
  <c r="D38" i="5"/>
  <c r="J16" i="2"/>
  <c r="K16" i="2" s="1"/>
  <c r="H17" i="2"/>
  <c r="G12" i="3"/>
  <c r="D12" i="3"/>
  <c r="E12" i="3" s="1"/>
  <c r="F12" i="3" s="1"/>
  <c r="H37" i="5" a="1"/>
  <c r="H37" i="5" s="1"/>
  <c r="V42" i="5"/>
  <c r="X42" i="5" s="1"/>
  <c r="T43" i="5"/>
  <c r="D40" i="6" l="1"/>
  <c r="D40" i="5"/>
  <c r="G38" i="5"/>
  <c r="J17" i="2"/>
  <c r="K17" i="2" s="1"/>
  <c r="H18" i="2"/>
  <c r="H38" i="5" a="1"/>
  <c r="H38" i="5" s="1"/>
  <c r="O67" i="7"/>
  <c r="A59" i="7" s="1"/>
  <c r="E13" i="7"/>
  <c r="C18" i="2"/>
  <c r="D18" i="2" s="1"/>
  <c r="E18" i="2" s="1"/>
  <c r="F18" i="2" s="1"/>
  <c r="A19" i="2"/>
  <c r="V43" i="5"/>
  <c r="X43" i="5" s="1"/>
  <c r="T44" i="5"/>
  <c r="C15" i="4"/>
  <c r="A15" i="4" s="1"/>
  <c r="B16" i="4"/>
  <c r="F40" i="6"/>
  <c r="G40" i="6" s="1"/>
  <c r="H12" i="3"/>
  <c r="F38" i="5"/>
  <c r="G14" i="4"/>
  <c r="E41" i="6" s="1"/>
  <c r="D14" i="4"/>
  <c r="E14" i="4" s="1"/>
  <c r="F14" i="4" s="1"/>
  <c r="B15" i="3"/>
  <c r="C14" i="3"/>
  <c r="A14" i="3" s="1"/>
  <c r="B40" i="6"/>
  <c r="M40" i="6" s="1"/>
  <c r="B40" i="5"/>
  <c r="H40" i="5" s="1" a="1"/>
  <c r="H40" i="5" s="1"/>
  <c r="D13" i="3"/>
  <c r="E13" i="3" s="1"/>
  <c r="F13" i="3" s="1"/>
  <c r="G13" i="3"/>
  <c r="D39" i="6"/>
  <c r="D39" i="5"/>
  <c r="F39" i="5" s="1"/>
  <c r="B41" i="6" l="1"/>
  <c r="B41" i="5"/>
  <c r="D41" i="6"/>
  <c r="D41" i="5"/>
  <c r="O68" i="7"/>
  <c r="A60" i="7" s="1"/>
  <c r="E14" i="7"/>
  <c r="J18" i="2"/>
  <c r="K18" i="2" s="1"/>
  <c r="H19" i="2"/>
  <c r="G40" i="5"/>
  <c r="H41" i="5" a="1"/>
  <c r="H41" i="5" s="1"/>
  <c r="G15" i="4"/>
  <c r="E42" i="6" s="1"/>
  <c r="D15" i="4"/>
  <c r="E15" i="4"/>
  <c r="F15" i="4" s="1"/>
  <c r="G14" i="3"/>
  <c r="D14" i="3"/>
  <c r="E14" i="3" s="1"/>
  <c r="F14" i="3" s="1"/>
  <c r="V44" i="5"/>
  <c r="X44" i="5" s="1"/>
  <c r="T45" i="5"/>
  <c r="H39" i="5" a="1"/>
  <c r="H39" i="5" s="1"/>
  <c r="C16" i="4"/>
  <c r="A16" i="4" s="1"/>
  <c r="B17" i="4"/>
  <c r="B16" i="3"/>
  <c r="C15" i="3"/>
  <c r="A15" i="3" s="1"/>
  <c r="G39" i="5"/>
  <c r="M39" i="6"/>
  <c r="F40" i="5"/>
  <c r="F41" i="6"/>
  <c r="G41" i="6" s="1"/>
  <c r="H13" i="3"/>
  <c r="C19" i="2"/>
  <c r="D19" i="2" s="1"/>
  <c r="E19" i="2" s="1"/>
  <c r="F19" i="2" s="1"/>
  <c r="A20" i="2"/>
  <c r="D42" i="6" l="1"/>
  <c r="D42" i="5"/>
  <c r="O69" i="7"/>
  <c r="A61" i="7" s="1"/>
  <c r="E15" i="7"/>
  <c r="F41" i="5"/>
  <c r="V45" i="5"/>
  <c r="X45" i="5" s="1"/>
  <c r="T46" i="5"/>
  <c r="F42" i="6"/>
  <c r="G42" i="6" s="1"/>
  <c r="H14" i="3"/>
  <c r="B42" i="6"/>
  <c r="M42" i="6" s="1"/>
  <c r="B42" i="5"/>
  <c r="C16" i="3"/>
  <c r="A16" i="3" s="1"/>
  <c r="B17" i="3"/>
  <c r="G41" i="5"/>
  <c r="H42" i="5" a="1"/>
  <c r="H42" i="5" s="1"/>
  <c r="G16" i="4"/>
  <c r="E43" i="6" s="1"/>
  <c r="D16" i="4"/>
  <c r="E16" i="4" s="1"/>
  <c r="F16" i="4" s="1"/>
  <c r="H20" i="2"/>
  <c r="J19" i="2"/>
  <c r="K19" i="2" s="1"/>
  <c r="G15" i="3"/>
  <c r="D15" i="3"/>
  <c r="E15" i="3" s="1"/>
  <c r="F15" i="3" s="1"/>
  <c r="C20" i="2"/>
  <c r="D20" i="2" s="1"/>
  <c r="E20" i="2" s="1"/>
  <c r="F20" i="2" s="1"/>
  <c r="A21" i="2"/>
  <c r="B18" i="4"/>
  <c r="C17" i="4"/>
  <c r="A17" i="4" s="1"/>
  <c r="M41" i="6"/>
  <c r="D43" i="6" l="1"/>
  <c r="D43" i="5"/>
  <c r="B43" i="6"/>
  <c r="M43" i="6" s="1"/>
  <c r="B43" i="5"/>
  <c r="V46" i="5"/>
  <c r="X46" i="5" s="1"/>
  <c r="T47" i="5"/>
  <c r="B18" i="3"/>
  <c r="C17" i="3"/>
  <c r="A17" i="3" s="1"/>
  <c r="G43" i="6"/>
  <c r="E16" i="3"/>
  <c r="F16" i="3" s="1"/>
  <c r="D16" i="3"/>
  <c r="G16" i="3"/>
  <c r="O70" i="7"/>
  <c r="A62" i="7" s="1"/>
  <c r="E16" i="7"/>
  <c r="C18" i="4"/>
  <c r="A18" i="4" s="1"/>
  <c r="B19" i="4"/>
  <c r="C21" i="2"/>
  <c r="D21" i="2" s="1"/>
  <c r="E21" i="2" s="1"/>
  <c r="F21" i="2" s="1"/>
  <c r="A22" i="2"/>
  <c r="G42" i="5"/>
  <c r="H43" i="5" a="1"/>
  <c r="H43" i="5" s="1"/>
  <c r="H21" i="2"/>
  <c r="J20" i="2"/>
  <c r="K20" i="2" s="1"/>
  <c r="F43" i="6"/>
  <c r="H15" i="3"/>
  <c r="F42" i="5"/>
  <c r="G17" i="4"/>
  <c r="E44" i="6" s="1"/>
  <c r="D17" i="4"/>
  <c r="E17" i="4" s="1"/>
  <c r="F17" i="4" s="1"/>
  <c r="B44" i="6" l="1"/>
  <c r="B44" i="5"/>
  <c r="D44" i="6"/>
  <c r="D44" i="5"/>
  <c r="F44" i="5" s="1"/>
  <c r="B19" i="3"/>
  <c r="C18" i="3"/>
  <c r="A18" i="3" s="1"/>
  <c r="V47" i="5"/>
  <c r="X47" i="5" s="1"/>
  <c r="T48" i="5"/>
  <c r="O71" i="7"/>
  <c r="A63" i="7" s="1"/>
  <c r="E17" i="7"/>
  <c r="G43" i="5"/>
  <c r="G17" i="3"/>
  <c r="D17" i="3"/>
  <c r="E17" i="3" s="1"/>
  <c r="F17" i="3" s="1"/>
  <c r="H22" i="2"/>
  <c r="J21" i="2"/>
  <c r="K21" i="2" s="1"/>
  <c r="G18" i="4"/>
  <c r="E45" i="6" s="1"/>
  <c r="D18" i="4"/>
  <c r="E18" i="4" s="1"/>
  <c r="F18" i="4" s="1"/>
  <c r="F44" i="6"/>
  <c r="G44" i="6" s="1"/>
  <c r="H16" i="3"/>
  <c r="F43" i="5"/>
  <c r="A23" i="2"/>
  <c r="C22" i="2"/>
  <c r="D22" i="2" s="1"/>
  <c r="E22" i="2" s="1"/>
  <c r="F22" i="2" s="1"/>
  <c r="C19" i="4"/>
  <c r="A19" i="4" s="1"/>
  <c r="B20" i="4"/>
  <c r="B45" i="6" l="1"/>
  <c r="B45" i="5"/>
  <c r="D45" i="6"/>
  <c r="D45" i="5"/>
  <c r="F45" i="5" s="1"/>
  <c r="O72" i="7"/>
  <c r="A64" i="7" s="1"/>
  <c r="E18" i="7"/>
  <c r="G18" i="3"/>
  <c r="D18" i="3"/>
  <c r="E18" i="3" s="1"/>
  <c r="F18" i="3" s="1"/>
  <c r="C19" i="3"/>
  <c r="A19" i="3" s="1"/>
  <c r="B20" i="3"/>
  <c r="C20" i="4"/>
  <c r="A20" i="4" s="1"/>
  <c r="B21" i="4"/>
  <c r="F45" i="6"/>
  <c r="G45" i="6" s="1"/>
  <c r="H17" i="3"/>
  <c r="J22" i="2"/>
  <c r="K22" i="2" s="1"/>
  <c r="H23" i="2"/>
  <c r="A24" i="2"/>
  <c r="C23" i="2"/>
  <c r="D23" i="2" s="1"/>
  <c r="E23" i="2" s="1"/>
  <c r="F23" i="2" s="1"/>
  <c r="H44" i="5" a="1"/>
  <c r="H44" i="5" s="1"/>
  <c r="G44" i="5"/>
  <c r="H45" i="5" a="1"/>
  <c r="H45" i="5" s="1"/>
  <c r="V48" i="5"/>
  <c r="X48" i="5" s="1"/>
  <c r="T49" i="5"/>
  <c r="D19" i="4"/>
  <c r="E19" i="4" s="1"/>
  <c r="F19" i="4" s="1"/>
  <c r="G19" i="4"/>
  <c r="E46" i="6" s="1"/>
  <c r="M44" i="6"/>
  <c r="D46" i="6" l="1"/>
  <c r="D46" i="5"/>
  <c r="B46" i="6"/>
  <c r="M46" i="6" s="1"/>
  <c r="B46" i="5"/>
  <c r="C24" i="2"/>
  <c r="D24" i="2" s="1"/>
  <c r="E24" i="2" s="1"/>
  <c r="F24" i="2" s="1"/>
  <c r="A25" i="2"/>
  <c r="F46" i="6"/>
  <c r="G46" i="6" s="1"/>
  <c r="H18" i="3"/>
  <c r="O73" i="7"/>
  <c r="A65" i="7" s="1"/>
  <c r="E19" i="7"/>
  <c r="D20" i="4"/>
  <c r="E20" i="4" s="1"/>
  <c r="F20" i="4" s="1"/>
  <c r="G20" i="4"/>
  <c r="E47" i="6" s="1"/>
  <c r="B21" i="3"/>
  <c r="C20" i="3"/>
  <c r="A20" i="3" s="1"/>
  <c r="D19" i="3"/>
  <c r="E19" i="3" s="1"/>
  <c r="F19" i="3" s="1"/>
  <c r="G19" i="3"/>
  <c r="G45" i="5"/>
  <c r="H46" i="5" a="1"/>
  <c r="H46" i="5" s="1"/>
  <c r="J23" i="2"/>
  <c r="K23" i="2" s="1"/>
  <c r="H24" i="2"/>
  <c r="V49" i="5"/>
  <c r="X49" i="5" s="1"/>
  <c r="T50" i="5"/>
  <c r="B22" i="4"/>
  <c r="C21" i="4"/>
  <c r="A21" i="4" s="1"/>
  <c r="M45" i="6"/>
  <c r="B47" i="6" l="1"/>
  <c r="B47" i="5"/>
  <c r="D47" i="6"/>
  <c r="D47" i="5"/>
  <c r="F47" i="5" s="1"/>
  <c r="C25" i="2"/>
  <c r="D25" i="2" s="1"/>
  <c r="E25" i="2" s="1"/>
  <c r="F25" i="2" s="1"/>
  <c r="A26" i="2"/>
  <c r="O74" i="7"/>
  <c r="A66" i="7" s="1"/>
  <c r="E20" i="7"/>
  <c r="G20" i="3"/>
  <c r="D20" i="3"/>
  <c r="E20" i="3" s="1"/>
  <c r="F20" i="3" s="1"/>
  <c r="G46" i="5"/>
  <c r="F47" i="6"/>
  <c r="H19" i="3"/>
  <c r="B23" i="4"/>
  <c r="C22" i="4"/>
  <c r="A22" i="4" s="1"/>
  <c r="V50" i="5"/>
  <c r="X50" i="5" s="1"/>
  <c r="T51" i="5"/>
  <c r="B22" i="3"/>
  <c r="C21" i="3"/>
  <c r="A21" i="3" s="1"/>
  <c r="J24" i="2"/>
  <c r="K24" i="2" s="1"/>
  <c r="H25" i="2"/>
  <c r="F46" i="5"/>
  <c r="D21" i="4"/>
  <c r="E21" i="4"/>
  <c r="F21" i="4" s="1"/>
  <c r="G21" i="4"/>
  <c r="E48" i="6" s="1"/>
  <c r="G47" i="6"/>
  <c r="D48" i="6" l="1"/>
  <c r="D48" i="5"/>
  <c r="F48" i="6"/>
  <c r="H20" i="3"/>
  <c r="G21" i="3"/>
  <c r="D21" i="3"/>
  <c r="E21" i="3" s="1"/>
  <c r="F21" i="3" s="1"/>
  <c r="C26" i="2"/>
  <c r="D26" i="2" s="1"/>
  <c r="E26" i="2" s="1"/>
  <c r="F26" i="2" s="1"/>
  <c r="A27" i="2"/>
  <c r="H26" i="2"/>
  <c r="J25" i="2"/>
  <c r="K25" i="2" s="1"/>
  <c r="C22" i="3"/>
  <c r="A22" i="3" s="1"/>
  <c r="B23" i="3"/>
  <c r="V51" i="5"/>
  <c r="X51" i="5" s="1"/>
  <c r="T52" i="5"/>
  <c r="O75" i="7"/>
  <c r="A67" i="7" s="1"/>
  <c r="E21" i="7"/>
  <c r="B24" i="4"/>
  <c r="C23" i="4"/>
  <c r="A23" i="4" s="1"/>
  <c r="H47" i="5" a="1"/>
  <c r="H47" i="5" s="1"/>
  <c r="G47" i="5"/>
  <c r="H48" i="5" a="1"/>
  <c r="H48" i="5" s="1"/>
  <c r="G22" i="4"/>
  <c r="E49" i="6" s="1"/>
  <c r="D22" i="4"/>
  <c r="E22" i="4" s="1"/>
  <c r="F22" i="4" s="1"/>
  <c r="G48" i="6"/>
  <c r="B48" i="5"/>
  <c r="B48" i="6"/>
  <c r="M48" i="6" s="1"/>
  <c r="M47" i="6"/>
  <c r="B49" i="6" l="1"/>
  <c r="B49" i="5"/>
  <c r="D49" i="6"/>
  <c r="D49" i="5"/>
  <c r="F49" i="5" s="1"/>
  <c r="O76" i="7"/>
  <c r="A68" i="7" s="1"/>
  <c r="E22" i="7"/>
  <c r="F49" i="6"/>
  <c r="G49" i="6" s="1"/>
  <c r="H21" i="3"/>
  <c r="G23" i="4"/>
  <c r="E50" i="6" s="1"/>
  <c r="D23" i="4"/>
  <c r="E23" i="4" s="1"/>
  <c r="F23" i="4" s="1"/>
  <c r="D22" i="3"/>
  <c r="E22" i="3" s="1"/>
  <c r="F22" i="3" s="1"/>
  <c r="G22" i="3"/>
  <c r="H27" i="2"/>
  <c r="J26" i="2"/>
  <c r="K26" i="2" s="1"/>
  <c r="V52" i="5"/>
  <c r="X52" i="5" s="1"/>
  <c r="T53" i="5"/>
  <c r="F48" i="5"/>
  <c r="C27" i="2"/>
  <c r="D27" i="2" s="1"/>
  <c r="E27" i="2" s="1"/>
  <c r="F27" i="2" s="1"/>
  <c r="A28" i="2"/>
  <c r="B25" i="4"/>
  <c r="C24" i="4"/>
  <c r="A24" i="4" s="1"/>
  <c r="G48" i="5"/>
  <c r="H49" i="5" a="1"/>
  <c r="H49" i="5" s="1"/>
  <c r="B24" i="3"/>
  <c r="C23" i="3"/>
  <c r="A23" i="3" s="1"/>
  <c r="B50" i="6" l="1"/>
  <c r="B50" i="5"/>
  <c r="D50" i="6"/>
  <c r="D50" i="5"/>
  <c r="F50" i="5" s="1"/>
  <c r="O77" i="7"/>
  <c r="A69" i="7" s="1"/>
  <c r="E23" i="7"/>
  <c r="G23" i="3"/>
  <c r="D23" i="3"/>
  <c r="E23" i="3" s="1"/>
  <c r="F23" i="3" s="1"/>
  <c r="B25" i="3"/>
  <c r="C24" i="3"/>
  <c r="A24" i="3" s="1"/>
  <c r="H28" i="2"/>
  <c r="J27" i="2"/>
  <c r="K27" i="2" s="1"/>
  <c r="V53" i="5"/>
  <c r="X53" i="5" s="1"/>
  <c r="T54" i="5"/>
  <c r="F50" i="6"/>
  <c r="G50" i="6" s="1"/>
  <c r="H22" i="3"/>
  <c r="C28" i="2"/>
  <c r="D28" i="2" s="1"/>
  <c r="E28" i="2" s="1"/>
  <c r="F28" i="2" s="1"/>
  <c r="A29" i="2"/>
  <c r="G49" i="5"/>
  <c r="H50" i="5" a="1"/>
  <c r="H50" i="5" s="1"/>
  <c r="G24" i="4"/>
  <c r="E51" i="6" s="1"/>
  <c r="D24" i="4"/>
  <c r="E24" i="4" s="1"/>
  <c r="F24" i="4" s="1"/>
  <c r="B26" i="4"/>
  <c r="C25" i="4"/>
  <c r="A25" i="4" s="1"/>
  <c r="M49" i="6"/>
  <c r="B51" i="6" l="1"/>
  <c r="B51" i="5"/>
  <c r="D51" i="6"/>
  <c r="D51" i="5"/>
  <c r="F51" i="5" s="1"/>
  <c r="F51" i="6"/>
  <c r="G51" i="6" s="1"/>
  <c r="H23" i="3"/>
  <c r="O78" i="7"/>
  <c r="A70" i="7" s="1"/>
  <c r="E24" i="7"/>
  <c r="A30" i="2"/>
  <c r="C29" i="2"/>
  <c r="D29" i="2" s="1"/>
  <c r="E29" i="2" s="1"/>
  <c r="F29" i="2" s="1"/>
  <c r="G24" i="3"/>
  <c r="D24" i="3"/>
  <c r="E24" i="3" s="1"/>
  <c r="F24" i="3" s="1"/>
  <c r="B27" i="4"/>
  <c r="C26" i="4"/>
  <c r="A26" i="4" s="1"/>
  <c r="V54" i="5"/>
  <c r="X54" i="5" s="1"/>
  <c r="T55" i="5"/>
  <c r="C25" i="3"/>
  <c r="A25" i="3" s="1"/>
  <c r="B26" i="3"/>
  <c r="G50" i="5"/>
  <c r="H51" i="5" a="1"/>
  <c r="H51" i="5" s="1"/>
  <c r="E25" i="4"/>
  <c r="F25" i="4" s="1"/>
  <c r="D25" i="4"/>
  <c r="G25" i="4"/>
  <c r="E52" i="6" s="1"/>
  <c r="J28" i="2"/>
  <c r="K28" i="2" s="1"/>
  <c r="H29" i="2"/>
  <c r="M50" i="6"/>
  <c r="D52" i="6" l="1"/>
  <c r="D52" i="5"/>
  <c r="B27" i="3"/>
  <c r="C26" i="3"/>
  <c r="A26" i="3" s="1"/>
  <c r="F52" i="6"/>
  <c r="H24" i="3"/>
  <c r="O79" i="7"/>
  <c r="A71" i="7" s="1"/>
  <c r="E25" i="7"/>
  <c r="C30" i="2"/>
  <c r="D30" i="2" s="1"/>
  <c r="E30" i="2" s="1"/>
  <c r="F30" i="2" s="1"/>
  <c r="A31" i="2"/>
  <c r="G26" i="4"/>
  <c r="E53" i="6" s="1"/>
  <c r="E26" i="4"/>
  <c r="F26" i="4" s="1"/>
  <c r="D26" i="4"/>
  <c r="V55" i="5"/>
  <c r="X55" i="5" s="1"/>
  <c r="T56" i="5"/>
  <c r="J29" i="2"/>
  <c r="K29" i="2" s="1"/>
  <c r="H30" i="2"/>
  <c r="G52" i="6"/>
  <c r="G51" i="5"/>
  <c r="H52" i="5" a="1"/>
  <c r="H52" i="5" s="1"/>
  <c r="B52" i="6"/>
  <c r="M52" i="6" s="1"/>
  <c r="B52" i="5"/>
  <c r="E25" i="3"/>
  <c r="F25" i="3" s="1"/>
  <c r="D25" i="3"/>
  <c r="G25" i="3"/>
  <c r="C27" i="4"/>
  <c r="A27" i="4" s="1"/>
  <c r="B28" i="4"/>
  <c r="M51" i="6"/>
  <c r="J30" i="2" l="1"/>
  <c r="K30" i="2" s="1"/>
  <c r="H31" i="2"/>
  <c r="O80" i="7"/>
  <c r="A72" i="7" s="1"/>
  <c r="E26" i="7"/>
  <c r="C28" i="4"/>
  <c r="A28" i="4" s="1"/>
  <c r="B29" i="4"/>
  <c r="G26" i="3"/>
  <c r="D26" i="3"/>
  <c r="E26" i="3" s="1"/>
  <c r="F26" i="3" s="1"/>
  <c r="G52" i="5"/>
  <c r="G27" i="4"/>
  <c r="E54" i="6" s="1"/>
  <c r="D27" i="4"/>
  <c r="E27" i="4"/>
  <c r="F27" i="4" s="1"/>
  <c r="V56" i="5"/>
  <c r="X56" i="5" s="1"/>
  <c r="T57" i="5"/>
  <c r="B28" i="3"/>
  <c r="C27" i="3"/>
  <c r="A27" i="3" s="1"/>
  <c r="C31" i="2"/>
  <c r="D31" i="2" s="1"/>
  <c r="E31" i="2" s="1"/>
  <c r="F31" i="2" s="1"/>
  <c r="A32" i="2"/>
  <c r="F53" i="6"/>
  <c r="G53" i="6" s="1"/>
  <c r="H25" i="3"/>
  <c r="F52" i="5"/>
  <c r="D53" i="6"/>
  <c r="D53" i="5"/>
  <c r="B53" i="6"/>
  <c r="M53" i="6" s="1"/>
  <c r="B53" i="5"/>
  <c r="D54" i="6" l="1"/>
  <c r="D54" i="5"/>
  <c r="F54" i="6"/>
  <c r="H26" i="3"/>
  <c r="G27" i="3"/>
  <c r="D27" i="3"/>
  <c r="E27" i="3" s="1"/>
  <c r="F27" i="3" s="1"/>
  <c r="B30" i="4"/>
  <c r="C29" i="4"/>
  <c r="A29" i="4" s="1"/>
  <c r="G28" i="4"/>
  <c r="E55" i="6" s="1"/>
  <c r="D28" i="4"/>
  <c r="E28" i="4" s="1"/>
  <c r="F28" i="4" s="1"/>
  <c r="C28" i="3"/>
  <c r="A28" i="3" s="1"/>
  <c r="B29" i="3"/>
  <c r="V57" i="5"/>
  <c r="X57" i="5" s="1"/>
  <c r="T58" i="5"/>
  <c r="O81" i="7"/>
  <c r="A73" i="7" s="1"/>
  <c r="E27" i="7"/>
  <c r="C32" i="2"/>
  <c r="D32" i="2" s="1"/>
  <c r="E32" i="2" s="1"/>
  <c r="F32" i="2" s="1"/>
  <c r="A33" i="2"/>
  <c r="H32" i="2"/>
  <c r="J31" i="2"/>
  <c r="K31" i="2" s="1"/>
  <c r="B54" i="6"/>
  <c r="M54" i="6" s="1"/>
  <c r="B54" i="5"/>
  <c r="G54" i="6"/>
  <c r="G53" i="5"/>
  <c r="F53" i="5"/>
  <c r="H53" i="5" a="1"/>
  <c r="H53" i="5" s="1"/>
  <c r="B55" i="6" l="1"/>
  <c r="B55" i="5"/>
  <c r="D55" i="6"/>
  <c r="D55" i="5"/>
  <c r="F55" i="5" s="1"/>
  <c r="G54" i="5"/>
  <c r="H55" i="5" a="1"/>
  <c r="H55" i="5" s="1"/>
  <c r="G29" i="4"/>
  <c r="E56" i="6" s="1"/>
  <c r="D29" i="4"/>
  <c r="E29" i="4" s="1"/>
  <c r="F29" i="4" s="1"/>
  <c r="C30" i="4"/>
  <c r="A30" i="4" s="1"/>
  <c r="B31" i="4"/>
  <c r="O82" i="7"/>
  <c r="A74" i="7" s="1"/>
  <c r="E28" i="7"/>
  <c r="F55" i="6"/>
  <c r="G55" i="6" s="1"/>
  <c r="H27" i="3"/>
  <c r="V58" i="5"/>
  <c r="X58" i="5" s="1"/>
  <c r="T59" i="5"/>
  <c r="H33" i="2"/>
  <c r="J32" i="2"/>
  <c r="K32" i="2" s="1"/>
  <c r="H54" i="5" a="1"/>
  <c r="H54" i="5" s="1"/>
  <c r="B30" i="3"/>
  <c r="C29" i="3"/>
  <c r="A29" i="3" s="1"/>
  <c r="F54" i="5"/>
  <c r="C33" i="2"/>
  <c r="D33" i="2" s="1"/>
  <c r="E33" i="2" s="1"/>
  <c r="F33" i="2" s="1"/>
  <c r="A34" i="2"/>
  <c r="D28" i="3"/>
  <c r="E28" i="3" s="1"/>
  <c r="F28" i="3" s="1"/>
  <c r="G28" i="3"/>
  <c r="B56" i="6" l="1"/>
  <c r="B56" i="5"/>
  <c r="D56" i="6"/>
  <c r="D56" i="5"/>
  <c r="F56" i="5" s="1"/>
  <c r="C31" i="4"/>
  <c r="A31" i="4" s="1"/>
  <c r="B32" i="4"/>
  <c r="G30" i="4"/>
  <c r="E57" i="6" s="1"/>
  <c r="D30" i="4"/>
  <c r="E30" i="4" s="1"/>
  <c r="F30" i="4" s="1"/>
  <c r="G56" i="6"/>
  <c r="H34" i="2"/>
  <c r="J33" i="2"/>
  <c r="K33" i="2" s="1"/>
  <c r="G29" i="3"/>
  <c r="D29" i="3"/>
  <c r="E29" i="3" s="1"/>
  <c r="F29" i="3" s="1"/>
  <c r="B31" i="3"/>
  <c r="C30" i="3"/>
  <c r="A30" i="3" s="1"/>
  <c r="A35" i="2"/>
  <c r="C34" i="2"/>
  <c r="D34" i="2" s="1"/>
  <c r="E34" i="2" s="1"/>
  <c r="F34" i="2" s="1"/>
  <c r="T60" i="5"/>
  <c r="V59" i="5"/>
  <c r="X59" i="5" s="1"/>
  <c r="O83" i="7"/>
  <c r="A75" i="7" s="1"/>
  <c r="E29" i="7"/>
  <c r="G55" i="5"/>
  <c r="H56" i="5" a="1"/>
  <c r="H56" i="5" s="1"/>
  <c r="F56" i="6"/>
  <c r="H28" i="3"/>
  <c r="M55" i="6"/>
  <c r="B57" i="6" l="1"/>
  <c r="B57" i="5"/>
  <c r="D57" i="6"/>
  <c r="D57" i="5"/>
  <c r="F57" i="5" s="1"/>
  <c r="J34" i="2"/>
  <c r="K34" i="2" s="1"/>
  <c r="H35" i="2"/>
  <c r="A36" i="2"/>
  <c r="C35" i="2"/>
  <c r="D35" i="2" s="1"/>
  <c r="E35" i="2" s="1"/>
  <c r="F35" i="2" s="1"/>
  <c r="G30" i="3"/>
  <c r="D30" i="3"/>
  <c r="E30" i="3" s="1"/>
  <c r="F30" i="3" s="1"/>
  <c r="C32" i="4"/>
  <c r="A32" i="4" s="1"/>
  <c r="B33" i="4"/>
  <c r="D31" i="4"/>
  <c r="E31" i="4" s="1"/>
  <c r="F31" i="4" s="1"/>
  <c r="G31" i="4"/>
  <c r="E58" i="6" s="1"/>
  <c r="T61" i="5"/>
  <c r="V60" i="5"/>
  <c r="X60" i="5" s="1"/>
  <c r="C31" i="3"/>
  <c r="A31" i="3" s="1"/>
  <c r="B32" i="3"/>
  <c r="F57" i="6"/>
  <c r="G57" i="6" s="1"/>
  <c r="H29" i="3"/>
  <c r="G56" i="5"/>
  <c r="H57" i="5" a="1"/>
  <c r="H57" i="5" s="1"/>
  <c r="O84" i="7"/>
  <c r="A76" i="7" s="1"/>
  <c r="E30" i="7"/>
  <c r="M56" i="6"/>
  <c r="D58" i="6" l="1"/>
  <c r="D58" i="5"/>
  <c r="F58" i="5" s="1"/>
  <c r="B58" i="6"/>
  <c r="B58" i="5"/>
  <c r="C36" i="2"/>
  <c r="D36" i="2" s="1"/>
  <c r="E36" i="2" s="1"/>
  <c r="F36" i="2" s="1"/>
  <c r="A37" i="2"/>
  <c r="B33" i="3"/>
  <c r="C32" i="3"/>
  <c r="A32" i="3" s="1"/>
  <c r="V61" i="5"/>
  <c r="X61" i="5" s="1"/>
  <c r="T62" i="5"/>
  <c r="J35" i="2"/>
  <c r="K35" i="2" s="1"/>
  <c r="H36" i="2"/>
  <c r="D31" i="3"/>
  <c r="E31" i="3" s="1"/>
  <c r="F31" i="3" s="1"/>
  <c r="G31" i="3"/>
  <c r="F58" i="6"/>
  <c r="H30" i="3"/>
  <c r="G58" i="6"/>
  <c r="B34" i="4"/>
  <c r="C33" i="4"/>
  <c r="A33" i="4" s="1"/>
  <c r="G57" i="5"/>
  <c r="H58" i="5" a="1"/>
  <c r="H58" i="5" s="1"/>
  <c r="O85" i="7"/>
  <c r="A77" i="7" s="1"/>
  <c r="E31" i="7"/>
  <c r="D32" i="4"/>
  <c r="G32" i="4"/>
  <c r="E59" i="6" s="1"/>
  <c r="E32" i="4"/>
  <c r="F32" i="4" s="1"/>
  <c r="M57" i="6"/>
  <c r="D59" i="6" l="1"/>
  <c r="D59" i="5"/>
  <c r="V62" i="5"/>
  <c r="X62" i="5" s="1"/>
  <c r="T63" i="5"/>
  <c r="G32" i="3"/>
  <c r="D32" i="3"/>
  <c r="E32" i="3" s="1"/>
  <c r="F32" i="3" s="1"/>
  <c r="B34" i="3"/>
  <c r="C33" i="3"/>
  <c r="A33" i="3" s="1"/>
  <c r="J36" i="2"/>
  <c r="K36" i="2" s="1"/>
  <c r="H37" i="2"/>
  <c r="B35" i="4"/>
  <c r="C34" i="4"/>
  <c r="A34" i="4" s="1"/>
  <c r="C37" i="2"/>
  <c r="D37" i="2" s="1"/>
  <c r="E37" i="2" s="1"/>
  <c r="F37" i="2" s="1"/>
  <c r="A38" i="2"/>
  <c r="D33" i="4"/>
  <c r="E33" i="4" s="1"/>
  <c r="F33" i="4" s="1"/>
  <c r="G33" i="4"/>
  <c r="E60" i="6" s="1"/>
  <c r="G58" i="5"/>
  <c r="H59" i="5" a="1"/>
  <c r="H59" i="5" s="1"/>
  <c r="B59" i="6"/>
  <c r="M59" i="6" s="1"/>
  <c r="B59" i="5"/>
  <c r="F59" i="6"/>
  <c r="G59" i="6" s="1"/>
  <c r="H31" i="3"/>
  <c r="M58" i="6"/>
  <c r="O86" i="7"/>
  <c r="A78" i="7" s="1"/>
  <c r="E32" i="7"/>
  <c r="D60" i="5" l="1"/>
  <c r="D60" i="6"/>
  <c r="B60" i="6"/>
  <c r="B60" i="5"/>
  <c r="B36" i="4"/>
  <c r="C35" i="4"/>
  <c r="A35" i="4" s="1"/>
  <c r="C34" i="3"/>
  <c r="A34" i="3" s="1"/>
  <c r="B35" i="3"/>
  <c r="G33" i="3"/>
  <c r="D33" i="3"/>
  <c r="E33" i="3" s="1"/>
  <c r="F33" i="3" s="1"/>
  <c r="F60" i="6"/>
  <c r="G60" i="6" s="1"/>
  <c r="H32" i="3"/>
  <c r="T64" i="5"/>
  <c r="V63" i="5"/>
  <c r="X63" i="5" s="1"/>
  <c r="H38" i="2"/>
  <c r="J37" i="2"/>
  <c r="K37" i="2" s="1"/>
  <c r="C38" i="2"/>
  <c r="D38" i="2" s="1"/>
  <c r="E38" i="2" s="1"/>
  <c r="F38" i="2" s="1"/>
  <c r="A39" i="2"/>
  <c r="G59" i="5"/>
  <c r="H60" i="5" a="1"/>
  <c r="H60" i="5" s="1"/>
  <c r="F59" i="5"/>
  <c r="O87" i="7"/>
  <c r="A79" i="7" s="1"/>
  <c r="E33" i="7"/>
  <c r="G34" i="4"/>
  <c r="E61" i="6" s="1"/>
  <c r="D34" i="4"/>
  <c r="E34" i="4" s="1"/>
  <c r="F34" i="4" s="1"/>
  <c r="D61" i="6" l="1"/>
  <c r="D61" i="5"/>
  <c r="B61" i="6"/>
  <c r="M61" i="6" s="1"/>
  <c r="B61" i="5"/>
  <c r="F61" i="6"/>
  <c r="H33" i="3"/>
  <c r="G35" i="4"/>
  <c r="E62" i="6" s="1"/>
  <c r="D35" i="4"/>
  <c r="E35" i="4"/>
  <c r="F35" i="4" s="1"/>
  <c r="B37" i="4"/>
  <c r="C36" i="4"/>
  <c r="A36" i="4" s="1"/>
  <c r="B36" i="3"/>
  <c r="C35" i="3"/>
  <c r="A35" i="3" s="1"/>
  <c r="H39" i="2"/>
  <c r="J38" i="2"/>
  <c r="K38" i="2" s="1"/>
  <c r="T65" i="5"/>
  <c r="V64" i="5"/>
  <c r="X64" i="5" s="1"/>
  <c r="G60" i="5"/>
  <c r="H61" i="5" a="1"/>
  <c r="H61" i="5" s="1"/>
  <c r="G61" i="6"/>
  <c r="M60" i="6"/>
  <c r="C39" i="2"/>
  <c r="D39" i="2" s="1"/>
  <c r="E39" i="2" s="1"/>
  <c r="F39" i="2" s="1"/>
  <c r="A40" i="2"/>
  <c r="O88" i="7"/>
  <c r="A80" i="7" s="1"/>
  <c r="E34" i="7"/>
  <c r="D34" i="3"/>
  <c r="E34" i="3" s="1"/>
  <c r="F34" i="3" s="1"/>
  <c r="G34" i="3"/>
  <c r="F60" i="5"/>
  <c r="D62" i="6" l="1"/>
  <c r="D62" i="5"/>
  <c r="B38" i="4"/>
  <c r="C37" i="4"/>
  <c r="A37" i="4" s="1"/>
  <c r="A41" i="2"/>
  <c r="C40" i="2"/>
  <c r="D40" i="2" s="1"/>
  <c r="E40" i="2" s="1"/>
  <c r="F40" i="2" s="1"/>
  <c r="V65" i="5"/>
  <c r="X65" i="5" s="1"/>
  <c r="T66" i="5"/>
  <c r="F62" i="6"/>
  <c r="G62" i="6" s="1"/>
  <c r="H34" i="3"/>
  <c r="G61" i="5"/>
  <c r="G36" i="4"/>
  <c r="E63" i="6" s="1"/>
  <c r="D36" i="4"/>
  <c r="E36" i="4" s="1"/>
  <c r="F36" i="4" s="1"/>
  <c r="B62" i="6"/>
  <c r="M62" i="6" s="1"/>
  <c r="B62" i="5"/>
  <c r="G35" i="3"/>
  <c r="D35" i="3"/>
  <c r="E35" i="3" s="1"/>
  <c r="F35" i="3" s="1"/>
  <c r="F61" i="5"/>
  <c r="H40" i="2"/>
  <c r="J39" i="2"/>
  <c r="K39" i="2" s="1"/>
  <c r="E35" i="7"/>
  <c r="O89" i="7"/>
  <c r="A81" i="7" s="1"/>
  <c r="B37" i="3"/>
  <c r="C36" i="3"/>
  <c r="A36" i="3" s="1"/>
  <c r="D63" i="6" l="1"/>
  <c r="D63" i="5"/>
  <c r="B63" i="6"/>
  <c r="B63" i="5"/>
  <c r="V66" i="5"/>
  <c r="X66" i="5" s="1"/>
  <c r="T67" i="5"/>
  <c r="F63" i="6"/>
  <c r="H35" i="3"/>
  <c r="A42" i="2"/>
  <c r="C41" i="2"/>
  <c r="D41" i="2" s="1"/>
  <c r="E41" i="2" s="1"/>
  <c r="F41" i="2" s="1"/>
  <c r="G36" i="3"/>
  <c r="E36" i="3"/>
  <c r="F36" i="3" s="1"/>
  <c r="D36" i="3"/>
  <c r="J40" i="2"/>
  <c r="K40" i="2" s="1"/>
  <c r="H41" i="2"/>
  <c r="G62" i="5"/>
  <c r="H63" i="5" a="1"/>
  <c r="H63" i="5" s="1"/>
  <c r="D37" i="4"/>
  <c r="E37" i="4" s="1"/>
  <c r="F37" i="4" s="1"/>
  <c r="G37" i="4"/>
  <c r="E64" i="6" s="1"/>
  <c r="G63" i="6"/>
  <c r="B39" i="4"/>
  <c r="C38" i="4"/>
  <c r="A38" i="4" s="1"/>
  <c r="O90" i="7"/>
  <c r="A82" i="7" s="1"/>
  <c r="E36" i="7"/>
  <c r="H62" i="5" a="1"/>
  <c r="H62" i="5" s="1"/>
  <c r="F62" i="5"/>
  <c r="C37" i="3"/>
  <c r="A37" i="3" s="1"/>
  <c r="B38" i="3"/>
  <c r="B64" i="6" l="1"/>
  <c r="B64" i="5"/>
  <c r="C42" i="2"/>
  <c r="D42" i="2" s="1"/>
  <c r="E42" i="2" s="1"/>
  <c r="F42" i="2" s="1"/>
  <c r="A43" i="2"/>
  <c r="F64" i="6"/>
  <c r="H36" i="3"/>
  <c r="G38" i="4"/>
  <c r="E65" i="6" s="1"/>
  <c r="D38" i="4"/>
  <c r="E38" i="4" s="1"/>
  <c r="F38" i="4" s="1"/>
  <c r="V67" i="5"/>
  <c r="X67" i="5" s="1"/>
  <c r="T68" i="5"/>
  <c r="G63" i="5"/>
  <c r="D64" i="6"/>
  <c r="D64" i="5"/>
  <c r="F64" i="5" s="1"/>
  <c r="C39" i="4"/>
  <c r="A39" i="4" s="1"/>
  <c r="B40" i="4"/>
  <c r="D37" i="3"/>
  <c r="E37" i="3" s="1"/>
  <c r="F37" i="3" s="1"/>
  <c r="G37" i="3"/>
  <c r="J41" i="2"/>
  <c r="K41" i="2" s="1"/>
  <c r="H42" i="2"/>
  <c r="M63" i="6"/>
  <c r="F63" i="5"/>
  <c r="G64" i="6"/>
  <c r="B39" i="3"/>
  <c r="C38" i="3"/>
  <c r="A38" i="3" s="1"/>
  <c r="O91" i="7"/>
  <c r="A83" i="7" s="1"/>
  <c r="E37" i="7"/>
  <c r="B65" i="6" l="1"/>
  <c r="B65" i="5"/>
  <c r="D65" i="6"/>
  <c r="D65" i="5"/>
  <c r="V68" i="5"/>
  <c r="X68" i="5" s="1"/>
  <c r="T69" i="5"/>
  <c r="F65" i="6"/>
  <c r="H37" i="3"/>
  <c r="O92" i="7"/>
  <c r="A84" i="7" s="1"/>
  <c r="E38" i="7"/>
  <c r="G65" i="6"/>
  <c r="C40" i="4"/>
  <c r="A40" i="4" s="1"/>
  <c r="B41" i="4"/>
  <c r="G39" i="4"/>
  <c r="E66" i="6" s="1"/>
  <c r="D39" i="4"/>
  <c r="E39" i="4" s="1"/>
  <c r="F39" i="4" s="1"/>
  <c r="C43" i="2"/>
  <c r="D43" i="2" s="1"/>
  <c r="E43" i="2" s="1"/>
  <c r="F43" i="2" s="1"/>
  <c r="A44" i="2"/>
  <c r="B40" i="3"/>
  <c r="C39" i="3"/>
  <c r="A39" i="3" s="1"/>
  <c r="H64" i="5" a="1"/>
  <c r="H64" i="5" s="1"/>
  <c r="G64" i="5"/>
  <c r="H65" i="5" a="1"/>
  <c r="H65" i="5" s="1"/>
  <c r="J42" i="2"/>
  <c r="K42" i="2" s="1"/>
  <c r="H43" i="2"/>
  <c r="G38" i="3"/>
  <c r="D38" i="3"/>
  <c r="E38" i="3" s="1"/>
  <c r="F38" i="3" s="1"/>
  <c r="M64" i="6"/>
  <c r="B66" i="6" l="1"/>
  <c r="B66" i="5"/>
  <c r="D66" i="6"/>
  <c r="D66" i="5"/>
  <c r="F66" i="5" s="1"/>
  <c r="O93" i="7"/>
  <c r="A85" i="7" s="1"/>
  <c r="E39" i="7"/>
  <c r="G39" i="3"/>
  <c r="D39" i="3"/>
  <c r="E39" i="3" s="1"/>
  <c r="F39" i="3" s="1"/>
  <c r="G40" i="4"/>
  <c r="E67" i="6" s="1"/>
  <c r="D40" i="4"/>
  <c r="E40" i="4" s="1"/>
  <c r="F40" i="4" s="1"/>
  <c r="C44" i="2"/>
  <c r="D44" i="2" s="1"/>
  <c r="E44" i="2" s="1"/>
  <c r="F44" i="2" s="1"/>
  <c r="A45" i="2"/>
  <c r="T70" i="5"/>
  <c r="V69" i="5"/>
  <c r="X69" i="5" s="1"/>
  <c r="F65" i="5"/>
  <c r="G66" i="6"/>
  <c r="G65" i="5"/>
  <c r="H66" i="5" a="1"/>
  <c r="H66" i="5" s="1"/>
  <c r="C40" i="3"/>
  <c r="A40" i="3" s="1"/>
  <c r="B41" i="3"/>
  <c r="F66" i="6"/>
  <c r="H38" i="3"/>
  <c r="H44" i="2"/>
  <c r="J43" i="2"/>
  <c r="K43" i="2" s="1"/>
  <c r="C41" i="4"/>
  <c r="A41" i="4" s="1"/>
  <c r="B42" i="4"/>
  <c r="M65" i="6"/>
  <c r="B67" i="6" l="1"/>
  <c r="B67" i="5"/>
  <c r="D67" i="6"/>
  <c r="D67" i="5"/>
  <c r="F67" i="5" s="1"/>
  <c r="D40" i="3"/>
  <c r="E40" i="3" s="1"/>
  <c r="F40" i="3" s="1"/>
  <c r="G40" i="3"/>
  <c r="F67" i="6"/>
  <c r="G67" i="6" s="1"/>
  <c r="H39" i="3"/>
  <c r="G41" i="4"/>
  <c r="E68" i="6" s="1"/>
  <c r="D41" i="4"/>
  <c r="E41" i="4" s="1"/>
  <c r="F41" i="4" s="1"/>
  <c r="O94" i="7"/>
  <c r="A86" i="7" s="1"/>
  <c r="E40" i="7"/>
  <c r="C42" i="4"/>
  <c r="A42" i="4" s="1"/>
  <c r="B43" i="4"/>
  <c r="H45" i="2"/>
  <c r="J44" i="2"/>
  <c r="K44" i="2" s="1"/>
  <c r="T71" i="5"/>
  <c r="V70" i="5"/>
  <c r="X70" i="5" s="1"/>
  <c r="C45" i="2"/>
  <c r="D45" i="2" s="1"/>
  <c r="E45" i="2" s="1"/>
  <c r="F45" i="2" s="1"/>
  <c r="A46" i="2"/>
  <c r="G66" i="5"/>
  <c r="H67" i="5" a="1"/>
  <c r="H67" i="5" s="1"/>
  <c r="B42" i="3"/>
  <c r="C41" i="3"/>
  <c r="A41" i="3" s="1"/>
  <c r="M66" i="6"/>
  <c r="B68" i="6" l="1"/>
  <c r="B68" i="5"/>
  <c r="D68" i="6"/>
  <c r="D68" i="5"/>
  <c r="F68" i="5" s="1"/>
  <c r="V71" i="5"/>
  <c r="X71" i="5" s="1"/>
  <c r="T72" i="5"/>
  <c r="F68" i="6"/>
  <c r="G68" i="6" s="1"/>
  <c r="H40" i="3"/>
  <c r="A47" i="2"/>
  <c r="C46" i="2"/>
  <c r="D46" i="2" s="1"/>
  <c r="E46" i="2" s="1"/>
  <c r="F46" i="2" s="1"/>
  <c r="G41" i="3"/>
  <c r="D41" i="3"/>
  <c r="E41" i="3" s="1"/>
  <c r="F41" i="3" s="1"/>
  <c r="H46" i="2"/>
  <c r="J45" i="2"/>
  <c r="K45" i="2" s="1"/>
  <c r="B43" i="3"/>
  <c r="C42" i="3"/>
  <c r="A42" i="3" s="1"/>
  <c r="C43" i="4"/>
  <c r="A43" i="4" s="1"/>
  <c r="B44" i="4"/>
  <c r="G42" i="4"/>
  <c r="E69" i="6" s="1"/>
  <c r="D42" i="4"/>
  <c r="E42" i="4" s="1"/>
  <c r="F42" i="4" s="1"/>
  <c r="O95" i="7"/>
  <c r="A87" i="7" s="1"/>
  <c r="E41" i="7"/>
  <c r="G67" i="5"/>
  <c r="H68" i="5" a="1"/>
  <c r="H68" i="5" s="1"/>
  <c r="M67" i="6"/>
  <c r="D69" i="6" l="1"/>
  <c r="D69" i="5"/>
  <c r="B69" i="6"/>
  <c r="B69" i="5"/>
  <c r="F69" i="6"/>
  <c r="H41" i="3"/>
  <c r="D43" i="4"/>
  <c r="E43" i="4" s="1"/>
  <c r="F43" i="4" s="1"/>
  <c r="G43" i="4"/>
  <c r="E70" i="6" s="1"/>
  <c r="V72" i="5"/>
  <c r="X72" i="5" s="1"/>
  <c r="T73" i="5"/>
  <c r="G42" i="3"/>
  <c r="E42" i="3"/>
  <c r="F42" i="3" s="1"/>
  <c r="D42" i="3"/>
  <c r="A48" i="2"/>
  <c r="C47" i="2"/>
  <c r="D47" i="2" s="1"/>
  <c r="E47" i="2" s="1"/>
  <c r="F47" i="2" s="1"/>
  <c r="C44" i="4"/>
  <c r="A44" i="4" s="1"/>
  <c r="B45" i="4"/>
  <c r="C43" i="3"/>
  <c r="A43" i="3" s="1"/>
  <c r="B44" i="3"/>
  <c r="G69" i="6"/>
  <c r="J46" i="2"/>
  <c r="K46" i="2" s="1"/>
  <c r="H47" i="2"/>
  <c r="O96" i="7"/>
  <c r="A88" i="7" s="1"/>
  <c r="E42" i="7"/>
  <c r="G68" i="5"/>
  <c r="H69" i="5" a="1"/>
  <c r="H69" i="5" s="1"/>
  <c r="M68" i="6"/>
  <c r="B70" i="6" l="1"/>
  <c r="B70" i="5"/>
  <c r="T74" i="5"/>
  <c r="V73" i="5"/>
  <c r="X73" i="5" s="1"/>
  <c r="D43" i="3"/>
  <c r="E43" i="3" s="1"/>
  <c r="F43" i="3" s="1"/>
  <c r="G43" i="3"/>
  <c r="J47" i="2"/>
  <c r="K47" i="2" s="1"/>
  <c r="H48" i="2"/>
  <c r="G69" i="5"/>
  <c r="B45" i="3"/>
  <c r="C44" i="3"/>
  <c r="A44" i="3" s="1"/>
  <c r="B46" i="4"/>
  <c r="C45" i="4"/>
  <c r="A45" i="4" s="1"/>
  <c r="O97" i="7"/>
  <c r="A89" i="7" s="1"/>
  <c r="E43" i="7"/>
  <c r="O98" i="7" s="1"/>
  <c r="A90" i="7" s="1"/>
  <c r="C48" i="2"/>
  <c r="D48" i="2" s="1"/>
  <c r="E48" i="2" s="1"/>
  <c r="F48" i="2" s="1"/>
  <c r="A49" i="2"/>
  <c r="M69" i="6"/>
  <c r="F70" i="6"/>
  <c r="G70" i="6" s="1"/>
  <c r="H42" i="3"/>
  <c r="D44" i="4"/>
  <c r="G44" i="4"/>
  <c r="E71" i="6" s="1"/>
  <c r="E44" i="4"/>
  <c r="F44" i="4" s="1"/>
  <c r="F69" i="5"/>
  <c r="D70" i="6"/>
  <c r="D70" i="5"/>
  <c r="F70" i="5" s="1"/>
  <c r="D71" i="6" l="1"/>
  <c r="D71" i="5"/>
  <c r="F71" i="6"/>
  <c r="H43" i="3"/>
  <c r="J48" i="2"/>
  <c r="K48" i="2" s="1"/>
  <c r="H49" i="2"/>
  <c r="B47" i="4"/>
  <c r="C46" i="4"/>
  <c r="A46" i="4" s="1"/>
  <c r="T75" i="5"/>
  <c r="V74" i="5"/>
  <c r="X74" i="5" s="1"/>
  <c r="B71" i="6"/>
  <c r="M71" i="6" s="1"/>
  <c r="B71" i="5"/>
  <c r="G44" i="3"/>
  <c r="D44" i="3"/>
  <c r="E44" i="3" s="1"/>
  <c r="F44" i="3" s="1"/>
  <c r="C49" i="2"/>
  <c r="D49" i="2" s="1"/>
  <c r="E49" i="2" s="1"/>
  <c r="F49" i="2" s="1"/>
  <c r="A50" i="2"/>
  <c r="G71" i="6"/>
  <c r="B46" i="3"/>
  <c r="C45" i="3"/>
  <c r="A45" i="3" s="1"/>
  <c r="G70" i="5"/>
  <c r="H71" i="5" a="1"/>
  <c r="H71" i="5" s="1"/>
  <c r="D45" i="4"/>
  <c r="E45" i="4" s="1"/>
  <c r="F45" i="4" s="1"/>
  <c r="G45" i="4"/>
  <c r="E72" i="6" s="1"/>
  <c r="H70" i="5" a="1"/>
  <c r="H70" i="5" s="1"/>
  <c r="M70" i="6"/>
  <c r="D72" i="6" l="1"/>
  <c r="D72" i="5"/>
  <c r="B72" i="6"/>
  <c r="M72" i="6" s="1"/>
  <c r="B72" i="5"/>
  <c r="G46" i="4"/>
  <c r="E73" i="6" s="1"/>
  <c r="D46" i="4"/>
  <c r="E46" i="4" s="1"/>
  <c r="F46" i="4" s="1"/>
  <c r="G71" i="5"/>
  <c r="H72" i="5" a="1"/>
  <c r="H72" i="5" s="1"/>
  <c r="B48" i="4"/>
  <c r="C47" i="4"/>
  <c r="A47" i="4" s="1"/>
  <c r="C46" i="3"/>
  <c r="A46" i="3" s="1"/>
  <c r="B47" i="3"/>
  <c r="H50" i="2"/>
  <c r="J49" i="2"/>
  <c r="K49" i="2" s="1"/>
  <c r="C50" i="2"/>
  <c r="D50" i="2" s="1"/>
  <c r="E50" i="2" s="1"/>
  <c r="F50" i="2" s="1"/>
  <c r="A51" i="2"/>
  <c r="G45" i="3"/>
  <c r="D45" i="3"/>
  <c r="E45" i="3" s="1"/>
  <c r="F45" i="3" s="1"/>
  <c r="F71" i="5"/>
  <c r="V75" i="5"/>
  <c r="X75" i="5" s="1"/>
  <c r="T76" i="5"/>
  <c r="F72" i="6"/>
  <c r="G72" i="6" s="1"/>
  <c r="H44" i="3"/>
  <c r="B73" i="6" l="1"/>
  <c r="B73" i="5"/>
  <c r="D73" i="6"/>
  <c r="D73" i="5"/>
  <c r="F73" i="5" s="1"/>
  <c r="D46" i="3"/>
  <c r="E46" i="3" s="1"/>
  <c r="F46" i="3" s="1"/>
  <c r="G46" i="3"/>
  <c r="G47" i="4"/>
  <c r="E74" i="6" s="1"/>
  <c r="D47" i="4"/>
  <c r="E47" i="4"/>
  <c r="F47" i="4" s="1"/>
  <c r="C51" i="2"/>
  <c r="D51" i="2" s="1"/>
  <c r="E51" i="2" s="1"/>
  <c r="F51" i="2" s="1"/>
  <c r="A52" i="2"/>
  <c r="G72" i="5"/>
  <c r="H73" i="5" a="1"/>
  <c r="H73" i="5" s="1"/>
  <c r="H51" i="2"/>
  <c r="J50" i="2"/>
  <c r="K50" i="2" s="1"/>
  <c r="F72" i="5"/>
  <c r="B49" i="4"/>
  <c r="C48" i="4"/>
  <c r="A48" i="4" s="1"/>
  <c r="F73" i="6"/>
  <c r="G73" i="6" s="1"/>
  <c r="H45" i="3"/>
  <c r="V76" i="5"/>
  <c r="X76" i="5" s="1"/>
  <c r="T77" i="5"/>
  <c r="B48" i="3"/>
  <c r="C47" i="3"/>
  <c r="A47" i="3" s="1"/>
  <c r="D74" i="6" l="1"/>
  <c r="D74" i="5"/>
  <c r="B50" i="4"/>
  <c r="C49" i="4"/>
  <c r="A49" i="4" s="1"/>
  <c r="F74" i="6"/>
  <c r="H46" i="3"/>
  <c r="G48" i="4"/>
  <c r="E75" i="6" s="1"/>
  <c r="D48" i="4"/>
  <c r="E48" i="4" s="1"/>
  <c r="F48" i="4" s="1"/>
  <c r="H52" i="2"/>
  <c r="J51" i="2"/>
  <c r="K51" i="2" s="1"/>
  <c r="G74" i="6"/>
  <c r="B74" i="6"/>
  <c r="M74" i="6" s="1"/>
  <c r="B74" i="5"/>
  <c r="G74" i="5" s="1"/>
  <c r="G47" i="3"/>
  <c r="D47" i="3"/>
  <c r="E47" i="3" s="1"/>
  <c r="F47" i="3" s="1"/>
  <c r="B49" i="3"/>
  <c r="C48" i="3"/>
  <c r="A48" i="3" s="1"/>
  <c r="G73" i="5"/>
  <c r="H74" i="5" a="1"/>
  <c r="H74" i="5" s="1"/>
  <c r="T78" i="5"/>
  <c r="V77" i="5"/>
  <c r="X77" i="5" s="1"/>
  <c r="A53" i="2"/>
  <c r="C52" i="2"/>
  <c r="D52" i="2" s="1"/>
  <c r="E52" i="2" s="1"/>
  <c r="F52" i="2" s="1"/>
  <c r="M73" i="6"/>
  <c r="B75" i="6" l="1"/>
  <c r="B75" i="5"/>
  <c r="D75" i="6"/>
  <c r="O75" i="6" s="1"/>
  <c r="D75" i="5"/>
  <c r="F75" i="5" s="1"/>
  <c r="C49" i="3"/>
  <c r="A49" i="3" s="1"/>
  <c r="B50" i="3"/>
  <c r="G48" i="3"/>
  <c r="D48" i="3"/>
  <c r="E48" i="3" s="1"/>
  <c r="F48" i="3" s="1"/>
  <c r="F75" i="6"/>
  <c r="G75" i="6" s="1"/>
  <c r="H47" i="3"/>
  <c r="D49" i="4"/>
  <c r="E49" i="4" s="1"/>
  <c r="F49" i="4" s="1"/>
  <c r="G49" i="4"/>
  <c r="E76" i="6" s="1"/>
  <c r="H29" i="5" a="1"/>
  <c r="H29" i="5" s="1"/>
  <c r="B51" i="4"/>
  <c r="C50" i="4"/>
  <c r="A50" i="4" s="1"/>
  <c r="J52" i="2"/>
  <c r="K52" i="2" s="1"/>
  <c r="H53" i="2"/>
  <c r="A54" i="2"/>
  <c r="C53" i="2"/>
  <c r="D53" i="2" s="1"/>
  <c r="E53" i="2" s="1"/>
  <c r="F53" i="2" s="1"/>
  <c r="F74" i="5"/>
  <c r="T79" i="5"/>
  <c r="V79" i="5" s="1"/>
  <c r="X79" i="5" s="1"/>
  <c r="V78" i="5"/>
  <c r="X78" i="5" s="1"/>
  <c r="B76" i="6" l="1"/>
  <c r="B76" i="5"/>
  <c r="D76" i="6"/>
  <c r="D76" i="5"/>
  <c r="F76" i="5" s="1"/>
  <c r="C54" i="2"/>
  <c r="D54" i="2" s="1"/>
  <c r="E54" i="2" s="1"/>
  <c r="F54" i="2" s="1"/>
  <c r="A55" i="2"/>
  <c r="G50" i="4"/>
  <c r="E77" i="6" s="1"/>
  <c r="D50" i="4"/>
  <c r="E50" i="4" s="1"/>
  <c r="F50" i="4" s="1"/>
  <c r="J53" i="2"/>
  <c r="K53" i="2" s="1"/>
  <c r="H54" i="2"/>
  <c r="B51" i="3"/>
  <c r="C50" i="3"/>
  <c r="A50" i="3" s="1"/>
  <c r="F76" i="6"/>
  <c r="H48" i="3"/>
  <c r="D49" i="3"/>
  <c r="E49" i="3" s="1"/>
  <c r="F49" i="3" s="1"/>
  <c r="G49" i="3"/>
  <c r="G76" i="6"/>
  <c r="G75" i="5"/>
  <c r="C51" i="4"/>
  <c r="A51" i="4" s="1"/>
  <c r="B52" i="4"/>
  <c r="M75" i="6"/>
  <c r="B77" i="6" l="1"/>
  <c r="B77" i="5"/>
  <c r="D77" i="6"/>
  <c r="D77" i="5"/>
  <c r="F77" i="5" s="1"/>
  <c r="J54" i="2"/>
  <c r="K54" i="2" s="1"/>
  <c r="H55" i="2"/>
  <c r="F77" i="6"/>
  <c r="G77" i="6" s="1"/>
  <c r="H49" i="3"/>
  <c r="B52" i="3"/>
  <c r="C51" i="3"/>
  <c r="A51" i="3" s="1"/>
  <c r="G51" i="4"/>
  <c r="E78" i="6" s="1"/>
  <c r="D51" i="4"/>
  <c r="E51" i="4"/>
  <c r="F51" i="4" s="1"/>
  <c r="C55" i="2"/>
  <c r="D55" i="2" s="1"/>
  <c r="E55" i="2" s="1"/>
  <c r="F55" i="2" s="1"/>
  <c r="A56" i="2"/>
  <c r="G76" i="5"/>
  <c r="C52" i="4"/>
  <c r="A52" i="4" s="1"/>
  <c r="B53" i="4"/>
  <c r="G50" i="3"/>
  <c r="D50" i="3"/>
  <c r="E50" i="3" s="1"/>
  <c r="F50" i="3" s="1"/>
  <c r="M76" i="6"/>
  <c r="D78" i="6" l="1"/>
  <c r="D78" i="5"/>
  <c r="C52" i="3"/>
  <c r="A52" i="3" s="1"/>
  <c r="B53" i="3"/>
  <c r="G78" i="6"/>
  <c r="B54" i="4"/>
  <c r="C53" i="4"/>
  <c r="A53" i="4" s="1"/>
  <c r="J55" i="2"/>
  <c r="K55" i="2" s="1"/>
  <c r="H56" i="2"/>
  <c r="G51" i="3"/>
  <c r="D51" i="3"/>
  <c r="E51" i="3" s="1"/>
  <c r="F51" i="3" s="1"/>
  <c r="F78" i="6"/>
  <c r="H50" i="3"/>
  <c r="G52" i="4"/>
  <c r="E79" i="6" s="1"/>
  <c r="D52" i="4"/>
  <c r="E52" i="4" s="1"/>
  <c r="F52" i="4" s="1"/>
  <c r="C56" i="2"/>
  <c r="D56" i="2" s="1"/>
  <c r="E56" i="2" s="1"/>
  <c r="F56" i="2" s="1"/>
  <c r="A57" i="2"/>
  <c r="G77" i="5"/>
  <c r="B78" i="6"/>
  <c r="M78" i="6" s="1"/>
  <c r="B78" i="5"/>
  <c r="G78" i="5" s="1"/>
  <c r="M77" i="6"/>
  <c r="D79" i="6" l="1"/>
  <c r="D79" i="5"/>
  <c r="B79" i="6"/>
  <c r="M79" i="6" s="1"/>
  <c r="B79" i="5"/>
  <c r="G79" i="5" s="1"/>
  <c r="G53" i="4"/>
  <c r="E80" i="6" s="1"/>
  <c r="D53" i="4"/>
  <c r="E53" i="4" s="1"/>
  <c r="F53" i="4" s="1"/>
  <c r="C54" i="4"/>
  <c r="A54" i="4" s="1"/>
  <c r="B55" i="4"/>
  <c r="H57" i="2"/>
  <c r="J56" i="2"/>
  <c r="K56" i="2" s="1"/>
  <c r="F79" i="6"/>
  <c r="G79" i="6" s="1"/>
  <c r="H51" i="3"/>
  <c r="B54" i="3"/>
  <c r="C53" i="3"/>
  <c r="A53" i="3" s="1"/>
  <c r="D52" i="3"/>
  <c r="E52" i="3" s="1"/>
  <c r="F52" i="3" s="1"/>
  <c r="G52" i="3"/>
  <c r="F78" i="5"/>
  <c r="C57" i="2"/>
  <c r="D57" i="2" s="1"/>
  <c r="E57" i="2" s="1"/>
  <c r="F57" i="2" s="1"/>
  <c r="A58" i="2"/>
  <c r="B80" i="6" l="1"/>
  <c r="B80" i="5"/>
  <c r="D80" i="6"/>
  <c r="D80" i="5"/>
  <c r="F80" i="5" s="1"/>
  <c r="C55" i="4"/>
  <c r="A55" i="4" s="1"/>
  <c r="B56" i="4"/>
  <c r="G80" i="6"/>
  <c r="H58" i="2"/>
  <c r="J57" i="2"/>
  <c r="K57" i="2" s="1"/>
  <c r="G54" i="4"/>
  <c r="E81" i="6" s="1"/>
  <c r="D54" i="4"/>
  <c r="E54" i="4" s="1"/>
  <c r="F54" i="4" s="1"/>
  <c r="C58" i="2"/>
  <c r="D58" i="2" s="1"/>
  <c r="E58" i="2" s="1"/>
  <c r="F58" i="2" s="1"/>
  <c r="A59" i="2"/>
  <c r="F80" i="6"/>
  <c r="H52" i="3"/>
  <c r="G53" i="3"/>
  <c r="D53" i="3"/>
  <c r="E53" i="3" s="1"/>
  <c r="F53" i="3" s="1"/>
  <c r="B55" i="3"/>
  <c r="C54" i="3"/>
  <c r="A54" i="3" s="1"/>
  <c r="F79" i="5"/>
  <c r="B81" i="6" l="1"/>
  <c r="B81" i="5"/>
  <c r="D81" i="6"/>
  <c r="D81" i="5"/>
  <c r="C56" i="4"/>
  <c r="A56" i="4" s="1"/>
  <c r="B57" i="4"/>
  <c r="D55" i="4"/>
  <c r="E55" i="4" s="1"/>
  <c r="F55" i="4" s="1"/>
  <c r="G55" i="4"/>
  <c r="E82" i="6" s="1"/>
  <c r="G81" i="6"/>
  <c r="J58" i="2"/>
  <c r="K58" i="2" s="1"/>
  <c r="H59" i="2"/>
  <c r="C55" i="3"/>
  <c r="A55" i="3" s="1"/>
  <c r="B56" i="3"/>
  <c r="G54" i="3"/>
  <c r="D54" i="3"/>
  <c r="E54" i="3" s="1"/>
  <c r="F54" i="3" s="1"/>
  <c r="F81" i="6"/>
  <c r="H53" i="3"/>
  <c r="A60" i="2"/>
  <c r="C59" i="2"/>
  <c r="D59" i="2" s="1"/>
  <c r="E59" i="2" s="1"/>
  <c r="F59" i="2" s="1"/>
  <c r="G80" i="5"/>
  <c r="M80" i="6"/>
  <c r="B82" i="6" l="1"/>
  <c r="B82" i="5"/>
  <c r="D82" i="6"/>
  <c r="D82" i="5"/>
  <c r="F82" i="5" s="1"/>
  <c r="D56" i="4"/>
  <c r="G56" i="4"/>
  <c r="E83" i="6" s="1"/>
  <c r="E56" i="4"/>
  <c r="F56" i="4" s="1"/>
  <c r="G82" i="6"/>
  <c r="F81" i="5"/>
  <c r="O81" i="5"/>
  <c r="O82" i="5"/>
  <c r="O80" i="5"/>
  <c r="C60" i="2"/>
  <c r="D60" i="2" s="1"/>
  <c r="E60" i="2" s="1"/>
  <c r="F60" i="2" s="1"/>
  <c r="A61" i="2"/>
  <c r="F82" i="6"/>
  <c r="H54" i="3"/>
  <c r="J59" i="2"/>
  <c r="K59" i="2" s="1"/>
  <c r="H60" i="2"/>
  <c r="B58" i="4"/>
  <c r="C57" i="4"/>
  <c r="A57" i="4" s="1"/>
  <c r="B57" i="3"/>
  <c r="C56" i="3"/>
  <c r="A56" i="3" s="1"/>
  <c r="G81" i="5"/>
  <c r="E55" i="3"/>
  <c r="F55" i="3" s="1"/>
  <c r="D55" i="3"/>
  <c r="G55" i="3"/>
  <c r="M81" i="6"/>
  <c r="D83" i="6" l="1"/>
  <c r="D83" i="5"/>
  <c r="B83" i="6"/>
  <c r="B83" i="5"/>
  <c r="G83" i="5" s="1"/>
  <c r="B58" i="3"/>
  <c r="C57" i="3"/>
  <c r="A57" i="3" s="1"/>
  <c r="J60" i="2"/>
  <c r="K60" i="2" s="1"/>
  <c r="H61" i="2"/>
  <c r="G56" i="3"/>
  <c r="D56" i="3"/>
  <c r="E56" i="3" s="1"/>
  <c r="F56" i="3" s="1"/>
  <c r="B59" i="4"/>
  <c r="C58" i="4"/>
  <c r="A58" i="4" s="1"/>
  <c r="D57" i="4"/>
  <c r="G57" i="4"/>
  <c r="E84" i="6" s="1"/>
  <c r="E57" i="4"/>
  <c r="F57" i="4" s="1"/>
  <c r="F83" i="6"/>
  <c r="G83" i="6" s="1"/>
  <c r="H55" i="3"/>
  <c r="C61" i="2"/>
  <c r="D61" i="2" s="1"/>
  <c r="E61" i="2" s="1"/>
  <c r="F61" i="2" s="1"/>
  <c r="A62" i="2"/>
  <c r="G82" i="5"/>
  <c r="M82" i="6"/>
  <c r="D84" i="6" l="1"/>
  <c r="D84" i="5"/>
  <c r="F84" i="6"/>
  <c r="G84" i="6" s="1"/>
  <c r="H56" i="3"/>
  <c r="G57" i="3"/>
  <c r="D57" i="3"/>
  <c r="E57" i="3" s="1"/>
  <c r="F57" i="3" s="1"/>
  <c r="C58" i="3"/>
  <c r="A58" i="3" s="1"/>
  <c r="B59" i="3"/>
  <c r="H62" i="2"/>
  <c r="J61" i="2"/>
  <c r="K61" i="2" s="1"/>
  <c r="C62" i="2"/>
  <c r="D62" i="2" s="1"/>
  <c r="E62" i="2" s="1"/>
  <c r="F62" i="2" s="1"/>
  <c r="A63" i="2"/>
  <c r="M83" i="6"/>
  <c r="C59" i="4"/>
  <c r="A59" i="4" s="1"/>
  <c r="B60" i="4"/>
  <c r="B84" i="5"/>
  <c r="G84" i="5" s="1"/>
  <c r="B84" i="6"/>
  <c r="M84" i="6" s="1"/>
  <c r="O84" i="5"/>
  <c r="O83" i="5" s="1"/>
  <c r="F83" i="5"/>
  <c r="G58" i="4"/>
  <c r="E85" i="6" s="1"/>
  <c r="D58" i="4"/>
  <c r="E58" i="4" s="1"/>
  <c r="F58" i="4" s="1"/>
  <c r="B85" i="6" l="1"/>
  <c r="B85" i="5"/>
  <c r="D85" i="6"/>
  <c r="D85" i="5"/>
  <c r="F85" i="5" s="1"/>
  <c r="F85" i="6"/>
  <c r="H57" i="3"/>
  <c r="D58" i="3"/>
  <c r="E58" i="3" s="1"/>
  <c r="F58" i="3" s="1"/>
  <c r="G58" i="3"/>
  <c r="G85" i="6"/>
  <c r="B60" i="3"/>
  <c r="C59" i="3"/>
  <c r="A59" i="3" s="1"/>
  <c r="B61" i="4"/>
  <c r="C60" i="4"/>
  <c r="A60" i="4" s="1"/>
  <c r="F84" i="5"/>
  <c r="O85" i="5"/>
  <c r="H63" i="2"/>
  <c r="J62" i="2"/>
  <c r="K62" i="2" s="1"/>
  <c r="G59" i="4"/>
  <c r="E86" i="6" s="1"/>
  <c r="D59" i="4"/>
  <c r="E59" i="4" s="1"/>
  <c r="F59" i="4" s="1"/>
  <c r="C63" i="2"/>
  <c r="D63" i="2" s="1"/>
  <c r="E63" i="2" s="1"/>
  <c r="F63" i="2" s="1"/>
  <c r="A64" i="2"/>
  <c r="B86" i="6" l="1"/>
  <c r="B86" i="5"/>
  <c r="D86" i="6"/>
  <c r="D86" i="5"/>
  <c r="F86" i="5" s="1"/>
  <c r="G59" i="3"/>
  <c r="D59" i="3"/>
  <c r="E59" i="3" s="1"/>
  <c r="F59" i="3" s="1"/>
  <c r="B61" i="3"/>
  <c r="C60" i="3"/>
  <c r="A60" i="3" s="1"/>
  <c r="F86" i="6"/>
  <c r="G86" i="6" s="1"/>
  <c r="H58" i="3"/>
  <c r="G60" i="4"/>
  <c r="E87" i="6" s="1"/>
  <c r="D60" i="4"/>
  <c r="E60" i="4" s="1"/>
  <c r="F60" i="4" s="1"/>
  <c r="G85" i="5"/>
  <c r="A65" i="2"/>
  <c r="C64" i="2"/>
  <c r="D64" i="2" s="1"/>
  <c r="E64" i="2" s="1"/>
  <c r="F64" i="2" s="1"/>
  <c r="H64" i="2"/>
  <c r="J63" i="2"/>
  <c r="K63" i="2" s="1"/>
  <c r="B62" i="4"/>
  <c r="C61" i="4"/>
  <c r="A61" i="4" s="1"/>
  <c r="M85" i="6"/>
  <c r="B87" i="6" l="1"/>
  <c r="B87" i="5"/>
  <c r="D87" i="6"/>
  <c r="D87" i="5"/>
  <c r="J64" i="2"/>
  <c r="K64" i="2" s="1"/>
  <c r="H65" i="2"/>
  <c r="G60" i="3"/>
  <c r="D60" i="3"/>
  <c r="E60" i="3" s="1"/>
  <c r="F60" i="3" s="1"/>
  <c r="F87" i="6"/>
  <c r="G87" i="6" s="1"/>
  <c r="H59" i="3"/>
  <c r="B62" i="3"/>
  <c r="C61" i="3"/>
  <c r="A61" i="3" s="1"/>
  <c r="G86" i="5"/>
  <c r="G61" i="4"/>
  <c r="E88" i="6" s="1"/>
  <c r="D61" i="4"/>
  <c r="E61" i="4" s="1"/>
  <c r="F61" i="4" s="1"/>
  <c r="B63" i="4"/>
  <c r="C62" i="4"/>
  <c r="A62" i="4" s="1"/>
  <c r="A66" i="2"/>
  <c r="C65" i="2"/>
  <c r="D65" i="2" s="1"/>
  <c r="E65" i="2" s="1"/>
  <c r="F65" i="2" s="1"/>
  <c r="M86" i="6"/>
  <c r="D88" i="6" l="1"/>
  <c r="D88" i="5"/>
  <c r="B88" i="6"/>
  <c r="M88" i="6" s="1"/>
  <c r="B88" i="5"/>
  <c r="G88" i="5" s="1"/>
  <c r="C62" i="3"/>
  <c r="A62" i="3" s="1"/>
  <c r="B63" i="3"/>
  <c r="C66" i="2"/>
  <c r="D66" i="2" s="1"/>
  <c r="E66" i="2" s="1"/>
  <c r="F66" i="2" s="1"/>
  <c r="A67" i="2"/>
  <c r="C63" i="4"/>
  <c r="A63" i="4" s="1"/>
  <c r="B64" i="4"/>
  <c r="F87" i="5"/>
  <c r="O87" i="5"/>
  <c r="O88" i="5"/>
  <c r="O86" i="5"/>
  <c r="D62" i="4"/>
  <c r="E62" i="4" s="1"/>
  <c r="F62" i="4" s="1"/>
  <c r="G62" i="4"/>
  <c r="E89" i="6" s="1"/>
  <c r="J65" i="2"/>
  <c r="K65" i="2" s="1"/>
  <c r="H66" i="2"/>
  <c r="G87" i="5"/>
  <c r="F88" i="6"/>
  <c r="H60" i="3"/>
  <c r="G88" i="6"/>
  <c r="E61" i="3"/>
  <c r="F61" i="3" s="1"/>
  <c r="D61" i="3"/>
  <c r="G61" i="3"/>
  <c r="M87" i="6"/>
  <c r="B89" i="6" l="1"/>
  <c r="B89" i="5"/>
  <c r="J66" i="2"/>
  <c r="K66" i="2" s="1"/>
  <c r="H67" i="2"/>
  <c r="D89" i="6"/>
  <c r="D89" i="5"/>
  <c r="F89" i="5" s="1"/>
  <c r="B64" i="3"/>
  <c r="C63" i="3"/>
  <c r="A63" i="3" s="1"/>
  <c r="D63" i="4"/>
  <c r="E63" i="4" s="1"/>
  <c r="F63" i="4" s="1"/>
  <c r="G63" i="4"/>
  <c r="E90" i="6" s="1"/>
  <c r="D62" i="3"/>
  <c r="E62" i="3" s="1"/>
  <c r="F62" i="3" s="1"/>
  <c r="G62" i="3"/>
  <c r="B65" i="4"/>
  <c r="C64" i="4"/>
  <c r="A64" i="4" s="1"/>
  <c r="C67" i="2"/>
  <c r="D67" i="2" s="1"/>
  <c r="E67" i="2" s="1"/>
  <c r="F67" i="2" s="1"/>
  <c r="A68" i="2"/>
  <c r="F89" i="6"/>
  <c r="G89" i="6" s="1"/>
  <c r="H61" i="3"/>
  <c r="F88" i="5"/>
  <c r="D90" i="6" l="1"/>
  <c r="D90" i="5"/>
  <c r="B90" i="6"/>
  <c r="M90" i="6" s="1"/>
  <c r="B90" i="5"/>
  <c r="G90" i="5" s="1"/>
  <c r="C68" i="2"/>
  <c r="D68" i="2" s="1"/>
  <c r="E68" i="2" s="1"/>
  <c r="F68" i="2" s="1"/>
  <c r="A69" i="2"/>
  <c r="J67" i="2"/>
  <c r="K67" i="2" s="1"/>
  <c r="H68" i="2"/>
  <c r="G63" i="3"/>
  <c r="D63" i="3"/>
  <c r="E63" i="3" s="1"/>
  <c r="F63" i="3" s="1"/>
  <c r="G64" i="4"/>
  <c r="E91" i="6" s="1"/>
  <c r="D64" i="4"/>
  <c r="E64" i="4"/>
  <c r="F64" i="4" s="1"/>
  <c r="C65" i="4"/>
  <c r="A65" i="4" s="1"/>
  <c r="B66" i="4"/>
  <c r="G89" i="5"/>
  <c r="B65" i="3"/>
  <c r="C64" i="3"/>
  <c r="A64" i="3" s="1"/>
  <c r="F90" i="6"/>
  <c r="G90" i="6" s="1"/>
  <c r="H62" i="3"/>
  <c r="M89" i="6"/>
  <c r="D91" i="6" l="1"/>
  <c r="D91" i="5"/>
  <c r="F91" i="6"/>
  <c r="H63" i="3"/>
  <c r="C69" i="2"/>
  <c r="D69" i="2" s="1"/>
  <c r="E69" i="2" s="1"/>
  <c r="F69" i="2" s="1"/>
  <c r="A70" i="2"/>
  <c r="H69" i="2"/>
  <c r="J68" i="2"/>
  <c r="K68" i="2" s="1"/>
  <c r="B67" i="4"/>
  <c r="C66" i="4"/>
  <c r="A66" i="4" s="1"/>
  <c r="D64" i="3"/>
  <c r="E64" i="3" s="1"/>
  <c r="F64" i="3" s="1"/>
  <c r="G64" i="3"/>
  <c r="C65" i="3"/>
  <c r="A65" i="3" s="1"/>
  <c r="B66" i="3"/>
  <c r="B91" i="6"/>
  <c r="M91" i="6" s="1"/>
  <c r="B91" i="5"/>
  <c r="G91" i="5" s="1"/>
  <c r="F90" i="5"/>
  <c r="O90" i="5"/>
  <c r="O89" i="5" s="1"/>
  <c r="O91" i="5"/>
  <c r="D65" i="4"/>
  <c r="G65" i="4"/>
  <c r="E92" i="6" s="1"/>
  <c r="E65" i="4"/>
  <c r="F65" i="4" s="1"/>
  <c r="G91" i="6"/>
  <c r="D92" i="6" l="1"/>
  <c r="D92" i="5"/>
  <c r="B92" i="6"/>
  <c r="M92" i="6" s="1"/>
  <c r="B92" i="5"/>
  <c r="G92" i="5" s="1"/>
  <c r="B68" i="4"/>
  <c r="C67" i="4"/>
  <c r="A67" i="4" s="1"/>
  <c r="G66" i="4"/>
  <c r="E93" i="6" s="1"/>
  <c r="D66" i="4"/>
  <c r="E66" i="4" s="1"/>
  <c r="F66" i="4" s="1"/>
  <c r="A71" i="2"/>
  <c r="C70" i="2"/>
  <c r="D70" i="2" s="1"/>
  <c r="E70" i="2" s="1"/>
  <c r="F70" i="2" s="1"/>
  <c r="H70" i="2"/>
  <c r="J69" i="2"/>
  <c r="K69" i="2" s="1"/>
  <c r="D65" i="3"/>
  <c r="G65" i="3"/>
  <c r="E65" i="3"/>
  <c r="F65" i="3" s="1"/>
  <c r="F91" i="5"/>
  <c r="O92" i="5"/>
  <c r="B67" i="3"/>
  <c r="C66" i="3"/>
  <c r="A66" i="3" s="1"/>
  <c r="F92" i="6"/>
  <c r="G92" i="6" s="1"/>
  <c r="H64" i="3"/>
  <c r="B93" i="6" l="1"/>
  <c r="B93" i="5"/>
  <c r="B68" i="3"/>
  <c r="C67" i="3"/>
  <c r="A67" i="3" s="1"/>
  <c r="A72" i="2"/>
  <c r="C71" i="2"/>
  <c r="D71" i="2" s="1"/>
  <c r="E71" i="2" s="1"/>
  <c r="F71" i="2" s="1"/>
  <c r="C68" i="4"/>
  <c r="A68" i="4" s="1"/>
  <c r="B69" i="4"/>
  <c r="G66" i="3"/>
  <c r="D66" i="3"/>
  <c r="E66" i="3" s="1"/>
  <c r="F66" i="3" s="1"/>
  <c r="J70" i="2"/>
  <c r="K70" i="2" s="1"/>
  <c r="H71" i="2"/>
  <c r="D93" i="6"/>
  <c r="D93" i="5"/>
  <c r="F93" i="5" s="1"/>
  <c r="F93" i="6"/>
  <c r="G93" i="6" s="1"/>
  <c r="H65" i="3"/>
  <c r="O93" i="5"/>
  <c r="F92" i="5"/>
  <c r="G67" i="4"/>
  <c r="E94" i="6" s="1"/>
  <c r="D67" i="4"/>
  <c r="E67" i="4" s="1"/>
  <c r="F67" i="4" s="1"/>
  <c r="B94" i="6" l="1"/>
  <c r="B94" i="5"/>
  <c r="D94" i="6"/>
  <c r="D94" i="5"/>
  <c r="D68" i="4"/>
  <c r="E68" i="4" s="1"/>
  <c r="F68" i="4" s="1"/>
  <c r="G68" i="4"/>
  <c r="E95" i="6" s="1"/>
  <c r="B70" i="4"/>
  <c r="C69" i="4"/>
  <c r="A69" i="4" s="1"/>
  <c r="D67" i="3"/>
  <c r="E67" i="3" s="1"/>
  <c r="F67" i="3" s="1"/>
  <c r="G67" i="3"/>
  <c r="F94" i="6"/>
  <c r="H66" i="3"/>
  <c r="C68" i="3"/>
  <c r="A68" i="3" s="1"/>
  <c r="B69" i="3"/>
  <c r="G94" i="6"/>
  <c r="G93" i="5"/>
  <c r="C72" i="2"/>
  <c r="D72" i="2" s="1"/>
  <c r="E72" i="2" s="1"/>
  <c r="F72" i="2" s="1"/>
  <c r="A73" i="2"/>
  <c r="J71" i="2"/>
  <c r="K71" i="2" s="1"/>
  <c r="H72" i="2"/>
  <c r="M93" i="6"/>
  <c r="D95" i="6" l="1"/>
  <c r="D95" i="5"/>
  <c r="B95" i="6"/>
  <c r="M95" i="6" s="1"/>
  <c r="B95" i="5"/>
  <c r="G95" i="5" s="1"/>
  <c r="F95" i="6"/>
  <c r="H67" i="3"/>
  <c r="J72" i="2"/>
  <c r="K72" i="2" s="1"/>
  <c r="H73" i="2"/>
  <c r="C73" i="2"/>
  <c r="D73" i="2" s="1"/>
  <c r="E73" i="2" s="1"/>
  <c r="F73" i="2" s="1"/>
  <c r="A74" i="2"/>
  <c r="G95" i="6"/>
  <c r="F94" i="5"/>
  <c r="O94" i="5"/>
  <c r="O95" i="5"/>
  <c r="G69" i="4"/>
  <c r="E96" i="6" s="1"/>
  <c r="D69" i="4"/>
  <c r="E69" i="4" s="1"/>
  <c r="F69" i="4" s="1"/>
  <c r="D68" i="3"/>
  <c r="E68" i="3" s="1"/>
  <c r="F68" i="3" s="1"/>
  <c r="G68" i="3"/>
  <c r="G94" i="5"/>
  <c r="C70" i="4"/>
  <c r="A70" i="4" s="1"/>
  <c r="B71" i="4"/>
  <c r="B70" i="3"/>
  <c r="C69" i="3"/>
  <c r="A69" i="3" s="1"/>
  <c r="M94" i="6"/>
  <c r="D96" i="6" l="1"/>
  <c r="D96" i="5"/>
  <c r="B96" i="6"/>
  <c r="M96" i="6" s="1"/>
  <c r="B96" i="5"/>
  <c r="G96" i="5" s="1"/>
  <c r="B71" i="3"/>
  <c r="C70" i="3"/>
  <c r="A70" i="3" s="1"/>
  <c r="C74" i="2"/>
  <c r="D74" i="2" s="1"/>
  <c r="E74" i="2" s="1"/>
  <c r="F74" i="2" s="1"/>
  <c r="A75" i="2"/>
  <c r="D70" i="4"/>
  <c r="E70" i="4"/>
  <c r="F70" i="4" s="1"/>
  <c r="G70" i="4"/>
  <c r="E97" i="6" s="1"/>
  <c r="H74" i="2"/>
  <c r="J73" i="2"/>
  <c r="K73" i="2" s="1"/>
  <c r="B72" i="4"/>
  <c r="C71" i="4"/>
  <c r="A71" i="4" s="1"/>
  <c r="O96" i="5"/>
  <c r="F95" i="5"/>
  <c r="F96" i="6"/>
  <c r="G96" i="6" s="1"/>
  <c r="H68" i="3"/>
  <c r="G69" i="3"/>
  <c r="D69" i="3"/>
  <c r="E69" i="3" s="1"/>
  <c r="F69" i="3" s="1"/>
  <c r="D97" i="6" l="1"/>
  <c r="D97" i="5"/>
  <c r="F97" i="6"/>
  <c r="G97" i="6" s="1"/>
  <c r="H69" i="3"/>
  <c r="H75" i="2"/>
  <c r="J74" i="2"/>
  <c r="K74" i="2" s="1"/>
  <c r="D70" i="3"/>
  <c r="E70" i="3" s="1"/>
  <c r="F70" i="3" s="1"/>
  <c r="G70" i="3"/>
  <c r="C71" i="3"/>
  <c r="A71" i="3" s="1"/>
  <c r="B72" i="3"/>
  <c r="B97" i="6"/>
  <c r="M97" i="6" s="1"/>
  <c r="B97" i="5"/>
  <c r="G97" i="5" s="1"/>
  <c r="C75" i="2"/>
  <c r="D75" i="2" s="1"/>
  <c r="E75" i="2" s="1"/>
  <c r="F75" i="2" s="1"/>
  <c r="A76" i="2"/>
  <c r="G71" i="4"/>
  <c r="E98" i="6" s="1"/>
  <c r="D71" i="4"/>
  <c r="E71" i="4" s="1"/>
  <c r="F71" i="4" s="1"/>
  <c r="C72" i="4"/>
  <c r="A72" i="4" s="1"/>
  <c r="B73" i="4"/>
  <c r="F96" i="5"/>
  <c r="O97" i="5"/>
  <c r="D98" i="6" l="1"/>
  <c r="D98" i="5"/>
  <c r="B98" i="6"/>
  <c r="M98" i="6" s="1"/>
  <c r="B98" i="5"/>
  <c r="G98" i="5" s="1"/>
  <c r="D71" i="3"/>
  <c r="E71" i="3" s="1"/>
  <c r="F71" i="3" s="1"/>
  <c r="G71" i="3"/>
  <c r="B74" i="4"/>
  <c r="C73" i="4"/>
  <c r="A73" i="4" s="1"/>
  <c r="H76" i="2"/>
  <c r="J75" i="2"/>
  <c r="K75" i="2" s="1"/>
  <c r="F98" i="6"/>
  <c r="G98" i="6" s="1"/>
  <c r="H70" i="3"/>
  <c r="B73" i="3"/>
  <c r="C72" i="3"/>
  <c r="A72" i="3" s="1"/>
  <c r="D72" i="4"/>
  <c r="E72" i="4" s="1"/>
  <c r="F72" i="4" s="1"/>
  <c r="G72" i="4"/>
  <c r="E99" i="6" s="1"/>
  <c r="A77" i="2"/>
  <c r="C76" i="2"/>
  <c r="D76" i="2" s="1"/>
  <c r="E76" i="2" s="1"/>
  <c r="F76" i="2" s="1"/>
  <c r="F97" i="5"/>
  <c r="O98" i="5"/>
  <c r="B99" i="6" l="1"/>
  <c r="B99" i="5"/>
  <c r="D99" i="6"/>
  <c r="D99" i="5"/>
  <c r="F99" i="5" s="1"/>
  <c r="F99" i="6"/>
  <c r="H71" i="3"/>
  <c r="J76" i="2"/>
  <c r="K76" i="2" s="1"/>
  <c r="H77" i="2"/>
  <c r="G99" i="6"/>
  <c r="B75" i="4"/>
  <c r="C74" i="4"/>
  <c r="A74" i="4" s="1"/>
  <c r="G72" i="3"/>
  <c r="D72" i="3"/>
  <c r="E72" i="3"/>
  <c r="F72" i="3" s="1"/>
  <c r="B74" i="3"/>
  <c r="C73" i="3"/>
  <c r="A73" i="3" s="1"/>
  <c r="O99" i="5"/>
  <c r="F98" i="5"/>
  <c r="G73" i="4"/>
  <c r="E100" i="6" s="1"/>
  <c r="D73" i="4"/>
  <c r="E73" i="4" s="1"/>
  <c r="F73" i="4" s="1"/>
  <c r="A78" i="2"/>
  <c r="C77" i="2"/>
  <c r="D77" i="2" s="1"/>
  <c r="E77" i="2" s="1"/>
  <c r="F77" i="2" s="1"/>
  <c r="B100" i="6" l="1"/>
  <c r="B100" i="5"/>
  <c r="D74" i="4"/>
  <c r="E74" i="4" s="1"/>
  <c r="F74" i="4" s="1"/>
  <c r="G74" i="4"/>
  <c r="E101" i="6" s="1"/>
  <c r="C78" i="2"/>
  <c r="D78" i="2" s="1"/>
  <c r="E78" i="2" s="1"/>
  <c r="F78" i="2" s="1"/>
  <c r="A79" i="2"/>
  <c r="F100" i="6"/>
  <c r="H72" i="3"/>
  <c r="G100" i="6"/>
  <c r="C75" i="4"/>
  <c r="A75" i="4" s="1"/>
  <c r="B76" i="4"/>
  <c r="J77" i="2"/>
  <c r="K77" i="2" s="1"/>
  <c r="H78" i="2"/>
  <c r="D100" i="6"/>
  <c r="D100" i="5"/>
  <c r="G99" i="5"/>
  <c r="D73" i="3"/>
  <c r="E73" i="3" s="1"/>
  <c r="F73" i="3" s="1"/>
  <c r="G73" i="3"/>
  <c r="C74" i="3"/>
  <c r="A74" i="3" s="1"/>
  <c r="B75" i="3"/>
  <c r="M99" i="6"/>
  <c r="D101" i="6" l="1"/>
  <c r="D101" i="5"/>
  <c r="B101" i="6"/>
  <c r="M101" i="6" s="1"/>
  <c r="B101" i="5"/>
  <c r="G101" i="5" s="1"/>
  <c r="B77" i="4"/>
  <c r="C76" i="4"/>
  <c r="A76" i="4" s="1"/>
  <c r="F101" i="6"/>
  <c r="H73" i="3"/>
  <c r="G101" i="6"/>
  <c r="B76" i="3"/>
  <c r="C75" i="3"/>
  <c r="A75" i="3" s="1"/>
  <c r="F100" i="5"/>
  <c r="O100" i="5"/>
  <c r="O101" i="5"/>
  <c r="G74" i="3"/>
  <c r="D74" i="3"/>
  <c r="E74" i="3"/>
  <c r="F74" i="3" s="1"/>
  <c r="C79" i="2"/>
  <c r="D79" i="2" s="1"/>
  <c r="E79" i="2" s="1"/>
  <c r="F79" i="2" s="1"/>
  <c r="A80" i="2"/>
  <c r="J78" i="2"/>
  <c r="K78" i="2" s="1"/>
  <c r="H79" i="2"/>
  <c r="G100" i="5"/>
  <c r="D75" i="4"/>
  <c r="E75" i="4" s="1"/>
  <c r="F75" i="4" s="1"/>
  <c r="G75" i="4"/>
  <c r="E102" i="6" s="1"/>
  <c r="M100" i="6"/>
  <c r="B102" i="6" l="1"/>
  <c r="B102" i="5"/>
  <c r="H80" i="2"/>
  <c r="J79" i="2"/>
  <c r="K79" i="2" s="1"/>
  <c r="C80" i="2"/>
  <c r="D80" i="2" s="1"/>
  <c r="E80" i="2" s="1"/>
  <c r="F80" i="2" s="1"/>
  <c r="A81" i="2"/>
  <c r="G76" i="4"/>
  <c r="E103" i="6" s="1"/>
  <c r="D76" i="4"/>
  <c r="E76" i="4"/>
  <c r="F76" i="4" s="1"/>
  <c r="G75" i="3"/>
  <c r="D75" i="3"/>
  <c r="E75" i="3" s="1"/>
  <c r="F75" i="3" s="1"/>
  <c r="C77" i="4"/>
  <c r="A77" i="4" s="1"/>
  <c r="B78" i="4"/>
  <c r="D102" i="6"/>
  <c r="D102" i="5"/>
  <c r="C76" i="3"/>
  <c r="A76" i="3" s="1"/>
  <c r="B77" i="3"/>
  <c r="F102" i="6"/>
  <c r="H74" i="3"/>
  <c r="F101" i="5"/>
  <c r="G102" i="6"/>
  <c r="D103" i="6" l="1"/>
  <c r="D103" i="5"/>
  <c r="F103" i="6"/>
  <c r="H75" i="3"/>
  <c r="C77" i="3"/>
  <c r="A77" i="3" s="1"/>
  <c r="B78" i="3"/>
  <c r="B103" i="6"/>
  <c r="M103" i="6" s="1"/>
  <c r="B103" i="5"/>
  <c r="G103" i="5" s="1"/>
  <c r="G103" i="6"/>
  <c r="H81" i="2"/>
  <c r="J80" i="2"/>
  <c r="K80" i="2" s="1"/>
  <c r="E76" i="3"/>
  <c r="F76" i="3" s="1"/>
  <c r="D76" i="3"/>
  <c r="G76" i="3"/>
  <c r="F102" i="5"/>
  <c r="O102" i="5"/>
  <c r="O103" i="5"/>
  <c r="B79" i="4"/>
  <c r="C78" i="4"/>
  <c r="A78" i="4" s="1"/>
  <c r="G102" i="5"/>
  <c r="C81" i="2"/>
  <c r="D81" i="2" s="1"/>
  <c r="E81" i="2" s="1"/>
  <c r="F81" i="2" s="1"/>
  <c r="A82" i="2"/>
  <c r="G77" i="4"/>
  <c r="E104" i="6" s="1"/>
  <c r="D77" i="4"/>
  <c r="E77" i="4" s="1"/>
  <c r="F77" i="4" s="1"/>
  <c r="M102" i="6"/>
  <c r="B104" i="6" l="1"/>
  <c r="B104" i="5"/>
  <c r="B79" i="3"/>
  <c r="C78" i="3"/>
  <c r="A78" i="3" s="1"/>
  <c r="J81" i="2"/>
  <c r="K81" i="2" s="1"/>
  <c r="H82" i="2"/>
  <c r="G77" i="3"/>
  <c r="D77" i="3"/>
  <c r="E77" i="3"/>
  <c r="F77" i="3" s="1"/>
  <c r="D104" i="6"/>
  <c r="D104" i="5"/>
  <c r="O104" i="5" s="1"/>
  <c r="A83" i="2"/>
  <c r="C82" i="2"/>
  <c r="D82" i="2" s="1"/>
  <c r="E82" i="2" s="1"/>
  <c r="F82" i="2" s="1"/>
  <c r="G78" i="4"/>
  <c r="E105" i="6" s="1"/>
  <c r="D78" i="4"/>
  <c r="E78" i="4" s="1"/>
  <c r="F78" i="4" s="1"/>
  <c r="B80" i="4"/>
  <c r="C79" i="4"/>
  <c r="A79" i="4" s="1"/>
  <c r="F104" i="6"/>
  <c r="H76" i="3"/>
  <c r="F103" i="5"/>
  <c r="G104" i="6"/>
  <c r="B105" i="6" l="1"/>
  <c r="B105" i="5"/>
  <c r="G79" i="4"/>
  <c r="E106" i="6" s="1"/>
  <c r="D79" i="4"/>
  <c r="E79" i="4" s="1"/>
  <c r="F79" i="4" s="1"/>
  <c r="A84" i="2"/>
  <c r="C83" i="2"/>
  <c r="D83" i="2" s="1"/>
  <c r="E83" i="2" s="1"/>
  <c r="F83" i="2" s="1"/>
  <c r="G78" i="3"/>
  <c r="D78" i="3"/>
  <c r="E78" i="3" s="1"/>
  <c r="F78" i="3" s="1"/>
  <c r="J82" i="2"/>
  <c r="K82" i="2" s="1"/>
  <c r="H83" i="2"/>
  <c r="C79" i="3"/>
  <c r="A79" i="3" s="1"/>
  <c r="B80" i="3"/>
  <c r="D105" i="6"/>
  <c r="D105" i="5"/>
  <c r="F105" i="5" s="1"/>
  <c r="F105" i="6"/>
  <c r="H77" i="3"/>
  <c r="C80" i="4"/>
  <c r="A80" i="4" s="1"/>
  <c r="B81" i="4"/>
  <c r="G105" i="6"/>
  <c r="G104" i="5"/>
  <c r="O105" i="5"/>
  <c r="F104" i="5"/>
  <c r="M104" i="6"/>
  <c r="B106" i="6" l="1"/>
  <c r="B106" i="5"/>
  <c r="D106" i="6"/>
  <c r="D106" i="5"/>
  <c r="J83" i="2"/>
  <c r="K83" i="2" s="1"/>
  <c r="H84" i="2"/>
  <c r="D80" i="4"/>
  <c r="E80" i="4" s="1"/>
  <c r="F80" i="4" s="1"/>
  <c r="G80" i="4"/>
  <c r="E107" i="6" s="1"/>
  <c r="C84" i="2"/>
  <c r="D84" i="2" s="1"/>
  <c r="E84" i="2" s="1"/>
  <c r="F84" i="2" s="1"/>
  <c r="A85" i="2"/>
  <c r="B82" i="4"/>
  <c r="C81" i="4"/>
  <c r="A81" i="4" s="1"/>
  <c r="F106" i="6"/>
  <c r="H78" i="3"/>
  <c r="G106" i="6"/>
  <c r="C80" i="3"/>
  <c r="A80" i="3" s="1"/>
  <c r="B81" i="3"/>
  <c r="G105" i="5"/>
  <c r="D79" i="3"/>
  <c r="E79" i="3" s="1"/>
  <c r="F79" i="3" s="1"/>
  <c r="G79" i="3"/>
  <c r="M105" i="6"/>
  <c r="D107" i="6" l="1"/>
  <c r="D107" i="5"/>
  <c r="B107" i="6"/>
  <c r="M107" i="6" s="1"/>
  <c r="B107" i="5"/>
  <c r="G107" i="5" s="1"/>
  <c r="C85" i="2"/>
  <c r="D85" i="2" s="1"/>
  <c r="E85" i="2" s="1"/>
  <c r="F85" i="2" s="1"/>
  <c r="A86" i="2"/>
  <c r="J84" i="2"/>
  <c r="K84" i="2" s="1"/>
  <c r="H85" i="2"/>
  <c r="C82" i="4"/>
  <c r="A82" i="4" s="1"/>
  <c r="B83" i="4"/>
  <c r="F107" i="6"/>
  <c r="G107" i="6" s="1"/>
  <c r="H79" i="3"/>
  <c r="O107" i="5"/>
  <c r="F106" i="5"/>
  <c r="O106" i="5"/>
  <c r="G80" i="3"/>
  <c r="D80" i="3"/>
  <c r="E80" i="3" s="1"/>
  <c r="F80" i="3" s="1"/>
  <c r="G106" i="5"/>
  <c r="B82" i="3"/>
  <c r="C81" i="3"/>
  <c r="A81" i="3" s="1"/>
  <c r="E81" i="4"/>
  <c r="F81" i="4" s="1"/>
  <c r="G81" i="4"/>
  <c r="E108" i="6" s="1"/>
  <c r="D81" i="4"/>
  <c r="M106" i="6"/>
  <c r="D108" i="6" l="1"/>
  <c r="D108" i="5"/>
  <c r="G81" i="3"/>
  <c r="D81" i="3"/>
  <c r="E81" i="3"/>
  <c r="F81" i="3" s="1"/>
  <c r="B84" i="4"/>
  <c r="C83" i="4"/>
  <c r="A83" i="4" s="1"/>
  <c r="H86" i="2"/>
  <c r="J85" i="2"/>
  <c r="K85" i="2" s="1"/>
  <c r="D82" i="4"/>
  <c r="E82" i="4"/>
  <c r="F82" i="4" s="1"/>
  <c r="G82" i="4"/>
  <c r="E109" i="6" s="1"/>
  <c r="C86" i="2"/>
  <c r="D86" i="2" s="1"/>
  <c r="E86" i="2" s="1"/>
  <c r="F86" i="2" s="1"/>
  <c r="A87" i="2"/>
  <c r="F107" i="5"/>
  <c r="B108" i="6"/>
  <c r="M108" i="6" s="1"/>
  <c r="B108" i="5"/>
  <c r="G108" i="5" s="1"/>
  <c r="C82" i="3"/>
  <c r="A82" i="3" s="1"/>
  <c r="B83" i="3"/>
  <c r="F108" i="6"/>
  <c r="G108" i="6" s="1"/>
  <c r="H80" i="3"/>
  <c r="C84" i="4" l="1"/>
  <c r="A84" i="4" s="1"/>
  <c r="B85" i="4"/>
  <c r="D109" i="6"/>
  <c r="D109" i="5"/>
  <c r="F109" i="5" s="1"/>
  <c r="B109" i="6"/>
  <c r="M109" i="6" s="1"/>
  <c r="B109" i="5"/>
  <c r="G109" i="5" s="1"/>
  <c r="D82" i="3"/>
  <c r="E82" i="3" s="1"/>
  <c r="F82" i="3" s="1"/>
  <c r="G82" i="3"/>
  <c r="G83" i="4"/>
  <c r="E110" i="6" s="1"/>
  <c r="D83" i="4"/>
  <c r="E83" i="4" s="1"/>
  <c r="F83" i="4" s="1"/>
  <c r="C87" i="2"/>
  <c r="D87" i="2" s="1"/>
  <c r="E87" i="2" s="1"/>
  <c r="F87" i="2" s="1"/>
  <c r="A88" i="2"/>
  <c r="F109" i="6"/>
  <c r="H81" i="3"/>
  <c r="C83" i="3"/>
  <c r="A83" i="3" s="1"/>
  <c r="B84" i="3"/>
  <c r="F108" i="5"/>
  <c r="O109" i="5"/>
  <c r="O108" i="5"/>
  <c r="H87" i="2"/>
  <c r="J86" i="2"/>
  <c r="K86" i="2" s="1"/>
  <c r="G109" i="6"/>
  <c r="B110" i="6" l="1"/>
  <c r="B110" i="5"/>
  <c r="D110" i="6"/>
  <c r="D110" i="5"/>
  <c r="B85" i="3"/>
  <c r="C84" i="3"/>
  <c r="A84" i="3" s="1"/>
  <c r="F110" i="6"/>
  <c r="G110" i="6" s="1"/>
  <c r="H82" i="3"/>
  <c r="H88" i="2"/>
  <c r="J87" i="2"/>
  <c r="K87" i="2" s="1"/>
  <c r="G83" i="3"/>
  <c r="D83" i="3"/>
  <c r="E83" i="3" s="1"/>
  <c r="F83" i="3" s="1"/>
  <c r="A89" i="2"/>
  <c r="C88" i="2"/>
  <c r="D88" i="2" s="1"/>
  <c r="E88" i="2" s="1"/>
  <c r="F88" i="2" s="1"/>
  <c r="C85" i="4"/>
  <c r="A85" i="4" s="1"/>
  <c r="B86" i="4"/>
  <c r="G84" i="4"/>
  <c r="E111" i="6" s="1"/>
  <c r="D84" i="4"/>
  <c r="E84" i="4" s="1"/>
  <c r="F84" i="4" s="1"/>
  <c r="B111" i="6" l="1"/>
  <c r="B111" i="5"/>
  <c r="D111" i="6"/>
  <c r="D111" i="5"/>
  <c r="J88" i="2"/>
  <c r="K88" i="2" s="1"/>
  <c r="H89" i="2"/>
  <c r="G84" i="3"/>
  <c r="D84" i="3"/>
  <c r="E84" i="3" s="1"/>
  <c r="F84" i="3" s="1"/>
  <c r="F111" i="6"/>
  <c r="G111" i="6" s="1"/>
  <c r="H83" i="3"/>
  <c r="C85" i="3"/>
  <c r="A85" i="3" s="1"/>
  <c r="B86" i="3"/>
  <c r="F110" i="5"/>
  <c r="O111" i="5"/>
  <c r="O110" i="5" s="1"/>
  <c r="G85" i="4"/>
  <c r="E112" i="6" s="1"/>
  <c r="D85" i="4"/>
  <c r="E85" i="4" s="1"/>
  <c r="F85" i="4" s="1"/>
  <c r="A90" i="2"/>
  <c r="C89" i="2"/>
  <c r="D89" i="2" s="1"/>
  <c r="E89" i="2" s="1"/>
  <c r="F89" i="2" s="1"/>
  <c r="G110" i="5"/>
  <c r="B87" i="4"/>
  <c r="C86" i="4"/>
  <c r="A86" i="4" s="1"/>
  <c r="M110" i="6"/>
  <c r="D112" i="6" l="1"/>
  <c r="D112" i="5"/>
  <c r="B112" i="6"/>
  <c r="M112" i="6" s="1"/>
  <c r="B112" i="5"/>
  <c r="G112" i="5" s="1"/>
  <c r="D86" i="4"/>
  <c r="E86" i="4" s="1"/>
  <c r="F86" i="4" s="1"/>
  <c r="G86" i="4"/>
  <c r="E113" i="6" s="1"/>
  <c r="C87" i="4"/>
  <c r="A87" i="4" s="1"/>
  <c r="B88" i="4"/>
  <c r="C90" i="2"/>
  <c r="D90" i="2" s="1"/>
  <c r="E90" i="2" s="1"/>
  <c r="F90" i="2" s="1"/>
  <c r="A91" i="2"/>
  <c r="E85" i="3"/>
  <c r="F85" i="3" s="1"/>
  <c r="D85" i="3"/>
  <c r="G85" i="3"/>
  <c r="F112" i="6"/>
  <c r="G112" i="6" s="1"/>
  <c r="H84" i="3"/>
  <c r="J89" i="2"/>
  <c r="K89" i="2" s="1"/>
  <c r="H90" i="2"/>
  <c r="G111" i="5"/>
  <c r="F111" i="5"/>
  <c r="O112" i="5"/>
  <c r="C86" i="3"/>
  <c r="A86" i="3" s="1"/>
  <c r="B87" i="3"/>
  <c r="M111" i="6"/>
  <c r="B113" i="6" l="1"/>
  <c r="B113" i="5"/>
  <c r="B88" i="3"/>
  <c r="C87" i="3"/>
  <c r="A87" i="3" s="1"/>
  <c r="G86" i="3"/>
  <c r="D86" i="3"/>
  <c r="E86" i="3" s="1"/>
  <c r="F86" i="3" s="1"/>
  <c r="D87" i="4"/>
  <c r="E87" i="4" s="1"/>
  <c r="F87" i="4" s="1"/>
  <c r="G87" i="4"/>
  <c r="E114" i="6" s="1"/>
  <c r="J90" i="2"/>
  <c r="K90" i="2" s="1"/>
  <c r="H91" i="2"/>
  <c r="D113" i="6"/>
  <c r="D113" i="5"/>
  <c r="F113" i="5" s="1"/>
  <c r="F113" i="6"/>
  <c r="G113" i="6" s="1"/>
  <c r="H85" i="3"/>
  <c r="O113" i="5"/>
  <c r="F112" i="5"/>
  <c r="C91" i="2"/>
  <c r="D91" i="2" s="1"/>
  <c r="E91" i="2" s="1"/>
  <c r="F91" i="2" s="1"/>
  <c r="A92" i="2"/>
  <c r="B89" i="4"/>
  <c r="C88" i="4"/>
  <c r="A88" i="4" s="1"/>
  <c r="B114" i="6" l="1"/>
  <c r="B114" i="5"/>
  <c r="D114" i="6"/>
  <c r="D114" i="5"/>
  <c r="G88" i="4"/>
  <c r="E115" i="6" s="1"/>
  <c r="D88" i="4"/>
  <c r="E88" i="4"/>
  <c r="F88" i="4" s="1"/>
  <c r="F114" i="6"/>
  <c r="H86" i="3"/>
  <c r="G114" i="6"/>
  <c r="C92" i="2"/>
  <c r="D92" i="2" s="1"/>
  <c r="E92" i="2" s="1"/>
  <c r="F92" i="2" s="1"/>
  <c r="A93" i="2"/>
  <c r="C88" i="3"/>
  <c r="A88" i="3" s="1"/>
  <c r="B89" i="3"/>
  <c r="G113" i="5"/>
  <c r="C89" i="4"/>
  <c r="A89" i="4" s="1"/>
  <c r="B90" i="4"/>
  <c r="G87" i="3"/>
  <c r="D87" i="3"/>
  <c r="E87" i="3" s="1"/>
  <c r="F87" i="3" s="1"/>
  <c r="H92" i="2"/>
  <c r="J91" i="2"/>
  <c r="K91" i="2" s="1"/>
  <c r="M113" i="6"/>
  <c r="D115" i="6" l="1"/>
  <c r="D115" i="5"/>
  <c r="G89" i="4"/>
  <c r="E116" i="6" s="1"/>
  <c r="D89" i="4"/>
  <c r="E89" i="4"/>
  <c r="F89" i="4" s="1"/>
  <c r="F114" i="5"/>
  <c r="O115" i="5"/>
  <c r="O114" i="5" s="1"/>
  <c r="H93" i="2"/>
  <c r="J92" i="2"/>
  <c r="K92" i="2" s="1"/>
  <c r="F115" i="6"/>
  <c r="G115" i="6" s="1"/>
  <c r="H87" i="3"/>
  <c r="C89" i="3"/>
  <c r="A89" i="3" s="1"/>
  <c r="B90" i="3"/>
  <c r="G114" i="5"/>
  <c r="C93" i="2"/>
  <c r="D93" i="2" s="1"/>
  <c r="E93" i="2" s="1"/>
  <c r="F93" i="2" s="1"/>
  <c r="A94" i="2"/>
  <c r="B115" i="6"/>
  <c r="M115" i="6" s="1"/>
  <c r="B115" i="5"/>
  <c r="G115" i="5" s="1"/>
  <c r="B91" i="4"/>
  <c r="C90" i="4"/>
  <c r="A90" i="4" s="1"/>
  <c r="D88" i="3"/>
  <c r="E88" i="3" s="1"/>
  <c r="F88" i="3" s="1"/>
  <c r="G88" i="3"/>
  <c r="M114" i="6"/>
  <c r="D116" i="6" l="1"/>
  <c r="D116" i="5"/>
  <c r="F116" i="6"/>
  <c r="H88" i="3"/>
  <c r="G116" i="6"/>
  <c r="B116" i="6"/>
  <c r="M116" i="6" s="1"/>
  <c r="B116" i="5"/>
  <c r="G116" i="5" s="1"/>
  <c r="H94" i="2"/>
  <c r="J93" i="2"/>
  <c r="K93" i="2" s="1"/>
  <c r="B91" i="3"/>
  <c r="C90" i="3"/>
  <c r="A90" i="3" s="1"/>
  <c r="F115" i="5"/>
  <c r="G90" i="4"/>
  <c r="E117" i="6" s="1"/>
  <c r="D90" i="4"/>
  <c r="E90" i="4" s="1"/>
  <c r="F90" i="4" s="1"/>
  <c r="B92" i="4"/>
  <c r="C91" i="4"/>
  <c r="A91" i="4" s="1"/>
  <c r="A95" i="2"/>
  <c r="C94" i="2"/>
  <c r="D94" i="2" s="1"/>
  <c r="E94" i="2" s="1"/>
  <c r="F94" i="2" s="1"/>
  <c r="G89" i="3"/>
  <c r="D89" i="3"/>
  <c r="E89" i="3" s="1"/>
  <c r="F89" i="3" s="1"/>
  <c r="D117" i="6" l="1"/>
  <c r="D117" i="5"/>
  <c r="B117" i="6"/>
  <c r="M117" i="6" s="1"/>
  <c r="B117" i="5"/>
  <c r="G117" i="5" s="1"/>
  <c r="G90" i="3"/>
  <c r="D90" i="3"/>
  <c r="E90" i="3" s="1"/>
  <c r="F90" i="3" s="1"/>
  <c r="J94" i="2"/>
  <c r="K94" i="2" s="1"/>
  <c r="H95" i="2"/>
  <c r="C91" i="3"/>
  <c r="A91" i="3" s="1"/>
  <c r="B92" i="3"/>
  <c r="F117" i="6"/>
  <c r="G117" i="6" s="1"/>
  <c r="H89" i="3"/>
  <c r="A96" i="2"/>
  <c r="C95" i="2"/>
  <c r="D95" i="2" s="1"/>
  <c r="E95" i="2" s="1"/>
  <c r="F95" i="2" s="1"/>
  <c r="C92" i="4"/>
  <c r="A92" i="4" s="1"/>
  <c r="B93" i="4"/>
  <c r="F116" i="5"/>
  <c r="O117" i="5"/>
  <c r="O116" i="5" s="1"/>
  <c r="G91" i="4"/>
  <c r="E118" i="6" s="1"/>
  <c r="D91" i="4"/>
  <c r="E91" i="4" s="1"/>
  <c r="F91" i="4" s="1"/>
  <c r="B118" i="6" l="1"/>
  <c r="B118" i="5"/>
  <c r="D118" i="6"/>
  <c r="D118" i="5"/>
  <c r="F118" i="5" s="1"/>
  <c r="F118" i="6"/>
  <c r="G118" i="6" s="1"/>
  <c r="H90" i="3"/>
  <c r="C92" i="3"/>
  <c r="A92" i="3" s="1"/>
  <c r="B93" i="3"/>
  <c r="J95" i="2"/>
  <c r="K95" i="2" s="1"/>
  <c r="H96" i="2"/>
  <c r="E91" i="3"/>
  <c r="F91" i="3" s="1"/>
  <c r="D91" i="3"/>
  <c r="G91" i="3"/>
  <c r="B94" i="4"/>
  <c r="C93" i="4"/>
  <c r="A93" i="4" s="1"/>
  <c r="C96" i="2"/>
  <c r="D96" i="2" s="1"/>
  <c r="E96" i="2" s="1"/>
  <c r="F96" i="2" s="1"/>
  <c r="A97" i="2"/>
  <c r="F117" i="5"/>
  <c r="D92" i="4"/>
  <c r="E92" i="4" s="1"/>
  <c r="F92" i="4" s="1"/>
  <c r="G92" i="4"/>
  <c r="E119" i="6" s="1"/>
  <c r="B119" i="6" l="1"/>
  <c r="B119" i="5"/>
  <c r="D119" i="6"/>
  <c r="D119" i="5"/>
  <c r="A98" i="2"/>
  <c r="C98" i="2" s="1"/>
  <c r="D98" i="2" s="1"/>
  <c r="E98" i="2" s="1"/>
  <c r="C97" i="2"/>
  <c r="D97" i="2" s="1"/>
  <c r="E97" i="2" s="1"/>
  <c r="F97" i="2" s="1"/>
  <c r="G92" i="3"/>
  <c r="D92" i="3"/>
  <c r="E92" i="3" s="1"/>
  <c r="F92" i="3" s="1"/>
  <c r="C94" i="4"/>
  <c r="A94" i="4" s="1"/>
  <c r="B95" i="4"/>
  <c r="H97" i="2"/>
  <c r="J96" i="2"/>
  <c r="K96" i="2" s="1"/>
  <c r="G93" i="4"/>
  <c r="E120" i="6" s="1"/>
  <c r="D93" i="4"/>
  <c r="E93" i="4" s="1"/>
  <c r="F93" i="4" s="1"/>
  <c r="F119" i="6"/>
  <c r="G119" i="6" s="1"/>
  <c r="H91" i="3"/>
  <c r="G118" i="5"/>
  <c r="B94" i="3"/>
  <c r="C93" i="3"/>
  <c r="A93" i="3" s="1"/>
  <c r="M118" i="6"/>
  <c r="D120" i="6" l="1"/>
  <c r="D120" i="5"/>
  <c r="B120" i="6"/>
  <c r="M120" i="6" s="1"/>
  <c r="B120" i="5"/>
  <c r="G120" i="5" s="1"/>
  <c r="F120" i="6"/>
  <c r="H92" i="3"/>
  <c r="G93" i="3"/>
  <c r="D93" i="3"/>
  <c r="E93" i="3" s="1"/>
  <c r="F93" i="3" s="1"/>
  <c r="B96" i="4"/>
  <c r="C95" i="4"/>
  <c r="A95" i="4" s="1"/>
  <c r="F119" i="5"/>
  <c r="O120" i="5"/>
  <c r="O119" i="5" s="1"/>
  <c r="O118" i="5" s="1"/>
  <c r="F98" i="2"/>
  <c r="J4" i="2" s="1"/>
  <c r="I4" i="2"/>
  <c r="G119" i="5"/>
  <c r="D94" i="4"/>
  <c r="E94" i="4" s="1"/>
  <c r="F94" i="4" s="1"/>
  <c r="G94" i="4"/>
  <c r="E121" i="6" s="1"/>
  <c r="C94" i="3"/>
  <c r="A94" i="3" s="1"/>
  <c r="B95" i="3"/>
  <c r="G120" i="6"/>
  <c r="H98" i="2"/>
  <c r="J97" i="2"/>
  <c r="K97" i="2" s="1"/>
  <c r="M119" i="6"/>
  <c r="B121" i="6" l="1"/>
  <c r="B121" i="5"/>
  <c r="D121" i="6"/>
  <c r="D121" i="5"/>
  <c r="F121" i="5" s="1"/>
  <c r="F121" i="6"/>
  <c r="G121" i="6" s="1"/>
  <c r="H93" i="3"/>
  <c r="C96" i="4"/>
  <c r="A96" i="4" s="1"/>
  <c r="B97" i="4"/>
  <c r="C97" i="4" s="1"/>
  <c r="A97" i="4" s="1"/>
  <c r="G95" i="4"/>
  <c r="E122" i="6" s="1"/>
  <c r="D95" i="4"/>
  <c r="E95" i="4" s="1"/>
  <c r="F95" i="4" s="1"/>
  <c r="C95" i="3"/>
  <c r="A95" i="3" s="1"/>
  <c r="B96" i="3"/>
  <c r="C96" i="3" s="1"/>
  <c r="H96" i="3" s="1"/>
  <c r="H99" i="2"/>
  <c r="J98" i="2"/>
  <c r="K98" i="2" s="1"/>
  <c r="F120" i="5"/>
  <c r="O121" i="5"/>
  <c r="D94" i="3"/>
  <c r="E94" i="3" s="1"/>
  <c r="F94" i="3" s="1"/>
  <c r="G94" i="3"/>
  <c r="D122" i="6" l="1"/>
  <c r="D122" i="5"/>
  <c r="B122" i="6"/>
  <c r="M122" i="6" s="1"/>
  <c r="B122" i="5"/>
  <c r="G122" i="5" s="1"/>
  <c r="F122" i="6"/>
  <c r="G122" i="6" s="1"/>
  <c r="H94" i="3"/>
  <c r="G97" i="4"/>
  <c r="E124" i="6" s="1"/>
  <c r="G124" i="6" s="1"/>
  <c r="D97" i="4"/>
  <c r="E97" i="4" s="1"/>
  <c r="G96" i="4"/>
  <c r="E123" i="6" s="1"/>
  <c r="D96" i="4"/>
  <c r="E96" i="4" s="1"/>
  <c r="F96" i="4" s="1"/>
  <c r="G95" i="3"/>
  <c r="D95" i="3"/>
  <c r="E95" i="3"/>
  <c r="H100" i="2"/>
  <c r="J99" i="2"/>
  <c r="K99" i="2" s="1"/>
  <c r="G121" i="5"/>
  <c r="O122" i="5" s="1"/>
  <c r="M121" i="6"/>
  <c r="F97" i="4" l="1"/>
  <c r="H2" i="4"/>
  <c r="B123" i="6"/>
  <c r="B123" i="5"/>
  <c r="F95" i="3"/>
  <c r="J2" i="3"/>
  <c r="J3" i="3" s="1"/>
  <c r="F123" i="6"/>
  <c r="G123" i="6" s="1"/>
  <c r="H95" i="3"/>
  <c r="F122" i="5"/>
  <c r="H101" i="2"/>
  <c r="J100" i="2"/>
  <c r="K100" i="2" s="1"/>
  <c r="K3" i="3" l="1"/>
  <c r="H34" i="6"/>
  <c r="I34" i="6" s="1"/>
  <c r="D123" i="6"/>
  <c r="D127" i="6" s="1"/>
  <c r="D123" i="5"/>
  <c r="G123" i="5" s="1"/>
  <c r="J101" i="2"/>
  <c r="K101" i="2" s="1"/>
  <c r="H102" i="2"/>
  <c r="B124" i="6"/>
  <c r="B124" i="5"/>
  <c r="H3" i="4"/>
  <c r="O124" i="5" l="1"/>
  <c r="C4" i="7"/>
  <c r="H35" i="6"/>
  <c r="I35" i="6" s="1"/>
  <c r="K35" i="6" s="1"/>
  <c r="L35" i="6" s="1"/>
  <c r="G124" i="5"/>
  <c r="A27" i="5" s="1"/>
  <c r="B27" i="5" s="1"/>
  <c r="F124" i="5"/>
  <c r="B127" i="5"/>
  <c r="H103" i="2"/>
  <c r="J102" i="2"/>
  <c r="K102" i="2" s="1"/>
  <c r="F123" i="5"/>
  <c r="I124" i="5"/>
  <c r="D127" i="5"/>
  <c r="M124" i="6"/>
  <c r="A27" i="6" s="1"/>
  <c r="B27" i="6" s="1"/>
  <c r="B127" i="6"/>
  <c r="M123" i="6"/>
  <c r="P124" i="5" a="1"/>
  <c r="P124" i="5" l="1"/>
  <c r="N35" i="6"/>
  <c r="O35" i="6"/>
  <c r="H104" i="2"/>
  <c r="J103" i="2"/>
  <c r="K103" i="2" s="1"/>
  <c r="P34" i="6"/>
  <c r="N59" i="7"/>
  <c r="B51" i="7" s="1"/>
  <c r="F4" i="7"/>
  <c r="H4" i="7" s="1"/>
  <c r="C5" i="7"/>
  <c r="K36" i="6"/>
  <c r="L36" i="6" s="1"/>
  <c r="H36" i="6"/>
  <c r="I36" i="6" s="1"/>
  <c r="O123" i="5"/>
  <c r="N124" i="5"/>
  <c r="J124" i="5"/>
  <c r="K124" i="5" s="1" a="1"/>
  <c r="K124" i="5" s="1"/>
  <c r="Q124" i="5" a="1"/>
  <c r="Q124" i="5" s="1"/>
  <c r="N36" i="6" l="1"/>
  <c r="O36" i="6"/>
  <c r="N60" i="7"/>
  <c r="F5" i="7"/>
  <c r="H5" i="7" s="1"/>
  <c r="G4" i="7"/>
  <c r="A4" i="7"/>
  <c r="Q34" i="6"/>
  <c r="R34" i="6" s="1"/>
  <c r="B4" i="7" s="1"/>
  <c r="H105" i="2"/>
  <c r="J104" i="2"/>
  <c r="K104" i="2" s="1"/>
  <c r="C6" i="7"/>
  <c r="H37" i="6"/>
  <c r="I37" i="6" s="1"/>
  <c r="P36" i="6" s="1"/>
  <c r="P35" i="6"/>
  <c r="P123" i="5" a="1"/>
  <c r="I123" i="5" a="1"/>
  <c r="I123" i="5" l="1"/>
  <c r="P123" i="5"/>
  <c r="A6" i="7"/>
  <c r="Q36" i="6"/>
  <c r="R36" i="6" s="1"/>
  <c r="B6" i="7" s="1"/>
  <c r="Q59" i="7"/>
  <c r="I4" i="7"/>
  <c r="D4" i="7"/>
  <c r="AG55" i="7" s="1"/>
  <c r="V59" i="7" s="1"/>
  <c r="C7" i="7"/>
  <c r="H38" i="6"/>
  <c r="I38" i="6" s="1"/>
  <c r="P37" i="6" s="1"/>
  <c r="J105" i="2"/>
  <c r="K105" i="2" s="1"/>
  <c r="H106" i="2"/>
  <c r="A5" i="7"/>
  <c r="Q35" i="6"/>
  <c r="R35" i="6" s="1"/>
  <c r="B5" i="7" s="1"/>
  <c r="K37" i="6"/>
  <c r="L37" i="6" s="1"/>
  <c r="N61" i="7"/>
  <c r="G5" i="7"/>
  <c r="F6" i="7"/>
  <c r="H6" i="7" s="1"/>
  <c r="D6" i="7"/>
  <c r="AG57" i="7" s="1"/>
  <c r="V61" i="7" s="1"/>
  <c r="A7" i="7" l="1"/>
  <c r="Q37" i="6"/>
  <c r="R37" i="6" s="1"/>
  <c r="B7" i="7" s="1"/>
  <c r="C51" i="7"/>
  <c r="J4" i="7"/>
  <c r="N62" i="7"/>
  <c r="G6" i="7"/>
  <c r="F7" i="7"/>
  <c r="H7" i="7" s="1"/>
  <c r="D7" i="7"/>
  <c r="AG58" i="7" s="1"/>
  <c r="V62" i="7" s="1"/>
  <c r="T59" i="7"/>
  <c r="R59" i="7"/>
  <c r="S59" i="7" s="1"/>
  <c r="N37" i="6"/>
  <c r="O37" i="6"/>
  <c r="C8" i="7"/>
  <c r="H39" i="6"/>
  <c r="I39" i="6" s="1"/>
  <c r="K39" i="6" s="1"/>
  <c r="L39" i="6" s="1"/>
  <c r="K38" i="6"/>
  <c r="L38" i="6" s="1"/>
  <c r="Q60" i="7"/>
  <c r="I5" i="7"/>
  <c r="C52" i="7" s="1"/>
  <c r="D5" i="7"/>
  <c r="AG56" i="7" s="1"/>
  <c r="V60" i="7" s="1"/>
  <c r="Q61" i="7"/>
  <c r="I6" i="7"/>
  <c r="C53" i="7" s="1"/>
  <c r="H107" i="2"/>
  <c r="J106" i="2"/>
  <c r="K106" i="2" s="1"/>
  <c r="J123" i="5"/>
  <c r="N123" i="5"/>
  <c r="Q123" i="5" a="1"/>
  <c r="Q123" i="5" l="1"/>
  <c r="N39" i="6"/>
  <c r="O39" i="6"/>
  <c r="H108" i="2"/>
  <c r="J107" i="2"/>
  <c r="K107" i="2" s="1"/>
  <c r="N38" i="6"/>
  <c r="O38" i="6"/>
  <c r="P38" i="6"/>
  <c r="J5" i="7"/>
  <c r="J6" i="7" s="1"/>
  <c r="J7" i="7" s="1"/>
  <c r="F51" i="7"/>
  <c r="G51" i="7" s="1"/>
  <c r="I51" i="7" s="1"/>
  <c r="D51" i="7"/>
  <c r="U59" i="7"/>
  <c r="W59" i="7" s="1"/>
  <c r="X59" i="7" s="1"/>
  <c r="AD55" i="7"/>
  <c r="C9" i="7"/>
  <c r="H40" i="6"/>
  <c r="I40" i="6" s="1"/>
  <c r="P39" i="6" s="1"/>
  <c r="L123" i="5"/>
  <c r="N63" i="7"/>
  <c r="G7" i="7"/>
  <c r="F8" i="7"/>
  <c r="H8" i="7" s="1"/>
  <c r="Q62" i="7"/>
  <c r="I7" i="7"/>
  <c r="C54" i="7" s="1"/>
  <c r="P122" i="5" a="1"/>
  <c r="K123" i="5" a="1"/>
  <c r="K123" i="5" l="1"/>
  <c r="P122" i="5"/>
  <c r="A9" i="7"/>
  <c r="Q39" i="6"/>
  <c r="R39" i="6" s="1"/>
  <c r="B9" i="7" s="1"/>
  <c r="A8" i="7"/>
  <c r="Q38" i="6"/>
  <c r="R38" i="6" s="1"/>
  <c r="B8" i="7" s="1"/>
  <c r="H109" i="2"/>
  <c r="J108" i="2"/>
  <c r="K108" i="2" s="1"/>
  <c r="C10" i="7"/>
  <c r="H41" i="6"/>
  <c r="I41" i="6" s="1"/>
  <c r="P40" i="6" s="1"/>
  <c r="Y59" i="7"/>
  <c r="P60" i="7"/>
  <c r="AJ55" i="7"/>
  <c r="AH55" i="7"/>
  <c r="N64" i="7"/>
  <c r="G8" i="7"/>
  <c r="F9" i="7"/>
  <c r="H9" i="7" s="1"/>
  <c r="H51" i="7"/>
  <c r="K51" i="7" s="1"/>
  <c r="E52" i="7" s="1"/>
  <c r="B52" i="7"/>
  <c r="D52" i="7" s="1"/>
  <c r="K40" i="6"/>
  <c r="L40" i="6" s="1"/>
  <c r="I122" i="5" a="1"/>
  <c r="I122" i="5" l="1"/>
  <c r="F52" i="7"/>
  <c r="G52" i="7" s="1"/>
  <c r="A10" i="7"/>
  <c r="Q40" i="6"/>
  <c r="R40" i="6" s="1"/>
  <c r="B10" i="7" s="1"/>
  <c r="Q63" i="7"/>
  <c r="I8" i="7"/>
  <c r="D8" i="7"/>
  <c r="AG59" i="7" s="1"/>
  <c r="V63" i="7" s="1"/>
  <c r="AK55" i="7"/>
  <c r="Q64" i="7"/>
  <c r="I9" i="7"/>
  <c r="C56" i="7" s="1"/>
  <c r="N40" i="6"/>
  <c r="O40" i="6"/>
  <c r="H52" i="7"/>
  <c r="B53" i="7"/>
  <c r="D53" i="7" s="1"/>
  <c r="C11" i="7"/>
  <c r="H42" i="6"/>
  <c r="I42" i="6" s="1"/>
  <c r="K42" i="6" s="1"/>
  <c r="L42" i="6" s="1"/>
  <c r="K41" i="6"/>
  <c r="L41" i="6" s="1"/>
  <c r="H110" i="2"/>
  <c r="J109" i="2"/>
  <c r="K109" i="2" s="1"/>
  <c r="S60" i="7"/>
  <c r="R60" i="7"/>
  <c r="T60" i="7"/>
  <c r="AC55" i="7"/>
  <c r="AF55" i="7" s="1"/>
  <c r="L51" i="7"/>
  <c r="D9" i="7"/>
  <c r="AG60" i="7" s="1"/>
  <c r="V64" i="7" s="1"/>
  <c r="N65" i="7"/>
  <c r="D10" i="7"/>
  <c r="AG61" i="7" s="1"/>
  <c r="V65" i="7" s="1"/>
  <c r="G9" i="7"/>
  <c r="F10" i="7"/>
  <c r="H10" i="7" s="1"/>
  <c r="N42" i="6" l="1"/>
  <c r="O42" i="6"/>
  <c r="J110" i="2"/>
  <c r="K110" i="2" s="1"/>
  <c r="H111" i="2"/>
  <c r="C55" i="7"/>
  <c r="J8" i="7"/>
  <c r="J9" i="7" s="1"/>
  <c r="N41" i="6"/>
  <c r="O41" i="6"/>
  <c r="P41" i="6"/>
  <c r="N66" i="7"/>
  <c r="F11" i="7"/>
  <c r="H11" i="7" s="1"/>
  <c r="G10" i="7"/>
  <c r="C12" i="7"/>
  <c r="H43" i="6"/>
  <c r="I43" i="6" s="1"/>
  <c r="I52" i="7"/>
  <c r="K52" i="7" s="1"/>
  <c r="E53" i="7" s="1"/>
  <c r="H53" i="7"/>
  <c r="B54" i="7"/>
  <c r="D54" i="7" s="1"/>
  <c r="Q65" i="7"/>
  <c r="I10" i="7"/>
  <c r="C57" i="7" s="1"/>
  <c r="L52" i="7"/>
  <c r="U60" i="7"/>
  <c r="W60" i="7" s="1"/>
  <c r="X60" i="7" s="1"/>
  <c r="AD56" i="7"/>
  <c r="N122" i="5"/>
  <c r="J122" i="5"/>
  <c r="Q122" i="5" a="1"/>
  <c r="Q122" i="5" s="1"/>
  <c r="A11" i="7" l="1"/>
  <c r="Q41" i="6"/>
  <c r="R41" i="6" s="1"/>
  <c r="B11" i="7" s="1"/>
  <c r="J10" i="7"/>
  <c r="C13" i="7"/>
  <c r="H44" i="6"/>
  <c r="I44" i="6" s="1"/>
  <c r="K44" i="6" s="1"/>
  <c r="L44" i="6" s="1"/>
  <c r="L122" i="5"/>
  <c r="K122" i="5" a="1"/>
  <c r="K122" i="5" s="1"/>
  <c r="P42" i="6"/>
  <c r="H112" i="2"/>
  <c r="J111" i="2"/>
  <c r="K111" i="2" s="1"/>
  <c r="F53" i="7"/>
  <c r="G53" i="7"/>
  <c r="I53" i="7" s="1"/>
  <c r="K53" i="7" s="1"/>
  <c r="K43" i="6"/>
  <c r="L43" i="6" s="1"/>
  <c r="N67" i="7"/>
  <c r="G11" i="7"/>
  <c r="F12" i="7"/>
  <c r="H12" i="7" s="1"/>
  <c r="B55" i="7"/>
  <c r="D55" i="7" s="1"/>
  <c r="H54" i="7"/>
  <c r="AJ56" i="7"/>
  <c r="Y60" i="7"/>
  <c r="P61" i="7"/>
  <c r="P121" i="5" a="1"/>
  <c r="I121" i="5" a="1"/>
  <c r="I121" i="5" l="1"/>
  <c r="P121" i="5"/>
  <c r="E54" i="7"/>
  <c r="L53" i="7"/>
  <c r="N44" i="6"/>
  <c r="O44" i="6"/>
  <c r="A12" i="7"/>
  <c r="Q42" i="6"/>
  <c r="R42" i="6" s="1"/>
  <c r="B12" i="7" s="1"/>
  <c r="P43" i="6"/>
  <c r="C14" i="7"/>
  <c r="K45" i="6"/>
  <c r="L45" i="6" s="1"/>
  <c r="P44" i="6"/>
  <c r="H45" i="6"/>
  <c r="I45" i="6" s="1"/>
  <c r="N68" i="7"/>
  <c r="G12" i="7"/>
  <c r="F13" i="7"/>
  <c r="H13" i="7" s="1"/>
  <c r="T61" i="7"/>
  <c r="AC56" i="7"/>
  <c r="AF56" i="7" s="1"/>
  <c r="R61" i="7"/>
  <c r="S61" i="7" s="1"/>
  <c r="AK56" i="7"/>
  <c r="AH56" i="7"/>
  <c r="N43" i="6"/>
  <c r="O43" i="6"/>
  <c r="B56" i="7"/>
  <c r="D56" i="7" s="1"/>
  <c r="H55" i="7"/>
  <c r="J112" i="2"/>
  <c r="K112" i="2" s="1"/>
  <c r="H113" i="2"/>
  <c r="Q66" i="7"/>
  <c r="I11" i="7"/>
  <c r="C58" i="7" s="1"/>
  <c r="D11" i="7"/>
  <c r="AG62" i="7" s="1"/>
  <c r="V66" i="7" s="1"/>
  <c r="A14" i="7" l="1"/>
  <c r="Q44" i="6"/>
  <c r="R44" i="6" s="1"/>
  <c r="B14" i="7" s="1"/>
  <c r="A13" i="7"/>
  <c r="Q43" i="6"/>
  <c r="R43" i="6" s="1"/>
  <c r="B13" i="7" s="1"/>
  <c r="Q67" i="7"/>
  <c r="I12" i="7"/>
  <c r="C59" i="7" s="1"/>
  <c r="D12" i="7"/>
  <c r="AG63" i="7" s="1"/>
  <c r="V67" i="7" s="1"/>
  <c r="G13" i="7"/>
  <c r="F14" i="7"/>
  <c r="H14" i="7" s="1"/>
  <c r="D14" i="7"/>
  <c r="AG65" i="7" s="1"/>
  <c r="V69" i="7" s="1"/>
  <c r="N69" i="7"/>
  <c r="F54" i="7"/>
  <c r="G54" i="7" s="1"/>
  <c r="I54" i="7" s="1"/>
  <c r="K54" i="7" s="1"/>
  <c r="H114" i="2"/>
  <c r="J113" i="2"/>
  <c r="K113" i="2" s="1"/>
  <c r="U61" i="7"/>
  <c r="W61" i="7" s="1"/>
  <c r="X61" i="7" s="1"/>
  <c r="AD57" i="7"/>
  <c r="B57" i="7"/>
  <c r="D57" i="7" s="1"/>
  <c r="H56" i="7"/>
  <c r="N45" i="6"/>
  <c r="O45" i="6"/>
  <c r="J11" i="7"/>
  <c r="C15" i="7"/>
  <c r="H46" i="6"/>
  <c r="I46" i="6" s="1"/>
  <c r="P45" i="6" s="1"/>
  <c r="N121" i="5"/>
  <c r="J121" i="5"/>
  <c r="Q121" i="5" a="1"/>
  <c r="Q121" i="5" s="1"/>
  <c r="E55" i="7" l="1"/>
  <c r="L54" i="7"/>
  <c r="A15" i="7"/>
  <c r="Q45" i="6"/>
  <c r="R45" i="6" s="1"/>
  <c r="B15" i="7" s="1"/>
  <c r="L121" i="5"/>
  <c r="K121" i="5" a="1"/>
  <c r="K121" i="5" s="1"/>
  <c r="H115" i="2"/>
  <c r="J114" i="2"/>
  <c r="K114" i="2" s="1"/>
  <c r="B58" i="7"/>
  <c r="D58" i="7" s="1"/>
  <c r="H57" i="7"/>
  <c r="C16" i="7"/>
  <c r="H47" i="6"/>
  <c r="I47" i="6" s="1"/>
  <c r="P46" i="6" s="1"/>
  <c r="K46" i="6"/>
  <c r="L46" i="6" s="1"/>
  <c r="Q68" i="7"/>
  <c r="I13" i="7"/>
  <c r="C60" i="7" s="1"/>
  <c r="D13" i="7"/>
  <c r="AG64" i="7" s="1"/>
  <c r="V68" i="7" s="1"/>
  <c r="Y61" i="7"/>
  <c r="P62" i="7"/>
  <c r="AJ57" i="7"/>
  <c r="N70" i="7"/>
  <c r="G14" i="7"/>
  <c r="F15" i="7"/>
  <c r="H15" i="7" s="1"/>
  <c r="D15" i="7"/>
  <c r="AG66" i="7" s="1"/>
  <c r="V70" i="7" s="1"/>
  <c r="J12" i="7"/>
  <c r="Q69" i="7"/>
  <c r="I14" i="7"/>
  <c r="C61" i="7" s="1"/>
  <c r="I120" i="5" a="1"/>
  <c r="P120" i="5" a="1"/>
  <c r="P120" i="5" l="1"/>
  <c r="I120" i="5"/>
  <c r="A16" i="7"/>
  <c r="Q46" i="6"/>
  <c r="R46" i="6" s="1"/>
  <c r="B16" i="7" s="1"/>
  <c r="B59" i="7"/>
  <c r="D59" i="7" s="1"/>
  <c r="H58" i="7"/>
  <c r="H116" i="2"/>
  <c r="J115" i="2"/>
  <c r="K115" i="2" s="1"/>
  <c r="AK57" i="7"/>
  <c r="S62" i="7"/>
  <c r="R62" i="7"/>
  <c r="T62" i="7"/>
  <c r="AC57" i="7"/>
  <c r="AF57" i="7" s="1"/>
  <c r="N46" i="6"/>
  <c r="O46" i="6"/>
  <c r="C17" i="7"/>
  <c r="H48" i="6"/>
  <c r="I48" i="6" s="1"/>
  <c r="K47" i="6"/>
  <c r="L47" i="6" s="1"/>
  <c r="N71" i="7"/>
  <c r="D16" i="7"/>
  <c r="AG67" i="7" s="1"/>
  <c r="V71" i="7" s="1"/>
  <c r="G15" i="7"/>
  <c r="F16" i="7"/>
  <c r="H16" i="7" s="1"/>
  <c r="Q70" i="7"/>
  <c r="I15" i="7"/>
  <c r="C62" i="7" s="1"/>
  <c r="J13" i="7"/>
  <c r="J14" i="7" s="1"/>
  <c r="J15" i="7" s="1"/>
  <c r="AH57" i="7"/>
  <c r="F55" i="7"/>
  <c r="G55" i="7" s="1"/>
  <c r="I55" i="7" s="1"/>
  <c r="K55" i="7" s="1"/>
  <c r="E56" i="7" l="1"/>
  <c r="L55" i="7"/>
  <c r="C18" i="7"/>
  <c r="H49" i="6"/>
  <c r="I49" i="6" s="1"/>
  <c r="K49" i="6" s="1"/>
  <c r="L49" i="6" s="1"/>
  <c r="H117" i="2"/>
  <c r="J116" i="2"/>
  <c r="K116" i="2" s="1"/>
  <c r="B60" i="7"/>
  <c r="D60" i="7" s="1"/>
  <c r="H59" i="7"/>
  <c r="P47" i="6"/>
  <c r="K48" i="6"/>
  <c r="L48" i="6" s="1"/>
  <c r="N72" i="7"/>
  <c r="F17" i="7"/>
  <c r="H17" i="7" s="1"/>
  <c r="G16" i="7"/>
  <c r="Q71" i="7"/>
  <c r="I16" i="7"/>
  <c r="C63" i="7" s="1"/>
  <c r="U62" i="7"/>
  <c r="W62" i="7" s="1"/>
  <c r="X62" i="7" s="1"/>
  <c r="AD58" i="7"/>
  <c r="J120" i="5"/>
  <c r="Q120" i="5" a="1"/>
  <c r="Q120" i="5" s="1"/>
  <c r="N120" i="5"/>
  <c r="N47" i="6"/>
  <c r="O47" i="6"/>
  <c r="N49" i="6" l="1"/>
  <c r="O49" i="6"/>
  <c r="AJ58" i="7"/>
  <c r="Y62" i="7"/>
  <c r="P63" i="7"/>
  <c r="J117" i="2"/>
  <c r="K117" i="2" s="1"/>
  <c r="H118" i="2"/>
  <c r="P48" i="6"/>
  <c r="C19" i="7"/>
  <c r="H50" i="6"/>
  <c r="I50" i="6" s="1"/>
  <c r="K120" i="5" a="1"/>
  <c r="K120" i="5" s="1"/>
  <c r="L120" i="5"/>
  <c r="J16" i="7"/>
  <c r="N73" i="7"/>
  <c r="G17" i="7"/>
  <c r="F18" i="7"/>
  <c r="H18" i="7" s="1"/>
  <c r="B61" i="7"/>
  <c r="D61" i="7" s="1"/>
  <c r="H60" i="7"/>
  <c r="N48" i="6"/>
  <c r="O48" i="6"/>
  <c r="A17" i="7"/>
  <c r="Q47" i="6"/>
  <c r="R47" i="6" s="1"/>
  <c r="B17" i="7" s="1"/>
  <c r="F56" i="7"/>
  <c r="G56" i="7" s="1"/>
  <c r="I56" i="7" s="1"/>
  <c r="K56" i="7" s="1"/>
  <c r="P119" i="5" a="1"/>
  <c r="I119" i="5" a="1"/>
  <c r="I119" i="5" l="1"/>
  <c r="P119" i="5"/>
  <c r="E57" i="7"/>
  <c r="L56" i="7"/>
  <c r="N74" i="7"/>
  <c r="G18" i="7"/>
  <c r="F19" i="7"/>
  <c r="H19" i="7" s="1"/>
  <c r="B62" i="7"/>
  <c r="D62" i="7" s="1"/>
  <c r="H61" i="7"/>
  <c r="A18" i="7"/>
  <c r="Q48" i="6"/>
  <c r="R48" i="6" s="1"/>
  <c r="B18" i="7" s="1"/>
  <c r="H119" i="2"/>
  <c r="J118" i="2"/>
  <c r="K118" i="2" s="1"/>
  <c r="T63" i="7"/>
  <c r="AC58" i="7"/>
  <c r="AF58" i="7" s="1"/>
  <c r="R63" i="7"/>
  <c r="S63" i="7" s="1"/>
  <c r="J17" i="7"/>
  <c r="AK58" i="7"/>
  <c r="AH58" i="7"/>
  <c r="C20" i="7"/>
  <c r="H51" i="6"/>
  <c r="I51" i="6" s="1"/>
  <c r="K51" i="6" s="1"/>
  <c r="L51" i="6" s="1"/>
  <c r="P49" i="6"/>
  <c r="Q72" i="7"/>
  <c r="I17" i="7"/>
  <c r="C64" i="7" s="1"/>
  <c r="D17" i="7"/>
  <c r="AG68" i="7" s="1"/>
  <c r="V72" i="7" s="1"/>
  <c r="K50" i="6"/>
  <c r="L50" i="6" s="1"/>
  <c r="N51" i="6" l="1"/>
  <c r="O51" i="6"/>
  <c r="Q73" i="7"/>
  <c r="I18" i="7"/>
  <c r="C65" i="7" s="1"/>
  <c r="D18" i="7"/>
  <c r="AG69" i="7" s="1"/>
  <c r="V73" i="7" s="1"/>
  <c r="J18" i="7"/>
  <c r="B63" i="7"/>
  <c r="D63" i="7" s="1"/>
  <c r="H62" i="7"/>
  <c r="N75" i="7"/>
  <c r="G19" i="7"/>
  <c r="F20" i="7"/>
  <c r="H20" i="7" s="1"/>
  <c r="U63" i="7"/>
  <c r="W63" i="7" s="1"/>
  <c r="X63" i="7" s="1"/>
  <c r="AD59" i="7"/>
  <c r="P50" i="6"/>
  <c r="F57" i="7"/>
  <c r="G57" i="7" s="1"/>
  <c r="I57" i="7" s="1"/>
  <c r="K57" i="7" s="1"/>
  <c r="N50" i="6"/>
  <c r="O50" i="6"/>
  <c r="A19" i="7"/>
  <c r="Q49" i="6"/>
  <c r="R49" i="6" s="1"/>
  <c r="B19" i="7" s="1"/>
  <c r="C21" i="7"/>
  <c r="K52" i="6"/>
  <c r="L52" i="6" s="1"/>
  <c r="H52" i="6"/>
  <c r="I52" i="6" s="1"/>
  <c r="H120" i="2"/>
  <c r="J119" i="2"/>
  <c r="K119" i="2" s="1"/>
  <c r="N119" i="5"/>
  <c r="J119" i="5"/>
  <c r="Q119" i="5" a="1"/>
  <c r="Q119" i="5" s="1"/>
  <c r="E58" i="7" l="1"/>
  <c r="L57" i="7"/>
  <c r="Q74" i="7"/>
  <c r="I19" i="7"/>
  <c r="C66" i="7" s="1"/>
  <c r="D19" i="7"/>
  <c r="AG70" i="7" s="1"/>
  <c r="V74" i="7" s="1"/>
  <c r="N76" i="7"/>
  <c r="G20" i="7"/>
  <c r="F21" i="7"/>
  <c r="H21" i="7" s="1"/>
  <c r="L119" i="5"/>
  <c r="K119" i="5" a="1"/>
  <c r="K119" i="5" s="1"/>
  <c r="H63" i="7"/>
  <c r="B64" i="7"/>
  <c r="D64" i="7" s="1"/>
  <c r="J19" i="7"/>
  <c r="A20" i="7"/>
  <c r="Q50" i="6"/>
  <c r="R50" i="6" s="1"/>
  <c r="B20" i="7" s="1"/>
  <c r="H121" i="2"/>
  <c r="J120" i="2"/>
  <c r="K120" i="2" s="1"/>
  <c r="Y63" i="7"/>
  <c r="P64" i="7"/>
  <c r="AJ59" i="7"/>
  <c r="C22" i="7"/>
  <c r="H53" i="6"/>
  <c r="I53" i="6" s="1"/>
  <c r="P51" i="6"/>
  <c r="N52" i="6"/>
  <c r="O52" i="6"/>
  <c r="I118" i="5" a="1"/>
  <c r="P118" i="5" a="1"/>
  <c r="P118" i="5" l="1"/>
  <c r="I118" i="5"/>
  <c r="AK59" i="7"/>
  <c r="T64" i="7"/>
  <c r="R64" i="7"/>
  <c r="S64" i="7" s="1"/>
  <c r="AC59" i="7"/>
  <c r="AF59" i="7" s="1"/>
  <c r="H122" i="2"/>
  <c r="J121" i="2"/>
  <c r="K121" i="2" s="1"/>
  <c r="C23" i="7"/>
  <c r="H54" i="6"/>
  <c r="I54" i="6" s="1"/>
  <c r="P52" i="6"/>
  <c r="Q75" i="7"/>
  <c r="I20" i="7"/>
  <c r="C67" i="7" s="1"/>
  <c r="D20" i="7"/>
  <c r="AG71" i="7" s="1"/>
  <c r="V75" i="7" s="1"/>
  <c r="K53" i="6"/>
  <c r="L53" i="6" s="1"/>
  <c r="J20" i="7"/>
  <c r="AH59" i="7"/>
  <c r="B65" i="7"/>
  <c r="D65" i="7" s="1"/>
  <c r="H64" i="7"/>
  <c r="A21" i="7"/>
  <c r="Q51" i="6"/>
  <c r="R51" i="6" s="1"/>
  <c r="B21" i="7" s="1"/>
  <c r="N77" i="7"/>
  <c r="G21" i="7"/>
  <c r="F22" i="7"/>
  <c r="H22" i="7" s="1"/>
  <c r="F58" i="7"/>
  <c r="G58" i="7"/>
  <c r="I58" i="7" s="1"/>
  <c r="K58" i="7" s="1"/>
  <c r="E59" i="7" l="1"/>
  <c r="L58" i="7"/>
  <c r="N78" i="7"/>
  <c r="F23" i="7"/>
  <c r="H23" i="7" s="1"/>
  <c r="G22" i="7"/>
  <c r="J122" i="2"/>
  <c r="K122" i="2" s="1"/>
  <c r="H123" i="2"/>
  <c r="U64" i="7"/>
  <c r="W64" i="7" s="1"/>
  <c r="X64" i="7" s="1"/>
  <c r="AD60" i="7"/>
  <c r="B66" i="7"/>
  <c r="D66" i="7" s="1"/>
  <c r="H65" i="7"/>
  <c r="A22" i="7"/>
  <c r="Q52" i="6"/>
  <c r="R52" i="6" s="1"/>
  <c r="B22" i="7" s="1"/>
  <c r="N53" i="6"/>
  <c r="O53" i="6"/>
  <c r="C24" i="7"/>
  <c r="H55" i="6"/>
  <c r="I55" i="6" s="1"/>
  <c r="P53" i="6"/>
  <c r="N118" i="5"/>
  <c r="J118" i="5"/>
  <c r="Q118" i="5" a="1"/>
  <c r="Q118" i="5" s="1"/>
  <c r="Q76" i="7"/>
  <c r="I21" i="7"/>
  <c r="C68" i="7" s="1"/>
  <c r="D21" i="7"/>
  <c r="AG72" i="7" s="1"/>
  <c r="V76" i="7" s="1"/>
  <c r="K54" i="6"/>
  <c r="L54" i="6" s="1"/>
  <c r="A23" i="7" l="1"/>
  <c r="Q53" i="6"/>
  <c r="R53" i="6" s="1"/>
  <c r="B23" i="7" s="1"/>
  <c r="H66" i="7"/>
  <c r="B67" i="7"/>
  <c r="D67" i="7" s="1"/>
  <c r="H124" i="2"/>
  <c r="J123" i="2"/>
  <c r="K123" i="2" s="1"/>
  <c r="L118" i="5"/>
  <c r="K118" i="5" a="1"/>
  <c r="K118" i="5" s="1"/>
  <c r="AJ60" i="7"/>
  <c r="AH60" i="7"/>
  <c r="P65" i="7"/>
  <c r="Y64" i="7"/>
  <c r="N79" i="7"/>
  <c r="G23" i="7"/>
  <c r="F24" i="7"/>
  <c r="H24" i="7" s="1"/>
  <c r="N54" i="6"/>
  <c r="O54" i="6"/>
  <c r="C25" i="7"/>
  <c r="H56" i="6"/>
  <c r="I56" i="6" s="1"/>
  <c r="Q77" i="7"/>
  <c r="I22" i="7"/>
  <c r="C69" i="7" s="1"/>
  <c r="D22" i="7"/>
  <c r="AG73" i="7" s="1"/>
  <c r="V77" i="7" s="1"/>
  <c r="P54" i="6"/>
  <c r="K55" i="6"/>
  <c r="L55" i="6" s="1"/>
  <c r="J21" i="7"/>
  <c r="J22" i="7" s="1"/>
  <c r="F59" i="7"/>
  <c r="G59" i="7" s="1"/>
  <c r="I59" i="7" s="1"/>
  <c r="K59" i="7" s="1"/>
  <c r="I117" i="5" a="1"/>
  <c r="P117" i="5" a="1"/>
  <c r="P117" i="5" l="1"/>
  <c r="I117" i="5"/>
  <c r="E60" i="7"/>
  <c r="L59" i="7"/>
  <c r="T65" i="7"/>
  <c r="R65" i="7"/>
  <c r="S65" i="7" s="1"/>
  <c r="AC60" i="7"/>
  <c r="AF60" i="7" s="1"/>
  <c r="J23" i="7"/>
  <c r="N80" i="7"/>
  <c r="G24" i="7"/>
  <c r="F25" i="7"/>
  <c r="H25" i="7" s="1"/>
  <c r="A24" i="7"/>
  <c r="Q54" i="6"/>
  <c r="R54" i="6" s="1"/>
  <c r="B24" i="7" s="1"/>
  <c r="J124" i="2"/>
  <c r="K124" i="2" s="1"/>
  <c r="H125" i="2"/>
  <c r="N55" i="6"/>
  <c r="O55" i="6"/>
  <c r="B68" i="7"/>
  <c r="D68" i="7" s="1"/>
  <c r="H67" i="7"/>
  <c r="Q78" i="7"/>
  <c r="I23" i="7"/>
  <c r="C70" i="7" s="1"/>
  <c r="D23" i="7"/>
  <c r="AG74" i="7" s="1"/>
  <c r="V78" i="7" s="1"/>
  <c r="C26" i="7"/>
  <c r="H57" i="6"/>
  <c r="I57" i="6" s="1"/>
  <c r="K57" i="6" s="1"/>
  <c r="L57" i="6" s="1"/>
  <c r="K56" i="6"/>
  <c r="L56" i="6" s="1"/>
  <c r="P55" i="6"/>
  <c r="AK60" i="7"/>
  <c r="N57" i="6" l="1"/>
  <c r="O57" i="6"/>
  <c r="B69" i="7"/>
  <c r="D69" i="7" s="1"/>
  <c r="H68" i="7"/>
  <c r="N56" i="6"/>
  <c r="O56" i="6"/>
  <c r="U65" i="7"/>
  <c r="W65" i="7" s="1"/>
  <c r="X65" i="7" s="1"/>
  <c r="AD61" i="7"/>
  <c r="F60" i="7"/>
  <c r="G60" i="7" s="1"/>
  <c r="I60" i="7" s="1"/>
  <c r="K60" i="7" s="1"/>
  <c r="A25" i="7"/>
  <c r="Q55" i="6"/>
  <c r="R55" i="6" s="1"/>
  <c r="B25" i="7" s="1"/>
  <c r="H126" i="2"/>
  <c r="J125" i="2"/>
  <c r="K125" i="2" s="1"/>
  <c r="J117" i="5"/>
  <c r="N117" i="5"/>
  <c r="C27" i="7"/>
  <c r="K58" i="6"/>
  <c r="L58" i="6" s="1"/>
  <c r="P57" i="6"/>
  <c r="H58" i="6"/>
  <c r="I58" i="6" s="1"/>
  <c r="P56" i="6"/>
  <c r="N81" i="7"/>
  <c r="G25" i="7"/>
  <c r="F26" i="7"/>
  <c r="H26" i="7" s="1"/>
  <c r="Q79" i="7"/>
  <c r="I24" i="7"/>
  <c r="C71" i="7" s="1"/>
  <c r="D24" i="7"/>
  <c r="AG75" i="7" s="1"/>
  <c r="V79" i="7" s="1"/>
  <c r="Q117" i="5" a="1"/>
  <c r="Q117" i="5" l="1"/>
  <c r="E61" i="7"/>
  <c r="L60" i="7"/>
  <c r="N82" i="7"/>
  <c r="G26" i="7"/>
  <c r="F27" i="7"/>
  <c r="H27" i="7" s="1"/>
  <c r="D27" i="7"/>
  <c r="AG78" i="7" s="1"/>
  <c r="V82" i="7" s="1"/>
  <c r="P66" i="7"/>
  <c r="AJ61" i="7"/>
  <c r="AH61" i="7"/>
  <c r="Y65" i="7"/>
  <c r="L117" i="5"/>
  <c r="A27" i="7"/>
  <c r="Q57" i="6"/>
  <c r="R57" i="6" s="1"/>
  <c r="B27" i="7" s="1"/>
  <c r="H127" i="2"/>
  <c r="J126" i="2"/>
  <c r="K126" i="2" s="1"/>
  <c r="B70" i="7"/>
  <c r="D70" i="7" s="1"/>
  <c r="H69" i="7"/>
  <c r="Q80" i="7"/>
  <c r="I25" i="7"/>
  <c r="C72" i="7" s="1"/>
  <c r="D25" i="7"/>
  <c r="AG76" i="7" s="1"/>
  <c r="V80" i="7" s="1"/>
  <c r="A26" i="7"/>
  <c r="Q56" i="6"/>
  <c r="R56" i="6" s="1"/>
  <c r="B26" i="7" s="1"/>
  <c r="J24" i="7"/>
  <c r="J25" i="7" s="1"/>
  <c r="N58" i="6"/>
  <c r="O58" i="6"/>
  <c r="C28" i="7"/>
  <c r="H59" i="6"/>
  <c r="I59" i="6" s="1"/>
  <c r="K59" i="6" s="1"/>
  <c r="L59" i="6" s="1"/>
  <c r="K117" i="5" a="1"/>
  <c r="P116" i="5" a="1"/>
  <c r="P116" i="5" l="1"/>
  <c r="K117" i="5"/>
  <c r="N59" i="6"/>
  <c r="O59" i="6"/>
  <c r="H128" i="2"/>
  <c r="J127" i="2"/>
  <c r="K127" i="2" s="1"/>
  <c r="C29" i="7"/>
  <c r="H60" i="6"/>
  <c r="I60" i="6" s="1"/>
  <c r="P58" i="6"/>
  <c r="T66" i="7"/>
  <c r="R66" i="7"/>
  <c r="S66" i="7" s="1"/>
  <c r="AC61" i="7"/>
  <c r="AF61" i="7" s="1"/>
  <c r="N83" i="7"/>
  <c r="G27" i="7"/>
  <c r="F28" i="7"/>
  <c r="H28" i="7" s="1"/>
  <c r="B71" i="7"/>
  <c r="D71" i="7" s="1"/>
  <c r="H70" i="7"/>
  <c r="F61" i="7"/>
  <c r="G61" i="7" s="1"/>
  <c r="I61" i="7" s="1"/>
  <c r="K61" i="7" s="1"/>
  <c r="Q81" i="7"/>
  <c r="I26" i="7"/>
  <c r="C73" i="7" s="1"/>
  <c r="D26" i="7"/>
  <c r="AG77" i="7" s="1"/>
  <c r="V81" i="7" s="1"/>
  <c r="Q82" i="7"/>
  <c r="I27" i="7"/>
  <c r="C74" i="7" s="1"/>
  <c r="AK61" i="7"/>
  <c r="I116" i="5" a="1"/>
  <c r="I116" i="5" l="1"/>
  <c r="E62" i="7"/>
  <c r="L61" i="7"/>
  <c r="H129" i="2"/>
  <c r="J128" i="2"/>
  <c r="K128" i="2" s="1"/>
  <c r="C30" i="7"/>
  <c r="H61" i="6"/>
  <c r="I61" i="6" s="1"/>
  <c r="P60" i="6" s="1"/>
  <c r="N84" i="7"/>
  <c r="F29" i="7"/>
  <c r="H29" i="7" s="1"/>
  <c r="G28" i="7"/>
  <c r="K60" i="6"/>
  <c r="L60" i="6" s="1"/>
  <c r="B72" i="7"/>
  <c r="D72" i="7" s="1"/>
  <c r="H71" i="7"/>
  <c r="U66" i="7"/>
  <c r="W66" i="7" s="1"/>
  <c r="X66" i="7" s="1"/>
  <c r="AD62" i="7"/>
  <c r="P59" i="6"/>
  <c r="J26" i="7"/>
  <c r="J27" i="7" s="1"/>
  <c r="A28" i="7"/>
  <c r="Q58" i="6"/>
  <c r="R58" i="6" s="1"/>
  <c r="B28" i="7" s="1"/>
  <c r="A30" i="7" l="1"/>
  <c r="Q60" i="6"/>
  <c r="R60" i="6" s="1"/>
  <c r="B30" i="7" s="1"/>
  <c r="A29" i="7"/>
  <c r="Q59" i="6"/>
  <c r="R59" i="6" s="1"/>
  <c r="B29" i="7" s="1"/>
  <c r="P67" i="7"/>
  <c r="AJ62" i="7"/>
  <c r="Y66" i="7"/>
  <c r="H72" i="7"/>
  <c r="B73" i="7"/>
  <c r="D73" i="7" s="1"/>
  <c r="C31" i="7"/>
  <c r="H62" i="6"/>
  <c r="I62" i="6" s="1"/>
  <c r="N85" i="7"/>
  <c r="G29" i="7"/>
  <c r="F30" i="7"/>
  <c r="H30" i="7" s="1"/>
  <c r="D30" i="7"/>
  <c r="AG81" i="7" s="1"/>
  <c r="V85" i="7" s="1"/>
  <c r="J129" i="2"/>
  <c r="K129" i="2" s="1"/>
  <c r="H130" i="2"/>
  <c r="K61" i="6"/>
  <c r="L61" i="6" s="1"/>
  <c r="Q83" i="7"/>
  <c r="I28" i="7"/>
  <c r="C75" i="7" s="1"/>
  <c r="D28" i="7"/>
  <c r="AG79" i="7" s="1"/>
  <c r="V83" i="7" s="1"/>
  <c r="N60" i="6"/>
  <c r="O60" i="6"/>
  <c r="F62" i="7"/>
  <c r="G62" i="7" s="1"/>
  <c r="I62" i="7" s="1"/>
  <c r="K62" i="7" s="1"/>
  <c r="N116" i="5"/>
  <c r="J116" i="5"/>
  <c r="Q116" i="5" a="1"/>
  <c r="Q116" i="5" s="1"/>
  <c r="E63" i="7" l="1"/>
  <c r="L62" i="7"/>
  <c r="B74" i="7"/>
  <c r="D74" i="7" s="1"/>
  <c r="H73" i="7"/>
  <c r="L116" i="5"/>
  <c r="K116" i="5" a="1"/>
  <c r="K116" i="5" s="1"/>
  <c r="AK62" i="7"/>
  <c r="T67" i="7"/>
  <c r="AC62" i="7"/>
  <c r="AF62" i="7" s="1"/>
  <c r="S67" i="7"/>
  <c r="R67" i="7"/>
  <c r="N61" i="6"/>
  <c r="O61" i="6"/>
  <c r="AH62" i="7"/>
  <c r="C32" i="7"/>
  <c r="H63" i="6"/>
  <c r="I63" i="6" s="1"/>
  <c r="K63" i="6" s="1"/>
  <c r="L63" i="6" s="1"/>
  <c r="Q84" i="7"/>
  <c r="I29" i="7"/>
  <c r="C76" i="7" s="1"/>
  <c r="D29" i="7"/>
  <c r="AG80" i="7" s="1"/>
  <c r="V84" i="7" s="1"/>
  <c r="P61" i="6"/>
  <c r="J28" i="7"/>
  <c r="K62" i="6"/>
  <c r="L62" i="6" s="1"/>
  <c r="H131" i="2"/>
  <c r="J130" i="2"/>
  <c r="K130" i="2" s="1"/>
  <c r="N86" i="7"/>
  <c r="G30" i="7"/>
  <c r="F31" i="7"/>
  <c r="H31" i="7" s="1"/>
  <c r="Q85" i="7"/>
  <c r="I30" i="7"/>
  <c r="C77" i="7" s="1"/>
  <c r="I115" i="5" a="1"/>
  <c r="P115" i="5" a="1"/>
  <c r="P115" i="5" l="1"/>
  <c r="I115" i="5"/>
  <c r="N63" i="6"/>
  <c r="O63" i="6"/>
  <c r="U67" i="7"/>
  <c r="W67" i="7" s="1"/>
  <c r="X67" i="7" s="1"/>
  <c r="AD63" i="7"/>
  <c r="C33" i="7"/>
  <c r="H64" i="6"/>
  <c r="I64" i="6" s="1"/>
  <c r="K64" i="6" s="1"/>
  <c r="L64" i="6" s="1"/>
  <c r="N87" i="7"/>
  <c r="G31" i="7"/>
  <c r="F32" i="7"/>
  <c r="H32" i="7" s="1"/>
  <c r="N62" i="6"/>
  <c r="O62" i="6"/>
  <c r="B75" i="7"/>
  <c r="D75" i="7" s="1"/>
  <c r="H74" i="7"/>
  <c r="P62" i="6"/>
  <c r="J29" i="7"/>
  <c r="J30" i="7" s="1"/>
  <c r="H132" i="2"/>
  <c r="J131" i="2"/>
  <c r="K131" i="2" s="1"/>
  <c r="A31" i="7"/>
  <c r="Q61" i="6"/>
  <c r="R61" i="6" s="1"/>
  <c r="B31" i="7" s="1"/>
  <c r="F63" i="7"/>
  <c r="G63" i="7" s="1"/>
  <c r="I63" i="7" s="1"/>
  <c r="K63" i="7" s="1"/>
  <c r="N64" i="6" l="1"/>
  <c r="O64" i="6"/>
  <c r="E64" i="7"/>
  <c r="L63" i="7"/>
  <c r="P63" i="6"/>
  <c r="N88" i="7"/>
  <c r="F33" i="7"/>
  <c r="H33" i="7" s="1"/>
  <c r="G32" i="7"/>
  <c r="H133" i="2"/>
  <c r="J132" i="2"/>
  <c r="K132" i="2" s="1"/>
  <c r="A32" i="7"/>
  <c r="Q62" i="6"/>
  <c r="R62" i="6" s="1"/>
  <c r="B32" i="7" s="1"/>
  <c r="P68" i="7"/>
  <c r="Y67" i="7"/>
  <c r="AJ63" i="7"/>
  <c r="AH63" i="7"/>
  <c r="N115" i="5"/>
  <c r="J115" i="5"/>
  <c r="Q115" i="5" a="1"/>
  <c r="Q115" i="5" s="1"/>
  <c r="C34" i="7"/>
  <c r="H65" i="6"/>
  <c r="I65" i="6" s="1"/>
  <c r="B76" i="7"/>
  <c r="D76" i="7" s="1"/>
  <c r="H75" i="7"/>
  <c r="Q86" i="7"/>
  <c r="I31" i="7"/>
  <c r="C78" i="7" s="1"/>
  <c r="D31" i="7"/>
  <c r="AG82" i="7" s="1"/>
  <c r="V86" i="7" s="1"/>
  <c r="J31" i="7" l="1"/>
  <c r="A33" i="7"/>
  <c r="Q63" i="6"/>
  <c r="R63" i="6" s="1"/>
  <c r="B33" i="7" s="1"/>
  <c r="C35" i="7"/>
  <c r="H66" i="6"/>
  <c r="I66" i="6" s="1"/>
  <c r="AK63" i="7"/>
  <c r="L115" i="5"/>
  <c r="K115" i="5" a="1"/>
  <c r="K115" i="5" s="1"/>
  <c r="H134" i="2"/>
  <c r="J133" i="2"/>
  <c r="K133" i="2" s="1"/>
  <c r="B77" i="7"/>
  <c r="D77" i="7" s="1"/>
  <c r="H76" i="7"/>
  <c r="P64" i="6"/>
  <c r="AC63" i="7"/>
  <c r="AF63" i="7" s="1"/>
  <c r="T68" i="7"/>
  <c r="R68" i="7"/>
  <c r="S68" i="7" s="1"/>
  <c r="G64" i="7"/>
  <c r="I64" i="7" s="1"/>
  <c r="K64" i="7" s="1"/>
  <c r="F64" i="7"/>
  <c r="K65" i="6"/>
  <c r="L65" i="6" s="1"/>
  <c r="F34" i="7"/>
  <c r="H34" i="7" s="1"/>
  <c r="N89" i="7"/>
  <c r="G33" i="7"/>
  <c r="Q87" i="7"/>
  <c r="I32" i="7"/>
  <c r="C79" i="7" s="1"/>
  <c r="D32" i="7"/>
  <c r="AG83" i="7" s="1"/>
  <c r="V87" i="7" s="1"/>
  <c r="I114" i="5" a="1"/>
  <c r="P114" i="5" a="1"/>
  <c r="P114" i="5" l="1"/>
  <c r="I114" i="5"/>
  <c r="E65" i="7"/>
  <c r="L64" i="7"/>
  <c r="C36" i="7"/>
  <c r="H67" i="6"/>
  <c r="I67" i="6" s="1"/>
  <c r="P65" i="6"/>
  <c r="A34" i="7"/>
  <c r="Q64" i="6"/>
  <c r="R64" i="6" s="1"/>
  <c r="B34" i="7" s="1"/>
  <c r="K66" i="6"/>
  <c r="L66" i="6" s="1"/>
  <c r="N90" i="7"/>
  <c r="F35" i="7"/>
  <c r="H35" i="7" s="1"/>
  <c r="G34" i="7"/>
  <c r="B78" i="7"/>
  <c r="D78" i="7" s="1"/>
  <c r="H77" i="7"/>
  <c r="Q88" i="7"/>
  <c r="I33" i="7"/>
  <c r="C80" i="7" s="1"/>
  <c r="D33" i="7"/>
  <c r="AG84" i="7" s="1"/>
  <c r="V88" i="7" s="1"/>
  <c r="U68" i="7"/>
  <c r="W68" i="7" s="1"/>
  <c r="X68" i="7" s="1"/>
  <c r="AD64" i="7"/>
  <c r="N65" i="6"/>
  <c r="O65" i="6"/>
  <c r="J134" i="2"/>
  <c r="K134" i="2" s="1"/>
  <c r="H135" i="2"/>
  <c r="J32" i="7"/>
  <c r="N66" i="6" l="1"/>
  <c r="O66" i="6"/>
  <c r="C37" i="7"/>
  <c r="H68" i="6"/>
  <c r="I68" i="6" s="1"/>
  <c r="K68" i="6" s="1"/>
  <c r="L68" i="6" s="1"/>
  <c r="P66" i="6"/>
  <c r="K67" i="6"/>
  <c r="L67" i="6" s="1"/>
  <c r="AJ64" i="7"/>
  <c r="P69" i="7"/>
  <c r="Y68" i="7"/>
  <c r="Q89" i="7"/>
  <c r="I34" i="7"/>
  <c r="C81" i="7" s="1"/>
  <c r="D34" i="7"/>
  <c r="AG85" i="7" s="1"/>
  <c r="V89" i="7" s="1"/>
  <c r="H78" i="7"/>
  <c r="B79" i="7"/>
  <c r="D79" i="7" s="1"/>
  <c r="N91" i="7"/>
  <c r="F36" i="7"/>
  <c r="H36" i="7" s="1"/>
  <c r="G35" i="7"/>
  <c r="H136" i="2"/>
  <c r="J135" i="2"/>
  <c r="K135" i="2" s="1"/>
  <c r="A35" i="7"/>
  <c r="Q65" i="6"/>
  <c r="R65" i="6" s="1"/>
  <c r="B35" i="7" s="1"/>
  <c r="F65" i="7"/>
  <c r="G65" i="7" s="1"/>
  <c r="I65" i="7" s="1"/>
  <c r="K65" i="7" s="1"/>
  <c r="J114" i="5"/>
  <c r="Q114" i="5" a="1"/>
  <c r="Q114" i="5" s="1"/>
  <c r="N114" i="5"/>
  <c r="J33" i="7"/>
  <c r="J34" i="7" s="1"/>
  <c r="E66" i="7" l="1"/>
  <c r="L65" i="7"/>
  <c r="N68" i="6"/>
  <c r="O68" i="6"/>
  <c r="N67" i="6"/>
  <c r="O67" i="6"/>
  <c r="A36" i="7"/>
  <c r="Q66" i="6"/>
  <c r="R66" i="6" s="1"/>
  <c r="B36" i="7" s="1"/>
  <c r="AK64" i="7"/>
  <c r="P67" i="6"/>
  <c r="J136" i="2"/>
  <c r="K136" i="2" s="1"/>
  <c r="H137" i="2"/>
  <c r="B80" i="7"/>
  <c r="D80" i="7" s="1"/>
  <c r="H79" i="7"/>
  <c r="T69" i="7"/>
  <c r="AC64" i="7"/>
  <c r="AF64" i="7" s="1"/>
  <c r="R69" i="7"/>
  <c r="S69" i="7" s="1"/>
  <c r="L114" i="5"/>
  <c r="K114" i="5" a="1"/>
  <c r="K114" i="5" s="1"/>
  <c r="C38" i="7"/>
  <c r="H69" i="6"/>
  <c r="I69" i="6" s="1"/>
  <c r="N92" i="7"/>
  <c r="G36" i="7"/>
  <c r="F37" i="7"/>
  <c r="H37" i="7" s="1"/>
  <c r="AH64" i="7"/>
  <c r="Q90" i="7"/>
  <c r="I35" i="7"/>
  <c r="C82" i="7" s="1"/>
  <c r="D35" i="7"/>
  <c r="AG86" i="7" s="1"/>
  <c r="V90" i="7" s="1"/>
  <c r="P113" i="5" a="1"/>
  <c r="I113" i="5" a="1"/>
  <c r="I113" i="5" l="1"/>
  <c r="P113" i="5"/>
  <c r="Q91" i="7"/>
  <c r="I36" i="7"/>
  <c r="C83" i="7" s="1"/>
  <c r="D36" i="7"/>
  <c r="AG87" i="7" s="1"/>
  <c r="V91" i="7" s="1"/>
  <c r="U69" i="7"/>
  <c r="W69" i="7" s="1"/>
  <c r="X69" i="7" s="1"/>
  <c r="AD65" i="7"/>
  <c r="J35" i="7"/>
  <c r="J36" i="7" s="1"/>
  <c r="H70" i="6"/>
  <c r="I70" i="6" s="1"/>
  <c r="K70" i="6" s="1"/>
  <c r="L70" i="6" s="1"/>
  <c r="C39" i="7"/>
  <c r="H138" i="2"/>
  <c r="J137" i="2"/>
  <c r="K137" i="2" s="1"/>
  <c r="B81" i="7"/>
  <c r="D81" i="7" s="1"/>
  <c r="H80" i="7"/>
  <c r="P68" i="6"/>
  <c r="K69" i="6"/>
  <c r="L69" i="6" s="1"/>
  <c r="A37" i="7"/>
  <c r="Q67" i="6"/>
  <c r="R67" i="6" s="1"/>
  <c r="B37" i="7" s="1"/>
  <c r="N93" i="7"/>
  <c r="F38" i="7"/>
  <c r="H38" i="7" s="1"/>
  <c r="G37" i="7"/>
  <c r="F66" i="7"/>
  <c r="G66" i="7" s="1"/>
  <c r="I66" i="7" s="1"/>
  <c r="K66" i="7" s="1"/>
  <c r="N70" i="6" l="1"/>
  <c r="O70" i="6"/>
  <c r="E67" i="7"/>
  <c r="L66" i="7"/>
  <c r="N69" i="6"/>
  <c r="O69" i="6"/>
  <c r="A38" i="7"/>
  <c r="Q68" i="6"/>
  <c r="R68" i="6" s="1"/>
  <c r="B38" i="7" s="1"/>
  <c r="C40" i="7"/>
  <c r="K71" i="6"/>
  <c r="L71" i="6" s="1"/>
  <c r="P70" i="6"/>
  <c r="H71" i="6"/>
  <c r="I71" i="6" s="1"/>
  <c r="P70" i="7"/>
  <c r="Y69" i="7"/>
  <c r="AJ65" i="7"/>
  <c r="AH65" i="7"/>
  <c r="B82" i="7"/>
  <c r="D82" i="7" s="1"/>
  <c r="H81" i="7"/>
  <c r="H139" i="2"/>
  <c r="J138" i="2"/>
  <c r="K138" i="2" s="1"/>
  <c r="P69" i="6"/>
  <c r="Q92" i="7"/>
  <c r="I37" i="7"/>
  <c r="C84" i="7" s="1"/>
  <c r="D37" i="7"/>
  <c r="AG88" i="7" s="1"/>
  <c r="V92" i="7" s="1"/>
  <c r="N94" i="7"/>
  <c r="G38" i="7"/>
  <c r="F39" i="7"/>
  <c r="H39" i="7" s="1"/>
  <c r="N113" i="5"/>
  <c r="J113" i="5"/>
  <c r="Q113" i="5" a="1"/>
  <c r="Q113" i="5" l="1"/>
  <c r="A40" i="7"/>
  <c r="Q70" i="6"/>
  <c r="R70" i="6" s="1"/>
  <c r="B40" i="7" s="1"/>
  <c r="L113" i="5"/>
  <c r="A39" i="7"/>
  <c r="Q69" i="6"/>
  <c r="R69" i="6" s="1"/>
  <c r="B39" i="7" s="1"/>
  <c r="J37" i="7"/>
  <c r="J38" i="7" s="1"/>
  <c r="N71" i="6"/>
  <c r="O71" i="6"/>
  <c r="H140" i="2"/>
  <c r="J139" i="2"/>
  <c r="K139" i="2" s="1"/>
  <c r="Q93" i="7"/>
  <c r="I38" i="7"/>
  <c r="C85" i="7" s="1"/>
  <c r="D38" i="7"/>
  <c r="AG89" i="7" s="1"/>
  <c r="V93" i="7" s="1"/>
  <c r="N95" i="7"/>
  <c r="F40" i="7"/>
  <c r="H40" i="7" s="1"/>
  <c r="D40" i="7"/>
  <c r="AG91" i="7" s="1"/>
  <c r="V95" i="7" s="1"/>
  <c r="G39" i="7"/>
  <c r="AK65" i="7"/>
  <c r="F67" i="7"/>
  <c r="G67" i="7" s="1"/>
  <c r="I67" i="7" s="1"/>
  <c r="K67" i="7" s="1"/>
  <c r="H82" i="7"/>
  <c r="B83" i="7"/>
  <c r="D83" i="7" s="1"/>
  <c r="R70" i="7"/>
  <c r="S70" i="7" s="1"/>
  <c r="AC65" i="7"/>
  <c r="AF65" i="7" s="1"/>
  <c r="T70" i="7"/>
  <c r="C41" i="7"/>
  <c r="K72" i="6"/>
  <c r="L72" i="6" s="1"/>
  <c r="H72" i="6"/>
  <c r="I72" i="6" s="1"/>
  <c r="P112" i="5" a="1"/>
  <c r="K113" i="5" a="1"/>
  <c r="K113" i="5" l="1"/>
  <c r="P112" i="5"/>
  <c r="E68" i="7"/>
  <c r="L67" i="7"/>
  <c r="N72" i="6"/>
  <c r="O72" i="6"/>
  <c r="U70" i="7"/>
  <c r="W70" i="7" s="1"/>
  <c r="X70" i="7" s="1"/>
  <c r="AD66" i="7"/>
  <c r="Q94" i="7"/>
  <c r="I39" i="7"/>
  <c r="C86" i="7" s="1"/>
  <c r="D39" i="7"/>
  <c r="AG90" i="7" s="1"/>
  <c r="V94" i="7" s="1"/>
  <c r="N96" i="7"/>
  <c r="F41" i="7"/>
  <c r="H41" i="7" s="1"/>
  <c r="G40" i="7"/>
  <c r="B84" i="7"/>
  <c r="D84" i="7" s="1"/>
  <c r="H83" i="7"/>
  <c r="C42" i="7"/>
  <c r="H73" i="6"/>
  <c r="I73" i="6" s="1"/>
  <c r="P72" i="6" s="1"/>
  <c r="Q95" i="7"/>
  <c r="I40" i="7"/>
  <c r="C87" i="7" s="1"/>
  <c r="P71" i="6"/>
  <c r="H141" i="2"/>
  <c r="J140" i="2"/>
  <c r="K140" i="2" s="1"/>
  <c r="I112" i="5" a="1"/>
  <c r="I112" i="5" l="1"/>
  <c r="A42" i="7"/>
  <c r="Q72" i="6"/>
  <c r="R72" i="6" s="1"/>
  <c r="B42" i="7" s="1"/>
  <c r="N97" i="7"/>
  <c r="F42" i="7"/>
  <c r="H42" i="7" s="1"/>
  <c r="D42" i="7"/>
  <c r="AG93" i="7" s="1"/>
  <c r="V97" i="7" s="1"/>
  <c r="G41" i="7"/>
  <c r="C43" i="7"/>
  <c r="K74" i="6"/>
  <c r="L74" i="6" s="1"/>
  <c r="H74" i="6"/>
  <c r="I74" i="6" s="1"/>
  <c r="J39" i="7"/>
  <c r="J40" i="7" s="1"/>
  <c r="J141" i="2"/>
  <c r="K141" i="2" s="1"/>
  <c r="H142" i="2"/>
  <c r="F68" i="7"/>
  <c r="G68" i="7" s="1"/>
  <c r="I68" i="7" s="1"/>
  <c r="K68" i="7" s="1"/>
  <c r="P71" i="7"/>
  <c r="Y70" i="7"/>
  <c r="AJ66" i="7"/>
  <c r="K73" i="6"/>
  <c r="L73" i="6" s="1"/>
  <c r="H84" i="7"/>
  <c r="B85" i="7"/>
  <c r="D85" i="7" s="1"/>
  <c r="A41" i="7"/>
  <c r="Q71" i="6"/>
  <c r="R71" i="6" s="1"/>
  <c r="B41" i="7" s="1"/>
  <c r="E69" i="7" l="1"/>
  <c r="L68" i="7"/>
  <c r="N74" i="6"/>
  <c r="O74" i="6"/>
  <c r="AK66" i="7"/>
  <c r="J41" i="7"/>
  <c r="J42" i="7" s="1"/>
  <c r="N98" i="7"/>
  <c r="G42" i="7"/>
  <c r="F43" i="7"/>
  <c r="H43" i="7" s="1"/>
  <c r="AH66" i="7"/>
  <c r="Q96" i="7"/>
  <c r="I41" i="7"/>
  <c r="C88" i="7" s="1"/>
  <c r="D41" i="7"/>
  <c r="AG92" i="7" s="1"/>
  <c r="V96" i="7" s="1"/>
  <c r="Q97" i="7"/>
  <c r="I42" i="7"/>
  <c r="C89" i="7" s="1"/>
  <c r="N73" i="6"/>
  <c r="O73" i="6"/>
  <c r="T6" i="6" s="1" a="1"/>
  <c r="T6" i="6" s="1"/>
  <c r="T71" i="7"/>
  <c r="AC66" i="7"/>
  <c r="AF66" i="7" s="1"/>
  <c r="R71" i="7"/>
  <c r="S71" i="7" s="1"/>
  <c r="H143" i="2"/>
  <c r="J142" i="2"/>
  <c r="K142" i="2" s="1"/>
  <c r="B86" i="7"/>
  <c r="D86" i="7" s="1"/>
  <c r="H85" i="7"/>
  <c r="H75" i="6"/>
  <c r="I75" i="6" s="1"/>
  <c r="P73" i="6"/>
  <c r="N112" i="5"/>
  <c r="J112" i="5"/>
  <c r="Q112" i="5" a="1"/>
  <c r="Q112" i="5" s="1"/>
  <c r="L112" i="5" l="1"/>
  <c r="K112" i="5" a="1"/>
  <c r="K112" i="5" s="1"/>
  <c r="H76" i="6"/>
  <c r="I76" i="6" s="1"/>
  <c r="P75" i="6" s="1"/>
  <c r="Q75" i="6" s="1"/>
  <c r="R75" i="6" s="1"/>
  <c r="T5" i="6"/>
  <c r="U71" i="7"/>
  <c r="W71" i="7" s="1"/>
  <c r="X71" i="7" s="1"/>
  <c r="AD67" i="7"/>
  <c r="P74" i="6"/>
  <c r="Q74" i="6" s="1"/>
  <c r="R74" i="6" s="1"/>
  <c r="B87" i="7"/>
  <c r="D87" i="7" s="1"/>
  <c r="H86" i="7"/>
  <c r="Q73" i="6"/>
  <c r="R73" i="6" s="1"/>
  <c r="B43" i="7" s="1"/>
  <c r="A43" i="7"/>
  <c r="K75" i="6"/>
  <c r="L75" i="6" s="1"/>
  <c r="N75" i="6" s="1"/>
  <c r="H144" i="2"/>
  <c r="J143" i="2"/>
  <c r="K143" i="2" s="1"/>
  <c r="F69" i="7"/>
  <c r="G69" i="7" s="1"/>
  <c r="I69" i="7" s="1"/>
  <c r="K69" i="7" s="1"/>
  <c r="I111" i="5" a="1"/>
  <c r="P111" i="5" a="1"/>
  <c r="P111" i="5" l="1"/>
  <c r="I111" i="5"/>
  <c r="E70" i="7"/>
  <c r="L69" i="7"/>
  <c r="H145" i="2"/>
  <c r="J144" i="2"/>
  <c r="K144" i="2" s="1"/>
  <c r="H77" i="6"/>
  <c r="I77" i="6" s="1"/>
  <c r="K77" i="6" s="1"/>
  <c r="L77" i="6" s="1"/>
  <c r="N77" i="6" s="1"/>
  <c r="K76" i="6"/>
  <c r="L76" i="6" s="1"/>
  <c r="N76" i="6" s="1"/>
  <c r="P72" i="7"/>
  <c r="AJ67" i="7"/>
  <c r="Y71" i="7"/>
  <c r="I43" i="7"/>
  <c r="Q98" i="7"/>
  <c r="D43" i="7"/>
  <c r="B88" i="7"/>
  <c r="D88" i="7" s="1"/>
  <c r="H87" i="7"/>
  <c r="T72" i="7" l="1"/>
  <c r="AC67" i="7"/>
  <c r="AF67" i="7" s="1"/>
  <c r="R72" i="7"/>
  <c r="S72" i="7" s="1"/>
  <c r="P76" i="6"/>
  <c r="Q76" i="6" s="1"/>
  <c r="R76" i="6" s="1"/>
  <c r="H146" i="2"/>
  <c r="J145" i="2"/>
  <c r="K145" i="2" s="1"/>
  <c r="AG94" i="7"/>
  <c r="V98" i="7" s="1"/>
  <c r="G43" i="7"/>
  <c r="C90" i="7"/>
  <c r="J43" i="7"/>
  <c r="AK67" i="7"/>
  <c r="J111" i="5"/>
  <c r="Q111" i="5" a="1"/>
  <c r="Q111" i="5" s="1"/>
  <c r="N111" i="5"/>
  <c r="B89" i="7"/>
  <c r="D89" i="7" s="1"/>
  <c r="H88" i="7"/>
  <c r="F70" i="7"/>
  <c r="G70" i="7" s="1"/>
  <c r="I70" i="7" s="1"/>
  <c r="K70" i="7" s="1"/>
  <c r="AH67" i="7"/>
  <c r="E71" i="7" l="1"/>
  <c r="L70" i="7"/>
  <c r="J146" i="2"/>
  <c r="K146" i="2" s="1"/>
  <c r="H147" i="2"/>
  <c r="L111" i="5"/>
  <c r="K111" i="5" a="1"/>
  <c r="K111" i="5" s="1"/>
  <c r="B90" i="7"/>
  <c r="D90" i="7" s="1"/>
  <c r="H90" i="7" s="1"/>
  <c r="H89" i="7"/>
  <c r="U72" i="7"/>
  <c r="W72" i="7" s="1"/>
  <c r="X72" i="7" s="1"/>
  <c r="AD68" i="7"/>
  <c r="P110" i="5" a="1"/>
  <c r="I110" i="5" a="1"/>
  <c r="I110" i="5" l="1"/>
  <c r="P110" i="5"/>
  <c r="P73" i="7"/>
  <c r="Y72" i="7"/>
  <c r="AJ68" i="7"/>
  <c r="AH68" i="7"/>
  <c r="H148" i="2"/>
  <c r="J147" i="2"/>
  <c r="K147" i="2" s="1"/>
  <c r="F71" i="7"/>
  <c r="G71" i="7" s="1"/>
  <c r="I71" i="7" s="1"/>
  <c r="K71" i="7" s="1"/>
  <c r="E72" i="7" l="1"/>
  <c r="L71" i="7"/>
  <c r="AK68" i="7"/>
  <c r="T73" i="7"/>
  <c r="AC68" i="7"/>
  <c r="AF68" i="7" s="1"/>
  <c r="R73" i="7"/>
  <c r="S73" i="7" s="1"/>
  <c r="J148" i="2"/>
  <c r="K148" i="2" s="1"/>
  <c r="H149" i="2"/>
  <c r="N110" i="5"/>
  <c r="J110" i="5"/>
  <c r="Q110" i="5" a="1"/>
  <c r="Q110" i="5" l="1"/>
  <c r="L110" i="5"/>
  <c r="U73" i="7"/>
  <c r="W73" i="7" s="1"/>
  <c r="X73" i="7" s="1"/>
  <c r="AD69" i="7"/>
  <c r="H150" i="2"/>
  <c r="J149" i="2"/>
  <c r="K149" i="2" s="1"/>
  <c r="F72" i="7"/>
  <c r="G72" i="7" s="1"/>
  <c r="I72" i="7" s="1"/>
  <c r="K72" i="7" s="1"/>
  <c r="K110" i="5" a="1"/>
  <c r="P109" i="5" a="1"/>
  <c r="P109" i="5" l="1"/>
  <c r="K110" i="5"/>
  <c r="E73" i="7"/>
  <c r="L72" i="7"/>
  <c r="P74" i="7"/>
  <c r="Y73" i="7"/>
  <c r="AJ69" i="7"/>
  <c r="AH69" i="7"/>
  <c r="H151" i="2"/>
  <c r="J150" i="2"/>
  <c r="K150" i="2" s="1"/>
  <c r="I109" i="5" a="1"/>
  <c r="I109" i="5" l="1"/>
  <c r="T74" i="7"/>
  <c r="AC69" i="7"/>
  <c r="AF69" i="7" s="1"/>
  <c r="R74" i="7"/>
  <c r="S74" i="7" s="1"/>
  <c r="H152" i="2"/>
  <c r="J151" i="2"/>
  <c r="K151" i="2" s="1"/>
  <c r="AK69" i="7"/>
  <c r="F73" i="7"/>
  <c r="G73" i="7" s="1"/>
  <c r="I73" i="7" s="1"/>
  <c r="K73" i="7" s="1"/>
  <c r="E74" i="7" l="1"/>
  <c r="L73" i="7"/>
  <c r="H153" i="2"/>
  <c r="J152" i="2"/>
  <c r="K152" i="2" s="1"/>
  <c r="U74" i="7"/>
  <c r="W74" i="7" s="1"/>
  <c r="X74" i="7" s="1"/>
  <c r="AD70" i="7"/>
  <c r="N109" i="5"/>
  <c r="J109" i="5"/>
  <c r="Q109" i="5" a="1"/>
  <c r="Q109" i="5" s="1"/>
  <c r="K109" i="5" l="1" a="1"/>
  <c r="K109" i="5" s="1"/>
  <c r="L109" i="5"/>
  <c r="AJ70" i="7"/>
  <c r="P75" i="7"/>
  <c r="Y74" i="7"/>
  <c r="AH70" i="7" s="1"/>
  <c r="J153" i="2"/>
  <c r="K153" i="2" s="1"/>
  <c r="H154" i="2"/>
  <c r="F74" i="7"/>
  <c r="G74" i="7" s="1"/>
  <c r="I74" i="7" s="1"/>
  <c r="K74" i="7" s="1"/>
  <c r="I108" i="5" a="1"/>
  <c r="P108" i="5" a="1"/>
  <c r="P108" i="5" l="1"/>
  <c r="I108" i="5"/>
  <c r="E75" i="7"/>
  <c r="L74" i="7"/>
  <c r="AK70" i="7"/>
  <c r="H155" i="2"/>
  <c r="J154" i="2"/>
  <c r="K154" i="2" s="1"/>
  <c r="T75" i="7"/>
  <c r="AC70" i="7"/>
  <c r="AF70" i="7" s="1"/>
  <c r="R75" i="7"/>
  <c r="S75" i="7" s="1"/>
  <c r="U75" i="7" l="1"/>
  <c r="W75" i="7" s="1"/>
  <c r="X75" i="7" s="1"/>
  <c r="AD71" i="7"/>
  <c r="H156" i="2"/>
  <c r="J155" i="2"/>
  <c r="K155" i="2" s="1"/>
  <c r="F75" i="7"/>
  <c r="G75" i="7" s="1"/>
  <c r="I75" i="7" s="1"/>
  <c r="K75" i="7" s="1"/>
  <c r="J108" i="5"/>
  <c r="N108" i="5"/>
  <c r="Q108" i="5" a="1"/>
  <c r="Q108" i="5" s="1"/>
  <c r="E76" i="7" l="1"/>
  <c r="L75" i="7"/>
  <c r="H157" i="2"/>
  <c r="J156" i="2"/>
  <c r="K156" i="2" s="1"/>
  <c r="L108" i="5"/>
  <c r="K108" i="5" a="1"/>
  <c r="K108" i="5" s="1"/>
  <c r="P76" i="7"/>
  <c r="Y75" i="7"/>
  <c r="AJ71" i="7"/>
  <c r="P107" i="5" a="1"/>
  <c r="I107" i="5" a="1"/>
  <c r="I107" i="5" l="1"/>
  <c r="P107" i="5"/>
  <c r="R76" i="7"/>
  <c r="S76" i="7" s="1"/>
  <c r="AC71" i="7"/>
  <c r="AF71" i="7" s="1"/>
  <c r="T76" i="7"/>
  <c r="AK71" i="7"/>
  <c r="H158" i="2"/>
  <c r="J157" i="2"/>
  <c r="K157" i="2" s="1"/>
  <c r="AH71" i="7"/>
  <c r="F76" i="7"/>
  <c r="G76" i="7" s="1"/>
  <c r="I76" i="7" s="1"/>
  <c r="K76" i="7" s="1"/>
  <c r="E77" i="7" l="1"/>
  <c r="L76" i="7"/>
  <c r="U76" i="7"/>
  <c r="W76" i="7" s="1"/>
  <c r="X76" i="7" s="1"/>
  <c r="AD72" i="7"/>
  <c r="J158" i="2"/>
  <c r="K158" i="2" s="1"/>
  <c r="H159" i="2"/>
  <c r="N107" i="5"/>
  <c r="J107" i="5"/>
  <c r="Q107" i="5" a="1"/>
  <c r="Q107" i="5" l="1"/>
  <c r="L107" i="5"/>
  <c r="H160" i="2"/>
  <c r="J159" i="2"/>
  <c r="K159" i="2" s="1"/>
  <c r="P77" i="7"/>
  <c r="Y76" i="7"/>
  <c r="AJ72" i="7"/>
  <c r="F77" i="7"/>
  <c r="G77" i="7" s="1"/>
  <c r="I77" i="7" s="1"/>
  <c r="K77" i="7" s="1"/>
  <c r="K107" i="5" a="1"/>
  <c r="P106" i="5" a="1"/>
  <c r="P106" i="5" l="1"/>
  <c r="K107" i="5"/>
  <c r="E78" i="7"/>
  <c r="L77" i="7"/>
  <c r="AK72" i="7"/>
  <c r="AH72" i="7"/>
  <c r="J160" i="2"/>
  <c r="K160" i="2" s="1"/>
  <c r="H161" i="2"/>
  <c r="T77" i="7"/>
  <c r="AC72" i="7"/>
  <c r="AF72" i="7" s="1"/>
  <c r="S77" i="7"/>
  <c r="R77" i="7"/>
  <c r="I106" i="5" a="1"/>
  <c r="I106" i="5" l="1"/>
  <c r="H162" i="2"/>
  <c r="J161" i="2"/>
  <c r="K161" i="2" s="1"/>
  <c r="U77" i="7"/>
  <c r="W77" i="7" s="1"/>
  <c r="X77" i="7" s="1"/>
  <c r="AD73" i="7"/>
  <c r="F78" i="7"/>
  <c r="G78" i="7" s="1"/>
  <c r="I78" i="7" s="1"/>
  <c r="K78" i="7" s="1"/>
  <c r="E79" i="7" l="1"/>
  <c r="L78" i="7"/>
  <c r="P78" i="7"/>
  <c r="AJ73" i="7"/>
  <c r="Y77" i="7"/>
  <c r="H163" i="2"/>
  <c r="J162" i="2"/>
  <c r="K162" i="2" s="1"/>
  <c r="N106" i="5"/>
  <c r="Q106" i="5" a="1"/>
  <c r="Q106" i="5" s="1"/>
  <c r="J106" i="5"/>
  <c r="K106" i="5" l="1" a="1"/>
  <c r="K106" i="5" s="1"/>
  <c r="L106" i="5"/>
  <c r="H164" i="2"/>
  <c r="J163" i="2"/>
  <c r="K163" i="2" s="1"/>
  <c r="AK73" i="7"/>
  <c r="AH73" i="7"/>
  <c r="T78" i="7"/>
  <c r="AC73" i="7"/>
  <c r="AF73" i="7" s="1"/>
  <c r="R78" i="7"/>
  <c r="S78" i="7" s="1"/>
  <c r="F79" i="7"/>
  <c r="G79" i="7" s="1"/>
  <c r="I79" i="7" s="1"/>
  <c r="K79" i="7" s="1"/>
  <c r="P105" i="5" a="1"/>
  <c r="I105" i="5" a="1"/>
  <c r="I105" i="5" l="1"/>
  <c r="P105" i="5"/>
  <c r="E80" i="7"/>
  <c r="L79" i="7"/>
  <c r="U78" i="7"/>
  <c r="W78" i="7" s="1"/>
  <c r="X78" i="7" s="1"/>
  <c r="AD74" i="7"/>
  <c r="H165" i="2"/>
  <c r="J164" i="2"/>
  <c r="K164" i="2" s="1"/>
  <c r="J165" i="2" l="1"/>
  <c r="K165" i="2" s="1"/>
  <c r="H166" i="2"/>
  <c r="P79" i="7"/>
  <c r="Y78" i="7"/>
  <c r="AJ74" i="7"/>
  <c r="AH74" i="7"/>
  <c r="F80" i="7"/>
  <c r="G80" i="7" s="1"/>
  <c r="I80" i="7" s="1"/>
  <c r="K80" i="7" s="1"/>
  <c r="N105" i="5"/>
  <c r="J105" i="5"/>
  <c r="Q105" i="5" a="1"/>
  <c r="Q105" i="5" s="1"/>
  <c r="E81" i="7" l="1"/>
  <c r="L80" i="7"/>
  <c r="T79" i="7"/>
  <c r="AC74" i="7"/>
  <c r="AF74" i="7" s="1"/>
  <c r="R79" i="7"/>
  <c r="S79" i="7" s="1"/>
  <c r="L105" i="5"/>
  <c r="K105" i="5" a="1"/>
  <c r="K105" i="5" s="1"/>
  <c r="AK74" i="7"/>
  <c r="H167" i="2"/>
  <c r="J166" i="2"/>
  <c r="K166" i="2" s="1"/>
  <c r="I104" i="5" a="1"/>
  <c r="P104" i="5" a="1"/>
  <c r="P104" i="5" l="1"/>
  <c r="I104" i="5"/>
  <c r="U79" i="7"/>
  <c r="W79" i="7" s="1"/>
  <c r="X79" i="7" s="1"/>
  <c r="AD75" i="7"/>
  <c r="H168" i="2"/>
  <c r="J167" i="2"/>
  <c r="K167" i="2" s="1"/>
  <c r="F81" i="7"/>
  <c r="G81" i="7" s="1"/>
  <c r="I81" i="7" s="1"/>
  <c r="K81" i="7" s="1"/>
  <c r="E82" i="7" l="1"/>
  <c r="L81" i="7"/>
  <c r="H169" i="2"/>
  <c r="J168" i="2"/>
  <c r="K168" i="2" s="1"/>
  <c r="P80" i="7"/>
  <c r="Y79" i="7"/>
  <c r="AJ75" i="7"/>
  <c r="J104" i="5"/>
  <c r="N104" i="5"/>
  <c r="Q104" i="5" a="1"/>
  <c r="Q104" i="5" l="1"/>
  <c r="AK75" i="7"/>
  <c r="L104" i="5"/>
  <c r="AH75" i="7"/>
  <c r="AC75" i="7"/>
  <c r="AF75" i="7" s="1"/>
  <c r="T80" i="7"/>
  <c r="R80" i="7"/>
  <c r="S80" i="7" s="1"/>
  <c r="H170" i="2"/>
  <c r="J169" i="2"/>
  <c r="K169" i="2" s="1"/>
  <c r="F82" i="7"/>
  <c r="G82" i="7" s="1"/>
  <c r="I82" i="7" s="1"/>
  <c r="K82" i="7" s="1"/>
  <c r="P103" i="5" a="1"/>
  <c r="K104" i="5" a="1"/>
  <c r="K104" i="5" l="1"/>
  <c r="P103" i="5"/>
  <c r="E83" i="7"/>
  <c r="L82" i="7"/>
  <c r="U80" i="7"/>
  <c r="W80" i="7" s="1"/>
  <c r="X80" i="7" s="1"/>
  <c r="AD76" i="7"/>
  <c r="J170" i="2"/>
  <c r="K170" i="2" s="1"/>
  <c r="H171" i="2"/>
  <c r="I103" i="5" a="1"/>
  <c r="I103" i="5" l="1"/>
  <c r="Y80" i="7"/>
  <c r="P81" i="7"/>
  <c r="AJ76" i="7"/>
  <c r="AH76" i="7"/>
  <c r="H172" i="2"/>
  <c r="J171" i="2"/>
  <c r="K171" i="2" s="1"/>
  <c r="F83" i="7"/>
  <c r="G83" i="7" s="1"/>
  <c r="I83" i="7" s="1"/>
  <c r="K83" i="7" s="1"/>
  <c r="E84" i="7" l="1"/>
  <c r="L83" i="7"/>
  <c r="T81" i="7"/>
  <c r="AC76" i="7"/>
  <c r="AF76" i="7" s="1"/>
  <c r="R81" i="7"/>
  <c r="S81" i="7" s="1"/>
  <c r="J172" i="2"/>
  <c r="K172" i="2" s="1"/>
  <c r="H173" i="2"/>
  <c r="AK76" i="7"/>
  <c r="Q103" i="5" a="1"/>
  <c r="Q103" i="5" s="1"/>
  <c r="N103" i="5"/>
  <c r="J103" i="5"/>
  <c r="H174" i="2" l="1"/>
  <c r="J173" i="2"/>
  <c r="K173" i="2" s="1"/>
  <c r="U81" i="7"/>
  <c r="W81" i="7" s="1"/>
  <c r="X81" i="7" s="1"/>
  <c r="AD77" i="7"/>
  <c r="K103" i="5" a="1"/>
  <c r="K103" i="5" s="1"/>
  <c r="L103" i="5"/>
  <c r="F84" i="7"/>
  <c r="G84" i="7" s="1"/>
  <c r="I84" i="7" s="1"/>
  <c r="K84" i="7" s="1"/>
  <c r="I102" i="5" a="1"/>
  <c r="P102" i="5" a="1"/>
  <c r="P102" i="5" l="1"/>
  <c r="I102" i="5"/>
  <c r="E85" i="7"/>
  <c r="L84" i="7"/>
  <c r="P82" i="7"/>
  <c r="AJ77" i="7"/>
  <c r="Y81" i="7"/>
  <c r="H175" i="2"/>
  <c r="J174" i="2"/>
  <c r="K174" i="2" s="1"/>
  <c r="H176" i="2" l="1"/>
  <c r="J175" i="2"/>
  <c r="K175" i="2" s="1"/>
  <c r="AK77" i="7"/>
  <c r="AH77" i="7"/>
  <c r="T82" i="7"/>
  <c r="R82" i="7"/>
  <c r="S82" i="7" s="1"/>
  <c r="AC77" i="7"/>
  <c r="AF77" i="7" s="1"/>
  <c r="F85" i="7"/>
  <c r="G85" i="7" s="1"/>
  <c r="I85" i="7" s="1"/>
  <c r="K85" i="7" s="1"/>
  <c r="N102" i="5"/>
  <c r="J102" i="5"/>
  <c r="Q102" i="5" a="1"/>
  <c r="Q102" i="5" s="1"/>
  <c r="E86" i="7" l="1"/>
  <c r="L85" i="7"/>
  <c r="U82" i="7"/>
  <c r="W82" i="7" s="1"/>
  <c r="X82" i="7" s="1"/>
  <c r="AD78" i="7"/>
  <c r="L102" i="5"/>
  <c r="K102" i="5" a="1"/>
  <c r="K102" i="5" s="1"/>
  <c r="H177" i="2"/>
  <c r="J176" i="2"/>
  <c r="K176" i="2" s="1"/>
  <c r="I101" i="5" a="1"/>
  <c r="P101" i="5" a="1"/>
  <c r="P101" i="5" l="1"/>
  <c r="I101" i="5"/>
  <c r="J177" i="2"/>
  <c r="K177" i="2" s="1"/>
  <c r="H178" i="2"/>
  <c r="Y82" i="7"/>
  <c r="P83" i="7"/>
  <c r="AJ78" i="7"/>
  <c r="F86" i="7"/>
  <c r="G86" i="7" s="1"/>
  <c r="I86" i="7" s="1"/>
  <c r="K86" i="7" s="1"/>
  <c r="E87" i="7" l="1"/>
  <c r="L86" i="7"/>
  <c r="AK78" i="7"/>
  <c r="T83" i="7"/>
  <c r="AC78" i="7"/>
  <c r="AF78" i="7" s="1"/>
  <c r="R83" i="7"/>
  <c r="S83" i="7" s="1"/>
  <c r="AH78" i="7"/>
  <c r="H179" i="2"/>
  <c r="J178" i="2"/>
  <c r="K178" i="2" s="1"/>
  <c r="J101" i="5"/>
  <c r="N101" i="5"/>
  <c r="Q101" i="5" a="1"/>
  <c r="Q101" i="5" l="1"/>
  <c r="H180" i="2"/>
  <c r="J179" i="2"/>
  <c r="K179" i="2" s="1"/>
  <c r="L101" i="5"/>
  <c r="U83" i="7"/>
  <c r="W83" i="7" s="1"/>
  <c r="X83" i="7" s="1"/>
  <c r="AD79" i="7"/>
  <c r="F87" i="7"/>
  <c r="G87" i="7" s="1"/>
  <c r="I87" i="7" s="1"/>
  <c r="K87" i="7" s="1"/>
  <c r="K101" i="5" a="1"/>
  <c r="P100" i="5" a="1"/>
  <c r="P100" i="5" l="1"/>
  <c r="K101" i="5"/>
  <c r="E88" i="7"/>
  <c r="L87" i="7"/>
  <c r="P84" i="7"/>
  <c r="AJ79" i="7"/>
  <c r="Y83" i="7"/>
  <c r="H181" i="2"/>
  <c r="J180" i="2"/>
  <c r="K180" i="2" s="1"/>
  <c r="I100" i="5" a="1"/>
  <c r="I100" i="5" l="1"/>
  <c r="H182" i="2"/>
  <c r="J181" i="2"/>
  <c r="K181" i="2" s="1"/>
  <c r="AK79" i="7"/>
  <c r="AH79" i="7"/>
  <c r="T84" i="7"/>
  <c r="AC79" i="7"/>
  <c r="AF79" i="7" s="1"/>
  <c r="R84" i="7"/>
  <c r="S84" i="7" s="1"/>
  <c r="G88" i="7"/>
  <c r="I88" i="7" s="1"/>
  <c r="K88" i="7" s="1"/>
  <c r="F88" i="7"/>
  <c r="E89" i="7" l="1"/>
  <c r="L88" i="7"/>
  <c r="U84" i="7"/>
  <c r="W84" i="7" s="1"/>
  <c r="X84" i="7" s="1"/>
  <c r="AD80" i="7"/>
  <c r="J182" i="2"/>
  <c r="K182" i="2" s="1"/>
  <c r="H183" i="2"/>
  <c r="Q100" i="5" a="1"/>
  <c r="Q100" i="5" s="1"/>
  <c r="N100" i="5"/>
  <c r="J100" i="5"/>
  <c r="K100" i="5" l="1" a="1"/>
  <c r="K100" i="5" s="1"/>
  <c r="L100" i="5"/>
  <c r="H184" i="2"/>
  <c r="J183" i="2"/>
  <c r="K183" i="2" s="1"/>
  <c r="Y84" i="7"/>
  <c r="AH80" i="7" s="1"/>
  <c r="AJ80" i="7"/>
  <c r="P85" i="7"/>
  <c r="F89" i="7"/>
  <c r="G89" i="7" s="1"/>
  <c r="I89" i="7" s="1"/>
  <c r="K89" i="7" s="1"/>
  <c r="P99" i="5" a="1"/>
  <c r="I99" i="5" a="1"/>
  <c r="I99" i="5" l="1"/>
  <c r="P99" i="5"/>
  <c r="E90" i="7"/>
  <c r="L89" i="7"/>
  <c r="AK80" i="7"/>
  <c r="T85" i="7"/>
  <c r="AC80" i="7"/>
  <c r="AF80" i="7" s="1"/>
  <c r="R85" i="7"/>
  <c r="S85" i="7" s="1"/>
  <c r="J184" i="2"/>
  <c r="K184" i="2" s="1"/>
  <c r="H185" i="2"/>
  <c r="H186" i="2" l="1"/>
  <c r="J185" i="2"/>
  <c r="K185" i="2" s="1"/>
  <c r="U85" i="7"/>
  <c r="W85" i="7" s="1"/>
  <c r="X85" i="7" s="1"/>
  <c r="AD81" i="7"/>
  <c r="F90" i="7"/>
  <c r="G90" i="7" s="1"/>
  <c r="I90" i="7" s="1"/>
  <c r="K90" i="7" s="1"/>
  <c r="L90" i="7" s="1"/>
  <c r="J95" i="7" s="1"/>
  <c r="N99" i="5"/>
  <c r="J99" i="5"/>
  <c r="Q99" i="5" a="1"/>
  <c r="Q99" i="5" l="1"/>
  <c r="J100" i="7"/>
  <c r="I103" i="7" s="1"/>
  <c r="J97" i="7"/>
  <c r="L99" i="5"/>
  <c r="P86" i="7"/>
  <c r="AJ81" i="7"/>
  <c r="Y85" i="7"/>
  <c r="AH81" i="7"/>
  <c r="H187" i="2"/>
  <c r="J186" i="2"/>
  <c r="K186" i="2" s="1"/>
  <c r="K99" i="5" a="1"/>
  <c r="P98" i="5" a="1"/>
  <c r="P98" i="5" l="1"/>
  <c r="K99" i="5"/>
  <c r="T86" i="7"/>
  <c r="AC81" i="7"/>
  <c r="AF81" i="7" s="1"/>
  <c r="R86" i="7"/>
  <c r="S86" i="7" s="1"/>
  <c r="AK81" i="7"/>
  <c r="H188" i="2"/>
  <c r="J188" i="2" s="1"/>
  <c r="K188" i="2" s="1"/>
  <c r="L7" i="2" s="1"/>
  <c r="M7" i="2" s="1"/>
  <c r="J187" i="2"/>
  <c r="K187" i="2" s="1"/>
  <c r="I98" i="5" a="1"/>
  <c r="I98" i="5" l="1"/>
  <c r="U86" i="7"/>
  <c r="W86" i="7" s="1"/>
  <c r="X86" i="7" s="1"/>
  <c r="AD82" i="7"/>
  <c r="Y86" i="7" l="1"/>
  <c r="AJ82" i="7"/>
  <c r="AH82" i="7"/>
  <c r="P87" i="7"/>
  <c r="J98" i="5"/>
  <c r="Q98" i="5" a="1"/>
  <c r="Q98" i="5" s="1"/>
  <c r="N98" i="5"/>
  <c r="K98" i="5" l="1" a="1"/>
  <c r="K98" i="5" s="1"/>
  <c r="L98" i="5"/>
  <c r="T87" i="7"/>
  <c r="AC82" i="7"/>
  <c r="AF82" i="7" s="1"/>
  <c r="R87" i="7"/>
  <c r="S87" i="7" s="1"/>
  <c r="AK82" i="7"/>
  <c r="I97" i="5" a="1"/>
  <c r="P97" i="5" a="1"/>
  <c r="P97" i="5" l="1"/>
  <c r="I97" i="5"/>
  <c r="U87" i="7"/>
  <c r="W87" i="7" s="1"/>
  <c r="X87" i="7" s="1"/>
  <c r="AD83" i="7"/>
  <c r="P88" i="7" l="1"/>
  <c r="AJ83" i="7"/>
  <c r="Y87" i="7"/>
  <c r="N97" i="5"/>
  <c r="J97" i="5"/>
  <c r="Q97" i="5" a="1"/>
  <c r="Q97" i="5" l="1"/>
  <c r="L97" i="5"/>
  <c r="AK83" i="7"/>
  <c r="AH83" i="7"/>
  <c r="R88" i="7"/>
  <c r="S88" i="7" s="1"/>
  <c r="T88" i="7"/>
  <c r="AC83" i="7"/>
  <c r="AF83" i="7" s="1"/>
  <c r="K97" i="5" a="1"/>
  <c r="P96" i="5" a="1"/>
  <c r="P96" i="5" l="1"/>
  <c r="K97" i="5"/>
  <c r="U88" i="7"/>
  <c r="W88" i="7" s="1"/>
  <c r="X88" i="7" s="1"/>
  <c r="AD84" i="7"/>
  <c r="I96" i="5" a="1"/>
  <c r="I96" i="5" l="1"/>
  <c r="Y88" i="7"/>
  <c r="AJ84" i="7"/>
  <c r="AH84" i="7"/>
  <c r="P89" i="7"/>
  <c r="T89" i="7" l="1"/>
  <c r="AC84" i="7"/>
  <c r="AF84" i="7" s="1"/>
  <c r="R89" i="7"/>
  <c r="S89" i="7" s="1"/>
  <c r="AK84" i="7"/>
  <c r="N96" i="5"/>
  <c r="J96" i="5"/>
  <c r="Q96" i="5" a="1"/>
  <c r="Q96" i="5" s="1"/>
  <c r="L96" i="5" l="1"/>
  <c r="K96" i="5" a="1"/>
  <c r="K96" i="5" s="1"/>
  <c r="U89" i="7"/>
  <c r="W89" i="7" s="1"/>
  <c r="X89" i="7" s="1"/>
  <c r="AD85" i="7"/>
  <c r="I95" i="5" a="1"/>
  <c r="P95" i="5" a="1"/>
  <c r="P95" i="5" l="1"/>
  <c r="I95" i="5"/>
  <c r="P90" i="7"/>
  <c r="AJ85" i="7"/>
  <c r="Y89" i="7"/>
  <c r="AK85" i="7" l="1"/>
  <c r="AH85" i="7"/>
  <c r="R90" i="7"/>
  <c r="S90" i="7" s="1"/>
  <c r="T90" i="7"/>
  <c r="AC85" i="7"/>
  <c r="AF85" i="7" s="1"/>
  <c r="J95" i="5"/>
  <c r="Q95" i="5" a="1"/>
  <c r="Q95" i="5" s="1"/>
  <c r="N95" i="5"/>
  <c r="K95" i="5" l="1" a="1"/>
  <c r="K95" i="5" s="1"/>
  <c r="L95" i="5"/>
  <c r="U90" i="7"/>
  <c r="W90" i="7" s="1"/>
  <c r="X90" i="7" s="1"/>
  <c r="AD86" i="7"/>
  <c r="P94" i="5" a="1"/>
  <c r="I94" i="5" a="1"/>
  <c r="I94" i="5" l="1"/>
  <c r="P94" i="5"/>
  <c r="Y90" i="7"/>
  <c r="P91" i="7"/>
  <c r="AJ86" i="7"/>
  <c r="AH86" i="7"/>
  <c r="T91" i="7" l="1"/>
  <c r="AC86" i="7"/>
  <c r="AF86" i="7" s="1"/>
  <c r="R91" i="7"/>
  <c r="S91" i="7" s="1"/>
  <c r="AK86" i="7"/>
  <c r="N94" i="5"/>
  <c r="J94" i="5"/>
  <c r="Q94" i="5" a="1"/>
  <c r="Q94" i="5" l="1"/>
  <c r="L94" i="5"/>
  <c r="U91" i="7"/>
  <c r="W91" i="7" s="1"/>
  <c r="X91" i="7" s="1"/>
  <c r="AD87" i="7"/>
  <c r="P93" i="5" a="1"/>
  <c r="K94" i="5" a="1"/>
  <c r="K94" i="5" l="1"/>
  <c r="P93" i="5"/>
  <c r="AJ87" i="7"/>
  <c r="P92" i="7"/>
  <c r="Y91" i="7"/>
  <c r="AH87" i="7" s="1"/>
  <c r="I93" i="5" a="1"/>
  <c r="I93" i="5" l="1"/>
  <c r="AK87" i="7"/>
  <c r="T92" i="7"/>
  <c r="AC87" i="7"/>
  <c r="AF87" i="7" s="1"/>
  <c r="R92" i="7"/>
  <c r="S92" i="7" s="1"/>
  <c r="U92" i="7" l="1"/>
  <c r="W92" i="7" s="1"/>
  <c r="X92" i="7" s="1"/>
  <c r="AD88" i="7"/>
  <c r="N93" i="5"/>
  <c r="J93" i="5"/>
  <c r="Q93" i="5" a="1"/>
  <c r="Q93" i="5" s="1"/>
  <c r="L93" i="5" l="1"/>
  <c r="K93" i="5" a="1"/>
  <c r="K93" i="5" s="1"/>
  <c r="Y92" i="7"/>
  <c r="P93" i="7"/>
  <c r="AJ88" i="7"/>
  <c r="AH88" i="7"/>
  <c r="P92" i="5" a="1"/>
  <c r="I92" i="5" a="1"/>
  <c r="I92" i="5" l="1"/>
  <c r="P92" i="5"/>
  <c r="T93" i="7"/>
  <c r="R93" i="7"/>
  <c r="S93" i="7" s="1"/>
  <c r="AC88" i="7"/>
  <c r="AF88" i="7" s="1"/>
  <c r="AK88" i="7"/>
  <c r="U93" i="7" l="1"/>
  <c r="W93" i="7" s="1"/>
  <c r="X93" i="7" s="1"/>
  <c r="AD89" i="7"/>
  <c r="J92" i="5"/>
  <c r="N92" i="5"/>
  <c r="Q92" i="5" a="1"/>
  <c r="Q92" i="5" l="1"/>
  <c r="L92" i="5"/>
  <c r="AJ89" i="7"/>
  <c r="P94" i="7"/>
  <c r="Y93" i="7"/>
  <c r="K92" i="5" a="1"/>
  <c r="P91" i="5" a="1"/>
  <c r="P91" i="5" l="1"/>
  <c r="K92" i="5"/>
  <c r="T94" i="7"/>
  <c r="AC89" i="7"/>
  <c r="AF89" i="7" s="1"/>
  <c r="R94" i="7"/>
  <c r="S94" i="7" s="1"/>
  <c r="AK89" i="7"/>
  <c r="AH89" i="7"/>
  <c r="I91" i="5" a="1"/>
  <c r="I91" i="5" l="1"/>
  <c r="U94" i="7"/>
  <c r="W94" i="7" s="1"/>
  <c r="X94" i="7" s="1"/>
  <c r="AD90" i="7"/>
  <c r="Y94" i="7" l="1"/>
  <c r="P95" i="7"/>
  <c r="AJ90" i="7"/>
  <c r="AH90" i="7"/>
  <c r="Q91" i="5" a="1"/>
  <c r="Q91" i="5" s="1"/>
  <c r="N91" i="5"/>
  <c r="J91" i="5"/>
  <c r="K91" i="5" l="1" a="1"/>
  <c r="K91" i="5" s="1"/>
  <c r="L91" i="5"/>
  <c r="AC90" i="7"/>
  <c r="AF90" i="7" s="1"/>
  <c r="T95" i="7"/>
  <c r="R95" i="7"/>
  <c r="S95" i="7" s="1"/>
  <c r="AK90" i="7"/>
  <c r="I90" i="5" a="1"/>
  <c r="P90" i="5" a="1"/>
  <c r="P90" i="5" l="1"/>
  <c r="I90" i="5"/>
  <c r="U95" i="7"/>
  <c r="W95" i="7" s="1"/>
  <c r="X95" i="7" s="1"/>
  <c r="AD91" i="7"/>
  <c r="P96" i="7" l="1"/>
  <c r="AJ91" i="7"/>
  <c r="Y95" i="7"/>
  <c r="AH91" i="7"/>
  <c r="N90" i="5"/>
  <c r="J90" i="5"/>
  <c r="Q90" i="5" a="1"/>
  <c r="Q90" i="5" s="1"/>
  <c r="L90" i="5" l="1"/>
  <c r="K90" i="5" a="1"/>
  <c r="K90" i="5" s="1"/>
  <c r="AK91" i="7"/>
  <c r="T96" i="7"/>
  <c r="AC91" i="7"/>
  <c r="AF91" i="7" s="1"/>
  <c r="R96" i="7"/>
  <c r="S96" i="7" s="1"/>
  <c r="I89" i="5" a="1"/>
  <c r="P89" i="5" a="1"/>
  <c r="P89" i="5" l="1"/>
  <c r="I89" i="5"/>
  <c r="U96" i="7"/>
  <c r="W96" i="7" s="1"/>
  <c r="X96" i="7" s="1"/>
  <c r="AD92" i="7"/>
  <c r="P97" i="7" l="1"/>
  <c r="Y96" i="7"/>
  <c r="AJ92" i="7"/>
  <c r="AH92" i="7"/>
  <c r="J89" i="5"/>
  <c r="N89" i="5"/>
  <c r="Q89" i="5" a="1"/>
  <c r="Q89" i="5" l="1"/>
  <c r="L89" i="5"/>
  <c r="AK92" i="7"/>
  <c r="AC92" i="7"/>
  <c r="AF92" i="7" s="1"/>
  <c r="T97" i="7"/>
  <c r="R97" i="7"/>
  <c r="S97" i="7" s="1"/>
  <c r="P88" i="5" a="1"/>
  <c r="K89" i="5" a="1"/>
  <c r="K89" i="5" l="1"/>
  <c r="P88" i="5"/>
  <c r="U97" i="7"/>
  <c r="W97" i="7" s="1"/>
  <c r="X97" i="7" s="1"/>
  <c r="AD93" i="7"/>
  <c r="I88" i="5" a="1"/>
  <c r="I88" i="5" l="1"/>
  <c r="P98" i="7"/>
  <c r="AJ93" i="7"/>
  <c r="Y97" i="7"/>
  <c r="AH93" i="7" s="1"/>
  <c r="AK93" i="7" l="1"/>
  <c r="T98" i="7"/>
  <c r="R98" i="7"/>
  <c r="S98" i="7" s="1"/>
  <c r="AC94" i="7" s="1"/>
  <c r="AC93" i="7"/>
  <c r="AF93" i="7" s="1"/>
  <c r="Q88" i="5" a="1"/>
  <c r="Q88" i="5" s="1"/>
  <c r="N88" i="5"/>
  <c r="J88" i="5"/>
  <c r="K88" i="5" l="1" a="1"/>
  <c r="K88" i="5" s="1"/>
  <c r="L88" i="5"/>
  <c r="U98" i="7"/>
  <c r="W98" i="7" s="1"/>
  <c r="X98" i="7" s="1"/>
  <c r="AD94" i="7"/>
  <c r="AF94" i="7" s="1"/>
  <c r="I87" i="5" a="1"/>
  <c r="P87" i="5" a="1"/>
  <c r="P87" i="5" l="1"/>
  <c r="I87" i="5"/>
  <c r="Y98" i="7"/>
  <c r="AK94" i="7" s="1"/>
  <c r="AJ94" i="7"/>
  <c r="AH94" i="7"/>
  <c r="N87" i="5" l="1"/>
  <c r="J87" i="5"/>
  <c r="Q87" i="5" a="1"/>
  <c r="Q87" i="5" s="1"/>
  <c r="L87" i="5" l="1"/>
  <c r="K87" i="5" a="1"/>
  <c r="K87" i="5" s="1"/>
  <c r="P86" i="5" a="1"/>
  <c r="I86" i="5" a="1"/>
  <c r="I86" i="5" l="1"/>
  <c r="P86" i="5"/>
  <c r="J86" i="5" l="1"/>
  <c r="N86" i="5"/>
  <c r="Q86" i="5" a="1"/>
  <c r="Q86" i="5" l="1"/>
  <c r="L86" i="5"/>
  <c r="P85" i="5" a="1"/>
  <c r="K86" i="5" a="1"/>
  <c r="K86" i="5" l="1"/>
  <c r="P85" i="5"/>
  <c r="I85" i="5" a="1"/>
  <c r="I85" i="5" l="1"/>
  <c r="Q85" i="5" l="1" a="1"/>
  <c r="Q85" i="5" s="1"/>
  <c r="N85" i="5"/>
  <c r="J85" i="5"/>
  <c r="K85" i="5" l="1" a="1"/>
  <c r="K85" i="5" s="1"/>
  <c r="L85" i="5"/>
  <c r="I84" i="5" a="1"/>
  <c r="P84" i="5" a="1"/>
  <c r="P84" i="5" l="1"/>
  <c r="I84" i="5"/>
  <c r="N84" i="5" l="1"/>
  <c r="J84" i="5"/>
  <c r="Q84" i="5" a="1"/>
  <c r="Q84" i="5" s="1"/>
  <c r="L84" i="5" l="1"/>
  <c r="K84" i="5" a="1"/>
  <c r="K84" i="5" s="1"/>
  <c r="I83" i="5" a="1"/>
  <c r="P83" i="5" a="1"/>
  <c r="P83" i="5" l="1"/>
  <c r="I83" i="5"/>
  <c r="J83" i="5" l="1"/>
  <c r="N83" i="5"/>
  <c r="Q83" i="5" a="1"/>
  <c r="Q83" i="5" l="1"/>
  <c r="L83" i="5"/>
  <c r="P82" i="5" a="1"/>
  <c r="K83" i="5" a="1"/>
  <c r="K83" i="5" l="1"/>
  <c r="P82" i="5"/>
  <c r="I82" i="5" a="1"/>
  <c r="I82" i="5" l="1"/>
  <c r="Q82" i="5" l="1" a="1"/>
  <c r="Q82" i="5" s="1"/>
  <c r="N82" i="5"/>
  <c r="J82" i="5"/>
  <c r="K82" i="5" l="1" a="1"/>
  <c r="K82" i="5" s="1"/>
  <c r="L82" i="5"/>
  <c r="I81" i="5" a="1"/>
  <c r="P81" i="5" a="1"/>
  <c r="P81" i="5" l="1"/>
  <c r="I81" i="5"/>
  <c r="N81" i="5" l="1"/>
  <c r="J81" i="5"/>
  <c r="Q81" i="5" a="1"/>
  <c r="Q81" i="5" s="1"/>
  <c r="L81" i="5" l="1"/>
  <c r="K81" i="5" a="1"/>
  <c r="K81" i="5" s="1"/>
  <c r="I80" i="5" a="1"/>
  <c r="P80" i="5" a="1"/>
  <c r="P80" i="5" l="1"/>
  <c r="I80" i="5"/>
  <c r="J80" i="5" l="1"/>
  <c r="N80" i="5"/>
  <c r="Q80" i="5" a="1"/>
  <c r="Q80" i="5" l="1"/>
  <c r="L80" i="5"/>
  <c r="K80" i="5" a="1"/>
  <c r="K80" i="5" l="1"/>
  <c r="I79" i="5" a="1"/>
  <c r="I79" i="5" l="1"/>
  <c r="Q79" i="5" l="1" a="1"/>
  <c r="Q79" i="5" s="1"/>
  <c r="J79" i="5"/>
  <c r="N79" i="5"/>
  <c r="L79" i="5" l="1"/>
  <c r="K79" i="5" a="1"/>
  <c r="K79" i="5" s="1"/>
  <c r="I78" i="5" a="1"/>
  <c r="I78" i="5" l="1"/>
  <c r="Q78" i="5" l="1" a="1"/>
  <c r="Q78" i="5" s="1"/>
  <c r="N78" i="5"/>
  <c r="J78" i="5"/>
  <c r="L78" i="5" l="1"/>
  <c r="K78" i="5" a="1"/>
  <c r="K78" i="5" s="1"/>
  <c r="I77" i="5" a="1"/>
  <c r="I77" i="5" l="1"/>
  <c r="J77" i="5" l="1"/>
  <c r="N77" i="5"/>
  <c r="Q77" i="5" a="1"/>
  <c r="Q77" i="5" l="1"/>
  <c r="L77" i="5"/>
  <c r="K77" i="5" a="1"/>
  <c r="K77" i="5" l="1"/>
  <c r="I76" i="5" a="1"/>
  <c r="I76" i="5" l="1"/>
  <c r="J76" i="5" l="1"/>
  <c r="Q76" i="5" a="1"/>
  <c r="Q76" i="5" s="1"/>
  <c r="N76" i="5"/>
  <c r="K76" i="5" l="1" a="1"/>
  <c r="K76" i="5" s="1"/>
  <c r="L76" i="5"/>
  <c r="I75" i="5" a="1"/>
  <c r="I75" i="5" l="1"/>
  <c r="J75" i="5" l="1"/>
  <c r="Q75" i="5" a="1"/>
  <c r="Q75" i="5" s="1"/>
  <c r="N75" i="5"/>
  <c r="L75" i="5" l="1"/>
  <c r="K75" i="5" a="1"/>
  <c r="K75" i="5" s="1"/>
  <c r="I74" i="5" a="1"/>
  <c r="I74" i="5" l="1"/>
  <c r="N74" i="5" l="1"/>
  <c r="J74" i="5"/>
  <c r="Q74" i="5" a="1"/>
  <c r="Q74" i="5" l="1"/>
  <c r="L74" i="5"/>
  <c r="K74" i="5" a="1"/>
  <c r="K74" i="5" l="1"/>
  <c r="I73" i="5" a="1"/>
  <c r="I73" i="5" l="1"/>
  <c r="Q73" i="5" l="1" a="1"/>
  <c r="Q73" i="5" s="1"/>
  <c r="N73" i="5"/>
  <c r="J73" i="5"/>
  <c r="L73" i="5" l="1"/>
  <c r="K73" i="5" a="1"/>
  <c r="K73" i="5" s="1"/>
  <c r="I72" i="5" a="1"/>
  <c r="I72" i="5" l="1"/>
  <c r="J72" i="5" l="1"/>
  <c r="Q72" i="5" a="1"/>
  <c r="Q72" i="5" s="1"/>
  <c r="N72" i="5"/>
  <c r="K72" i="5" l="1" a="1"/>
  <c r="K72" i="5" s="1"/>
  <c r="L72" i="5"/>
  <c r="I71" i="5" a="1"/>
  <c r="I71" i="5" l="1"/>
  <c r="J71" i="5" l="1"/>
  <c r="N71" i="5"/>
  <c r="Q71" i="5" a="1"/>
  <c r="Q71" i="5" l="1"/>
  <c r="L71" i="5"/>
  <c r="K71" i="5" a="1"/>
  <c r="K71" i="5" l="1"/>
  <c r="I70" i="5" a="1"/>
  <c r="I70" i="5" l="1"/>
  <c r="Q70" i="5" l="1" a="1"/>
  <c r="Q70" i="5" s="1"/>
  <c r="N70" i="5"/>
  <c r="J70" i="5"/>
  <c r="K70" i="5" l="1" a="1"/>
  <c r="K70" i="5" s="1"/>
  <c r="L70" i="5"/>
  <c r="I69" i="5" a="1"/>
  <c r="I69" i="5" l="1"/>
  <c r="Q69" i="5" l="1" a="1"/>
  <c r="Q69" i="5" s="1"/>
  <c r="J69" i="5"/>
  <c r="N69" i="5"/>
  <c r="L69" i="5" l="1"/>
  <c r="K69" i="5" a="1"/>
  <c r="K69" i="5" s="1"/>
  <c r="I68" i="5" a="1"/>
  <c r="I68" i="5" l="1"/>
  <c r="J68" i="5" l="1"/>
  <c r="N68" i="5"/>
  <c r="Q68" i="5" a="1"/>
  <c r="Q68" i="5" l="1"/>
  <c r="L68" i="5"/>
  <c r="K68" i="5" a="1"/>
  <c r="K68" i="5" l="1"/>
  <c r="I67" i="5" a="1"/>
  <c r="I67" i="5" l="1"/>
  <c r="N67" i="5" l="1"/>
  <c r="J67" i="5"/>
  <c r="Q67" i="5" a="1"/>
  <c r="Q67" i="5" s="1"/>
  <c r="L67" i="5" l="1"/>
  <c r="K67" i="5" a="1"/>
  <c r="K67" i="5" s="1"/>
  <c r="I66" i="5" a="1"/>
  <c r="I66" i="5" l="1"/>
  <c r="J66" i="5" l="1"/>
  <c r="Q66" i="5" a="1"/>
  <c r="Q66" i="5" s="1"/>
  <c r="N66" i="5"/>
  <c r="K66" i="5" l="1" a="1"/>
  <c r="K66" i="5" s="1"/>
  <c r="L66" i="5"/>
  <c r="I65" i="5" a="1"/>
  <c r="I65" i="5" l="1"/>
  <c r="J65" i="5" l="1"/>
  <c r="N65" i="5"/>
  <c r="Q65" i="5" a="1"/>
  <c r="Q65" i="5" l="1"/>
  <c r="L65" i="5"/>
  <c r="K65" i="5" a="1"/>
  <c r="K65" i="5" l="1"/>
  <c r="I64" i="5" a="1"/>
  <c r="I64" i="5" l="1"/>
  <c r="Q64" i="5" l="1" a="1"/>
  <c r="Q64" i="5" s="1"/>
  <c r="J64" i="5"/>
  <c r="N64" i="5"/>
  <c r="L64" i="5" l="1"/>
  <c r="K64" i="5" a="1"/>
  <c r="K64" i="5" s="1"/>
  <c r="I63" i="5" a="1"/>
  <c r="I63" i="5" l="1"/>
  <c r="N63" i="5" l="1"/>
  <c r="J63" i="5"/>
  <c r="Q63" i="5" a="1"/>
  <c r="Q63" i="5" s="1"/>
  <c r="L63" i="5" l="1"/>
  <c r="K63" i="5" a="1"/>
  <c r="K63" i="5" s="1"/>
  <c r="I62" i="5" a="1"/>
  <c r="I62" i="5" l="1"/>
  <c r="J62" i="5" l="1"/>
  <c r="N62" i="5"/>
  <c r="Q62" i="5" a="1"/>
  <c r="Q62" i="5" l="1"/>
  <c r="L62" i="5"/>
  <c r="K62" i="5" a="1"/>
  <c r="K62" i="5" l="1"/>
  <c r="I61" i="5" a="1"/>
  <c r="I61" i="5" l="1"/>
  <c r="Q61" i="5" l="1" a="1"/>
  <c r="Q61" i="5" s="1"/>
  <c r="J61" i="5"/>
  <c r="N61" i="5"/>
  <c r="L61" i="5" l="1"/>
  <c r="K61" i="5" a="1"/>
  <c r="K61" i="5" s="1"/>
  <c r="I60" i="5" a="1"/>
  <c r="I60" i="5" l="1"/>
  <c r="N60" i="5" l="1"/>
  <c r="J60" i="5"/>
  <c r="N5" i="5"/>
  <c r="N6" i="5" a="1"/>
  <c r="N6" i="5" s="1"/>
  <c r="L60" i="5" l="1"/>
  <c r="K60" i="5" a="1"/>
  <c r="K60" i="5" s="1"/>
  <c r="R36" i="5" l="1"/>
  <c r="R35" i="5"/>
  <c r="R37" i="5"/>
  <c r="R40" i="5"/>
  <c r="R38" i="5"/>
  <c r="R39" i="5"/>
  <c r="R41" i="5"/>
  <c r="R42" i="5"/>
  <c r="R43" i="5"/>
  <c r="R44" i="5"/>
  <c r="R45" i="5"/>
  <c r="R46" i="5"/>
  <c r="R48" i="5"/>
  <c r="R47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1" i="5"/>
  <c r="R70" i="5"/>
  <c r="R72" i="5"/>
  <c r="R73" i="5"/>
  <c r="R74" i="5"/>
</calcChain>
</file>

<file path=xl/sharedStrings.xml><?xml version="1.0" encoding="utf-8"?>
<sst xmlns="http://schemas.openxmlformats.org/spreadsheetml/2006/main" count="218" uniqueCount="176">
  <si>
    <t>How to use this spreadsheet</t>
  </si>
  <si>
    <t>Fill in with values</t>
  </si>
  <si>
    <t>Drop down menu</t>
  </si>
  <si>
    <t>Instructions</t>
  </si>
  <si>
    <t xml:space="preserve">Decide on using a point source or lambertian source estimation. </t>
  </si>
  <si>
    <t>Describe the linear distribution you would like to see or enter your own distribution that is different</t>
  </si>
  <si>
    <t>point source</t>
  </si>
  <si>
    <t>I = I_0</t>
  </si>
  <si>
    <t>no theta dependence</t>
  </si>
  <si>
    <t>Flux check</t>
  </si>
  <si>
    <t xml:space="preserve">Total Flux </t>
  </si>
  <si>
    <t>Total Flux I_0</t>
  </si>
  <si>
    <t>integration.</t>
  </si>
  <si>
    <t>I_0</t>
  </si>
  <si>
    <t>analytical</t>
  </si>
  <si>
    <t>total flux (I_0</t>
  </si>
  <si>
    <t>Total Flux</t>
  </si>
  <si>
    <t>Degrees</t>
  </si>
  <si>
    <t>Intensity(theta)</t>
  </si>
  <si>
    <t>Radians</t>
  </si>
  <si>
    <t>sin(theta)</t>
  </si>
  <si>
    <t>Flux</t>
  </si>
  <si>
    <t>Flux w/ I_0</t>
  </si>
  <si>
    <t>Intensity</t>
  </si>
  <si>
    <t>flux</t>
  </si>
  <si>
    <t>Goal</t>
  </si>
  <si>
    <t>Type in new value in Goal and use arrow keys to move back over the cell to update</t>
  </si>
  <si>
    <t>I = I_0cos(T)</t>
  </si>
  <si>
    <t>Total Flux w/ I_0</t>
  </si>
  <si>
    <t>I(θ)</t>
  </si>
  <si>
    <t>θ (deg)</t>
  </si>
  <si>
    <t>(rad)</t>
  </si>
  <si>
    <t xml:space="preserve">sinθ </t>
  </si>
  <si>
    <t xml:space="preserve">Flux </t>
  </si>
  <si>
    <t>Flux w/I_0</t>
  </si>
  <si>
    <t>Intensity with I_0</t>
  </si>
  <si>
    <t>E_0</t>
  </si>
  <si>
    <t>Linear Distribution:</t>
  </si>
  <si>
    <t>H</t>
  </si>
  <si>
    <t>Total Flux paramterized</t>
  </si>
  <si>
    <t>Alpha</t>
  </si>
  <si>
    <t>Total Flux Final</t>
  </si>
  <si>
    <t>Flux w/ E_0 and H</t>
  </si>
  <si>
    <t>Intensity with E_0 and H</t>
  </si>
  <si>
    <t>Max Diff</t>
  </si>
  <si>
    <t>Degree of max diff</t>
  </si>
  <si>
    <t>Define Reflector distance (mm)</t>
  </si>
  <si>
    <t>Final angle of reflector light</t>
  </si>
  <si>
    <t>Extent of reflector
(from 90°)</t>
  </si>
  <si>
    <t>Increment d(θ)</t>
  </si>
  <si>
    <t>arc length increments</t>
  </si>
  <si>
    <t>Mirror Reflectivity</t>
  </si>
  <si>
    <t>Light from source is less than intended distribution</t>
  </si>
  <si>
    <t>Light from source is greater than intended distribution</t>
  </si>
  <si>
    <t>Distance from optic (mm)</t>
  </si>
  <si>
    <t>Degree</t>
  </si>
  <si>
    <t>Difference in Flux</t>
  </si>
  <si>
    <t>Integrated Flux packets Linear modified by reflectance with Lambertian subtracted</t>
  </si>
  <si>
    <t xml:space="preserve">Integrated Angle </t>
  </si>
  <si>
    <t xml:space="preserve">Redirected Flux </t>
  </si>
  <si>
    <t>New Reflector</t>
  </si>
  <si>
    <t>Angle  of integration</t>
  </si>
  <si>
    <t>Flux w/I_0 Point Source</t>
  </si>
  <si>
    <t>Intensity Point Source</t>
  </si>
  <si>
    <t>Flux w/I_0 Lambertian Source</t>
  </si>
  <si>
    <t>Intensity Lambertian Source</t>
  </si>
  <si>
    <t>Extent of refractor
(from 90°)</t>
  </si>
  <si>
    <t>Refractor  %T</t>
  </si>
  <si>
    <t>Start of TIR reflector curve</t>
  </si>
  <si>
    <t>Intensity Linear (candela)</t>
  </si>
  <si>
    <t>Intensity Difference</t>
  </si>
  <si>
    <t>Final Angle (radians)</t>
  </si>
  <si>
    <t>Final angle (degrees)</t>
  </si>
  <si>
    <t>Redirected angle (degrees)</t>
  </si>
  <si>
    <t>Difference in angle start and finish</t>
  </si>
  <si>
    <t>Flux Recalculated</t>
  </si>
  <si>
    <t>Does Flux recalculated = flux difference?</t>
  </si>
  <si>
    <t>Reflector Flux + source</t>
  </si>
  <si>
    <t>Reflector angle subtended (degrees)</t>
  </si>
  <si>
    <t>Reflector angle subtended (radians)</t>
  </si>
  <si>
    <t>Arc length of reflector</t>
  </si>
  <si>
    <t>radius  value -&gt;</t>
  </si>
  <si>
    <t>Angle Theta</t>
  </si>
  <si>
    <t>Arc Length (mm)</t>
  </si>
  <si>
    <t>Angle Start (degrees)</t>
  </si>
  <si>
    <t>Angle Finish (degrees)</t>
  </si>
  <si>
    <t>Direction (degrees)</t>
  </si>
  <si>
    <t>Orientation of Reflector start</t>
  </si>
  <si>
    <t>Orientation of Reflector end</t>
  </si>
  <si>
    <t>Tangent (slope)</t>
  </si>
  <si>
    <t>Fudged da</t>
  </si>
  <si>
    <t>New angles</t>
  </si>
  <si>
    <t>Fudge points</t>
  </si>
  <si>
    <t>Index of refraction</t>
  </si>
  <si>
    <t>Critical Angle</t>
  </si>
  <si>
    <t>LED dome:</t>
  </si>
  <si>
    <t>Fudge Factor Reflector</t>
  </si>
  <si>
    <t>start</t>
  </si>
  <si>
    <t>new x</t>
  </si>
  <si>
    <t>new y</t>
  </si>
  <si>
    <t>Aim to nadir</t>
  </si>
  <si>
    <t>Incident angle</t>
  </si>
  <si>
    <t>Initial da (degrees)</t>
  </si>
  <si>
    <t>Angular extent end (degrees)</t>
  </si>
  <si>
    <t>r</t>
  </si>
  <si>
    <t>dr</t>
  </si>
  <si>
    <t>reflector slope</t>
  </si>
  <si>
    <t>source slope</t>
  </si>
  <si>
    <t>b1</t>
  </si>
  <si>
    <t>Modified elmers results</t>
  </si>
  <si>
    <t>Elmers results</t>
  </si>
  <si>
    <t>intended angles</t>
  </si>
  <si>
    <t>x</t>
  </si>
  <si>
    <t>y</t>
  </si>
  <si>
    <t>Modified Elmer:</t>
  </si>
  <si>
    <t>dr = tan(incident - reflected/2)*r*da</t>
  </si>
  <si>
    <t>Incident</t>
  </si>
  <si>
    <t>Reflected</t>
  </si>
  <si>
    <t>da</t>
  </si>
  <si>
    <t>r + dr</t>
  </si>
  <si>
    <t>r*da</t>
  </si>
  <si>
    <t>Reflector slope</t>
  </si>
  <si>
    <t>Source slope</t>
  </si>
  <si>
    <t>New x</t>
  </si>
  <si>
    <t>New y</t>
  </si>
  <si>
    <t>Defining Line</t>
  </si>
  <si>
    <t>m</t>
  </si>
  <si>
    <t>b</t>
  </si>
  <si>
    <t>angle from nadir</t>
  </si>
  <si>
    <t>center column define</t>
  </si>
  <si>
    <t>Angle</t>
  </si>
  <si>
    <t>Alpha = 1 Intensity</t>
  </si>
  <si>
    <t>219F Intensity</t>
  </si>
  <si>
    <t>Difference</t>
  </si>
  <si>
    <t>% err</t>
  </si>
  <si>
    <t>New 219F</t>
  </si>
  <si>
    <t>%err</t>
  </si>
  <si>
    <t>Overfilled</t>
  </si>
  <si>
    <t>Underfilled</t>
  </si>
  <si>
    <t>Matches +/-  lumens</t>
  </si>
  <si>
    <t xml:space="preserve">% Error </t>
  </si>
  <si>
    <t>angles</t>
  </si>
  <si>
    <t>values</t>
  </si>
  <si>
    <t>Refractor2 (7)</t>
  </si>
  <si>
    <t>30-35</t>
  </si>
  <si>
    <t>Refractor3 (8)</t>
  </si>
  <si>
    <t>20-25</t>
  </si>
  <si>
    <t>Refractor4 (9)</t>
  </si>
  <si>
    <t>15-25</t>
  </si>
  <si>
    <t>0-5</t>
  </si>
  <si>
    <t>Refactor11p</t>
  </si>
  <si>
    <t>Refractor12p</t>
  </si>
  <si>
    <t>10-20</t>
  </si>
  <si>
    <t>Refractor13p</t>
  </si>
  <si>
    <t>1-5</t>
  </si>
  <si>
    <t>35-40</t>
  </si>
  <si>
    <t>Refractor14p</t>
  </si>
  <si>
    <t>10-15</t>
  </si>
  <si>
    <t>2-5</t>
  </si>
  <si>
    <t>30-40</t>
  </si>
  <si>
    <t>1</t>
  </si>
  <si>
    <t>Changed to 50 angle convex lens</t>
  </si>
  <si>
    <t>Refractor15p</t>
  </si>
  <si>
    <t>Refractor16p</t>
  </si>
  <si>
    <t>*Interesting*</t>
  </si>
  <si>
    <t>Refractor17p</t>
  </si>
  <si>
    <t>Same but moved to -8 outer</t>
  </si>
  <si>
    <t>Refractor18p</t>
  </si>
  <si>
    <t>2-15</t>
  </si>
  <si>
    <t>Refractor19p</t>
  </si>
  <si>
    <t>33-40</t>
  </si>
  <si>
    <t>Refractor20p</t>
  </si>
  <si>
    <t>2-12</t>
  </si>
  <si>
    <t>could be good</t>
  </si>
  <si>
    <t>Refractor21p</t>
  </si>
  <si>
    <t>36-40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</si>
</sst>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00000000"/>
    <numFmt numFmtId="165" formatCode="0.00000000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7">
    <xf numFmtId="0" fontId="0" fillId="0" borderId="0"/>
    <xf numFmtId="0" fontId="1" fillId="2" borderId="0"/>
    <xf numFmtId="0" fontId="2" fillId="3" borderId="0"/>
    <xf numFmtId="0" fontId="4" fillId="5" borderId="1"/>
    <xf numFmtId="44" fontId="6" fillId="0" borderId="0"/>
    <xf numFmtId="0" fontId="6" fillId="8" borderId="0"/>
    <xf numFmtId="9" fontId="6" fillId="0" borderId="0"/>
  </cellStyleXfs>
  <cellXfs count="34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11" fontId="3" fillId="0" borderId="0" xfId="0" applyNumberFormat="1" applyFont="1"/>
    <xf numFmtId="0" fontId="0" fillId="4" borderId="0" xfId="0" applyFill="1" applyAlignment="1">
      <alignment horizontal="center"/>
    </xf>
    <xf numFmtId="0" fontId="2" fillId="3" borderId="0" xfId="2" applyAlignment="1">
      <alignment wrapText="1"/>
    </xf>
    <xf numFmtId="0" fontId="1" fillId="2" borderId="0" xfId="1" applyAlignment="1">
      <alignment wrapText="1"/>
    </xf>
    <xf numFmtId="164" fontId="0" fillId="0" borderId="0" xfId="0" applyNumberFormat="1"/>
    <xf numFmtId="165" fontId="0" fillId="0" borderId="0" xfId="0" applyNumberFormat="1"/>
    <xf numFmtId="0" fontId="1" fillId="2" borderId="0" xfId="1"/>
    <xf numFmtId="0" fontId="4" fillId="5" borderId="1" xfId="3"/>
    <xf numFmtId="0" fontId="5" fillId="0" borderId="0" xfId="0" applyFont="1"/>
    <xf numFmtId="0" fontId="0" fillId="0" borderId="0" xfId="0" applyAlignment="1">
      <alignment horizontal="left"/>
    </xf>
    <xf numFmtId="0" fontId="0" fillId="6" borderId="0" xfId="0" applyFill="1"/>
    <xf numFmtId="0" fontId="0" fillId="7" borderId="2" xfId="0" applyFill="1" applyBorder="1"/>
    <xf numFmtId="3" fontId="0" fillId="0" borderId="0" xfId="0" applyNumberFormat="1"/>
    <xf numFmtId="0" fontId="3" fillId="0" borderId="0" xfId="0" applyFont="1" applyAlignment="1">
      <alignment wrapText="1"/>
    </xf>
    <xf numFmtId="0" fontId="6" fillId="8" borderId="0" xfId="5" applyAlignment="1">
      <alignment wrapText="1"/>
    </xf>
    <xf numFmtId="0" fontId="0" fillId="9" borderId="0" xfId="0" applyFill="1"/>
    <xf numFmtId="0" fontId="0" fillId="10" borderId="0" xfId="0" applyFill="1"/>
    <xf numFmtId="0" fontId="0" fillId="11" borderId="0" xfId="0" applyFill="1"/>
    <xf numFmtId="9" fontId="0" fillId="0" borderId="0" xfId="6" applyFont="1"/>
    <xf numFmtId="0" fontId="0" fillId="0" borderId="0" xfId="0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right"/>
    </xf>
    <xf numFmtId="2" fontId="0" fillId="0" borderId="0" xfId="0" applyNumberFormat="1"/>
    <xf numFmtId="16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right" wrapText="1"/>
    </xf>
    <xf numFmtId="0" fontId="1" fillId="2" borderId="1" xfId="1" applyBorder="1"/>
    <xf numFmtId="0" fontId="6" fillId="8" borderId="0" xfId="5"/>
    <xf numFmtId="0" fontId="0" fillId="0" borderId="0" xfId="0" applyAlignment="1">
      <alignment horizontal="left" wrapText="1"/>
    </xf>
    <xf numFmtId="44" fontId="0" fillId="0" borderId="0" xfId="4" applyFont="1"/>
    <xf numFmtId="44" fontId="0" fillId="0" borderId="0" xfId="0" applyNumberFormat="1"/>
  </cellXfs>
  <cellStyles count="7">
    <cellStyle name="40% - Accent1" xfId="5" builtinId="31"/>
    <cellStyle name="Bad" xfId="2" builtinId="27"/>
    <cellStyle name="Calculation" xfId="3" builtinId="22"/>
    <cellStyle name="Currency" xfId="4" builtinId="4"/>
    <cellStyle name="Good" xfId="1" builtinId="26"/>
    <cellStyle name="Normal" xfId="0" builtinId="0"/>
    <cellStyle name="Percent" xfId="6" builtinId="5"/>
  </cellStyles>
  <dxfs count="16">
    <dxf>
      <fill>
        <patternFill>
          <bgColor rgb="FF00B0F0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numFmt numFmtId="0" formatCode="General"/>
    </dxf>
    <dxf>
      <alignment horizontal="general" vertical="bottom" wrapText="1"/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Linear distribution</c:v>
          </c:tx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'Flux maps w values'!$A$34:$A$124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'Flux maps w values'!$B$34:$B$124</c:f>
              <c:numCache>
                <c:formatCode>General</c:formatCode>
                <c:ptCount val="91"/>
                <c:pt idx="0">
                  <c:v>0</c:v>
                </c:pt>
                <c:pt idx="1">
                  <c:v>7.5171835230163992</c:v>
                </c:pt>
                <c:pt idx="2">
                  <c:v>14.768588221517634</c:v>
                </c:pt>
                <c:pt idx="3">
                  <c:v>21.770389556219722</c:v>
                </c:pt>
                <c:pt idx="4">
                  <c:v>28.53719543738179</c:v>
                </c:pt>
                <c:pt idx="5">
                  <c:v>35.082104512413217</c:v>
                </c:pt>
                <c:pt idx="6">
                  <c:v>41.416749797604105</c:v>
                </c:pt>
                <c:pt idx="7">
                  <c:v>47.551327762908329</c:v>
                </c:pt>
                <c:pt idx="8">
                  <c:v>53.494612764209634</c:v>
                </c:pt>
                <c:pt idx="9">
                  <c:v>59.253956495292705</c:v>
                </c:pt>
                <c:pt idx="10">
                  <c:v>64.835271897067344</c:v>
                </c:pt>
                <c:pt idx="11">
                  <c:v>70.243000709260883</c:v>
                </c:pt>
                <c:pt idx="12">
                  <c:v>75.48006357401637</c:v>
                </c:pt>
                <c:pt idx="13">
                  <c:v>80.547791295059696</c:v>
                </c:pt>
                <c:pt idx="14">
                  <c:v>85.445835512792073</c:v>
                </c:pt>
                <c:pt idx="15">
                  <c:v>90.172056666063469</c:v>
                </c:pt>
                <c:pt idx="16">
                  <c:v>94.722386665197106</c:v>
                </c:pt>
                <c:pt idx="17">
                  <c:v>99.090663185880757</c:v>
                </c:pt>
                <c:pt idx="18">
                  <c:v>103.26843189530499</c:v>
                </c:pt>
                <c:pt idx="19">
                  <c:v>107.24471222301206</c:v>
                </c:pt>
                <c:pt idx="20">
                  <c:v>111.00572146838286</c:v>
                </c:pt>
                <c:pt idx="21">
                  <c:v>114.53455106920933</c:v>
                </c:pt>
                <c:pt idx="22">
                  <c:v>117.81078771064308</c:v>
                </c:pt>
                <c:pt idx="23">
                  <c:v>120.81007059353763</c:v>
                </c:pt>
                <c:pt idx="24">
                  <c:v>123.50357456006584</c:v>
                </c:pt>
                <c:pt idx="25">
                  <c:v>125.85740683639067</c:v>
                </c:pt>
                <c:pt idx="26">
                  <c:v>127.83190282809545</c:v>
                </c:pt>
                <c:pt idx="27">
                  <c:v>129.38080360888273</c:v>
                </c:pt>
                <c:pt idx="28">
                  <c:v>130.45029437132138</c:v>
                </c:pt>
                <c:pt idx="29">
                  <c:v>130.97787902923298</c:v>
                </c:pt>
                <c:pt idx="30">
                  <c:v>130.89106121153279</c:v>
                </c:pt>
                <c:pt idx="31">
                  <c:v>130.105795863011</c:v>
                </c:pt>
                <c:pt idx="32">
                  <c:v>128.52466831276641</c:v>
                </c:pt>
                <c:pt idx="33">
                  <c:v>126.03474866360133</c:v>
                </c:pt>
                <c:pt idx="34">
                  <c:v>122.50505828850686</c:v>
                </c:pt>
                <c:pt idx="35">
                  <c:v>117.78357157695558</c:v>
                </c:pt>
                <c:pt idx="36">
                  <c:v>111.6936591964114</c:v>
                </c:pt>
                <c:pt idx="37">
                  <c:v>104.02985818236168</c:v>
                </c:pt>
                <c:pt idx="38">
                  <c:v>94.552828063638401</c:v>
                </c:pt>
                <c:pt idx="39">
                  <c:v>82.98331957661614</c:v>
                </c:pt>
                <c:pt idx="40">
                  <c:v>68.994941518730869</c:v>
                </c:pt>
                <c:pt idx="41">
                  <c:v>52.205459591953584</c:v>
                </c:pt>
                <c:pt idx="42">
                  <c:v>32.166295621736644</c:v>
                </c:pt>
                <c:pt idx="43">
                  <c:v>8.3498122737154379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AA-47F0-96FB-3B0F00B242FC}"/>
            </c:ext>
          </c:extLst>
        </c:ser>
        <c:ser>
          <c:idx val="1"/>
          <c:order val="1"/>
          <c:tx>
            <c:v>Lambertian distribution</c:v>
          </c:tx>
          <c:spPr>
            <a:ln w="19050" cap="rnd">
              <a:solidFill>
                <a:schemeClr val="accent2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xVal>
            <c:numRef>
              <c:f>'Flux maps w values'!$A$34:$A$124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'Flux maps w values'!$D$34:$D$124</c:f>
              <c:numCache>
                <c:formatCode>General</c:formatCode>
                <c:ptCount val="91"/>
                <c:pt idx="0">
                  <c:v>0</c:v>
                </c:pt>
                <c:pt idx="1">
                  <c:v>2.4366919236170785</c:v>
                </c:pt>
                <c:pt idx="2">
                  <c:v>4.8704151134688471</c:v>
                </c:pt>
                <c:pt idx="3">
                  <c:v>7.2982044527347885</c:v>
                </c:pt>
                <c:pt idx="4">
                  <c:v>9.717102054077289</c:v>
                </c:pt>
                <c:pt idx="5">
                  <c:v>12.124160863371721</c:v>
                </c:pt>
                <c:pt idx="6">
                  <c:v>14.516448250237946</c:v>
                </c:pt>
                <c:pt idx="7">
                  <c:v>16.891049580998693</c:v>
                </c:pt>
                <c:pt idx="8">
                  <c:v>19.245071769711725</c:v>
                </c:pt>
                <c:pt idx="9">
                  <c:v>21.575646802949414</c:v>
                </c:pt>
                <c:pt idx="10">
                  <c:v>23.879935234031311</c:v>
                </c:pt>
                <c:pt idx="11">
                  <c:v>26.155129642452589</c:v>
                </c:pt>
                <c:pt idx="12">
                  <c:v>28.398458054293407</c:v>
                </c:pt>
                <c:pt idx="13">
                  <c:v>30.607187319442179</c:v>
                </c:pt>
                <c:pt idx="14">
                  <c:v>32.778626441517993</c:v>
                </c:pt>
                <c:pt idx="15">
                  <c:v>34.910129856435148</c:v>
                </c:pt>
                <c:pt idx="16">
                  <c:v>36.999100655615514</c:v>
                </c:pt>
                <c:pt idx="17">
                  <c:v>39.042993749921564</c:v>
                </c:pt>
                <c:pt idx="18">
                  <c:v>41.039318970455469</c:v>
                </c:pt>
                <c:pt idx="19">
                  <c:v>42.985644102446358</c:v>
                </c:pt>
                <c:pt idx="20">
                  <c:v>44.879597848529286</c:v>
                </c:pt>
                <c:pt idx="21">
                  <c:v>46.718872717805866</c:v>
                </c:pt>
                <c:pt idx="22">
                  <c:v>48.501227837166468</c:v>
                </c:pt>
                <c:pt idx="23">
                  <c:v>50.224491681448896</c:v>
                </c:pt>
                <c:pt idx="24">
                  <c:v>51.886564719107341</c:v>
                </c:pt>
                <c:pt idx="25">
                  <c:v>53.48542197016814</c:v>
                </c:pt>
                <c:pt idx="26">
                  <c:v>55.019115473355981</c:v>
                </c:pt>
                <c:pt idx="27">
                  <c:v>56.485776659384555</c:v>
                </c:pt>
                <c:pt idx="28">
                  <c:v>57.883618627520576</c:v>
                </c:pt>
                <c:pt idx="29">
                  <c:v>59.210938322646868</c:v>
                </c:pt>
                <c:pt idx="30">
                  <c:v>60.46611861017287</c:v>
                </c:pt>
                <c:pt idx="31">
                  <c:v>61.647630246263944</c:v>
                </c:pt>
                <c:pt idx="32">
                  <c:v>62.754033740989406</c:v>
                </c:pt>
                <c:pt idx="33">
                  <c:v>63.783981112119349</c:v>
                </c:pt>
                <c:pt idx="34">
                  <c:v>64.736217527433269</c:v>
                </c:pt>
                <c:pt idx="35">
                  <c:v>65.609582833539875</c:v>
                </c:pt>
                <c:pt idx="36">
                  <c:v>66.403012969345298</c:v>
                </c:pt>
                <c:pt idx="37">
                  <c:v>67.115541262447579</c:v>
                </c:pt>
                <c:pt idx="38">
                  <c:v>67.746299606878196</c:v>
                </c:pt>
                <c:pt idx="39">
                  <c:v>68.294519520755273</c:v>
                </c:pt>
                <c:pt idx="40">
                  <c:v>68.759533082560594</c:v>
                </c:pt>
                <c:pt idx="41">
                  <c:v>69.140773744898951</c:v>
                </c:pt>
                <c:pt idx="42">
                  <c:v>69.437777024748883</c:v>
                </c:pt>
                <c:pt idx="43">
                  <c:v>69.650181069363725</c:v>
                </c:pt>
                <c:pt idx="44">
                  <c:v>69.777727097133507</c:v>
                </c:pt>
                <c:pt idx="45">
                  <c:v>69.82025971287031</c:v>
                </c:pt>
                <c:pt idx="46">
                  <c:v>69.777727097133507</c:v>
                </c:pt>
                <c:pt idx="47">
                  <c:v>69.650181069363725</c:v>
                </c:pt>
                <c:pt idx="48">
                  <c:v>69.437777024748883</c:v>
                </c:pt>
                <c:pt idx="49">
                  <c:v>69.140773744898951</c:v>
                </c:pt>
                <c:pt idx="50">
                  <c:v>68.759533082560594</c:v>
                </c:pt>
                <c:pt idx="51">
                  <c:v>68.294519520755287</c:v>
                </c:pt>
                <c:pt idx="52">
                  <c:v>67.746299606878196</c:v>
                </c:pt>
                <c:pt idx="53">
                  <c:v>67.115541262447593</c:v>
                </c:pt>
                <c:pt idx="54">
                  <c:v>66.403012969345298</c:v>
                </c:pt>
                <c:pt idx="55">
                  <c:v>65.609582833539889</c:v>
                </c:pt>
                <c:pt idx="56">
                  <c:v>64.736217527433269</c:v>
                </c:pt>
                <c:pt idx="57">
                  <c:v>63.783981112119349</c:v>
                </c:pt>
                <c:pt idx="58">
                  <c:v>62.754033740989406</c:v>
                </c:pt>
                <c:pt idx="59">
                  <c:v>61.647630246263944</c:v>
                </c:pt>
                <c:pt idx="60">
                  <c:v>60.466118610172892</c:v>
                </c:pt>
                <c:pt idx="61">
                  <c:v>59.210938322646875</c:v>
                </c:pt>
                <c:pt idx="62">
                  <c:v>57.883618627520576</c:v>
                </c:pt>
                <c:pt idx="63">
                  <c:v>56.485776659384555</c:v>
                </c:pt>
                <c:pt idx="64">
                  <c:v>55.019115473355988</c:v>
                </c:pt>
                <c:pt idx="65">
                  <c:v>53.48542197016814</c:v>
                </c:pt>
                <c:pt idx="66">
                  <c:v>51.886564719107341</c:v>
                </c:pt>
                <c:pt idx="67">
                  <c:v>50.224491681448889</c:v>
                </c:pt>
                <c:pt idx="68">
                  <c:v>48.501227837166446</c:v>
                </c:pt>
                <c:pt idx="69">
                  <c:v>46.718872717805887</c:v>
                </c:pt>
                <c:pt idx="70">
                  <c:v>44.879597848529293</c:v>
                </c:pt>
                <c:pt idx="71">
                  <c:v>42.985644102446358</c:v>
                </c:pt>
                <c:pt idx="72">
                  <c:v>41.039318970455469</c:v>
                </c:pt>
                <c:pt idx="73">
                  <c:v>39.042993749921564</c:v>
                </c:pt>
                <c:pt idx="74">
                  <c:v>36.999100655615514</c:v>
                </c:pt>
                <c:pt idx="75">
                  <c:v>34.910129856435148</c:v>
                </c:pt>
                <c:pt idx="76">
                  <c:v>32.778626441517986</c:v>
                </c:pt>
                <c:pt idx="77">
                  <c:v>30.607187319442168</c:v>
                </c:pt>
                <c:pt idx="78">
                  <c:v>28.398458054293418</c:v>
                </c:pt>
                <c:pt idx="79">
                  <c:v>26.155129642452604</c:v>
                </c:pt>
                <c:pt idx="80">
                  <c:v>23.879935234031322</c:v>
                </c:pt>
                <c:pt idx="81">
                  <c:v>21.575646802949421</c:v>
                </c:pt>
                <c:pt idx="82">
                  <c:v>19.245071769711728</c:v>
                </c:pt>
                <c:pt idx="83">
                  <c:v>16.891049580998693</c:v>
                </c:pt>
                <c:pt idx="84">
                  <c:v>14.516448250237946</c:v>
                </c:pt>
                <c:pt idx="85">
                  <c:v>12.124160863371715</c:v>
                </c:pt>
                <c:pt idx="86">
                  <c:v>9.7171020540772801</c:v>
                </c:pt>
                <c:pt idx="87">
                  <c:v>7.298204452734808</c:v>
                </c:pt>
                <c:pt idx="88">
                  <c:v>4.8704151134688631</c:v>
                </c:pt>
                <c:pt idx="89">
                  <c:v>2.4366919236170905</c:v>
                </c:pt>
                <c:pt idx="9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DAA-47F0-96FB-3B0F00B242FC}"/>
            </c:ext>
          </c:extLst>
        </c:ser>
        <c:ser>
          <c:idx val="2"/>
          <c:order val="2"/>
          <c:tx>
            <c:v>New Reflector</c:v>
          </c:tx>
          <c:spPr>
            <a:ln w="19050" cap="rnd">
              <a:solidFill>
                <a:schemeClr val="accent3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olid"/>
              </a:ln>
            </c:spPr>
          </c:marker>
          <c:xVal>
            <c:numRef>
              <c:f>'Flux maps w values'!$A$34:$A$124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'Flux maps w values'!$R$34:$R$125</c:f>
              <c:numCache>
                <c:formatCode>General</c:formatCode>
                <c:ptCount val="92"/>
                <c:pt idx="0">
                  <c:v>0</c:v>
                </c:pt>
                <c:pt idx="1">
                  <c:v>9.7437989607030318</c:v>
                </c:pt>
                <c:pt idx="2">
                  <c:v>84.662452084601028</c:v>
                </c:pt>
                <c:pt idx="3">
                  <c:v>107.30737418646156</c:v>
                </c:pt>
                <c:pt idx="4">
                  <c:v>108.01304567147258</c:v>
                </c:pt>
                <c:pt idx="5">
                  <c:v>129.20557423936427</c:v>
                </c:pt>
                <c:pt idx="6">
                  <c:v>149.10056291901947</c:v>
                </c:pt>
                <c:pt idx="7">
                  <c:v>167.50333381872139</c:v>
                </c:pt>
                <c:pt idx="8">
                  <c:v>127.74960921323586</c:v>
                </c:pt>
                <c:pt idx="9">
                  <c:v>135.94504208985455</c:v>
                </c:pt>
                <c:pt idx="10">
                  <c:v>205.20462241311503</c:v>
                </c:pt>
                <c:pt idx="11">
                  <c:v>152.69314449556134</c:v>
                </c:pt>
                <c:pt idx="12">
                  <c:v>225.14727138461186</c:v>
                </c:pt>
                <c:pt idx="13">
                  <c:v>233.76354770952327</c:v>
                </c:pt>
                <c:pt idx="14">
                  <c:v>240.11671029372644</c:v>
                </c:pt>
                <c:pt idx="15">
                  <c:v>244.15829773580271</c:v>
                </c:pt>
                <c:pt idx="16">
                  <c:v>245.86478584686159</c:v>
                </c:pt>
                <c:pt idx="17">
                  <c:v>245.23782009813641</c:v>
                </c:pt>
                <c:pt idx="18">
                  <c:v>242.30417280912653</c:v>
                </c:pt>
                <c:pt idx="19">
                  <c:v>237.11542557553889</c:v>
                </c:pt>
                <c:pt idx="20">
                  <c:v>229.74738044595551</c:v>
                </c:pt>
                <c:pt idx="21">
                  <c:v>220.29920632735787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DAA-47F0-96FB-3B0F00B242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2333760"/>
        <c:axId val="1113256816"/>
      </c:scatterChart>
      <c:valAx>
        <c:axId val="1082333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256816"/>
        <c:crosses val="autoZero"/>
        <c:crossBetween val="midCat"/>
      </c:valAx>
      <c:valAx>
        <c:axId val="111325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2333760"/>
        <c:crosses val="autoZero"/>
        <c:crossBetween val="midCat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Flux</a:t>
            </a:r>
            <a:r>
              <a:rPr lang="en-US" baseline="0"/>
              <a:t> vs. Angle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2.4470840849498771E-2"/>
          <c:y val="4.6287417132269922E-2"/>
          <c:w val="0.84507698789257168"/>
          <c:h val="0.9361485850307053"/>
        </c:manualLayout>
      </c:layout>
      <c:scatterChart>
        <c:scatterStyle val="smoothMarker"/>
        <c:varyColors val="0"/>
        <c:ser>
          <c:idx val="0"/>
          <c:order val="0"/>
          <c:tx>
            <c:v>Linear distribution</c:v>
          </c:tx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'Flux maps Refractor final'!$A$34:$A$124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'Flux maps Refractor final'!$B$34:$B$124</c:f>
              <c:numCache>
                <c:formatCode>General</c:formatCode>
                <c:ptCount val="91"/>
                <c:pt idx="0">
                  <c:v>0</c:v>
                </c:pt>
                <c:pt idx="1">
                  <c:v>7.5171835230163992</c:v>
                </c:pt>
                <c:pt idx="2">
                  <c:v>14.768588221517634</c:v>
                </c:pt>
                <c:pt idx="3">
                  <c:v>21.770389556219722</c:v>
                </c:pt>
                <c:pt idx="4">
                  <c:v>28.53719543738179</c:v>
                </c:pt>
                <c:pt idx="5">
                  <c:v>35.082104512413217</c:v>
                </c:pt>
                <c:pt idx="6">
                  <c:v>41.416749797604105</c:v>
                </c:pt>
                <c:pt idx="7">
                  <c:v>47.551327762908329</c:v>
                </c:pt>
                <c:pt idx="8">
                  <c:v>53.494612764209634</c:v>
                </c:pt>
                <c:pt idx="9">
                  <c:v>59.253956495292705</c:v>
                </c:pt>
                <c:pt idx="10">
                  <c:v>64.835271897067344</c:v>
                </c:pt>
                <c:pt idx="11">
                  <c:v>70.243000709260883</c:v>
                </c:pt>
                <c:pt idx="12">
                  <c:v>75.48006357401637</c:v>
                </c:pt>
                <c:pt idx="13">
                  <c:v>80.547791295059696</c:v>
                </c:pt>
                <c:pt idx="14">
                  <c:v>85.445835512792073</c:v>
                </c:pt>
                <c:pt idx="15">
                  <c:v>90.172056666063469</c:v>
                </c:pt>
                <c:pt idx="16">
                  <c:v>94.722386665197106</c:v>
                </c:pt>
                <c:pt idx="17">
                  <c:v>99.090663185880757</c:v>
                </c:pt>
                <c:pt idx="18">
                  <c:v>103.26843189530499</c:v>
                </c:pt>
                <c:pt idx="19">
                  <c:v>107.24471222301206</c:v>
                </c:pt>
                <c:pt idx="20">
                  <c:v>111.00572146838286</c:v>
                </c:pt>
                <c:pt idx="21">
                  <c:v>114.53455106920933</c:v>
                </c:pt>
                <c:pt idx="22">
                  <c:v>117.81078771064308</c:v>
                </c:pt>
                <c:pt idx="23">
                  <c:v>120.81007059353763</c:v>
                </c:pt>
                <c:pt idx="24">
                  <c:v>123.50357456006584</c:v>
                </c:pt>
                <c:pt idx="25">
                  <c:v>125.85740683639067</c:v>
                </c:pt>
                <c:pt idx="26">
                  <c:v>127.83190282809545</c:v>
                </c:pt>
                <c:pt idx="27">
                  <c:v>129.38080360888273</c:v>
                </c:pt>
                <c:pt idx="28">
                  <c:v>130.45029437132138</c:v>
                </c:pt>
                <c:pt idx="29">
                  <c:v>130.97787902923298</c:v>
                </c:pt>
                <c:pt idx="30">
                  <c:v>130.89106121153279</c:v>
                </c:pt>
                <c:pt idx="31">
                  <c:v>130.105795863011</c:v>
                </c:pt>
                <c:pt idx="32">
                  <c:v>128.52466831276641</c:v>
                </c:pt>
                <c:pt idx="33">
                  <c:v>126.03474866360133</c:v>
                </c:pt>
                <c:pt idx="34">
                  <c:v>122.50505828850686</c:v>
                </c:pt>
                <c:pt idx="35">
                  <c:v>117.78357157695558</c:v>
                </c:pt>
                <c:pt idx="36">
                  <c:v>111.6936591964114</c:v>
                </c:pt>
                <c:pt idx="37">
                  <c:v>104.02985818236168</c:v>
                </c:pt>
                <c:pt idx="38">
                  <c:v>94.552828063638401</c:v>
                </c:pt>
                <c:pt idx="39">
                  <c:v>82.98331957661614</c:v>
                </c:pt>
                <c:pt idx="40">
                  <c:v>68.994941518730869</c:v>
                </c:pt>
                <c:pt idx="41">
                  <c:v>52.205459591953584</c:v>
                </c:pt>
                <c:pt idx="42">
                  <c:v>32.166295621736644</c:v>
                </c:pt>
                <c:pt idx="43">
                  <c:v>8.3498122737154379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0C4-4277-BE22-A5F08C9C7E47}"/>
            </c:ext>
          </c:extLst>
        </c:ser>
        <c:ser>
          <c:idx val="1"/>
          <c:order val="1"/>
          <c:tx>
            <c:v>Lambertian distribution</c:v>
          </c:tx>
          <c:spPr>
            <a:ln w="19050" cap="rnd">
              <a:solidFill>
                <a:schemeClr val="accent2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xVal>
            <c:numRef>
              <c:f>'Flux maps Refractor final'!$A$34:$A$124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'Flux maps Refractor final'!$D$34:$D$124</c:f>
              <c:numCache>
                <c:formatCode>General</c:formatCode>
                <c:ptCount val="91"/>
                <c:pt idx="0">
                  <c:v>0</c:v>
                </c:pt>
                <c:pt idx="1">
                  <c:v>2.4366919236170785</c:v>
                </c:pt>
                <c:pt idx="2">
                  <c:v>4.8704151134688471</c:v>
                </c:pt>
                <c:pt idx="3">
                  <c:v>7.2982044527347885</c:v>
                </c:pt>
                <c:pt idx="4">
                  <c:v>9.717102054077289</c:v>
                </c:pt>
                <c:pt idx="5">
                  <c:v>12.124160863371721</c:v>
                </c:pt>
                <c:pt idx="6">
                  <c:v>14.516448250237946</c:v>
                </c:pt>
                <c:pt idx="7">
                  <c:v>16.891049580998693</c:v>
                </c:pt>
                <c:pt idx="8">
                  <c:v>19.245071769711725</c:v>
                </c:pt>
                <c:pt idx="9">
                  <c:v>21.575646802949414</c:v>
                </c:pt>
                <c:pt idx="10">
                  <c:v>23.879935234031311</c:v>
                </c:pt>
                <c:pt idx="11">
                  <c:v>26.155129642452589</c:v>
                </c:pt>
                <c:pt idx="12">
                  <c:v>28.398458054293407</c:v>
                </c:pt>
                <c:pt idx="13">
                  <c:v>30.607187319442179</c:v>
                </c:pt>
                <c:pt idx="14">
                  <c:v>32.778626441517993</c:v>
                </c:pt>
                <c:pt idx="15">
                  <c:v>34.910129856435148</c:v>
                </c:pt>
                <c:pt idx="16">
                  <c:v>36.999100655615514</c:v>
                </c:pt>
                <c:pt idx="17">
                  <c:v>39.042993749921564</c:v>
                </c:pt>
                <c:pt idx="18">
                  <c:v>41.039318970455469</c:v>
                </c:pt>
                <c:pt idx="19">
                  <c:v>42.985644102446358</c:v>
                </c:pt>
                <c:pt idx="20">
                  <c:v>44.879597848529286</c:v>
                </c:pt>
                <c:pt idx="21">
                  <c:v>46.718872717805866</c:v>
                </c:pt>
                <c:pt idx="22">
                  <c:v>48.501227837166468</c:v>
                </c:pt>
                <c:pt idx="23">
                  <c:v>50.224491681448896</c:v>
                </c:pt>
                <c:pt idx="24">
                  <c:v>51.886564719107341</c:v>
                </c:pt>
                <c:pt idx="25">
                  <c:v>53.48542197016814</c:v>
                </c:pt>
                <c:pt idx="26">
                  <c:v>55.019115473355981</c:v>
                </c:pt>
                <c:pt idx="27">
                  <c:v>56.485776659384555</c:v>
                </c:pt>
                <c:pt idx="28">
                  <c:v>57.883618627520576</c:v>
                </c:pt>
                <c:pt idx="29">
                  <c:v>59.210938322646868</c:v>
                </c:pt>
                <c:pt idx="30">
                  <c:v>60.46611861017287</c:v>
                </c:pt>
                <c:pt idx="31">
                  <c:v>61.647630246263944</c:v>
                </c:pt>
                <c:pt idx="32">
                  <c:v>62.754033740989406</c:v>
                </c:pt>
                <c:pt idx="33">
                  <c:v>63.783981112119349</c:v>
                </c:pt>
                <c:pt idx="34">
                  <c:v>64.736217527433269</c:v>
                </c:pt>
                <c:pt idx="35">
                  <c:v>65.609582833539875</c:v>
                </c:pt>
                <c:pt idx="36">
                  <c:v>66.403012969345298</c:v>
                </c:pt>
                <c:pt idx="37">
                  <c:v>67.115541262447579</c:v>
                </c:pt>
                <c:pt idx="38">
                  <c:v>67.746299606878196</c:v>
                </c:pt>
                <c:pt idx="39">
                  <c:v>68.294519520755273</c:v>
                </c:pt>
                <c:pt idx="40">
                  <c:v>68.759533082560594</c:v>
                </c:pt>
                <c:pt idx="41">
                  <c:v>69.140773744898951</c:v>
                </c:pt>
                <c:pt idx="42">
                  <c:v>69.437777024748883</c:v>
                </c:pt>
                <c:pt idx="43">
                  <c:v>69.650181069363725</c:v>
                </c:pt>
                <c:pt idx="44">
                  <c:v>69.777727097133507</c:v>
                </c:pt>
                <c:pt idx="45">
                  <c:v>69.82025971287031</c:v>
                </c:pt>
                <c:pt idx="46">
                  <c:v>69.777727097133507</c:v>
                </c:pt>
                <c:pt idx="47">
                  <c:v>69.650181069363725</c:v>
                </c:pt>
                <c:pt idx="48">
                  <c:v>69.437777024748883</c:v>
                </c:pt>
                <c:pt idx="49">
                  <c:v>69.140773744898951</c:v>
                </c:pt>
                <c:pt idx="50">
                  <c:v>68.759533082560594</c:v>
                </c:pt>
                <c:pt idx="51">
                  <c:v>68.294519520755287</c:v>
                </c:pt>
                <c:pt idx="52">
                  <c:v>67.746299606878196</c:v>
                </c:pt>
                <c:pt idx="53">
                  <c:v>67.115541262447593</c:v>
                </c:pt>
                <c:pt idx="54">
                  <c:v>66.403012969345298</c:v>
                </c:pt>
                <c:pt idx="55">
                  <c:v>65.609582833539889</c:v>
                </c:pt>
                <c:pt idx="56">
                  <c:v>64.736217527433269</c:v>
                </c:pt>
                <c:pt idx="57">
                  <c:v>63.783981112119349</c:v>
                </c:pt>
                <c:pt idx="58">
                  <c:v>62.754033740989406</c:v>
                </c:pt>
                <c:pt idx="59">
                  <c:v>61.647630246263944</c:v>
                </c:pt>
                <c:pt idx="60">
                  <c:v>60.466118610172892</c:v>
                </c:pt>
                <c:pt idx="61">
                  <c:v>59.210938322646875</c:v>
                </c:pt>
                <c:pt idx="62">
                  <c:v>57.883618627520576</c:v>
                </c:pt>
                <c:pt idx="63">
                  <c:v>56.485776659384555</c:v>
                </c:pt>
                <c:pt idx="64">
                  <c:v>55.019115473355988</c:v>
                </c:pt>
                <c:pt idx="65">
                  <c:v>53.48542197016814</c:v>
                </c:pt>
                <c:pt idx="66">
                  <c:v>51.886564719107341</c:v>
                </c:pt>
                <c:pt idx="67">
                  <c:v>50.224491681448889</c:v>
                </c:pt>
                <c:pt idx="68">
                  <c:v>48.501227837166446</c:v>
                </c:pt>
                <c:pt idx="69">
                  <c:v>46.718872717805887</c:v>
                </c:pt>
                <c:pt idx="70">
                  <c:v>44.879597848529293</c:v>
                </c:pt>
                <c:pt idx="71">
                  <c:v>42.985644102446358</c:v>
                </c:pt>
                <c:pt idx="72">
                  <c:v>41.039318970455469</c:v>
                </c:pt>
                <c:pt idx="73">
                  <c:v>39.042993749921564</c:v>
                </c:pt>
                <c:pt idx="74">
                  <c:v>36.999100655615514</c:v>
                </c:pt>
                <c:pt idx="75">
                  <c:v>34.910129856435148</c:v>
                </c:pt>
                <c:pt idx="76">
                  <c:v>32.778626441517986</c:v>
                </c:pt>
                <c:pt idx="77">
                  <c:v>30.607187319442168</c:v>
                </c:pt>
                <c:pt idx="78">
                  <c:v>28.398458054293418</c:v>
                </c:pt>
                <c:pt idx="79">
                  <c:v>26.155129642452604</c:v>
                </c:pt>
                <c:pt idx="80">
                  <c:v>23.879935234031322</c:v>
                </c:pt>
                <c:pt idx="81">
                  <c:v>21.575646802949421</c:v>
                </c:pt>
                <c:pt idx="82">
                  <c:v>19.245071769711728</c:v>
                </c:pt>
                <c:pt idx="83">
                  <c:v>16.891049580998693</c:v>
                </c:pt>
                <c:pt idx="84">
                  <c:v>14.516448250237946</c:v>
                </c:pt>
                <c:pt idx="85">
                  <c:v>12.124160863371715</c:v>
                </c:pt>
                <c:pt idx="86">
                  <c:v>9.7171020540772801</c:v>
                </c:pt>
                <c:pt idx="87">
                  <c:v>7.298204452734808</c:v>
                </c:pt>
                <c:pt idx="88">
                  <c:v>4.8704151134688631</c:v>
                </c:pt>
                <c:pt idx="89">
                  <c:v>2.4366919236170905</c:v>
                </c:pt>
                <c:pt idx="9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0C4-4277-BE22-A5F08C9C7E47}"/>
            </c:ext>
          </c:extLst>
        </c:ser>
        <c:ser>
          <c:idx val="2"/>
          <c:order val="2"/>
          <c:tx>
            <c:v>Refractor</c:v>
          </c:tx>
          <c:spPr>
            <a:ln w="19050" cap="rnd">
              <a:solidFill>
                <a:schemeClr val="accent3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olid"/>
              </a:ln>
            </c:spPr>
          </c:marker>
          <c:xVal>
            <c:numRef>
              <c:f>'Flux maps Refractor final'!$A$34:$A$124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'Flux maps Refractor final'!$O$34:$O$124</c:f>
              <c:numCache>
                <c:formatCode>General</c:formatCode>
                <c:ptCount val="91"/>
                <c:pt idx="0">
                  <c:v>0</c:v>
                </c:pt>
                <c:pt idx="1">
                  <c:v>7.5171835230164596</c:v>
                </c:pt>
                <c:pt idx="2">
                  <c:v>14.76858822151781</c:v>
                </c:pt>
                <c:pt idx="3">
                  <c:v>21.770389556219364</c:v>
                </c:pt>
                <c:pt idx="4">
                  <c:v>28.537195437381762</c:v>
                </c:pt>
                <c:pt idx="5">
                  <c:v>35.082104512412734</c:v>
                </c:pt>
                <c:pt idx="6">
                  <c:v>41.416749797604048</c:v>
                </c:pt>
                <c:pt idx="7">
                  <c:v>47.551327762907874</c:v>
                </c:pt>
                <c:pt idx="8">
                  <c:v>53.494612764209322</c:v>
                </c:pt>
                <c:pt idx="9">
                  <c:v>59.253956495292826</c:v>
                </c:pt>
                <c:pt idx="10">
                  <c:v>64.835271897067258</c:v>
                </c:pt>
                <c:pt idx="11">
                  <c:v>70.243000709259903</c:v>
                </c:pt>
                <c:pt idx="12">
                  <c:v>75.480063574016555</c:v>
                </c:pt>
                <c:pt idx="13">
                  <c:v>80.547791295059554</c:v>
                </c:pt>
                <c:pt idx="14">
                  <c:v>85.445835512791618</c:v>
                </c:pt>
                <c:pt idx="15">
                  <c:v>90.172056666063952</c:v>
                </c:pt>
                <c:pt idx="16">
                  <c:v>94.722386665197035</c:v>
                </c:pt>
                <c:pt idx="17">
                  <c:v>99.090663185881056</c:v>
                </c:pt>
                <c:pt idx="18">
                  <c:v>103.26843189530479</c:v>
                </c:pt>
                <c:pt idx="19">
                  <c:v>107.24471222301136</c:v>
                </c:pt>
                <c:pt idx="20">
                  <c:v>111.0057214683824</c:v>
                </c:pt>
                <c:pt idx="21">
                  <c:v>114.53455106920973</c:v>
                </c:pt>
                <c:pt idx="22">
                  <c:v>117.81078771064297</c:v>
                </c:pt>
                <c:pt idx="23">
                  <c:v>120.81007059353725</c:v>
                </c:pt>
                <c:pt idx="24">
                  <c:v>123.5035745600654</c:v>
                </c:pt>
                <c:pt idx="25">
                  <c:v>125.85740683639131</c:v>
                </c:pt>
                <c:pt idx="26">
                  <c:v>127.83190282809457</c:v>
                </c:pt>
                <c:pt idx="27">
                  <c:v>129.38080360888222</c:v>
                </c:pt>
                <c:pt idx="28">
                  <c:v>130.45029437132203</c:v>
                </c:pt>
                <c:pt idx="29">
                  <c:v>130.97787902923301</c:v>
                </c:pt>
                <c:pt idx="30">
                  <c:v>130.89106121153338</c:v>
                </c:pt>
                <c:pt idx="31">
                  <c:v>130.1057958630106</c:v>
                </c:pt>
                <c:pt idx="32">
                  <c:v>128.52466831276595</c:v>
                </c:pt>
                <c:pt idx="33">
                  <c:v>126.03474866360139</c:v>
                </c:pt>
                <c:pt idx="34">
                  <c:v>122.50505828850672</c:v>
                </c:pt>
                <c:pt idx="35">
                  <c:v>117.78357157695569</c:v>
                </c:pt>
                <c:pt idx="36">
                  <c:v>111.69365919641186</c:v>
                </c:pt>
                <c:pt idx="37">
                  <c:v>104.0298581823622</c:v>
                </c:pt>
                <c:pt idx="38">
                  <c:v>94.552828063637975</c:v>
                </c:pt>
                <c:pt idx="39">
                  <c:v>82.983319576615528</c:v>
                </c:pt>
                <c:pt idx="40">
                  <c:v>68.994941518730798</c:v>
                </c:pt>
                <c:pt idx="41" formatCode="0.000000000">
                  <c:v>69.140773744898951</c:v>
                </c:pt>
                <c:pt idx="42" formatCode="0.000000000">
                  <c:v>0</c:v>
                </c:pt>
                <c:pt idx="43" formatCode="0.000000000">
                  <c:v>0</c:v>
                </c:pt>
                <c:pt idx="44" formatCode="0.000000000">
                  <c:v>0</c:v>
                </c:pt>
                <c:pt idx="45" formatCode="0.000000000">
                  <c:v>0</c:v>
                </c:pt>
                <c:pt idx="46" formatCode="0.000000000">
                  <c:v>0</c:v>
                </c:pt>
                <c:pt idx="47" formatCode="0.000000000">
                  <c:v>0</c:v>
                </c:pt>
                <c:pt idx="48" formatCode="0.000000000">
                  <c:v>0</c:v>
                </c:pt>
                <c:pt idx="49" formatCode="0.000000000">
                  <c:v>0</c:v>
                </c:pt>
                <c:pt idx="50" formatCode="0.000000000">
                  <c:v>0</c:v>
                </c:pt>
                <c:pt idx="51" formatCode="0.000000000">
                  <c:v>0</c:v>
                </c:pt>
                <c:pt idx="52" formatCode="0.000000000">
                  <c:v>0</c:v>
                </c:pt>
                <c:pt idx="53" formatCode="0.000000000">
                  <c:v>0</c:v>
                </c:pt>
                <c:pt idx="54" formatCode="0.000000000">
                  <c:v>0</c:v>
                </c:pt>
                <c:pt idx="55" formatCode="0.000000000">
                  <c:v>0</c:v>
                </c:pt>
                <c:pt idx="56" formatCode="0.000000000">
                  <c:v>0</c:v>
                </c:pt>
                <c:pt idx="57" formatCode="0.000000000">
                  <c:v>0</c:v>
                </c:pt>
                <c:pt idx="58" formatCode="0.000000000">
                  <c:v>0</c:v>
                </c:pt>
                <c:pt idx="59" formatCode="0.000000000">
                  <c:v>0</c:v>
                </c:pt>
                <c:pt idx="60" formatCode="0.000000000">
                  <c:v>0</c:v>
                </c:pt>
                <c:pt idx="61" formatCode="0.000000000">
                  <c:v>0</c:v>
                </c:pt>
                <c:pt idx="62" formatCode="0.000000000">
                  <c:v>0</c:v>
                </c:pt>
                <c:pt idx="63" formatCode="0.000000000">
                  <c:v>0</c:v>
                </c:pt>
                <c:pt idx="64" formatCode="0.000000000">
                  <c:v>0</c:v>
                </c:pt>
                <c:pt idx="65" formatCode="0.000000000">
                  <c:v>0</c:v>
                </c:pt>
                <c:pt idx="66" formatCode="0.000000000">
                  <c:v>0</c:v>
                </c:pt>
                <c:pt idx="67" formatCode="0.000000000">
                  <c:v>0</c:v>
                </c:pt>
                <c:pt idx="68" formatCode="0.000000000">
                  <c:v>0</c:v>
                </c:pt>
                <c:pt idx="69" formatCode="0.000000000">
                  <c:v>0</c:v>
                </c:pt>
                <c:pt idx="70" formatCode="0.000000000">
                  <c:v>0</c:v>
                </c:pt>
                <c:pt idx="71" formatCode="0.000000000">
                  <c:v>0</c:v>
                </c:pt>
                <c:pt idx="72" formatCode="0.000000000">
                  <c:v>0</c:v>
                </c:pt>
                <c:pt idx="73" formatCode="0.000000000">
                  <c:v>0</c:v>
                </c:pt>
                <c:pt idx="74" formatCode="0.000000000">
                  <c:v>0</c:v>
                </c:pt>
                <c:pt idx="75" formatCode="0.000000000">
                  <c:v>0</c:v>
                </c:pt>
                <c:pt idx="76" formatCode="0.000000000">
                  <c:v>0</c:v>
                </c:pt>
                <c:pt idx="77" formatCode="0.000000000">
                  <c:v>0</c:v>
                </c:pt>
                <c:pt idx="78" formatCode="0.000000000">
                  <c:v>0</c:v>
                </c:pt>
                <c:pt idx="79" formatCode="0.000000000">
                  <c:v>0</c:v>
                </c:pt>
                <c:pt idx="80" formatCode="0.000000000">
                  <c:v>0</c:v>
                </c:pt>
                <c:pt idx="81" formatCode="0.000000000">
                  <c:v>0</c:v>
                </c:pt>
                <c:pt idx="82" formatCode="0.000000000">
                  <c:v>0</c:v>
                </c:pt>
                <c:pt idx="83" formatCode="0.000000000">
                  <c:v>0</c:v>
                </c:pt>
                <c:pt idx="84" formatCode="0.000000000">
                  <c:v>0</c:v>
                </c:pt>
                <c:pt idx="85" formatCode="0.000000000">
                  <c:v>0</c:v>
                </c:pt>
                <c:pt idx="86" formatCode="0.000000000">
                  <c:v>0</c:v>
                </c:pt>
                <c:pt idx="87" formatCode="0.000000000">
                  <c:v>0</c:v>
                </c:pt>
                <c:pt idx="88" formatCode="0.000000000">
                  <c:v>0</c:v>
                </c:pt>
                <c:pt idx="89" formatCode="0.000000000">
                  <c:v>0</c:v>
                </c:pt>
                <c:pt idx="90" formatCode="0.0000000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0C4-4277-BE22-A5F08C9C7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2333760"/>
        <c:axId val="1113256816"/>
      </c:scatterChart>
      <c:valAx>
        <c:axId val="1082333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Angle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256816"/>
        <c:crosses val="autoZero"/>
        <c:crossBetween val="midCat"/>
      </c:valAx>
      <c:valAx>
        <c:axId val="111325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Flux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2333760"/>
        <c:crosses val="autoZero"/>
        <c:crossBetween val="midCat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Reflector Model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smooth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xVal>
            <c:numRef>
              <c:f>'Refractor design sheet'!$AJ$54:$AJ$94</c:f>
              <c:numCache>
                <c:formatCode>General</c:formatCode>
                <c:ptCount val="41"/>
                <c:pt idx="0">
                  <c:v>-5</c:v>
                </c:pt>
                <c:pt idx="1">
                  <c:v>-5.1815855438307405</c:v>
                </c:pt>
                <c:pt idx="2">
                  <c:v>-5.312921306256623</c:v>
                </c:pt>
                <c:pt idx="3">
                  <c:v>-5.44037298064515</c:v>
                </c:pt>
                <c:pt idx="4">
                  <c:v>-5.5657463196729502</c:v>
                </c:pt>
                <c:pt idx="5">
                  <c:v>-5.6894947178846866</c:v>
                </c:pt>
                <c:pt idx="6">
                  <c:v>-5.8117755248624494</c:v>
                </c:pt>
                <c:pt idx="7">
                  <c:v>-5.932645769572793</c:v>
                </c:pt>
                <c:pt idx="8">
                  <c:v>-6.0521175699848468</c:v>
                </c:pt>
                <c:pt idx="9">
                  <c:v>-6.1701777233330573</c:v>
                </c:pt>
                <c:pt idx="10">
                  <c:v>-6.2867955045033508</c:v>
                </c:pt>
                <c:pt idx="11">
                  <c:v>-6.4019258447753264</c:v>
                </c:pt>
                <c:pt idx="12">
                  <c:v>-6.5155104415675078</c:v>
                </c:pt>
                <c:pt idx="13">
                  <c:v>-6.6274778312103644</c:v>
                </c:pt>
                <c:pt idx="14">
                  <c:v>-6.7377428880722228</c:v>
                </c:pt>
                <c:pt idx="15">
                  <c:v>-6.8462059791443286</c:v>
                </c:pt>
                <c:pt idx="16">
                  <c:v>-6.9527519007795746</c:v>
                </c:pt>
                <c:pt idx="17">
                  <c:v>-7.0572486793409475</c:v>
                </c:pt>
                <c:pt idx="18">
                  <c:v>-7.1595463005123641</c:v>
                </c:pt>
                <c:pt idx="19">
                  <c:v>-7.2594754306309861</c:v>
                </c:pt>
                <c:pt idx="20">
                  <c:v>-7.3568462024911163</c:v>
                </c:pt>
                <c:pt idx="21">
                  <c:v>-7.4514471557845061</c:v>
                </c:pt>
                <c:pt idx="22">
                  <c:v>-7.5430444484040686</c:v>
                </c:pt>
                <c:pt idx="23">
                  <c:v>-7.6313814897461594</c:v>
                </c:pt>
                <c:pt idx="24">
                  <c:v>-7.7161791916634241</c:v>
                </c:pt>
                <c:pt idx="25">
                  <c:v>-7.7971370873864645</c:v>
                </c:pt>
                <c:pt idx="26">
                  <c:v>-7.8739356332118504</c:v>
                </c:pt>
                <c:pt idx="27">
                  <c:v>-7.9462400798329922</c:v>
                </c:pt>
                <c:pt idx="28">
                  <c:v>-8.0137063742264179</c:v>
                </c:pt>
                <c:pt idx="29">
                  <c:v>-8.0759896175884744</c:v>
                </c:pt>
                <c:pt idx="30">
                  <c:v>-8.1327556394220597</c:v>
                </c:pt>
                <c:pt idx="31">
                  <c:v>-8.1836962184271833</c:v>
                </c:pt>
                <c:pt idx="32">
                  <c:v>-8.2285483345299628</c:v>
                </c:pt>
                <c:pt idx="33">
                  <c:v>-8.2671174968883729</c:v>
                </c:pt>
                <c:pt idx="34">
                  <c:v>-8.2993045589364893</c:v>
                </c:pt>
                <c:pt idx="35">
                  <c:v>-8.3251343852968169</c:v>
                </c:pt>
                <c:pt idx="36">
                  <c:v>-8.344783167152535</c:v>
                </c:pt>
                <c:pt idx="37">
                  <c:v>-8.3585990460286048</c:v>
                </c:pt>
                <c:pt idx="38">
                  <c:v>-8.3671081074107185</c:v>
                </c:pt>
                <c:pt idx="39">
                  <c:v>-8.3709951162612146</c:v>
                </c:pt>
                <c:pt idx="40">
                  <c:v>-8.3710462956225218</c:v>
                </c:pt>
              </c:numCache>
            </c:numRef>
          </c:xVal>
          <c:yVal>
            <c:numRef>
              <c:f>'Refractor design sheet'!$AK$54:$AK$94</c:f>
              <c:numCache>
                <c:formatCode>General</c:formatCode>
                <c:ptCount val="41"/>
                <c:pt idx="0">
                  <c:v>0</c:v>
                </c:pt>
                <c:pt idx="1">
                  <c:v>-0.18478279185902549</c:v>
                </c:pt>
                <c:pt idx="2">
                  <c:v>-0.32572763611349559</c:v>
                </c:pt>
                <c:pt idx="3">
                  <c:v>-0.4685460730373211</c:v>
                </c:pt>
                <c:pt idx="4">
                  <c:v>-0.61513823197476258</c:v>
                </c:pt>
                <c:pt idx="5">
                  <c:v>-0.76607874556725397</c:v>
                </c:pt>
                <c:pt idx="6">
                  <c:v>-0.92166159703121009</c:v>
                </c:pt>
                <c:pt idx="7">
                  <c:v>-1.0820945127840567</c:v>
                </c:pt>
                <c:pt idx="8">
                  <c:v>-1.2475542086866998</c:v>
                </c:pt>
                <c:pt idx="9">
                  <c:v>-1.4182059112653065</c:v>
                </c:pt>
                <c:pt idx="10">
                  <c:v>-1.5942109492972742</c:v>
                </c:pt>
                <c:pt idx="11">
                  <c:v>-1.7757294856964252</c:v>
                </c:pt>
                <c:pt idx="12">
                  <c:v>-1.9629208516953609</c:v>
                </c:pt>
                <c:pt idx="13">
                  <c:v>-2.1559424136049423</c:v>
                </c:pt>
                <c:pt idx="14">
                  <c:v>-2.354947310524155</c:v>
                </c:pt>
                <c:pt idx="15">
                  <c:v>-2.5600811366747678</c:v>
                </c:pt>
                <c:pt idx="16">
                  <c:v>-2.7714775014802764</c:v>
                </c:pt>
                <c:pt idx="17">
                  <c:v>-2.9892523083998981</c:v>
                </c:pt>
                <c:pt idx="18">
                  <c:v>-3.2134965185419615</c:v>
                </c:pt>
                <c:pt idx="19">
                  <c:v>-3.4442670928673165</c:v>
                </c:pt>
                <c:pt idx="20">
                  <c:v>-3.6815757301090999</c:v>
                </c:pt>
                <c:pt idx="21">
                  <c:v>-3.9253749325383498</c:v>
                </c:pt>
                <c:pt idx="22">
                  <c:v>-4.1755408366828943</c:v>
                </c:pt>
                <c:pt idx="23">
                  <c:v>-4.4318521413666412</c:v>
                </c:pt>
                <c:pt idx="24">
                  <c:v>-4.6939643539456934</c:v>
                </c:pt>
                <c:pt idx="25">
                  <c:v>-4.9613784643502887</c:v>
                </c:pt>
                <c:pt idx="26">
                  <c:v>-5.2334030586307403</c:v>
                </c:pt>
                <c:pt idx="27">
                  <c:v>-5.5091088216022595</c:v>
                </c:pt>
                <c:pt idx="28">
                  <c:v>-5.787274387999136</c:v>
                </c:pt>
                <c:pt idx="29">
                  <c:v>-6.0663226386010294</c:v>
                </c:pt>
                <c:pt idx="30">
                  <c:v>-6.344246882917389</c:v>
                </c:pt>
                <c:pt idx="31">
                  <c:v>-6.6185270351894294</c:v>
                </c:pt>
                <c:pt idx="32">
                  <c:v>-6.886037020366568</c:v>
                </c:pt>
                <c:pt idx="33">
                  <c:v>-7.1429464094875064</c:v>
                </c:pt>
                <c:pt idx="34">
                  <c:v>-7.3846218395582941</c:v>
                </c:pt>
                <c:pt idx="35">
                  <c:v>-7.6055372018735934</c:v>
                </c:pt>
                <c:pt idx="36">
                  <c:v>-7.7992057522812983</c:v>
                </c:pt>
                <c:pt idx="37">
                  <c:v>-7.9581516508827201</c:v>
                </c:pt>
                <c:pt idx="38">
                  <c:v>-8.0739417192497083</c:v>
                </c:pt>
                <c:pt idx="39">
                  <c:v>-8.137298182058494</c:v>
                </c:pt>
                <c:pt idx="40">
                  <c:v>-8.1383065541540098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3C-47DD-99F8-06B2E6B61585}"/>
            </c:ext>
          </c:extLst>
        </c:ser>
        <c:ser>
          <c:idx val="2"/>
          <c:order val="1"/>
          <c:tx>
            <c:v>Fudged reflector</c:v>
          </c:tx>
          <c:spPr>
            <a:ln w="19050" cap="rnd">
              <a:solidFill>
                <a:schemeClr val="accent3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olid"/>
              </a:ln>
            </c:spPr>
          </c:marker>
          <c:xVal>
            <c:numRef>
              <c:f>'Refractor design sheet'!$K$50:$K$93</c:f>
              <c:numCache>
                <c:formatCode>General</c:formatCode>
                <c:ptCount val="44"/>
                <c:pt idx="0">
                  <c:v>-6</c:v>
                </c:pt>
                <c:pt idx="1">
                  <c:v>-6.2179026525968881</c:v>
                </c:pt>
                <c:pt idx="2">
                  <c:v>-6.3755055675079477</c:v>
                </c:pt>
                <c:pt idx="3">
                  <c:v>-6.5284475767741803</c:v>
                </c:pt>
                <c:pt idx="4">
                  <c:v>-6.6788955836075408</c:v>
                </c:pt>
                <c:pt idx="5">
                  <c:v>-6.8273936614616257</c:v>
                </c:pt>
                <c:pt idx="6">
                  <c:v>-6.9741306298349413</c:v>
                </c:pt>
                <c:pt idx="7">
                  <c:v>-7.1191749234873534</c:v>
                </c:pt>
                <c:pt idx="8">
                  <c:v>-7.2625410839818176</c:v>
                </c:pt>
                <c:pt idx="9">
                  <c:v>-7.4042132679996699</c:v>
                </c:pt>
                <c:pt idx="10">
                  <c:v>-7.5441546054040236</c:v>
                </c:pt>
                <c:pt idx="11">
                  <c:v>-7.682311013730394</c:v>
                </c:pt>
                <c:pt idx="12">
                  <c:v>-7.8186125298810119</c:v>
                </c:pt>
                <c:pt idx="13">
                  <c:v>-7.9529733974524381</c:v>
                </c:pt>
                <c:pt idx="14">
                  <c:v>-8.0852914656866677</c:v>
                </c:pt>
                <c:pt idx="15">
                  <c:v>-8.2154471749731943</c:v>
                </c:pt>
                <c:pt idx="16">
                  <c:v>-8.3433022809354878</c:v>
                </c:pt>
                <c:pt idx="17">
                  <c:v>-8.4686984152091345</c:v>
                </c:pt>
                <c:pt idx="18">
                  <c:v>-8.5914555606148344</c:v>
                </c:pt>
                <c:pt idx="19">
                  <c:v>-8.7113705167571815</c:v>
                </c:pt>
                <c:pt idx="20">
                  <c:v>-8.8282154429893378</c:v>
                </c:pt>
                <c:pt idx="21">
                  <c:v>-8.941736586941408</c:v>
                </c:pt>
                <c:pt idx="22">
                  <c:v>-9.0516533380848845</c:v>
                </c:pt>
                <c:pt idx="23">
                  <c:v>-9.1576577876953937</c:v>
                </c:pt>
                <c:pt idx="24">
                  <c:v>-9.2594150299961111</c:v>
                </c:pt>
                <c:pt idx="25">
                  <c:v>-9.3565645048637585</c:v>
                </c:pt>
                <c:pt idx="26">
                  <c:v>-9.4487227598542205</c:v>
                </c:pt>
                <c:pt idx="27">
                  <c:v>-9.5354880957995896</c:v>
                </c:pt>
                <c:pt idx="28">
                  <c:v>-9.6164476490717004</c:v>
                </c:pt>
                <c:pt idx="29">
                  <c:v>-9.691187541106169</c:v>
                </c:pt>
                <c:pt idx="30">
                  <c:v>-9.7593067673064713</c:v>
                </c:pt>
                <c:pt idx="31">
                  <c:v>-9.82043546211262</c:v>
                </c:pt>
                <c:pt idx="32">
                  <c:v>-9.8742580014359564</c:v>
                </c:pt>
                <c:pt idx="33">
                  <c:v>-9.9205409962660482</c:v>
                </c:pt>
                <c:pt idx="34">
                  <c:v>-9.9591654707237875</c:v>
                </c:pt>
                <c:pt idx="35">
                  <c:v>-9.99016126235618</c:v>
                </c:pt>
                <c:pt idx="36">
                  <c:v>-10.013739800583043</c:v>
                </c:pt>
                <c:pt idx="37">
                  <c:v>-10.030318855234325</c:v>
                </c:pt>
                <c:pt idx="38">
                  <c:v>-10.040529728892862</c:v>
                </c:pt>
                <c:pt idx="39">
                  <c:v>-10.045194139513457</c:v>
                </c:pt>
                <c:pt idx="40">
                  <c:v>-10.045255554747026</c:v>
                </c:pt>
              </c:numCache>
            </c:numRef>
          </c:xVal>
          <c:yVal>
            <c:numRef>
              <c:f>'Refractor design sheet'!$L$50:$L$93</c:f>
              <c:numCache>
                <c:formatCode>General</c:formatCode>
                <c:ptCount val="44"/>
                <c:pt idx="0">
                  <c:v>0</c:v>
                </c:pt>
                <c:pt idx="1">
                  <c:v>-0.22173935023083058</c:v>
                </c:pt>
                <c:pt idx="2">
                  <c:v>-0.39087316333619471</c:v>
                </c:pt>
                <c:pt idx="3">
                  <c:v>-0.56225528764478538</c:v>
                </c:pt>
                <c:pt idx="4">
                  <c:v>-0.73816587836971514</c:v>
                </c:pt>
                <c:pt idx="5">
                  <c:v>-0.91929449468070501</c:v>
                </c:pt>
                <c:pt idx="6">
                  <c:v>-1.1059939164374524</c:v>
                </c:pt>
                <c:pt idx="7">
                  <c:v>-1.2985134153408682</c:v>
                </c:pt>
                <c:pt idx="8">
                  <c:v>-1.4970650504240401</c:v>
                </c:pt>
                <c:pt idx="9">
                  <c:v>-1.701847093518368</c:v>
                </c:pt>
                <c:pt idx="10">
                  <c:v>-1.9130531391567298</c:v>
                </c:pt>
                <c:pt idx="11">
                  <c:v>-2.1308753828357108</c:v>
                </c:pt>
                <c:pt idx="12">
                  <c:v>-2.3555050220344338</c:v>
                </c:pt>
                <c:pt idx="13">
                  <c:v>-2.587130896325931</c:v>
                </c:pt>
                <c:pt idx="14">
                  <c:v>-2.8259367726289861</c:v>
                </c:pt>
                <c:pt idx="15">
                  <c:v>-3.0720973640097213</c:v>
                </c:pt>
                <c:pt idx="16">
                  <c:v>-3.325773001776331</c:v>
                </c:pt>
                <c:pt idx="17">
                  <c:v>-3.5871027700798765</c:v>
                </c:pt>
                <c:pt idx="18">
                  <c:v>-3.8561958222503523</c:v>
                </c:pt>
                <c:pt idx="19">
                  <c:v>-4.1331205114407785</c:v>
                </c:pt>
                <c:pt idx="20">
                  <c:v>-4.4178908761309188</c:v>
                </c:pt>
                <c:pt idx="21">
                  <c:v>-4.7104499190460203</c:v>
                </c:pt>
                <c:pt idx="22">
                  <c:v>-5.0106490040194744</c:v>
                </c:pt>
                <c:pt idx="23">
                  <c:v>-5.3182225696399703</c:v>
                </c:pt>
                <c:pt idx="24">
                  <c:v>-5.6327572247348341</c:v>
                </c:pt>
                <c:pt idx="25">
                  <c:v>-5.9536541572203472</c:v>
                </c:pt>
                <c:pt idx="26">
                  <c:v>-6.2800836703568885</c:v>
                </c:pt>
                <c:pt idx="27">
                  <c:v>-6.6109305859227101</c:v>
                </c:pt>
                <c:pt idx="28">
                  <c:v>-6.9447292655989621</c:v>
                </c:pt>
                <c:pt idx="29">
                  <c:v>-7.2795871663212353</c:v>
                </c:pt>
                <c:pt idx="30">
                  <c:v>-7.6130962595008667</c:v>
                </c:pt>
                <c:pt idx="31">
                  <c:v>-7.9422324422273149</c:v>
                </c:pt>
                <c:pt idx="32">
                  <c:v>-8.2632444244398826</c:v>
                </c:pt>
                <c:pt idx="33">
                  <c:v>-8.5715356913850069</c:v>
                </c:pt>
                <c:pt idx="34">
                  <c:v>-8.8615462074699529</c:v>
                </c:pt>
                <c:pt idx="35">
                  <c:v>-9.1266446422483121</c:v>
                </c:pt>
                <c:pt idx="36">
                  <c:v>-9.3590469027375587</c:v>
                </c:pt>
                <c:pt idx="37">
                  <c:v>-9.5497819810592635</c:v>
                </c:pt>
                <c:pt idx="38">
                  <c:v>-9.6887300630996496</c:v>
                </c:pt>
                <c:pt idx="39">
                  <c:v>-9.7647578184701924</c:v>
                </c:pt>
                <c:pt idx="40">
                  <c:v>-9.7659678649848125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3C-47DD-99F8-06B2E6B615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5998096"/>
        <c:axId val="145129680"/>
      </c:scatterChart>
      <c:valAx>
        <c:axId val="285998096"/>
        <c:scaling>
          <c:orientation val="minMax"/>
          <c:max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 axis (mm)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29680"/>
        <c:crosses val="autoZero"/>
        <c:crossBetween val="midCat"/>
      </c:valAx>
      <c:valAx>
        <c:axId val="14512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 axis (mm)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998096"/>
        <c:crosses val="autoZero"/>
        <c:crossBetween val="midCat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516254</xdr:colOff>
      <xdr:row>0</xdr:row>
      <xdr:rowOff>133351</xdr:rowOff>
    </xdr:from>
    <xdr:to>
      <xdr:col>16</xdr:col>
      <xdr:colOff>826769</xdr:colOff>
      <xdr:row>24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268878</xdr:colOff>
      <xdr:row>0</xdr:row>
      <xdr:rowOff>110761</xdr:rowOff>
    </xdr:from>
    <xdr:to>
      <xdr:col>10</xdr:col>
      <xdr:colOff>1144633</xdr:colOff>
      <xdr:row>24</xdr:row>
      <xdr:rowOff>44359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122034</xdr:colOff>
      <xdr:row>0</xdr:row>
      <xdr:rowOff>78441</xdr:rowOff>
    </xdr:from>
    <xdr:to>
      <xdr:col>27</xdr:col>
      <xdr:colOff>239134</xdr:colOff>
      <xdr:row>42</xdr:row>
      <xdr:rowOff>145676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K43" totalsRowShown="0" headerRowDxfId="7">
  <autoFilter ref="A3:K43" xr:uid="{00000000-0009-0000-0100-000001000000}"/>
  <tableColumns count="11">
    <tableColumn id="1" xr3:uid="{00000000-0010-0000-0000-000001000000}" name="Angle Theta">
      <calculatedColumnFormula>'Flux maps Refractor final'!P34</calculatedColumnFormula>
    </tableColumn>
    <tableColumn id="2" xr3:uid="{00000000-0010-0000-0000-000002000000}" name="Arc Length (mm)">
      <calculatedColumnFormula>'Flux maps Refractor final'!R34</calculatedColumnFormula>
    </tableColumn>
    <tableColumn id="3" xr3:uid="{00000000-0010-0000-0000-000003000000}" name="Angle Start (degrees)">
      <calculatedColumnFormula>'Flux maps Refractor final'!I34</calculatedColumnFormula>
    </tableColumn>
    <tableColumn id="4" xr3:uid="{00000000-0010-0000-0000-000004000000}" name="Angle Finish (degrees)">
      <calculatedColumnFormula>C4-A4</calculatedColumnFormula>
    </tableColumn>
    <tableColumn id="5" xr3:uid="{00000000-0010-0000-0000-000005000000}" name="Direction (degrees)">
      <calculatedColumnFormula>E3+1</calculatedColumnFormula>
    </tableColumn>
    <tableColumn id="6" xr3:uid="{00000000-0010-0000-0000-000006000000}" name="Orientation of Reflector start">
      <calculatedColumnFormula>(C4-E4)/2</calculatedColumnFormula>
    </tableColumn>
    <tableColumn id="7" xr3:uid="{00000000-0010-0000-0000-000007000000}" name="Orientation of Reflector end"/>
    <tableColumn id="8" xr3:uid="{00000000-0010-0000-0000-000008000000}" name="Tangent (slope)" dataDxfId="6">
      <calculatedColumnFormula>TAN(RADIANS(90 - Table1[[#This Row],[Orientation of Reflector start]]))</calculatedColumnFormula>
    </tableColumn>
    <tableColumn id="9" xr3:uid="{00000000-0010-0000-0000-000009000000}" name="Fudged da">
      <calculatedColumnFormula>Table1[[#This Row],[Angle Theta]]*Table1[[#This Row],[Fudge points]]</calculatedColumnFormula>
    </tableColumn>
    <tableColumn id="10" xr3:uid="{00000000-0010-0000-0000-00000A000000}" name="New angles">
      <calculatedColumnFormula>Table1[[#This Row],[Angle Start (degrees)]]-Table1[[#This Row],[Fudged da]]</calculatedColumnFormula>
    </tableColumn>
    <tableColumn id="11" xr3:uid="{00000000-0010-0000-0000-00000B000000}" name="Fudge poi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A9" sqref="A9"/>
    </sheetView>
  </sheetViews>
  <sheetFormatPr defaultRowHeight="15" x14ac:dyDescent="0.25"/>
  <cols>
    <col min="1" max="1" width="27.28515625" customWidth="1"/>
    <col min="2" max="2" width="65.5703125" customWidth="1"/>
  </cols>
  <sheetData>
    <row r="1" spans="1:2" x14ac:dyDescent="0.25">
      <c r="A1" t="s">
        <v>0</v>
      </c>
    </row>
    <row r="3" spans="1:2" x14ac:dyDescent="0.25">
      <c r="A3" s="9" t="s">
        <v>1</v>
      </c>
    </row>
    <row r="4" spans="1:2" x14ac:dyDescent="0.25">
      <c r="A4" s="30" t="s">
        <v>2</v>
      </c>
    </row>
    <row r="6" spans="1:2" x14ac:dyDescent="0.25">
      <c r="A6" t="s">
        <v>3</v>
      </c>
    </row>
    <row r="7" spans="1:2" x14ac:dyDescent="0.25">
      <c r="A7">
        <v>1</v>
      </c>
      <c r="B7" s="2" t="s">
        <v>4</v>
      </c>
    </row>
    <row r="8" spans="1:2" ht="28.9" customHeight="1" x14ac:dyDescent="0.25">
      <c r="A8">
        <v>2</v>
      </c>
      <c r="B8" s="2" t="s">
        <v>5</v>
      </c>
    </row>
    <row r="9" spans="1:2" x14ac:dyDescent="0.25">
      <c r="B9" s="2"/>
    </row>
    <row r="10" spans="1:2" x14ac:dyDescent="0.25">
      <c r="B10" s="2"/>
    </row>
    <row r="11" spans="1:2" x14ac:dyDescent="0.25">
      <c r="B11" s="2"/>
    </row>
    <row r="12" spans="1:2" x14ac:dyDescent="0.25">
      <c r="B12" s="2"/>
    </row>
    <row r="13" spans="1:2" x14ac:dyDescent="0.25">
      <c r="B13" s="2"/>
    </row>
    <row r="14" spans="1:2" x14ac:dyDescent="0.25">
      <c r="B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M188"/>
  <sheetViews>
    <sheetView workbookViewId="0">
      <selection activeCell="C1" sqref="C1"/>
    </sheetView>
  </sheetViews>
  <sheetFormatPr defaultRowHeight="15" x14ac:dyDescent="0.25"/>
  <cols>
    <col min="1" max="1" width="12.140625" customWidth="1"/>
    <col min="2" max="2" width="16" customWidth="1"/>
    <col min="3" max="3" width="11.28515625" customWidth="1"/>
    <col min="4" max="5" width="10.5703125" customWidth="1"/>
    <col min="6" max="6" width="10.7109375" customWidth="1"/>
    <col min="8" max="8" width="14.28515625" customWidth="1"/>
    <col min="9" max="9" width="15.42578125" customWidth="1"/>
    <col min="10" max="10" width="15.28515625" customWidth="1"/>
    <col min="12" max="12" width="12.85546875" customWidth="1"/>
  </cols>
  <sheetData>
    <row r="1" spans="1:13" x14ac:dyDescent="0.25">
      <c r="A1" t="s">
        <v>6</v>
      </c>
    </row>
    <row r="2" spans="1:13" x14ac:dyDescent="0.25">
      <c r="A2" t="s">
        <v>7</v>
      </c>
    </row>
    <row r="3" spans="1:13" x14ac:dyDescent="0.25">
      <c r="A3" t="s">
        <v>8</v>
      </c>
      <c r="H3" t="s">
        <v>9</v>
      </c>
      <c r="I3" t="s">
        <v>10</v>
      </c>
      <c r="J3" t="s">
        <v>11</v>
      </c>
    </row>
    <row r="4" spans="1:13" x14ac:dyDescent="0.25">
      <c r="H4" t="s">
        <v>12</v>
      </c>
      <c r="I4">
        <f>SUM(E8:E98)</f>
        <v>6.3378569446234003</v>
      </c>
      <c r="J4">
        <f>SUM(F8:F98)</f>
        <v>6971.6426390857387</v>
      </c>
    </row>
    <row r="5" spans="1:13" x14ac:dyDescent="0.25">
      <c r="A5" t="s">
        <v>13</v>
      </c>
      <c r="B5" s="9">
        <v>1100</v>
      </c>
      <c r="H5" t="s">
        <v>14</v>
      </c>
      <c r="I5">
        <f>2*PI()</f>
        <v>6.2831853071795862</v>
      </c>
      <c r="J5">
        <f>2*PI()*B5</f>
        <v>6911.5038378975451</v>
      </c>
    </row>
    <row r="6" spans="1:13" x14ac:dyDescent="0.25">
      <c r="L6" t="s">
        <v>15</v>
      </c>
      <c r="M6" t="s">
        <v>16</v>
      </c>
    </row>
    <row r="7" spans="1:13" x14ac:dyDescent="0.25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K7" t="s">
        <v>24</v>
      </c>
      <c r="L7">
        <f>SUM(K8:K188)</f>
        <v>189.31683001748323</v>
      </c>
      <c r="M7">
        <f>L7/30</f>
        <v>6.3105610005827746</v>
      </c>
    </row>
    <row r="8" spans="1:13" x14ac:dyDescent="0.25">
      <c r="A8">
        <v>0</v>
      </c>
      <c r="B8">
        <v>1</v>
      </c>
      <c r="C8">
        <f t="shared" ref="C8:C39" si="0">RADIANS(A8)</f>
        <v>0</v>
      </c>
      <c r="D8">
        <f t="shared" ref="D8:D39" si="1">SIN(C8)</f>
        <v>0</v>
      </c>
      <c r="E8">
        <f t="shared" ref="E8:E39" si="2">D8*$C$9*B8*2*PI()</f>
        <v>0</v>
      </c>
      <c r="F8">
        <f t="shared" ref="F8:F39" si="3">E8*$B$5</f>
        <v>0</v>
      </c>
      <c r="G8">
        <f t="shared" ref="G8:G39" si="4">$B$5</f>
        <v>1100</v>
      </c>
      <c r="H8">
        <v>0</v>
      </c>
      <c r="I8">
        <f>30</f>
        <v>30</v>
      </c>
      <c r="J8">
        <f t="shared" ref="J8:J39" si="5">RADIANS(H8)</f>
        <v>0</v>
      </c>
      <c r="K8">
        <f t="shared" ref="K8:K39" si="6">SIN(J8)*$J$9*I8*2*PI()</f>
        <v>0</v>
      </c>
    </row>
    <row r="9" spans="1:13" x14ac:dyDescent="0.25">
      <c r="A9">
        <f t="shared" ref="A9:A40" si="7">A8+1</f>
        <v>1</v>
      </c>
      <c r="B9">
        <v>1</v>
      </c>
      <c r="C9">
        <f t="shared" si="0"/>
        <v>1.7453292519943295E-2</v>
      </c>
      <c r="D9">
        <f t="shared" si="1"/>
        <v>1.7452406437283512E-2</v>
      </c>
      <c r="E9">
        <f t="shared" si="2"/>
        <v>1.9138705264779288E-3</v>
      </c>
      <c r="F9">
        <f t="shared" si="3"/>
        <v>2.1052575791257215</v>
      </c>
      <c r="G9">
        <f t="shared" si="4"/>
        <v>1100</v>
      </c>
      <c r="H9">
        <f t="shared" ref="H9:H40" si="8">H8+0.5</f>
        <v>0.5</v>
      </c>
      <c r="I9">
        <f>30</f>
        <v>30</v>
      </c>
      <c r="J9">
        <f t="shared" si="5"/>
        <v>8.7266462599716477E-3</v>
      </c>
      <c r="K9">
        <f t="shared" si="6"/>
        <v>1.4354575526835649E-2</v>
      </c>
    </row>
    <row r="10" spans="1:13" x14ac:dyDescent="0.25">
      <c r="A10">
        <f t="shared" si="7"/>
        <v>2</v>
      </c>
      <c r="B10">
        <v>1</v>
      </c>
      <c r="C10">
        <f t="shared" si="0"/>
        <v>3.4906585039886591E-2</v>
      </c>
      <c r="D10">
        <f t="shared" si="1"/>
        <v>3.4899496702500969E-2</v>
      </c>
      <c r="E10">
        <f t="shared" si="2"/>
        <v>3.8271580694534124E-3</v>
      </c>
      <c r="F10">
        <f t="shared" si="3"/>
        <v>4.2098738763987535</v>
      </c>
      <c r="G10">
        <f t="shared" si="4"/>
        <v>1100</v>
      </c>
      <c r="H10">
        <f t="shared" si="8"/>
        <v>1</v>
      </c>
      <c r="I10">
        <f>30</f>
        <v>30</v>
      </c>
      <c r="J10">
        <f t="shared" si="5"/>
        <v>1.7453292519943295E-2</v>
      </c>
      <c r="K10">
        <f t="shared" si="6"/>
        <v>2.8708057897168932E-2</v>
      </c>
    </row>
    <row r="11" spans="1:13" x14ac:dyDescent="0.25">
      <c r="A11">
        <f t="shared" si="7"/>
        <v>3</v>
      </c>
      <c r="B11">
        <v>1</v>
      </c>
      <c r="C11">
        <f t="shared" si="0"/>
        <v>5.235987755982989E-2</v>
      </c>
      <c r="D11">
        <f t="shared" si="1"/>
        <v>5.2335956242943835E-2</v>
      </c>
      <c r="E11">
        <f t="shared" si="2"/>
        <v>5.7392798230064285E-3</v>
      </c>
      <c r="F11">
        <f t="shared" si="3"/>
        <v>6.313207805307071</v>
      </c>
      <c r="G11">
        <f t="shared" si="4"/>
        <v>1100</v>
      </c>
      <c r="H11">
        <f t="shared" si="8"/>
        <v>1.5</v>
      </c>
      <c r="I11">
        <f>30</f>
        <v>30</v>
      </c>
      <c r="J11">
        <f t="shared" si="5"/>
        <v>2.6179938779914945E-2</v>
      </c>
      <c r="K11">
        <f t="shared" si="6"/>
        <v>4.3059354037745579E-2</v>
      </c>
    </row>
    <row r="12" spans="1:13" x14ac:dyDescent="0.25">
      <c r="A12">
        <f t="shared" si="7"/>
        <v>4</v>
      </c>
      <c r="B12">
        <v>1</v>
      </c>
      <c r="C12">
        <f t="shared" si="0"/>
        <v>6.9813170079773182E-2</v>
      </c>
      <c r="D12">
        <f t="shared" si="1"/>
        <v>6.9756473744125302E-2</v>
      </c>
      <c r="E12">
        <f t="shared" si="2"/>
        <v>7.6496533363277037E-3</v>
      </c>
      <c r="F12">
        <f t="shared" si="3"/>
        <v>8.4146186699604737</v>
      </c>
      <c r="G12">
        <f t="shared" si="4"/>
        <v>1100</v>
      </c>
      <c r="H12">
        <f t="shared" si="8"/>
        <v>2</v>
      </c>
      <c r="I12">
        <f>30</f>
        <v>30</v>
      </c>
      <c r="J12">
        <f t="shared" si="5"/>
        <v>3.4906585039886591E-2</v>
      </c>
      <c r="K12">
        <f t="shared" si="6"/>
        <v>5.7407371041801186E-2</v>
      </c>
    </row>
    <row r="13" spans="1:13" x14ac:dyDescent="0.25">
      <c r="A13">
        <f t="shared" si="7"/>
        <v>5</v>
      </c>
      <c r="B13">
        <v>1</v>
      </c>
      <c r="C13">
        <f t="shared" si="0"/>
        <v>8.7266462599716474E-2</v>
      </c>
      <c r="D13">
        <f t="shared" si="1"/>
        <v>8.7155742747658166E-2</v>
      </c>
      <c r="E13">
        <f t="shared" si="2"/>
        <v>9.5576966911388762E-3</v>
      </c>
      <c r="F13">
        <f t="shared" si="3"/>
        <v>10.513466360252764</v>
      </c>
      <c r="G13">
        <f t="shared" si="4"/>
        <v>1100</v>
      </c>
      <c r="H13">
        <f t="shared" si="8"/>
        <v>2.5</v>
      </c>
      <c r="I13">
        <f>30</f>
        <v>30</v>
      </c>
      <c r="J13">
        <f t="shared" si="5"/>
        <v>4.3633231299858237E-2</v>
      </c>
      <c r="K13">
        <f t="shared" si="6"/>
        <v>7.1751016252290287E-2</v>
      </c>
    </row>
    <row r="14" spans="1:13" x14ac:dyDescent="0.25">
      <c r="A14">
        <f t="shared" si="7"/>
        <v>6</v>
      </c>
      <c r="B14">
        <v>1</v>
      </c>
      <c r="C14">
        <f t="shared" si="0"/>
        <v>0.10471975511965978</v>
      </c>
      <c r="D14">
        <f t="shared" si="1"/>
        <v>0.10452846326765347</v>
      </c>
      <c r="E14">
        <f t="shared" si="2"/>
        <v>1.1462828678950444E-2</v>
      </c>
      <c r="F14">
        <f t="shared" si="3"/>
        <v>12.609111546845488</v>
      </c>
      <c r="G14">
        <f t="shared" si="4"/>
        <v>1100</v>
      </c>
      <c r="H14">
        <f t="shared" si="8"/>
        <v>3</v>
      </c>
      <c r="I14">
        <f>30</f>
        <v>30</v>
      </c>
      <c r="J14">
        <f t="shared" si="5"/>
        <v>5.235987755982989E-2</v>
      </c>
      <c r="K14">
        <f t="shared" si="6"/>
        <v>8.6089197345096416E-2</v>
      </c>
    </row>
    <row r="15" spans="1:13" x14ac:dyDescent="0.25">
      <c r="A15">
        <f t="shared" si="7"/>
        <v>7</v>
      </c>
      <c r="B15">
        <v>1</v>
      </c>
      <c r="C15">
        <f t="shared" si="0"/>
        <v>0.12217304763960307</v>
      </c>
      <c r="D15">
        <f t="shared" si="1"/>
        <v>0.12186934340514748</v>
      </c>
      <c r="E15">
        <f t="shared" si="2"/>
        <v>1.3364468978103488E-2</v>
      </c>
      <c r="F15">
        <f t="shared" si="3"/>
        <v>14.700915875913838</v>
      </c>
      <c r="G15">
        <f t="shared" si="4"/>
        <v>1100</v>
      </c>
      <c r="H15">
        <f t="shared" si="8"/>
        <v>3.5</v>
      </c>
      <c r="I15">
        <f>30</f>
        <v>30</v>
      </c>
      <c r="J15">
        <f t="shared" si="5"/>
        <v>6.1086523819801536E-2</v>
      </c>
      <c r="K15">
        <f t="shared" si="6"/>
        <v>0.10042082241221686</v>
      </c>
    </row>
    <row r="16" spans="1:13" x14ac:dyDescent="0.25">
      <c r="A16">
        <f t="shared" si="7"/>
        <v>8</v>
      </c>
      <c r="B16">
        <v>1</v>
      </c>
      <c r="C16">
        <f t="shared" si="0"/>
        <v>0.13962634015954636</v>
      </c>
      <c r="D16">
        <f t="shared" si="1"/>
        <v>0.13917310096006544</v>
      </c>
      <c r="E16">
        <f t="shared" si="2"/>
        <v>1.5262038330541282E-2</v>
      </c>
      <c r="F16">
        <f t="shared" si="3"/>
        <v>16.78824216359541</v>
      </c>
      <c r="G16">
        <f t="shared" si="4"/>
        <v>1100</v>
      </c>
      <c r="H16">
        <f t="shared" si="8"/>
        <v>4</v>
      </c>
      <c r="I16">
        <f>30</f>
        <v>30</v>
      </c>
      <c r="J16">
        <f t="shared" si="5"/>
        <v>6.9813170079773182E-2</v>
      </c>
      <c r="K16">
        <f t="shared" si="6"/>
        <v>0.11474480004491557</v>
      </c>
    </row>
    <row r="17" spans="1:11" x14ac:dyDescent="0.25">
      <c r="A17">
        <f t="shared" si="7"/>
        <v>9</v>
      </c>
      <c r="B17">
        <v>1</v>
      </c>
      <c r="C17">
        <f t="shared" si="0"/>
        <v>0.15707963267948966</v>
      </c>
      <c r="D17">
        <f t="shared" si="1"/>
        <v>0.15643446504023087</v>
      </c>
      <c r="E17">
        <f t="shared" si="2"/>
        <v>1.715495871825691E-2</v>
      </c>
      <c r="F17">
        <f t="shared" si="3"/>
        <v>18.870454590082602</v>
      </c>
      <c r="G17">
        <f t="shared" si="4"/>
        <v>1100</v>
      </c>
      <c r="H17">
        <f t="shared" si="8"/>
        <v>4.5</v>
      </c>
      <c r="I17">
        <f>30</f>
        <v>30</v>
      </c>
      <c r="J17">
        <f t="shared" si="5"/>
        <v>7.8539816339744828E-2</v>
      </c>
      <c r="K17">
        <f t="shared" si="6"/>
        <v>0.12906003941683827</v>
      </c>
    </row>
    <row r="18" spans="1:11" x14ac:dyDescent="0.25">
      <c r="A18">
        <f t="shared" si="7"/>
        <v>10</v>
      </c>
      <c r="B18">
        <v>1</v>
      </c>
      <c r="C18">
        <f t="shared" si="0"/>
        <v>0.17453292519943295</v>
      </c>
      <c r="D18">
        <f t="shared" si="1"/>
        <v>0.17364817766693033</v>
      </c>
      <c r="E18">
        <f t="shared" si="2"/>
        <v>1.9042653539363137E-2</v>
      </c>
      <c r="F18">
        <f t="shared" si="3"/>
        <v>20.946918893299451</v>
      </c>
      <c r="G18">
        <f t="shared" si="4"/>
        <v>1100</v>
      </c>
      <c r="H18">
        <f t="shared" si="8"/>
        <v>5</v>
      </c>
      <c r="I18">
        <f>30</f>
        <v>30</v>
      </c>
      <c r="J18">
        <f t="shared" si="5"/>
        <v>8.7266462599716474E-2</v>
      </c>
      <c r="K18">
        <f t="shared" si="6"/>
        <v>0.14336545036708315</v>
      </c>
    </row>
    <row r="19" spans="1:11" x14ac:dyDescent="0.25">
      <c r="A19">
        <f t="shared" si="7"/>
        <v>11</v>
      </c>
      <c r="B19">
        <v>1</v>
      </c>
      <c r="C19">
        <f t="shared" si="0"/>
        <v>0.19198621771937624</v>
      </c>
      <c r="D19">
        <f t="shared" si="1"/>
        <v>0.1908089953765448</v>
      </c>
      <c r="E19">
        <f t="shared" si="2"/>
        <v>2.092454778373095E-2</v>
      </c>
      <c r="F19">
        <f t="shared" si="3"/>
        <v>23.017002562104047</v>
      </c>
      <c r="G19">
        <f t="shared" si="4"/>
        <v>1100</v>
      </c>
      <c r="H19">
        <f t="shared" si="8"/>
        <v>5.5</v>
      </c>
      <c r="I19">
        <f>30</f>
        <v>30</v>
      </c>
      <c r="J19">
        <f t="shared" si="5"/>
        <v>9.599310885968812E-2</v>
      </c>
      <c r="K19">
        <f t="shared" si="6"/>
        <v>0.15765994348322065</v>
      </c>
    </row>
    <row r="20" spans="1:11" x14ac:dyDescent="0.25">
      <c r="A20">
        <f t="shared" si="7"/>
        <v>12</v>
      </c>
      <c r="B20">
        <v>1</v>
      </c>
      <c r="C20">
        <f t="shared" si="0"/>
        <v>0.20943951023931956</v>
      </c>
      <c r="D20">
        <f t="shared" si="1"/>
        <v>0.20791169081775934</v>
      </c>
      <c r="E20">
        <f t="shared" si="2"/>
        <v>2.2800068208143193E-2</v>
      </c>
      <c r="F20">
        <f t="shared" si="3"/>
        <v>25.080075028957513</v>
      </c>
      <c r="G20">
        <f t="shared" si="4"/>
        <v>1100</v>
      </c>
      <c r="H20">
        <f t="shared" si="8"/>
        <v>6</v>
      </c>
      <c r="I20">
        <f>30</f>
        <v>30</v>
      </c>
      <c r="J20">
        <f t="shared" si="5"/>
        <v>0.10471975511965978</v>
      </c>
      <c r="K20">
        <f t="shared" si="6"/>
        <v>0.17194243018425667</v>
      </c>
    </row>
    <row r="21" spans="1:11" x14ac:dyDescent="0.25">
      <c r="A21">
        <f t="shared" si="7"/>
        <v>13</v>
      </c>
      <c r="B21">
        <v>1</v>
      </c>
      <c r="C21">
        <f t="shared" si="0"/>
        <v>0.22689280275926285</v>
      </c>
      <c r="D21">
        <f t="shared" si="1"/>
        <v>0.224951054343865</v>
      </c>
      <c r="E21">
        <f t="shared" si="2"/>
        <v>2.4668643510910016E-2</v>
      </c>
      <c r="F21">
        <f t="shared" si="3"/>
        <v>27.135507862001017</v>
      </c>
      <c r="G21">
        <f t="shared" si="4"/>
        <v>1100</v>
      </c>
      <c r="H21">
        <f t="shared" si="8"/>
        <v>6.5</v>
      </c>
      <c r="I21">
        <f>30</f>
        <v>30</v>
      </c>
      <c r="J21">
        <f t="shared" si="5"/>
        <v>0.11344640137963143</v>
      </c>
      <c r="K21">
        <f t="shared" si="6"/>
        <v>0.18621182280353193</v>
      </c>
    </row>
    <row r="22" spans="1:11" x14ac:dyDescent="0.25">
      <c r="A22">
        <f t="shared" si="7"/>
        <v>14</v>
      </c>
      <c r="B22">
        <v>1</v>
      </c>
      <c r="C22">
        <f t="shared" si="0"/>
        <v>0.24434609527920614</v>
      </c>
      <c r="D22">
        <f t="shared" si="1"/>
        <v>0.24192189559966773</v>
      </c>
      <c r="E22">
        <f t="shared" si="2"/>
        <v>2.6529704505892895E-2</v>
      </c>
      <c r="F22">
        <f t="shared" si="3"/>
        <v>29.182674956482185</v>
      </c>
      <c r="G22">
        <f t="shared" si="4"/>
        <v>1100</v>
      </c>
      <c r="H22">
        <f t="shared" si="8"/>
        <v>7</v>
      </c>
      <c r="I22">
        <f>30</f>
        <v>30</v>
      </c>
      <c r="J22">
        <f t="shared" si="5"/>
        <v>0.12217304763960307</v>
      </c>
      <c r="K22">
        <f t="shared" si="6"/>
        <v>0.20046703467155233</v>
      </c>
    </row>
    <row r="23" spans="1:11" x14ac:dyDescent="0.25">
      <c r="A23">
        <f t="shared" si="7"/>
        <v>15</v>
      </c>
      <c r="B23">
        <v>1</v>
      </c>
      <c r="C23">
        <f t="shared" si="0"/>
        <v>0.26179938779914941</v>
      </c>
      <c r="D23">
        <f t="shared" si="1"/>
        <v>0.25881904510252074</v>
      </c>
      <c r="E23">
        <f t="shared" si="2"/>
        <v>2.8382684295884263E-2</v>
      </c>
      <c r="F23">
        <f t="shared" si="3"/>
        <v>31.220952725472689</v>
      </c>
      <c r="G23">
        <f t="shared" si="4"/>
        <v>1100</v>
      </c>
      <c r="H23">
        <f t="shared" si="8"/>
        <v>7.5</v>
      </c>
      <c r="I23">
        <f>30</f>
        <v>30</v>
      </c>
      <c r="J23">
        <f t="shared" si="5"/>
        <v>0.1308996938995747</v>
      </c>
      <c r="K23">
        <f t="shared" si="6"/>
        <v>0.21470698019874274</v>
      </c>
    </row>
    <row r="24" spans="1:11" x14ac:dyDescent="0.25">
      <c r="A24">
        <f t="shared" si="7"/>
        <v>16</v>
      </c>
      <c r="B24">
        <v>1</v>
      </c>
      <c r="C24">
        <f t="shared" si="0"/>
        <v>0.27925268031909273</v>
      </c>
      <c r="D24">
        <f t="shared" si="1"/>
        <v>0.27563735581699916</v>
      </c>
      <c r="E24">
        <f t="shared" si="2"/>
        <v>3.0227018445289872E-2</v>
      </c>
      <c r="F24">
        <f t="shared" si="3"/>
        <v>33.24972028981886</v>
      </c>
      <c r="G24">
        <f t="shared" si="4"/>
        <v>1100</v>
      </c>
      <c r="H24">
        <f t="shared" si="8"/>
        <v>8</v>
      </c>
      <c r="I24">
        <f>30</f>
        <v>30</v>
      </c>
      <c r="J24">
        <f t="shared" si="5"/>
        <v>0.13962634015954636</v>
      </c>
      <c r="K24">
        <f t="shared" si="6"/>
        <v>0.22893057495811922</v>
      </c>
    </row>
    <row r="25" spans="1:11" x14ac:dyDescent="0.25">
      <c r="A25">
        <f t="shared" si="7"/>
        <v>17</v>
      </c>
      <c r="B25">
        <v>1</v>
      </c>
      <c r="C25">
        <f t="shared" si="0"/>
        <v>0.29670597283903605</v>
      </c>
      <c r="D25">
        <f t="shared" si="1"/>
        <v>0.29237170472273677</v>
      </c>
      <c r="E25">
        <f t="shared" si="2"/>
        <v>3.206214515206135E-2</v>
      </c>
      <c r="F25">
        <f t="shared" si="3"/>
        <v>35.268359667267482</v>
      </c>
      <c r="G25">
        <f t="shared" si="4"/>
        <v>1100</v>
      </c>
      <c r="H25">
        <f t="shared" si="8"/>
        <v>8.5</v>
      </c>
      <c r="I25">
        <f>30</f>
        <v>30</v>
      </c>
      <c r="J25">
        <f t="shared" si="5"/>
        <v>0.14835298641951802</v>
      </c>
      <c r="K25">
        <f t="shared" si="6"/>
        <v>0.24313673576787193</v>
      </c>
    </row>
    <row r="26" spans="1:11" x14ac:dyDescent="0.25">
      <c r="A26">
        <f t="shared" si="7"/>
        <v>18</v>
      </c>
      <c r="B26">
        <v>1</v>
      </c>
      <c r="C26">
        <f t="shared" si="0"/>
        <v>0.31415926535897931</v>
      </c>
      <c r="D26">
        <f t="shared" si="1"/>
        <v>0.3090169943749474</v>
      </c>
      <c r="E26">
        <f t="shared" si="2"/>
        <v>3.3887505418826513E-2</v>
      </c>
      <c r="F26">
        <f t="shared" si="3"/>
        <v>37.276255960709165</v>
      </c>
      <c r="G26">
        <f t="shared" si="4"/>
        <v>1100</v>
      </c>
      <c r="H26">
        <f t="shared" si="8"/>
        <v>9</v>
      </c>
      <c r="I26">
        <f>30</f>
        <v>30</v>
      </c>
      <c r="J26">
        <f t="shared" si="5"/>
        <v>0.15707963267948966</v>
      </c>
      <c r="K26">
        <f t="shared" si="6"/>
        <v>0.25732438077385367</v>
      </c>
    </row>
    <row r="27" spans="1:11" x14ac:dyDescent="0.25">
      <c r="A27">
        <f t="shared" si="7"/>
        <v>19</v>
      </c>
      <c r="B27">
        <v>1</v>
      </c>
      <c r="C27">
        <f t="shared" si="0"/>
        <v>0.33161255787892263</v>
      </c>
      <c r="D27">
        <f t="shared" si="1"/>
        <v>0.3255681544571567</v>
      </c>
      <c r="E27">
        <f t="shared" si="2"/>
        <v>3.5702543223165482E-2</v>
      </c>
      <c r="F27">
        <f t="shared" si="3"/>
        <v>39.272797545482028</v>
      </c>
      <c r="G27">
        <f t="shared" si="4"/>
        <v>1100</v>
      </c>
      <c r="H27">
        <f t="shared" si="8"/>
        <v>9.5</v>
      </c>
      <c r="I27">
        <f>30</f>
        <v>30</v>
      </c>
      <c r="J27">
        <f t="shared" si="5"/>
        <v>0.16580627893946132</v>
      </c>
      <c r="K27">
        <f t="shared" si="6"/>
        <v>0.27149242953196762</v>
      </c>
    </row>
    <row r="28" spans="1:11" x14ac:dyDescent="0.25">
      <c r="A28">
        <f t="shared" si="7"/>
        <v>20</v>
      </c>
      <c r="B28">
        <v>1</v>
      </c>
      <c r="C28">
        <f t="shared" si="0"/>
        <v>0.3490658503988659</v>
      </c>
      <c r="D28">
        <f t="shared" si="1"/>
        <v>0.34202014332566871</v>
      </c>
      <c r="E28">
        <f t="shared" si="2"/>
        <v>3.7506705686980363E-2</v>
      </c>
      <c r="F28">
        <f t="shared" si="3"/>
        <v>41.257376255678402</v>
      </c>
      <c r="G28">
        <f t="shared" si="4"/>
        <v>1100</v>
      </c>
      <c r="H28">
        <f t="shared" si="8"/>
        <v>10</v>
      </c>
      <c r="I28">
        <f>30</f>
        <v>30</v>
      </c>
      <c r="J28">
        <f t="shared" si="5"/>
        <v>0.17453292519943295</v>
      </c>
      <c r="K28">
        <f t="shared" si="6"/>
        <v>0.28563980309044706</v>
      </c>
    </row>
    <row r="29" spans="1:11" x14ac:dyDescent="0.25">
      <c r="A29">
        <f t="shared" si="7"/>
        <v>21</v>
      </c>
      <c r="B29">
        <v>1</v>
      </c>
      <c r="C29">
        <f t="shared" si="0"/>
        <v>0.36651914291880922</v>
      </c>
      <c r="D29">
        <f t="shared" si="1"/>
        <v>0.35836794954530027</v>
      </c>
      <c r="E29">
        <f t="shared" si="2"/>
        <v>3.9299443244907382E-2</v>
      </c>
      <c r="F29">
        <f t="shared" si="3"/>
        <v>43.229387569398121</v>
      </c>
      <c r="G29">
        <f t="shared" si="4"/>
        <v>1100</v>
      </c>
      <c r="H29">
        <f t="shared" si="8"/>
        <v>10.5</v>
      </c>
      <c r="I29">
        <f>30</f>
        <v>30</v>
      </c>
      <c r="J29">
        <f t="shared" si="5"/>
        <v>0.18325957145940461</v>
      </c>
      <c r="K29">
        <f t="shared" si="6"/>
        <v>0.29976542407202178</v>
      </c>
    </row>
    <row r="30" spans="1:11" x14ac:dyDescent="0.25">
      <c r="A30">
        <f t="shared" si="7"/>
        <v>22</v>
      </c>
      <c r="B30">
        <v>1</v>
      </c>
      <c r="C30">
        <f t="shared" si="0"/>
        <v>0.38397243543875248</v>
      </c>
      <c r="D30">
        <f t="shared" si="1"/>
        <v>0.37460659341591201</v>
      </c>
      <c r="E30">
        <f t="shared" si="2"/>
        <v>4.1080209811719746E-2</v>
      </c>
      <c r="F30">
        <f t="shared" si="3"/>
        <v>45.188230792891723</v>
      </c>
      <c r="G30">
        <f t="shared" si="4"/>
        <v>1100</v>
      </c>
      <c r="H30">
        <f t="shared" si="8"/>
        <v>11</v>
      </c>
      <c r="I30">
        <f>30</f>
        <v>30</v>
      </c>
      <c r="J30">
        <f t="shared" si="5"/>
        <v>0.19198621771937624</v>
      </c>
      <c r="K30">
        <f t="shared" si="6"/>
        <v>0.31386821675596427</v>
      </c>
    </row>
    <row r="31" spans="1:11" x14ac:dyDescent="0.25">
      <c r="A31">
        <f t="shared" si="7"/>
        <v>23</v>
      </c>
      <c r="B31">
        <v>1</v>
      </c>
      <c r="C31">
        <f t="shared" si="0"/>
        <v>0.4014257279586958</v>
      </c>
      <c r="D31">
        <f t="shared" si="1"/>
        <v>0.39073112848927377</v>
      </c>
      <c r="E31">
        <f t="shared" si="2"/>
        <v>4.2848462948670528E-2</v>
      </c>
      <c r="F31">
        <f t="shared" si="3"/>
        <v>47.133309243537582</v>
      </c>
      <c r="G31">
        <f t="shared" si="4"/>
        <v>1100</v>
      </c>
      <c r="H31">
        <f t="shared" si="8"/>
        <v>11.5</v>
      </c>
      <c r="I31">
        <f>30</f>
        <v>30</v>
      </c>
      <c r="J31">
        <f t="shared" si="5"/>
        <v>0.2007128639793479</v>
      </c>
      <c r="K31">
        <f t="shared" si="6"/>
        <v>0.32794710716001063</v>
      </c>
    </row>
    <row r="32" spans="1:11" x14ac:dyDescent="0.25">
      <c r="A32">
        <f t="shared" si="7"/>
        <v>24</v>
      </c>
      <c r="B32">
        <v>1</v>
      </c>
      <c r="C32">
        <f t="shared" si="0"/>
        <v>0.41887902047863912</v>
      </c>
      <c r="D32">
        <f t="shared" si="1"/>
        <v>0.40673664307580021</v>
      </c>
      <c r="E32">
        <f t="shared" si="2"/>
        <v>4.4603664028724767E-2</v>
      </c>
      <c r="F32">
        <f t="shared" si="3"/>
        <v>49.064030431597246</v>
      </c>
      <c r="G32">
        <f t="shared" si="4"/>
        <v>1100</v>
      </c>
      <c r="H32">
        <f t="shared" si="8"/>
        <v>12</v>
      </c>
      <c r="I32">
        <f>30</f>
        <v>30</v>
      </c>
      <c r="J32">
        <f t="shared" si="5"/>
        <v>0.20943951023931956</v>
      </c>
      <c r="K32">
        <f t="shared" si="6"/>
        <v>0.34200102312214792</v>
      </c>
    </row>
    <row r="33" spans="1:11" x14ac:dyDescent="0.25">
      <c r="A33">
        <f t="shared" si="7"/>
        <v>25</v>
      </c>
      <c r="B33">
        <v>1</v>
      </c>
      <c r="C33">
        <f t="shared" si="0"/>
        <v>0.43633231299858238</v>
      </c>
      <c r="D33">
        <f t="shared" si="1"/>
        <v>0.42261826174069944</v>
      </c>
      <c r="E33">
        <f t="shared" si="2"/>
        <v>4.6345278400630456E-2</v>
      </c>
      <c r="F33">
        <f t="shared" si="3"/>
        <v>50.979806240693499</v>
      </c>
      <c r="G33">
        <f t="shared" si="4"/>
        <v>1100</v>
      </c>
      <c r="H33">
        <f t="shared" si="8"/>
        <v>12.5</v>
      </c>
      <c r="I33">
        <f>30</f>
        <v>30</v>
      </c>
      <c r="J33">
        <f t="shared" si="5"/>
        <v>0.21816615649929119</v>
      </c>
      <c r="K33">
        <f t="shared" si="6"/>
        <v>0.35602889438226365</v>
      </c>
    </row>
    <row r="34" spans="1:11" x14ac:dyDescent="0.25">
      <c r="A34">
        <f t="shared" si="7"/>
        <v>26</v>
      </c>
      <c r="B34">
        <v>1</v>
      </c>
      <c r="C34">
        <f t="shared" si="0"/>
        <v>0.4537856055185257</v>
      </c>
      <c r="D34">
        <f t="shared" si="1"/>
        <v>0.4383711467890774</v>
      </c>
      <c r="E34">
        <f t="shared" si="2"/>
        <v>4.8072775551778524E-2</v>
      </c>
      <c r="F34">
        <f t="shared" si="3"/>
        <v>52.880053106956375</v>
      </c>
      <c r="G34">
        <f t="shared" si="4"/>
        <v>1100</v>
      </c>
      <c r="H34">
        <f t="shared" si="8"/>
        <v>13</v>
      </c>
      <c r="I34">
        <f>30</f>
        <v>30</v>
      </c>
      <c r="J34">
        <f t="shared" si="5"/>
        <v>0.22689280275926285</v>
      </c>
      <c r="K34">
        <f t="shared" si="6"/>
        <v>0.37002965266365023</v>
      </c>
    </row>
    <row r="35" spans="1:11" x14ac:dyDescent="0.25">
      <c r="A35">
        <f t="shared" si="7"/>
        <v>27</v>
      </c>
      <c r="B35">
        <v>1</v>
      </c>
      <c r="C35">
        <f t="shared" si="0"/>
        <v>0.47123889803846897</v>
      </c>
      <c r="D35">
        <f t="shared" si="1"/>
        <v>0.45399049973954675</v>
      </c>
      <c r="E35">
        <f t="shared" si="2"/>
        <v>4.9785629269802081E-2</v>
      </c>
      <c r="F35">
        <f t="shared" si="3"/>
        <v>54.76419219678229</v>
      </c>
      <c r="G35">
        <f t="shared" si="4"/>
        <v>1100</v>
      </c>
      <c r="H35">
        <f t="shared" si="8"/>
        <v>13.5</v>
      </c>
      <c r="I35">
        <f>30</f>
        <v>30</v>
      </c>
      <c r="J35">
        <f t="shared" si="5"/>
        <v>0.23561944901923448</v>
      </c>
      <c r="K35">
        <f t="shared" si="6"/>
        <v>0.38400223175435838</v>
      </c>
    </row>
    <row r="36" spans="1:11" x14ac:dyDescent="0.25">
      <c r="A36">
        <f t="shared" si="7"/>
        <v>28</v>
      </c>
      <c r="B36">
        <v>1</v>
      </c>
      <c r="C36">
        <f t="shared" si="0"/>
        <v>0.48869219055841229</v>
      </c>
      <c r="D36">
        <f t="shared" si="1"/>
        <v>0.46947156278589081</v>
      </c>
      <c r="E36">
        <f t="shared" si="2"/>
        <v>5.1483317802865851E-2</v>
      </c>
      <c r="F36">
        <f t="shared" si="3"/>
        <v>56.631649583152438</v>
      </c>
      <c r="G36">
        <f t="shared" si="4"/>
        <v>1100</v>
      </c>
      <c r="H36">
        <f t="shared" si="8"/>
        <v>14</v>
      </c>
      <c r="I36">
        <f>30</f>
        <v>30</v>
      </c>
      <c r="J36">
        <f t="shared" si="5"/>
        <v>0.24434609527920614</v>
      </c>
      <c r="K36">
        <f t="shared" si="6"/>
        <v>0.39794556758839339</v>
      </c>
    </row>
    <row r="37" spans="1:11" x14ac:dyDescent="0.25">
      <c r="A37">
        <f t="shared" si="7"/>
        <v>29</v>
      </c>
      <c r="B37">
        <v>1</v>
      </c>
      <c r="C37">
        <f t="shared" si="0"/>
        <v>0.50614548307835561</v>
      </c>
      <c r="D37">
        <f t="shared" si="1"/>
        <v>0.48480962024633706</v>
      </c>
      <c r="E37">
        <f t="shared" si="2"/>
        <v>5.316532401859677E-2</v>
      </c>
      <c r="F37">
        <f t="shared" si="3"/>
        <v>58.481856420456445</v>
      </c>
      <c r="G37">
        <f t="shared" si="4"/>
        <v>1100</v>
      </c>
      <c r="H37">
        <f t="shared" si="8"/>
        <v>14.5</v>
      </c>
      <c r="I37">
        <f>30</f>
        <v>30</v>
      </c>
      <c r="J37">
        <f t="shared" si="5"/>
        <v>0.2530727415391778</v>
      </c>
      <c r="K37">
        <f t="shared" si="6"/>
        <v>0.41185859832674776</v>
      </c>
    </row>
    <row r="38" spans="1:11" x14ac:dyDescent="0.25">
      <c r="A38">
        <f t="shared" si="7"/>
        <v>30</v>
      </c>
      <c r="B38">
        <v>1</v>
      </c>
      <c r="C38">
        <f t="shared" si="0"/>
        <v>0.52359877559829882</v>
      </c>
      <c r="D38">
        <f t="shared" si="1"/>
        <v>0.49999999999999994</v>
      </c>
      <c r="E38">
        <f t="shared" si="2"/>
        <v>5.4831135561607534E-2</v>
      </c>
      <c r="F38">
        <f t="shared" si="3"/>
        <v>60.314249117768291</v>
      </c>
      <c r="G38">
        <f t="shared" si="4"/>
        <v>1100</v>
      </c>
      <c r="H38">
        <f t="shared" si="8"/>
        <v>15</v>
      </c>
      <c r="I38">
        <f>30</f>
        <v>30</v>
      </c>
      <c r="J38">
        <f t="shared" si="5"/>
        <v>0.26179938779914941</v>
      </c>
      <c r="K38">
        <f t="shared" si="6"/>
        <v>0.4257402644382639</v>
      </c>
    </row>
    <row r="39" spans="1:11" x14ac:dyDescent="0.25">
      <c r="A39">
        <f t="shared" si="7"/>
        <v>31</v>
      </c>
      <c r="B39">
        <v>1</v>
      </c>
      <c r="C39">
        <f t="shared" si="0"/>
        <v>0.54105206811824214</v>
      </c>
      <c r="D39">
        <f t="shared" si="1"/>
        <v>0.51503807491005416</v>
      </c>
      <c r="E39">
        <f t="shared" si="2"/>
        <v>5.6480245009565118E-2</v>
      </c>
      <c r="F39">
        <f t="shared" si="3"/>
        <v>62.128269510521626</v>
      </c>
      <c r="G39">
        <f t="shared" si="4"/>
        <v>1100</v>
      </c>
      <c r="H39">
        <f t="shared" si="8"/>
        <v>15.5</v>
      </c>
      <c r="I39">
        <f>30</f>
        <v>30</v>
      </c>
      <c r="J39">
        <f t="shared" si="5"/>
        <v>0.27052603405912107</v>
      </c>
      <c r="K39">
        <f t="shared" si="6"/>
        <v>0.43958950878032282</v>
      </c>
    </row>
    <row r="40" spans="1:11" x14ac:dyDescent="0.25">
      <c r="A40">
        <f t="shared" si="7"/>
        <v>32</v>
      </c>
      <c r="B40">
        <v>1</v>
      </c>
      <c r="C40">
        <f t="shared" ref="C40:C71" si="9">RADIANS(A40)</f>
        <v>0.55850536063818546</v>
      </c>
      <c r="D40">
        <f t="shared" ref="D40:D71" si="10">SIN(C40)</f>
        <v>0.5299192642332049</v>
      </c>
      <c r="E40">
        <f t="shared" ref="E40:E71" si="11">D40*$C$9*B40*2*PI()</f>
        <v>5.8112150027756375E-2</v>
      </c>
      <c r="F40">
        <f t="shared" ref="F40:F71" si="12">E40*$B$5</f>
        <v>63.923365030532011</v>
      </c>
      <c r="G40">
        <f t="shared" ref="G40:G71" si="13">$B$5</f>
        <v>1100</v>
      </c>
      <c r="H40">
        <f t="shared" si="8"/>
        <v>16</v>
      </c>
      <c r="I40">
        <f>30</f>
        <v>30</v>
      </c>
      <c r="J40">
        <f t="shared" ref="J40:J71" si="14">RADIANS(H40)</f>
        <v>0.27925268031909273</v>
      </c>
      <c r="K40">
        <f t="shared" ref="K40:K71" si="15">SIN(J40)*$J$9*I40*2*PI()</f>
        <v>0.4534052766793481</v>
      </c>
    </row>
    <row r="41" spans="1:11" x14ac:dyDescent="0.25">
      <c r="A41">
        <f t="shared" ref="A41:A72" si="16">A40+1</f>
        <v>33</v>
      </c>
      <c r="B41">
        <v>1</v>
      </c>
      <c r="C41">
        <f t="shared" si="9"/>
        <v>0.57595865315812877</v>
      </c>
      <c r="D41">
        <f t="shared" si="10"/>
        <v>0.54463903501502708</v>
      </c>
      <c r="E41">
        <f t="shared" si="11"/>
        <v>5.9726353522104141E-2</v>
      </c>
      <c r="F41">
        <f t="shared" si="12"/>
        <v>65.698988874314551</v>
      </c>
      <c r="G41">
        <f t="shared" si="13"/>
        <v>1100</v>
      </c>
      <c r="H41">
        <f t="shared" ref="H41:H72" si="17">H40+0.5</f>
        <v>16.5</v>
      </c>
      <c r="I41">
        <f>30</f>
        <v>30</v>
      </c>
      <c r="J41">
        <f t="shared" si="14"/>
        <v>0.28797932657906439</v>
      </c>
      <c r="K41">
        <f t="shared" si="15"/>
        <v>0.46718651601112438</v>
      </c>
    </row>
    <row r="42" spans="1:11" x14ac:dyDescent="0.25">
      <c r="A42">
        <f t="shared" si="16"/>
        <v>34</v>
      </c>
      <c r="B42">
        <v>1</v>
      </c>
      <c r="C42">
        <f t="shared" si="9"/>
        <v>0.59341194567807209</v>
      </c>
      <c r="D42">
        <f t="shared" si="10"/>
        <v>0.5591929034707469</v>
      </c>
      <c r="E42">
        <f t="shared" si="11"/>
        <v>6.1322363790586892E-2</v>
      </c>
      <c r="F42">
        <f t="shared" si="12"/>
        <v>67.454600169645587</v>
      </c>
      <c r="G42">
        <f t="shared" si="13"/>
        <v>1100</v>
      </c>
      <c r="H42">
        <f t="shared" si="17"/>
        <v>17</v>
      </c>
      <c r="I42">
        <f>30</f>
        <v>30</v>
      </c>
      <c r="J42">
        <f t="shared" si="14"/>
        <v>0.29670597283903605</v>
      </c>
      <c r="K42">
        <f t="shared" si="15"/>
        <v>0.48093217728092019</v>
      </c>
    </row>
    <row r="43" spans="1:11" x14ac:dyDescent="0.25">
      <c r="A43">
        <f t="shared" si="16"/>
        <v>35</v>
      </c>
      <c r="B43">
        <v>1</v>
      </c>
      <c r="C43">
        <f t="shared" si="9"/>
        <v>0.6108652381980153</v>
      </c>
      <c r="D43">
        <f t="shared" si="10"/>
        <v>0.57357643635104605</v>
      </c>
      <c r="E43">
        <f t="shared" si="11"/>
        <v>6.2899694673015927E-2</v>
      </c>
      <c r="F43">
        <f t="shared" si="12"/>
        <v>69.189664140317518</v>
      </c>
      <c r="G43">
        <f t="shared" si="13"/>
        <v>1100</v>
      </c>
      <c r="H43">
        <f t="shared" si="17"/>
        <v>17.5</v>
      </c>
      <c r="I43">
        <f>30</f>
        <v>30</v>
      </c>
      <c r="J43">
        <f t="shared" si="14"/>
        <v>0.30543261909900765</v>
      </c>
      <c r="K43">
        <f t="shared" si="15"/>
        <v>0.49464121370341135</v>
      </c>
    </row>
    <row r="44" spans="1:11" x14ac:dyDescent="0.25">
      <c r="A44">
        <f t="shared" si="16"/>
        <v>36</v>
      </c>
      <c r="B44">
        <v>1</v>
      </c>
      <c r="C44">
        <f t="shared" si="9"/>
        <v>0.62831853071795862</v>
      </c>
      <c r="D44">
        <f t="shared" si="10"/>
        <v>0.58778525229247314</v>
      </c>
      <c r="E44">
        <f t="shared" si="11"/>
        <v>6.4457865699124567E-2</v>
      </c>
      <c r="F44">
        <f t="shared" si="12"/>
        <v>70.903652269037025</v>
      </c>
      <c r="G44">
        <f t="shared" si="13"/>
        <v>1100</v>
      </c>
      <c r="H44">
        <f t="shared" si="17"/>
        <v>18</v>
      </c>
      <c r="I44">
        <f>30</f>
        <v>30</v>
      </c>
      <c r="J44">
        <f t="shared" si="14"/>
        <v>0.31415926535897931</v>
      </c>
      <c r="K44">
        <f t="shared" si="15"/>
        <v>0.50831258128239776</v>
      </c>
    </row>
    <row r="45" spans="1:11" x14ac:dyDescent="0.25">
      <c r="A45">
        <f t="shared" si="16"/>
        <v>37</v>
      </c>
      <c r="B45">
        <v>1</v>
      </c>
      <c r="C45">
        <f t="shared" si="9"/>
        <v>0.64577182323790194</v>
      </c>
      <c r="D45">
        <f t="shared" si="10"/>
        <v>0.60181502315204827</v>
      </c>
      <c r="E45">
        <f t="shared" si="11"/>
        <v>6.5996402234923882E-2</v>
      </c>
      <c r="F45">
        <f t="shared" si="12"/>
        <v>72.596042458416264</v>
      </c>
      <c r="G45">
        <f t="shared" si="13"/>
        <v>1100</v>
      </c>
      <c r="H45">
        <f t="shared" si="17"/>
        <v>18.5</v>
      </c>
      <c r="I45">
        <f>30</f>
        <v>30</v>
      </c>
      <c r="J45">
        <f t="shared" si="14"/>
        <v>0.32288591161895097</v>
      </c>
      <c r="K45">
        <f t="shared" si="15"/>
        <v>0.52194523889030731</v>
      </c>
    </row>
    <row r="46" spans="1:11" x14ac:dyDescent="0.25">
      <c r="A46">
        <f t="shared" si="16"/>
        <v>38</v>
      </c>
      <c r="B46">
        <v>1</v>
      </c>
      <c r="C46">
        <f t="shared" si="9"/>
        <v>0.66322511575784526</v>
      </c>
      <c r="D46">
        <f t="shared" si="10"/>
        <v>0.61566147532565829</v>
      </c>
      <c r="E46">
        <f t="shared" si="11"/>
        <v>6.7514835627280931E-2</v>
      </c>
      <c r="F46">
        <f t="shared" si="12"/>
        <v>74.266319190009028</v>
      </c>
      <c r="G46">
        <f t="shared" si="13"/>
        <v>1100</v>
      </c>
      <c r="H46">
        <f t="shared" si="17"/>
        <v>19</v>
      </c>
      <c r="I46">
        <f>30</f>
        <v>30</v>
      </c>
      <c r="J46">
        <f t="shared" si="14"/>
        <v>0.33161255787892263</v>
      </c>
      <c r="K46">
        <f t="shared" si="15"/>
        <v>0.53553814834748226</v>
      </c>
    </row>
    <row r="47" spans="1:11" x14ac:dyDescent="0.25">
      <c r="A47">
        <f t="shared" si="16"/>
        <v>39</v>
      </c>
      <c r="B47">
        <v>1</v>
      </c>
      <c r="C47">
        <f t="shared" si="9"/>
        <v>0.68067840827778847</v>
      </c>
      <c r="D47">
        <f t="shared" si="10"/>
        <v>0.62932039104983739</v>
      </c>
      <c r="E47">
        <f t="shared" si="11"/>
        <v>6.9012703346675003E-2</v>
      </c>
      <c r="F47">
        <f t="shared" si="12"/>
        <v>75.913973681342497</v>
      </c>
      <c r="G47">
        <f t="shared" si="13"/>
        <v>1100</v>
      </c>
      <c r="H47">
        <f t="shared" si="17"/>
        <v>19.5</v>
      </c>
      <c r="I47">
        <f>30</f>
        <v>30</v>
      </c>
      <c r="J47">
        <f t="shared" si="14"/>
        <v>0.34033920413889424</v>
      </c>
      <c r="K47">
        <f t="shared" si="15"/>
        <v>0.54909027450124015</v>
      </c>
    </row>
    <row r="48" spans="1:11" x14ac:dyDescent="0.25">
      <c r="A48">
        <f t="shared" si="16"/>
        <v>40</v>
      </c>
      <c r="B48">
        <v>1</v>
      </c>
      <c r="C48">
        <f t="shared" si="9"/>
        <v>0.69813170079773179</v>
      </c>
      <c r="D48">
        <f t="shared" si="10"/>
        <v>0.64278760968653925</v>
      </c>
      <c r="E48">
        <f t="shared" si="11"/>
        <v>7.0489549128088622E-2</v>
      </c>
      <c r="F48">
        <f t="shared" si="12"/>
        <v>77.538504040897479</v>
      </c>
      <c r="G48">
        <f t="shared" si="13"/>
        <v>1100</v>
      </c>
      <c r="H48">
        <f t="shared" si="17"/>
        <v>20</v>
      </c>
      <c r="I48">
        <f>30</f>
        <v>30</v>
      </c>
      <c r="J48">
        <f t="shared" si="14"/>
        <v>0.3490658503988659</v>
      </c>
      <c r="K48">
        <f t="shared" si="15"/>
        <v>0.56260058530470547</v>
      </c>
    </row>
    <row r="49" spans="1:11" x14ac:dyDescent="0.25">
      <c r="A49">
        <f t="shared" si="16"/>
        <v>41</v>
      </c>
      <c r="B49">
        <v>1</v>
      </c>
      <c r="C49">
        <f t="shared" si="9"/>
        <v>0.71558499331767511</v>
      </c>
      <c r="D49">
        <f t="shared" si="10"/>
        <v>0.65605902899050728</v>
      </c>
      <c r="E49">
        <f t="shared" si="11"/>
        <v>7.1944923109990233E-2</v>
      </c>
      <c r="F49">
        <f t="shared" si="12"/>
        <v>79.139415420989252</v>
      </c>
      <c r="G49">
        <f t="shared" si="13"/>
        <v>1100</v>
      </c>
      <c r="H49">
        <f t="shared" si="17"/>
        <v>20.5</v>
      </c>
      <c r="I49">
        <f>30</f>
        <v>30</v>
      </c>
      <c r="J49">
        <f t="shared" si="14"/>
        <v>0.35779249665883756</v>
      </c>
      <c r="K49">
        <f t="shared" si="15"/>
        <v>0.57606805189540311</v>
      </c>
    </row>
    <row r="50" spans="1:11" x14ac:dyDescent="0.25">
      <c r="A50">
        <f t="shared" si="16"/>
        <v>42</v>
      </c>
      <c r="B50">
        <v>1</v>
      </c>
      <c r="C50">
        <f t="shared" si="9"/>
        <v>0.73303828583761843</v>
      </c>
      <c r="D50">
        <f t="shared" si="10"/>
        <v>0.66913060635885824</v>
      </c>
      <c r="E50">
        <f t="shared" si="11"/>
        <v>7.3378381971366424E-2</v>
      </c>
      <c r="F50">
        <f t="shared" si="12"/>
        <v>80.716220168503071</v>
      </c>
      <c r="G50">
        <f t="shared" si="13"/>
        <v>1100</v>
      </c>
      <c r="H50">
        <f t="shared" si="17"/>
        <v>21</v>
      </c>
      <c r="I50">
        <f>30</f>
        <v>30</v>
      </c>
      <c r="J50">
        <f t="shared" si="14"/>
        <v>0.36651914291880922</v>
      </c>
      <c r="K50">
        <f t="shared" si="15"/>
        <v>0.5894916486736107</v>
      </c>
    </row>
    <row r="51" spans="1:11" x14ac:dyDescent="0.25">
      <c r="A51">
        <f t="shared" si="16"/>
        <v>43</v>
      </c>
      <c r="B51">
        <v>1</v>
      </c>
      <c r="C51">
        <f t="shared" si="9"/>
        <v>0.75049157835756175</v>
      </c>
      <c r="D51">
        <f t="shared" si="10"/>
        <v>0.68199836006249848</v>
      </c>
      <c r="E51">
        <f t="shared" si="11"/>
        <v>7.4789489066761777E-2</v>
      </c>
      <c r="F51">
        <f t="shared" si="12"/>
        <v>82.268437973437955</v>
      </c>
      <c r="G51">
        <f t="shared" si="13"/>
        <v>1100</v>
      </c>
      <c r="H51">
        <f t="shared" si="17"/>
        <v>21.5</v>
      </c>
      <c r="I51">
        <f>30</f>
        <v>30</v>
      </c>
      <c r="J51">
        <f t="shared" si="14"/>
        <v>0.37524578917878088</v>
      </c>
      <c r="K51">
        <f t="shared" si="15"/>
        <v>0.60287035338046224</v>
      </c>
    </row>
    <row r="52" spans="1:11" x14ac:dyDescent="0.25">
      <c r="A52">
        <f t="shared" si="16"/>
        <v>44</v>
      </c>
      <c r="B52">
        <v>1</v>
      </c>
      <c r="C52">
        <f t="shared" si="9"/>
        <v>0.76794487087750496</v>
      </c>
      <c r="D52">
        <f t="shared" si="10"/>
        <v>0.69465837045899725</v>
      </c>
      <c r="E52">
        <f t="shared" si="11"/>
        <v>7.6177814559285351E-2</v>
      </c>
      <c r="F52">
        <f t="shared" si="12"/>
        <v>83.795596015213889</v>
      </c>
      <c r="G52">
        <f t="shared" si="13"/>
        <v>1100</v>
      </c>
      <c r="H52">
        <f t="shared" si="17"/>
        <v>22</v>
      </c>
      <c r="I52">
        <f>30</f>
        <v>30</v>
      </c>
      <c r="J52">
        <f t="shared" si="14"/>
        <v>0.38397243543875248</v>
      </c>
      <c r="K52">
        <f t="shared" si="15"/>
        <v>0.61620314717579616</v>
      </c>
    </row>
    <row r="53" spans="1:11" x14ac:dyDescent="0.25">
      <c r="A53">
        <f t="shared" si="16"/>
        <v>45</v>
      </c>
      <c r="B53">
        <v>1</v>
      </c>
      <c r="C53">
        <f t="shared" si="9"/>
        <v>0.78539816339744828</v>
      </c>
      <c r="D53">
        <f t="shared" si="10"/>
        <v>0.70710678118654746</v>
      </c>
      <c r="E53">
        <f t="shared" si="11"/>
        <v>7.7542935551543096E-2</v>
      </c>
      <c r="F53">
        <f t="shared" si="12"/>
        <v>85.297229106697401</v>
      </c>
      <c r="G53">
        <f t="shared" si="13"/>
        <v>1100</v>
      </c>
      <c r="H53">
        <f t="shared" si="17"/>
        <v>22.5</v>
      </c>
      <c r="I53">
        <f>30</f>
        <v>30</v>
      </c>
      <c r="J53">
        <f t="shared" si="14"/>
        <v>0.39269908169872414</v>
      </c>
      <c r="K53">
        <f t="shared" si="15"/>
        <v>0.62948901471574525</v>
      </c>
    </row>
    <row r="54" spans="1:11" x14ac:dyDescent="0.25">
      <c r="A54">
        <f t="shared" si="16"/>
        <v>46</v>
      </c>
      <c r="B54">
        <v>1</v>
      </c>
      <c r="C54">
        <f t="shared" si="9"/>
        <v>0.8028514559173916</v>
      </c>
      <c r="D54">
        <f t="shared" si="10"/>
        <v>0.71933980033865108</v>
      </c>
      <c r="E54">
        <f t="shared" si="11"/>
        <v>7.8884436214456566E-2</v>
      </c>
      <c r="F54">
        <f t="shared" si="12"/>
        <v>86.772879835902216</v>
      </c>
      <c r="G54">
        <f t="shared" si="13"/>
        <v>1100</v>
      </c>
      <c r="H54">
        <f t="shared" si="17"/>
        <v>23</v>
      </c>
      <c r="I54">
        <f>30</f>
        <v>30</v>
      </c>
      <c r="J54">
        <f t="shared" si="14"/>
        <v>0.4014257279586958</v>
      </c>
      <c r="K54">
        <f t="shared" si="15"/>
        <v>0.64272694423005794</v>
      </c>
    </row>
    <row r="55" spans="1:11" x14ac:dyDescent="0.25">
      <c r="A55">
        <f t="shared" si="16"/>
        <v>47</v>
      </c>
      <c r="B55">
        <v>1</v>
      </c>
      <c r="C55">
        <f t="shared" si="9"/>
        <v>0.82030474843733492</v>
      </c>
      <c r="D55">
        <f t="shared" si="10"/>
        <v>0.73135370161917046</v>
      </c>
      <c r="E55">
        <f t="shared" si="11"/>
        <v>8.0201907913928422E-2</v>
      </c>
      <c r="F55">
        <f t="shared" si="12"/>
        <v>88.222098705321258</v>
      </c>
      <c r="G55">
        <f t="shared" si="13"/>
        <v>1100</v>
      </c>
      <c r="H55">
        <f t="shared" si="17"/>
        <v>23.5</v>
      </c>
      <c r="I55">
        <f>30</f>
        <v>30</v>
      </c>
      <c r="J55">
        <f t="shared" si="14"/>
        <v>0.41015237421866746</v>
      </c>
      <c r="K55">
        <f t="shared" si="15"/>
        <v>0.65591592759914896</v>
      </c>
    </row>
    <row r="56" spans="1:11" x14ac:dyDescent="0.25">
      <c r="A56">
        <f t="shared" si="16"/>
        <v>48</v>
      </c>
      <c r="B56">
        <v>1</v>
      </c>
      <c r="C56">
        <f t="shared" si="9"/>
        <v>0.83775804095727824</v>
      </c>
      <c r="D56">
        <f t="shared" si="10"/>
        <v>0.74314482547739424</v>
      </c>
      <c r="E56">
        <f t="shared" si="11"/>
        <v>8.1494949335316369E-2</v>
      </c>
      <c r="F56">
        <f t="shared" si="12"/>
        <v>89.644444268848005</v>
      </c>
      <c r="G56">
        <f t="shared" si="13"/>
        <v>1100</v>
      </c>
      <c r="H56">
        <f t="shared" si="17"/>
        <v>24</v>
      </c>
      <c r="I56">
        <f>30</f>
        <v>30</v>
      </c>
      <c r="J56">
        <f t="shared" si="14"/>
        <v>0.41887902047863912</v>
      </c>
      <c r="K56">
        <f t="shared" si="15"/>
        <v>0.66905496043087154</v>
      </c>
    </row>
    <row r="57" spans="1:11" x14ac:dyDescent="0.25">
      <c r="A57">
        <f t="shared" si="16"/>
        <v>49</v>
      </c>
      <c r="B57">
        <v>1</v>
      </c>
      <c r="C57">
        <f t="shared" si="9"/>
        <v>0.85521133347722145</v>
      </c>
      <c r="D57">
        <f t="shared" si="10"/>
        <v>0.75470958022277201</v>
      </c>
      <c r="E57">
        <f t="shared" si="11"/>
        <v>8.2763166605677466E-2</v>
      </c>
      <c r="F57">
        <f t="shared" si="12"/>
        <v>91.039483266245213</v>
      </c>
      <c r="G57">
        <f t="shared" si="13"/>
        <v>1100</v>
      </c>
      <c r="H57">
        <f t="shared" si="17"/>
        <v>24.5</v>
      </c>
      <c r="I57">
        <f>30</f>
        <v>30</v>
      </c>
      <c r="J57">
        <f t="shared" si="14"/>
        <v>0.42760566673861072</v>
      </c>
      <c r="K57">
        <f t="shared" si="15"/>
        <v>0.68214304213700561</v>
      </c>
    </row>
    <row r="58" spans="1:11" x14ac:dyDescent="0.25">
      <c r="A58">
        <f t="shared" si="16"/>
        <v>50</v>
      </c>
      <c r="B58">
        <v>1</v>
      </c>
      <c r="C58">
        <f t="shared" si="9"/>
        <v>0.87266462599716477</v>
      </c>
      <c r="D58">
        <f t="shared" si="10"/>
        <v>0.76604444311897801</v>
      </c>
      <c r="E58">
        <f t="shared" si="11"/>
        <v>8.400617341374568E-2</v>
      </c>
      <c r="F58">
        <f t="shared" si="12"/>
        <v>92.406790755120241</v>
      </c>
      <c r="G58">
        <f t="shared" si="13"/>
        <v>1100</v>
      </c>
      <c r="H58">
        <f t="shared" si="17"/>
        <v>25</v>
      </c>
      <c r="I58">
        <f>30</f>
        <v>30</v>
      </c>
      <c r="J58">
        <f t="shared" si="14"/>
        <v>0.43633231299858238</v>
      </c>
      <c r="K58">
        <f t="shared" si="15"/>
        <v>0.69517917600945689</v>
      </c>
    </row>
    <row r="59" spans="1:11" x14ac:dyDescent="0.25">
      <c r="A59">
        <f t="shared" si="16"/>
        <v>51</v>
      </c>
      <c r="B59">
        <v>1</v>
      </c>
      <c r="C59">
        <f t="shared" si="9"/>
        <v>0.89011791851710809</v>
      </c>
      <c r="D59">
        <f t="shared" si="10"/>
        <v>0.7771459614569709</v>
      </c>
      <c r="E59">
        <f t="shared" si="11"/>
        <v>8.522359112760601E-2</v>
      </c>
      <c r="F59">
        <f t="shared" si="12"/>
        <v>93.745950240366611</v>
      </c>
      <c r="G59">
        <f t="shared" si="13"/>
        <v>1100</v>
      </c>
      <c r="H59">
        <f t="shared" si="17"/>
        <v>25.5</v>
      </c>
      <c r="I59">
        <f>30</f>
        <v>30</v>
      </c>
      <c r="J59">
        <f t="shared" si="14"/>
        <v>0.44505895925855404</v>
      </c>
      <c r="K59">
        <f t="shared" si="15"/>
        <v>0.7081623692961595</v>
      </c>
    </row>
    <row r="60" spans="1:11" x14ac:dyDescent="0.25">
      <c r="A60">
        <f t="shared" si="16"/>
        <v>52</v>
      </c>
      <c r="B60">
        <v>1</v>
      </c>
      <c r="C60">
        <f t="shared" si="9"/>
        <v>0.90757121103705141</v>
      </c>
      <c r="D60">
        <f t="shared" si="10"/>
        <v>0.78801075360672201</v>
      </c>
      <c r="E60">
        <f t="shared" si="11"/>
        <v>8.6415048910029393E-2</v>
      </c>
      <c r="F60">
        <f t="shared" si="12"/>
        <v>95.056553801032337</v>
      </c>
      <c r="G60">
        <f t="shared" si="13"/>
        <v>1100</v>
      </c>
      <c r="H60">
        <f t="shared" si="17"/>
        <v>26</v>
      </c>
      <c r="I60">
        <f>30</f>
        <v>30</v>
      </c>
      <c r="J60">
        <f t="shared" si="14"/>
        <v>0.4537856055185257</v>
      </c>
      <c r="K60">
        <f t="shared" si="15"/>
        <v>0.72109163327667791</v>
      </c>
    </row>
    <row r="61" spans="1:11" x14ac:dyDescent="0.25">
      <c r="A61">
        <f t="shared" si="16"/>
        <v>53</v>
      </c>
      <c r="B61">
        <v>1</v>
      </c>
      <c r="C61">
        <f t="shared" si="9"/>
        <v>0.92502450355699462</v>
      </c>
      <c r="D61">
        <f t="shared" si="10"/>
        <v>0.79863551004729283</v>
      </c>
      <c r="E61">
        <f t="shared" si="11"/>
        <v>8.75801838314334E-2</v>
      </c>
      <c r="F61">
        <f t="shared" si="12"/>
        <v>96.338202214576739</v>
      </c>
      <c r="G61">
        <f t="shared" si="13"/>
        <v>1100</v>
      </c>
      <c r="H61">
        <f t="shared" si="17"/>
        <v>26.5</v>
      </c>
      <c r="I61">
        <f>30</f>
        <v>30</v>
      </c>
      <c r="J61">
        <f t="shared" si="14"/>
        <v>0.46251225177849731</v>
      </c>
      <c r="K61">
        <f t="shared" si="15"/>
        <v>0.73396598333750263</v>
      </c>
    </row>
    <row r="62" spans="1:11" x14ac:dyDescent="0.25">
      <c r="A62">
        <f t="shared" si="16"/>
        <v>54</v>
      </c>
      <c r="B62">
        <v>1</v>
      </c>
      <c r="C62">
        <f t="shared" si="9"/>
        <v>0.94247779607693793</v>
      </c>
      <c r="D62">
        <f t="shared" si="10"/>
        <v>0.80901699437494745</v>
      </c>
      <c r="E62">
        <f t="shared" si="11"/>
        <v>8.8718640980434069E-2</v>
      </c>
      <c r="F62">
        <f t="shared" si="12"/>
        <v>97.590505078477477</v>
      </c>
      <c r="G62">
        <f t="shared" si="13"/>
        <v>1100</v>
      </c>
      <c r="H62">
        <f t="shared" si="17"/>
        <v>27</v>
      </c>
      <c r="I62">
        <f>30</f>
        <v>30</v>
      </c>
      <c r="J62">
        <f t="shared" si="14"/>
        <v>0.47123889803846897</v>
      </c>
      <c r="K62">
        <f t="shared" si="15"/>
        <v>0.74678443904703129</v>
      </c>
    </row>
    <row r="63" spans="1:11" x14ac:dyDescent="0.25">
      <c r="A63">
        <f t="shared" si="16"/>
        <v>55</v>
      </c>
      <c r="B63">
        <v>1</v>
      </c>
      <c r="C63">
        <f t="shared" si="9"/>
        <v>0.95993108859688125</v>
      </c>
      <c r="D63">
        <f t="shared" si="10"/>
        <v>0.8191520442889918</v>
      </c>
      <c r="E63">
        <f t="shared" si="11"/>
        <v>8.9830073571955313E-2</v>
      </c>
      <c r="F63">
        <f t="shared" si="12"/>
        <v>98.813080929150843</v>
      </c>
      <c r="G63">
        <f t="shared" si="13"/>
        <v>1100</v>
      </c>
      <c r="H63">
        <f t="shared" si="17"/>
        <v>27.5</v>
      </c>
      <c r="I63">
        <f>30</f>
        <v>30</v>
      </c>
      <c r="J63">
        <f t="shared" si="14"/>
        <v>0.47996554429844063</v>
      </c>
      <c r="K63">
        <f t="shared" si="15"/>
        <v>0.75954602423023321</v>
      </c>
    </row>
    <row r="64" spans="1:11" x14ac:dyDescent="0.25">
      <c r="A64">
        <f t="shared" si="16"/>
        <v>56</v>
      </c>
      <c r="B64">
        <v>1</v>
      </c>
      <c r="C64">
        <f t="shared" si="9"/>
        <v>0.97738438111682457</v>
      </c>
      <c r="D64">
        <f t="shared" si="10"/>
        <v>0.82903757255504174</v>
      </c>
      <c r="E64">
        <f t="shared" si="11"/>
        <v>9.0914143052863092E-2</v>
      </c>
      <c r="F64">
        <f t="shared" si="12"/>
        <v>100.0055573581494</v>
      </c>
      <c r="G64">
        <f t="shared" si="13"/>
        <v>1100</v>
      </c>
      <c r="H64">
        <f t="shared" si="17"/>
        <v>28</v>
      </c>
      <c r="I64">
        <f>30</f>
        <v>30</v>
      </c>
      <c r="J64">
        <f t="shared" si="14"/>
        <v>0.48869219055841229</v>
      </c>
      <c r="K64">
        <f t="shared" si="15"/>
        <v>0.77224976704298776</v>
      </c>
    </row>
    <row r="65" spans="1:11" x14ac:dyDescent="0.25">
      <c r="A65">
        <f t="shared" si="16"/>
        <v>57</v>
      </c>
      <c r="B65">
        <v>1</v>
      </c>
      <c r="C65">
        <f t="shared" si="9"/>
        <v>0.99483767363676789</v>
      </c>
      <c r="D65">
        <f t="shared" si="10"/>
        <v>0.83867056794542405</v>
      </c>
      <c r="E65">
        <f t="shared" si="11"/>
        <v>9.1970519205091875E-2</v>
      </c>
      <c r="F65">
        <f t="shared" si="12"/>
        <v>101.16757112560106</v>
      </c>
      <c r="G65">
        <f t="shared" si="13"/>
        <v>1100</v>
      </c>
      <c r="H65">
        <f t="shared" si="17"/>
        <v>28.5</v>
      </c>
      <c r="I65">
        <f>30</f>
        <v>30</v>
      </c>
      <c r="J65">
        <f t="shared" si="14"/>
        <v>0.49741883681838395</v>
      </c>
      <c r="K65">
        <f t="shared" si="15"/>
        <v>0.78489470004609552</v>
      </c>
    </row>
    <row r="66" spans="1:11" x14ac:dyDescent="0.25">
      <c r="A66">
        <f t="shared" si="16"/>
        <v>58</v>
      </c>
      <c r="B66">
        <v>1</v>
      </c>
      <c r="C66">
        <f t="shared" si="9"/>
        <v>1.0122909661567112</v>
      </c>
      <c r="D66">
        <f t="shared" si="10"/>
        <v>0.84804809615642596</v>
      </c>
      <c r="E66">
        <f t="shared" si="11"/>
        <v>9.299888024623236E-2</v>
      </c>
      <c r="F66">
        <f t="shared" si="12"/>
        <v>102.29876827085559</v>
      </c>
      <c r="G66">
        <f t="shared" si="13"/>
        <v>1100</v>
      </c>
      <c r="H66">
        <f t="shared" si="17"/>
        <v>29</v>
      </c>
      <c r="I66">
        <f>30</f>
        <v>30</v>
      </c>
      <c r="J66">
        <f t="shared" si="14"/>
        <v>0.50614548307835561</v>
      </c>
      <c r="K66">
        <f t="shared" si="15"/>
        <v>0.79747986027895146</v>
      </c>
    </row>
    <row r="67" spans="1:11" x14ac:dyDescent="0.25">
      <c r="A67">
        <f t="shared" si="16"/>
        <v>59</v>
      </c>
      <c r="B67">
        <v>1</v>
      </c>
      <c r="C67">
        <f t="shared" si="9"/>
        <v>1.0297442586766545</v>
      </c>
      <c r="D67">
        <f t="shared" si="10"/>
        <v>0.85716730070211233</v>
      </c>
      <c r="E67">
        <f t="shared" si="11"/>
        <v>9.3998912927549472E-2</v>
      </c>
      <c r="F67">
        <f t="shared" si="12"/>
        <v>103.39880422030441</v>
      </c>
      <c r="G67">
        <f t="shared" si="13"/>
        <v>1100</v>
      </c>
      <c r="H67">
        <f t="shared" si="17"/>
        <v>29.5</v>
      </c>
      <c r="I67">
        <f>30</f>
        <v>30</v>
      </c>
      <c r="J67">
        <f t="shared" si="14"/>
        <v>0.51487212933832727</v>
      </c>
      <c r="K67">
        <f t="shared" si="15"/>
        <v>0.81000428933287816</v>
      </c>
    </row>
    <row r="68" spans="1:11" x14ac:dyDescent="0.25">
      <c r="A68">
        <f t="shared" si="16"/>
        <v>60</v>
      </c>
      <c r="B68">
        <v>1</v>
      </c>
      <c r="C68">
        <f t="shared" si="9"/>
        <v>1.0471975511965976</v>
      </c>
      <c r="D68">
        <f t="shared" si="10"/>
        <v>0.8660254037844386</v>
      </c>
      <c r="E68">
        <f t="shared" si="11"/>
        <v>9.4970312629400921E-2</v>
      </c>
      <c r="F68">
        <f t="shared" si="12"/>
        <v>104.46734389234102</v>
      </c>
      <c r="G68">
        <f t="shared" si="13"/>
        <v>1100</v>
      </c>
      <c r="H68">
        <f t="shared" si="17"/>
        <v>30</v>
      </c>
      <c r="I68">
        <f>30</f>
        <v>30</v>
      </c>
      <c r="J68">
        <f t="shared" si="14"/>
        <v>0.52359877559829882</v>
      </c>
      <c r="K68">
        <f t="shared" si="15"/>
        <v>0.82246703342411287</v>
      </c>
    </row>
    <row r="69" spans="1:11" x14ac:dyDescent="0.25">
      <c r="A69">
        <f t="shared" si="16"/>
        <v>61</v>
      </c>
      <c r="B69">
        <v>1</v>
      </c>
      <c r="C69">
        <f t="shared" si="9"/>
        <v>1.064650843716541</v>
      </c>
      <c r="D69">
        <f t="shared" si="10"/>
        <v>0.87461970713939574</v>
      </c>
      <c r="E69">
        <f t="shared" si="11"/>
        <v>9.59127834540274E-2</v>
      </c>
      <c r="F69">
        <f t="shared" si="12"/>
        <v>105.50406179943015</v>
      </c>
      <c r="G69">
        <f t="shared" si="13"/>
        <v>1100</v>
      </c>
      <c r="H69">
        <f t="shared" si="17"/>
        <v>30.5</v>
      </c>
      <c r="I69">
        <f>30</f>
        <v>30</v>
      </c>
      <c r="J69">
        <f t="shared" si="14"/>
        <v>0.53232542185827048</v>
      </c>
      <c r="K69">
        <f t="shared" si="15"/>
        <v>0.8348671434664422</v>
      </c>
    </row>
    <row r="70" spans="1:11" x14ac:dyDescent="0.25">
      <c r="A70">
        <f t="shared" si="16"/>
        <v>62</v>
      </c>
      <c r="B70">
        <v>1</v>
      </c>
      <c r="C70">
        <f t="shared" si="9"/>
        <v>1.0821041362364843</v>
      </c>
      <c r="D70">
        <f t="shared" si="10"/>
        <v>0.88294759285892688</v>
      </c>
      <c r="E70">
        <f t="shared" si="11"/>
        <v>9.6826038315685772E-2</v>
      </c>
      <c r="F70">
        <f t="shared" si="12"/>
        <v>106.50864214725435</v>
      </c>
      <c r="G70">
        <f t="shared" si="13"/>
        <v>1100</v>
      </c>
      <c r="H70">
        <f t="shared" si="17"/>
        <v>31</v>
      </c>
      <c r="I70">
        <f>30</f>
        <v>30</v>
      </c>
      <c r="J70">
        <f t="shared" si="14"/>
        <v>0.54105206811824214</v>
      </c>
      <c r="K70">
        <f t="shared" si="15"/>
        <v>0.84720367514347672</v>
      </c>
    </row>
    <row r="71" spans="1:11" x14ac:dyDescent="0.25">
      <c r="A71">
        <f t="shared" si="16"/>
        <v>63</v>
      </c>
      <c r="B71">
        <v>1</v>
      </c>
      <c r="C71">
        <f t="shared" si="9"/>
        <v>1.0995574287564276</v>
      </c>
      <c r="D71">
        <f t="shared" si="10"/>
        <v>0.89100652418836779</v>
      </c>
      <c r="E71">
        <f t="shared" si="11"/>
        <v>9.7709799028098288E-2</v>
      </c>
      <c r="F71">
        <f t="shared" si="12"/>
        <v>107.48077893090812</v>
      </c>
      <c r="G71">
        <f t="shared" si="13"/>
        <v>1100</v>
      </c>
      <c r="H71">
        <f t="shared" si="17"/>
        <v>31.5</v>
      </c>
      <c r="I71">
        <f>30</f>
        <v>30</v>
      </c>
      <c r="J71">
        <f t="shared" si="14"/>
        <v>0.5497787143782138</v>
      </c>
      <c r="K71">
        <f t="shared" si="15"/>
        <v>0.85947568898056692</v>
      </c>
    </row>
    <row r="72" spans="1:11" x14ac:dyDescent="0.25">
      <c r="A72">
        <f t="shared" si="16"/>
        <v>64</v>
      </c>
      <c r="B72">
        <v>1</v>
      </c>
      <c r="C72">
        <f t="shared" ref="C72:C98" si="18">RADIANS(A72)</f>
        <v>1.1170107212763709</v>
      </c>
      <c r="D72">
        <f t="shared" ref="D72:D103" si="19">SIN(C72)</f>
        <v>0.89879404629916704</v>
      </c>
      <c r="E72">
        <f t="shared" ref="E72:E103" si="20">D72*$C$9*B72*2*PI()</f>
        <v>9.85637963891908E-2</v>
      </c>
      <c r="F72">
        <f t="shared" ref="F72:F103" si="21">E72*$B$5</f>
        <v>108.42017602810988</v>
      </c>
      <c r="G72">
        <f t="shared" ref="G72:G103" si="22">$B$5</f>
        <v>1100</v>
      </c>
      <c r="H72">
        <f t="shared" si="17"/>
        <v>32</v>
      </c>
      <c r="I72">
        <f>30</f>
        <v>30</v>
      </c>
      <c r="J72">
        <f t="shared" ref="J72:J103" si="23">RADIANS(H72)</f>
        <v>0.55850536063818546</v>
      </c>
      <c r="K72">
        <f t="shared" ref="K72:K103" si="24">SIN(J72)*$J$9*I72*2*PI()</f>
        <v>0.87168225041634551</v>
      </c>
    </row>
    <row r="73" spans="1:11" x14ac:dyDescent="0.25">
      <c r="A73">
        <f t="shared" ref="A73:A98" si="25">A72+1</f>
        <v>65</v>
      </c>
      <c r="B73">
        <v>1</v>
      </c>
      <c r="C73">
        <f t="shared" si="18"/>
        <v>1.1344640137963142</v>
      </c>
      <c r="D73">
        <f t="shared" si="19"/>
        <v>0.90630778703664994</v>
      </c>
      <c r="E73">
        <f t="shared" si="20"/>
        <v>9.9387770263094199E-2</v>
      </c>
      <c r="F73">
        <f t="shared" si="21"/>
        <v>109.32654728940362</v>
      </c>
      <c r="G73">
        <f t="shared" si="22"/>
        <v>1100</v>
      </c>
      <c r="H73">
        <f t="shared" ref="H73:H104" si="26">H72+0.5</f>
        <v>32.5</v>
      </c>
      <c r="I73">
        <f>30</f>
        <v>30</v>
      </c>
      <c r="J73">
        <f t="shared" si="23"/>
        <v>0.56723200689815712</v>
      </c>
      <c r="K73">
        <f t="shared" si="24"/>
        <v>0.88382242987390014</v>
      </c>
    </row>
    <row r="74" spans="1:11" x14ac:dyDescent="0.25">
      <c r="A74">
        <f t="shared" si="25"/>
        <v>66</v>
      </c>
      <c r="B74">
        <v>1</v>
      </c>
      <c r="C74">
        <f t="shared" si="18"/>
        <v>1.1519173063162575</v>
      </c>
      <c r="D74">
        <f t="shared" si="19"/>
        <v>0.91354545764260087</v>
      </c>
      <c r="E74">
        <f t="shared" si="20"/>
        <v>0.1001814696593845</v>
      </c>
      <c r="F74">
        <f t="shared" si="21"/>
        <v>110.19961662532295</v>
      </c>
      <c r="G74">
        <f t="shared" si="22"/>
        <v>1100</v>
      </c>
      <c r="H74">
        <f t="shared" si="26"/>
        <v>33</v>
      </c>
      <c r="I74">
        <f>30</f>
        <v>30</v>
      </c>
      <c r="J74">
        <f t="shared" si="23"/>
        <v>0.57595865315812877</v>
      </c>
      <c r="K74">
        <f t="shared" si="24"/>
        <v>0.89589530283156205</v>
      </c>
    </row>
    <row r="75" spans="1:11" x14ac:dyDescent="0.25">
      <c r="A75">
        <f t="shared" si="25"/>
        <v>67</v>
      </c>
      <c r="B75">
        <v>1</v>
      </c>
      <c r="C75">
        <f t="shared" si="18"/>
        <v>1.1693705988362009</v>
      </c>
      <c r="D75">
        <f t="shared" si="19"/>
        <v>0.92050485345244037</v>
      </c>
      <c r="E75">
        <f t="shared" si="20"/>
        <v>0.10094465280953691</v>
      </c>
      <c r="F75">
        <f t="shared" si="21"/>
        <v>111.03911809049059</v>
      </c>
      <c r="G75">
        <f t="shared" si="22"/>
        <v>1100</v>
      </c>
      <c r="H75">
        <f t="shared" si="26"/>
        <v>33.5</v>
      </c>
      <c r="I75">
        <f>30</f>
        <v>30</v>
      </c>
      <c r="J75">
        <f t="shared" si="23"/>
        <v>0.58468529941810043</v>
      </c>
      <c r="K75">
        <f t="shared" si="24"/>
        <v>0.90789994989331357</v>
      </c>
    </row>
    <row r="76" spans="1:11" x14ac:dyDescent="0.25">
      <c r="A76">
        <f t="shared" si="25"/>
        <v>68</v>
      </c>
      <c r="B76">
        <v>1</v>
      </c>
      <c r="C76">
        <f t="shared" si="18"/>
        <v>1.1868238913561442</v>
      </c>
      <c r="D76">
        <f t="shared" si="19"/>
        <v>0.92718385456678742</v>
      </c>
      <c r="E76">
        <f t="shared" si="20"/>
        <v>0.10167708724057067</v>
      </c>
      <c r="F76">
        <f t="shared" si="21"/>
        <v>111.84479596462774</v>
      </c>
      <c r="G76">
        <f t="shared" si="22"/>
        <v>1100</v>
      </c>
      <c r="H76">
        <f t="shared" si="26"/>
        <v>34</v>
      </c>
      <c r="I76">
        <f>30</f>
        <v>30</v>
      </c>
      <c r="J76">
        <f t="shared" si="23"/>
        <v>0.59341194567807209</v>
      </c>
      <c r="K76">
        <f t="shared" si="24"/>
        <v>0.91983545685880341</v>
      </c>
    </row>
    <row r="77" spans="1:11" x14ac:dyDescent="0.25">
      <c r="A77">
        <f t="shared" si="25"/>
        <v>69</v>
      </c>
      <c r="B77">
        <v>1</v>
      </c>
      <c r="C77">
        <f t="shared" si="18"/>
        <v>1.2042771838760873</v>
      </c>
      <c r="D77">
        <f t="shared" si="19"/>
        <v>0.93358042649720174</v>
      </c>
      <c r="E77">
        <f t="shared" si="20"/>
        <v>0.10237854984586291</v>
      </c>
      <c r="F77">
        <f t="shared" si="21"/>
        <v>112.6164048304492</v>
      </c>
      <c r="G77">
        <f t="shared" si="22"/>
        <v>1100</v>
      </c>
      <c r="H77">
        <f t="shared" si="26"/>
        <v>34.5</v>
      </c>
      <c r="I77">
        <f>30</f>
        <v>30</v>
      </c>
      <c r="J77">
        <f t="shared" si="23"/>
        <v>0.60213859193804364</v>
      </c>
      <c r="K77">
        <f t="shared" si="24"/>
        <v>0.93170091479296546</v>
      </c>
    </row>
    <row r="78" spans="1:11" x14ac:dyDescent="0.25">
      <c r="A78">
        <f t="shared" si="25"/>
        <v>70</v>
      </c>
      <c r="B78">
        <v>1</v>
      </c>
      <c r="C78">
        <f t="shared" si="18"/>
        <v>1.2217304763960306</v>
      </c>
      <c r="D78">
        <f t="shared" si="19"/>
        <v>0.93969262078590832</v>
      </c>
      <c r="E78">
        <f t="shared" si="20"/>
        <v>0.10304882695310882</v>
      </c>
      <c r="F78">
        <f t="shared" si="21"/>
        <v>113.35370964841971</v>
      </c>
      <c r="G78">
        <f t="shared" si="22"/>
        <v>1100</v>
      </c>
      <c r="H78">
        <f t="shared" si="26"/>
        <v>35</v>
      </c>
      <c r="I78">
        <f>30</f>
        <v>30</v>
      </c>
      <c r="J78">
        <f t="shared" si="23"/>
        <v>0.6108652381980153</v>
      </c>
      <c r="K78">
        <f t="shared" si="24"/>
        <v>0.94349542009523901</v>
      </c>
    </row>
    <row r="79" spans="1:11" x14ac:dyDescent="0.25">
      <c r="A79">
        <f t="shared" si="25"/>
        <v>71</v>
      </c>
      <c r="B79">
        <v>1</v>
      </c>
      <c r="C79">
        <f t="shared" si="18"/>
        <v>1.2391837689159739</v>
      </c>
      <c r="D79">
        <f t="shared" si="19"/>
        <v>0.94551857559931674</v>
      </c>
      <c r="E79">
        <f t="shared" si="20"/>
        <v>0.10368771438940842</v>
      </c>
      <c r="F79">
        <f t="shared" si="21"/>
        <v>114.05648582834927</v>
      </c>
      <c r="G79">
        <f t="shared" si="22"/>
        <v>1100</v>
      </c>
      <c r="H79">
        <f t="shared" si="26"/>
        <v>35.5</v>
      </c>
      <c r="I79">
        <f>30</f>
        <v>30</v>
      </c>
      <c r="J79">
        <f t="shared" si="23"/>
        <v>0.61959188445798696</v>
      </c>
      <c r="K79">
        <f t="shared" si="24"/>
        <v>0.95521807456838159</v>
      </c>
    </row>
    <row r="80" spans="1:11" x14ac:dyDescent="0.25">
      <c r="A80">
        <f t="shared" si="25"/>
        <v>72</v>
      </c>
      <c r="B80">
        <v>1</v>
      </c>
      <c r="C80">
        <f t="shared" si="18"/>
        <v>1.2566370614359172</v>
      </c>
      <c r="D80">
        <f t="shared" si="19"/>
        <v>0.95105651629515353</v>
      </c>
      <c r="E80">
        <f t="shared" si="20"/>
        <v>0.10429501754345956</v>
      </c>
      <c r="F80">
        <f t="shared" si="21"/>
        <v>114.72451929780551</v>
      </c>
      <c r="G80">
        <f t="shared" si="22"/>
        <v>1100</v>
      </c>
      <c r="H80">
        <f t="shared" si="26"/>
        <v>36</v>
      </c>
      <c r="I80">
        <f>30</f>
        <v>30</v>
      </c>
      <c r="J80">
        <f t="shared" si="23"/>
        <v>0.62831853071795862</v>
      </c>
      <c r="K80">
        <f t="shared" si="24"/>
        <v>0.9668679854868687</v>
      </c>
    </row>
    <row r="81" spans="1:11" x14ac:dyDescent="0.25">
      <c r="A81">
        <f t="shared" si="25"/>
        <v>73</v>
      </c>
      <c r="B81">
        <v>1</v>
      </c>
      <c r="C81">
        <f t="shared" si="18"/>
        <v>1.2740903539558606</v>
      </c>
      <c r="D81">
        <f t="shared" si="19"/>
        <v>0.95630475596303544</v>
      </c>
      <c r="E81">
        <f t="shared" si="20"/>
        <v>0.10487055142483843</v>
      </c>
      <c r="F81">
        <f t="shared" si="21"/>
        <v>115.35760656732228</v>
      </c>
      <c r="G81">
        <f t="shared" si="22"/>
        <v>1100</v>
      </c>
      <c r="H81">
        <f t="shared" si="26"/>
        <v>36.5</v>
      </c>
      <c r="I81">
        <f>30</f>
        <v>30</v>
      </c>
      <c r="J81">
        <f t="shared" si="23"/>
        <v>0.63704517697793028</v>
      </c>
      <c r="K81">
        <f t="shared" si="24"/>
        <v>0.97844426566487908</v>
      </c>
    </row>
    <row r="82" spans="1:11" x14ac:dyDescent="0.25">
      <c r="A82">
        <f t="shared" si="25"/>
        <v>74</v>
      </c>
      <c r="B82">
        <v>1</v>
      </c>
      <c r="C82">
        <f t="shared" si="18"/>
        <v>1.2915436464758039</v>
      </c>
      <c r="D82">
        <f t="shared" si="19"/>
        <v>0.96126169593831889</v>
      </c>
      <c r="E82">
        <f t="shared" si="20"/>
        <v>0.10541414072034946</v>
      </c>
      <c r="F82">
        <f t="shared" si="21"/>
        <v>115.9555547923844</v>
      </c>
      <c r="G82">
        <f t="shared" si="22"/>
        <v>1100</v>
      </c>
      <c r="H82">
        <f t="shared" si="26"/>
        <v>37</v>
      </c>
      <c r="I82">
        <f>30</f>
        <v>30</v>
      </c>
      <c r="J82">
        <f t="shared" si="23"/>
        <v>0.64577182323790194</v>
      </c>
      <c r="K82">
        <f t="shared" si="24"/>
        <v>0.98994603352385813</v>
      </c>
    </row>
    <row r="83" spans="1:11" x14ac:dyDescent="0.25">
      <c r="A83">
        <f t="shared" si="25"/>
        <v>75</v>
      </c>
      <c r="B83">
        <v>1</v>
      </c>
      <c r="C83">
        <f t="shared" si="18"/>
        <v>1.3089969389957472</v>
      </c>
      <c r="D83">
        <f t="shared" si="19"/>
        <v>0.96592582628906831</v>
      </c>
      <c r="E83">
        <f t="shared" si="20"/>
        <v>0.10592561984742736</v>
      </c>
      <c r="F83">
        <f t="shared" si="21"/>
        <v>116.5181818321701</v>
      </c>
      <c r="G83">
        <f t="shared" si="22"/>
        <v>1100</v>
      </c>
      <c r="H83">
        <f t="shared" si="26"/>
        <v>37.5</v>
      </c>
      <c r="I83">
        <f>30</f>
        <v>30</v>
      </c>
      <c r="J83">
        <f t="shared" si="23"/>
        <v>0.6544984694978736</v>
      </c>
      <c r="K83">
        <f t="shared" si="24"/>
        <v>1.0013724131596529</v>
      </c>
    </row>
    <row r="84" spans="1:11" x14ac:dyDescent="0.25">
      <c r="A84">
        <f t="shared" si="25"/>
        <v>76</v>
      </c>
      <c r="B84">
        <v>1</v>
      </c>
      <c r="C84">
        <f t="shared" si="18"/>
        <v>1.3264502315156905</v>
      </c>
      <c r="D84">
        <f t="shared" si="19"/>
        <v>0.97029572627599647</v>
      </c>
      <c r="E84">
        <f t="shared" si="20"/>
        <v>0.10640483300457523</v>
      </c>
      <c r="F84">
        <f t="shared" si="21"/>
        <v>117.04531630503276</v>
      </c>
      <c r="G84">
        <f t="shared" si="22"/>
        <v>1100</v>
      </c>
      <c r="H84">
        <f t="shared" si="26"/>
        <v>38</v>
      </c>
      <c r="I84">
        <f>30</f>
        <v>30</v>
      </c>
      <c r="J84">
        <f t="shared" si="23"/>
        <v>0.66322511575784526</v>
      </c>
      <c r="K84">
        <f t="shared" si="24"/>
        <v>1.0127225344092141</v>
      </c>
    </row>
    <row r="85" spans="1:11" x14ac:dyDescent="0.25">
      <c r="A85">
        <f t="shared" si="25"/>
        <v>77</v>
      </c>
      <c r="B85">
        <v>1</v>
      </c>
      <c r="C85">
        <f t="shared" si="18"/>
        <v>1.3439035240356338</v>
      </c>
      <c r="D85">
        <f t="shared" si="19"/>
        <v>0.97437006478523525</v>
      </c>
      <c r="E85">
        <f t="shared" si="20"/>
        <v>0.10685163421882313</v>
      </c>
      <c r="F85">
        <f t="shared" si="21"/>
        <v>117.53679764070544</v>
      </c>
      <c r="G85">
        <f t="shared" si="22"/>
        <v>1100</v>
      </c>
      <c r="H85">
        <f t="shared" si="26"/>
        <v>38.5</v>
      </c>
      <c r="I85">
        <f>30</f>
        <v>30</v>
      </c>
      <c r="J85">
        <f t="shared" si="23"/>
        <v>0.67195176201781692</v>
      </c>
      <c r="K85">
        <f t="shared" si="24"/>
        <v>1.0239955329168653</v>
      </c>
    </row>
    <row r="86" spans="1:11" x14ac:dyDescent="0.25">
      <c r="A86">
        <f t="shared" si="25"/>
        <v>78</v>
      </c>
      <c r="B86">
        <v>1</v>
      </c>
      <c r="C86">
        <f t="shared" si="18"/>
        <v>1.3613568165555769</v>
      </c>
      <c r="D86">
        <f t="shared" si="19"/>
        <v>0.97814760073380558</v>
      </c>
      <c r="E86">
        <f t="shared" si="20"/>
        <v>0.10726588739019292</v>
      </c>
      <c r="F86">
        <f t="shared" si="21"/>
        <v>117.99247612921222</v>
      </c>
      <c r="G86">
        <f t="shared" si="22"/>
        <v>1100</v>
      </c>
      <c r="H86">
        <f t="shared" si="26"/>
        <v>39</v>
      </c>
      <c r="I86">
        <f>30</f>
        <v>30</v>
      </c>
      <c r="J86">
        <f t="shared" si="23"/>
        <v>0.68067840827778847</v>
      </c>
      <c r="K86">
        <f t="shared" si="24"/>
        <v>1.0351905502001253</v>
      </c>
    </row>
    <row r="87" spans="1:11" x14ac:dyDescent="0.25">
      <c r="A87">
        <f t="shared" si="25"/>
        <v>79</v>
      </c>
      <c r="B87">
        <v>1</v>
      </c>
      <c r="C87">
        <f t="shared" si="18"/>
        <v>1.3788101090755203</v>
      </c>
      <c r="D87">
        <f t="shared" si="19"/>
        <v>0.98162718344766398</v>
      </c>
      <c r="E87">
        <f t="shared" si="20"/>
        <v>0.10764746633315572</v>
      </c>
      <c r="F87">
        <f t="shared" si="21"/>
        <v>118.4122129664713</v>
      </c>
      <c r="G87">
        <f t="shared" si="22"/>
        <v>1100</v>
      </c>
      <c r="H87">
        <f t="shared" si="26"/>
        <v>39.5</v>
      </c>
      <c r="I87">
        <f>30</f>
        <v>30</v>
      </c>
      <c r="J87">
        <f t="shared" si="23"/>
        <v>0.68940505453776013</v>
      </c>
      <c r="K87">
        <f t="shared" si="24"/>
        <v>1.0463067337150842</v>
      </c>
    </row>
    <row r="88" spans="1:11" x14ac:dyDescent="0.25">
      <c r="A88">
        <f t="shared" si="25"/>
        <v>80</v>
      </c>
      <c r="B88">
        <v>1</v>
      </c>
      <c r="C88">
        <f t="shared" si="18"/>
        <v>1.3962634015954636</v>
      </c>
      <c r="D88">
        <f t="shared" si="19"/>
        <v>0.98480775301220802</v>
      </c>
      <c r="E88">
        <f t="shared" si="20"/>
        <v>0.107996254815069</v>
      </c>
      <c r="F88">
        <f t="shared" si="21"/>
        <v>118.7958802965759</v>
      </c>
      <c r="G88">
        <f t="shared" si="22"/>
        <v>1100</v>
      </c>
      <c r="H88">
        <f t="shared" si="26"/>
        <v>40</v>
      </c>
      <c r="I88">
        <f>30</f>
        <v>30</v>
      </c>
      <c r="J88">
        <f t="shared" si="23"/>
        <v>0.69813170079773179</v>
      </c>
      <c r="K88">
        <f t="shared" si="24"/>
        <v>1.0573432369213294</v>
      </c>
    </row>
    <row r="89" spans="1:11" x14ac:dyDescent="0.25">
      <c r="A89">
        <f t="shared" si="25"/>
        <v>81</v>
      </c>
      <c r="B89">
        <v>1</v>
      </c>
      <c r="C89">
        <f t="shared" si="18"/>
        <v>1.4137166941154069</v>
      </c>
      <c r="D89">
        <f t="shared" si="19"/>
        <v>0.98768834059513777</v>
      </c>
      <c r="E89">
        <f t="shared" si="20"/>
        <v>0.10831214659158239</v>
      </c>
      <c r="F89">
        <f t="shared" si="21"/>
        <v>119.14336125074063</v>
      </c>
      <c r="G89">
        <f t="shared" si="22"/>
        <v>1100</v>
      </c>
      <c r="H89">
        <f t="shared" si="26"/>
        <v>40.5</v>
      </c>
      <c r="I89">
        <f>30</f>
        <v>30</v>
      </c>
      <c r="J89">
        <f t="shared" si="23"/>
        <v>0.70685834705770345</v>
      </c>
      <c r="K89">
        <f t="shared" si="24"/>
        <v>1.0682992193464123</v>
      </c>
    </row>
    <row r="90" spans="1:11" x14ac:dyDescent="0.25">
      <c r="A90">
        <f t="shared" si="25"/>
        <v>82</v>
      </c>
      <c r="B90">
        <v>1</v>
      </c>
      <c r="C90">
        <f t="shared" si="18"/>
        <v>1.4311699866353502</v>
      </c>
      <c r="D90">
        <f t="shared" si="19"/>
        <v>0.99026806874157036</v>
      </c>
      <c r="E90">
        <f t="shared" si="20"/>
        <v>0.1085950454390007</v>
      </c>
      <c r="F90">
        <f t="shared" si="21"/>
        <v>119.45454998290077</v>
      </c>
      <c r="G90">
        <f t="shared" si="22"/>
        <v>1100</v>
      </c>
      <c r="H90">
        <f t="shared" si="26"/>
        <v>41</v>
      </c>
      <c r="I90">
        <f>30</f>
        <v>30</v>
      </c>
      <c r="J90">
        <f t="shared" si="23"/>
        <v>0.71558499331767511</v>
      </c>
      <c r="K90">
        <f t="shared" si="24"/>
        <v>1.0791738466498535</v>
      </c>
    </row>
    <row r="91" spans="1:11" x14ac:dyDescent="0.25">
      <c r="A91">
        <f t="shared" si="25"/>
        <v>83</v>
      </c>
      <c r="B91">
        <v>1</v>
      </c>
      <c r="C91">
        <f t="shared" si="18"/>
        <v>1.4486232791552935</v>
      </c>
      <c r="D91">
        <f t="shared" si="19"/>
        <v>0.99254615164132198</v>
      </c>
      <c r="E91">
        <f t="shared" si="20"/>
        <v>0.1088448651835944</v>
      </c>
      <c r="F91">
        <f t="shared" si="21"/>
        <v>119.72935170195385</v>
      </c>
      <c r="G91">
        <f t="shared" si="22"/>
        <v>1100</v>
      </c>
      <c r="H91">
        <f t="shared" si="26"/>
        <v>41.5</v>
      </c>
      <c r="I91">
        <f>30</f>
        <v>30</v>
      </c>
      <c r="J91">
        <f t="shared" si="23"/>
        <v>0.72431163957764677</v>
      </c>
      <c r="K91">
        <f t="shared" si="24"/>
        <v>1.0899662906866809</v>
      </c>
    </row>
    <row r="92" spans="1:11" x14ac:dyDescent="0.25">
      <c r="A92">
        <f t="shared" si="25"/>
        <v>84</v>
      </c>
      <c r="B92">
        <v>1</v>
      </c>
      <c r="C92">
        <f t="shared" si="18"/>
        <v>1.4660765716752369</v>
      </c>
      <c r="D92">
        <f t="shared" si="19"/>
        <v>0.99452189536827329</v>
      </c>
      <c r="E92">
        <f t="shared" si="20"/>
        <v>0.10906152972784933</v>
      </c>
      <c r="F92">
        <f t="shared" si="21"/>
        <v>119.96768270063426</v>
      </c>
      <c r="G92">
        <f t="shared" si="22"/>
        <v>1100</v>
      </c>
      <c r="H92">
        <f t="shared" si="26"/>
        <v>42</v>
      </c>
      <c r="I92">
        <f>30</f>
        <v>30</v>
      </c>
      <c r="J92">
        <f t="shared" si="23"/>
        <v>0.73303828583761843</v>
      </c>
      <c r="K92">
        <f t="shared" si="24"/>
        <v>1.1006757295704963</v>
      </c>
    </row>
    <row r="93" spans="1:11" x14ac:dyDescent="0.25">
      <c r="A93">
        <f t="shared" si="25"/>
        <v>85</v>
      </c>
      <c r="B93">
        <v>1</v>
      </c>
      <c r="C93">
        <f t="shared" si="18"/>
        <v>1.4835298641951802</v>
      </c>
      <c r="D93">
        <f t="shared" si="19"/>
        <v>0.99619469809174555</v>
      </c>
      <c r="E93">
        <f t="shared" si="20"/>
        <v>0.10924497307364642</v>
      </c>
      <c r="F93">
        <f t="shared" si="21"/>
        <v>120.16947038101105</v>
      </c>
      <c r="G93">
        <f t="shared" si="22"/>
        <v>1100</v>
      </c>
      <c r="H93">
        <f t="shared" si="26"/>
        <v>42.5</v>
      </c>
      <c r="I93">
        <f>30</f>
        <v>30</v>
      </c>
      <c r="J93">
        <f t="shared" si="23"/>
        <v>0.74176493209759009</v>
      </c>
      <c r="K93">
        <f t="shared" si="24"/>
        <v>1.1113013477360656</v>
      </c>
    </row>
    <row r="94" spans="1:11" x14ac:dyDescent="0.25">
      <c r="A94">
        <f t="shared" si="25"/>
        <v>86</v>
      </c>
      <c r="B94">
        <v>1</v>
      </c>
      <c r="C94">
        <f t="shared" si="18"/>
        <v>1.5009831567151235</v>
      </c>
      <c r="D94">
        <f t="shared" si="19"/>
        <v>0.9975640502598242</v>
      </c>
      <c r="E94">
        <f t="shared" si="20"/>
        <v>0.1093951393423654</v>
      </c>
      <c r="F94">
        <f t="shared" si="21"/>
        <v>120.33465327660194</v>
      </c>
      <c r="G94">
        <f t="shared" si="22"/>
        <v>1100</v>
      </c>
      <c r="H94">
        <f t="shared" si="26"/>
        <v>43</v>
      </c>
      <c r="I94">
        <f>30</f>
        <v>30</v>
      </c>
      <c r="J94">
        <f t="shared" si="23"/>
        <v>0.75049157835756175</v>
      </c>
      <c r="K94">
        <f t="shared" si="24"/>
        <v>1.1218423360014267</v>
      </c>
    </row>
    <row r="95" spans="1:11" x14ac:dyDescent="0.25">
      <c r="A95">
        <f t="shared" si="25"/>
        <v>87</v>
      </c>
      <c r="B95">
        <v>1</v>
      </c>
      <c r="C95">
        <f t="shared" si="18"/>
        <v>1.5184364492350666</v>
      </c>
      <c r="D95">
        <f t="shared" si="19"/>
        <v>0.99862953475457383</v>
      </c>
      <c r="E95">
        <f t="shared" si="20"/>
        <v>0.10951198279190623</v>
      </c>
      <c r="F95">
        <f t="shared" si="21"/>
        <v>120.46318107109686</v>
      </c>
      <c r="G95">
        <f t="shared" si="22"/>
        <v>1100</v>
      </c>
      <c r="H95">
        <f t="shared" si="26"/>
        <v>43.5</v>
      </c>
      <c r="I95">
        <f>30</f>
        <v>30</v>
      </c>
      <c r="J95">
        <f t="shared" si="23"/>
        <v>0.7592182246175333</v>
      </c>
      <c r="K95">
        <f t="shared" si="24"/>
        <v>1.1322978916295119</v>
      </c>
    </row>
    <row r="96" spans="1:11" x14ac:dyDescent="0.25">
      <c r="A96">
        <f t="shared" si="25"/>
        <v>88</v>
      </c>
      <c r="B96">
        <v>1</v>
      </c>
      <c r="C96">
        <f t="shared" si="18"/>
        <v>1.5358897417550099</v>
      </c>
      <c r="D96">
        <f t="shared" si="19"/>
        <v>0.99939082701909576</v>
      </c>
      <c r="E96">
        <f t="shared" si="20"/>
        <v>0.10959546783062223</v>
      </c>
      <c r="F96">
        <f t="shared" si="21"/>
        <v>120.55501461368445</v>
      </c>
      <c r="G96">
        <f t="shared" si="22"/>
        <v>1100</v>
      </c>
      <c r="H96">
        <f t="shared" si="26"/>
        <v>44</v>
      </c>
      <c r="I96">
        <f>30</f>
        <v>30</v>
      </c>
      <c r="J96">
        <f t="shared" si="23"/>
        <v>0.76794487087750496</v>
      </c>
      <c r="K96">
        <f t="shared" si="24"/>
        <v>1.1426672183892803</v>
      </c>
    </row>
    <row r="97" spans="1:11" x14ac:dyDescent="0.25">
      <c r="A97">
        <f t="shared" si="25"/>
        <v>89</v>
      </c>
      <c r="B97">
        <v>1</v>
      </c>
      <c r="C97">
        <f t="shared" si="18"/>
        <v>1.5533430342749532</v>
      </c>
      <c r="D97">
        <f t="shared" si="19"/>
        <v>0.99984769515639127</v>
      </c>
      <c r="E97">
        <f t="shared" si="20"/>
        <v>0.1096455690281619</v>
      </c>
      <c r="F97">
        <f t="shared" si="21"/>
        <v>120.61012593097809</v>
      </c>
      <c r="G97">
        <f t="shared" si="22"/>
        <v>1100</v>
      </c>
      <c r="H97">
        <f t="shared" si="26"/>
        <v>44.5</v>
      </c>
      <c r="I97">
        <f>30</f>
        <v>30</v>
      </c>
      <c r="J97">
        <f t="shared" si="23"/>
        <v>0.77667151713747662</v>
      </c>
      <c r="K97">
        <f t="shared" si="24"/>
        <v>1.1529495266163521</v>
      </c>
    </row>
    <row r="98" spans="1:11" x14ac:dyDescent="0.25">
      <c r="A98">
        <f t="shared" si="25"/>
        <v>90</v>
      </c>
      <c r="B98">
        <v>1</v>
      </c>
      <c r="C98">
        <f t="shared" si="18"/>
        <v>1.5707963267948966</v>
      </c>
      <c r="D98">
        <f t="shared" si="19"/>
        <v>1</v>
      </c>
      <c r="E98">
        <f t="shared" si="20"/>
        <v>0.1096622711232151</v>
      </c>
      <c r="F98">
        <f t="shared" si="21"/>
        <v>120.62849823553661</v>
      </c>
      <c r="G98">
        <f t="shared" si="22"/>
        <v>1100</v>
      </c>
      <c r="H98">
        <f t="shared" si="26"/>
        <v>45</v>
      </c>
      <c r="I98">
        <f>30</f>
        <v>30</v>
      </c>
      <c r="J98">
        <f t="shared" si="23"/>
        <v>0.78539816339744828</v>
      </c>
      <c r="K98">
        <f t="shared" si="24"/>
        <v>1.1631440332731464</v>
      </c>
    </row>
    <row r="99" spans="1:11" x14ac:dyDescent="0.25">
      <c r="G99">
        <f t="shared" si="22"/>
        <v>1100</v>
      </c>
      <c r="H99">
        <f t="shared" si="26"/>
        <v>45.5</v>
      </c>
      <c r="I99">
        <f>30</f>
        <v>30</v>
      </c>
      <c r="J99">
        <f t="shared" si="23"/>
        <v>0.79412480965741994</v>
      </c>
      <c r="K99">
        <f t="shared" si="24"/>
        <v>1.1732499620085119</v>
      </c>
    </row>
    <row r="100" spans="1:11" x14ac:dyDescent="0.25">
      <c r="G100">
        <f t="shared" si="22"/>
        <v>1100</v>
      </c>
      <c r="H100">
        <f t="shared" si="26"/>
        <v>46</v>
      </c>
      <c r="I100">
        <f>30</f>
        <v>30</v>
      </c>
      <c r="J100">
        <f t="shared" si="23"/>
        <v>0.8028514559173916</v>
      </c>
      <c r="K100">
        <f t="shared" si="24"/>
        <v>1.1832665432168485</v>
      </c>
    </row>
    <row r="101" spans="1:11" x14ac:dyDescent="0.25">
      <c r="G101">
        <f t="shared" si="22"/>
        <v>1100</v>
      </c>
      <c r="H101">
        <f t="shared" si="26"/>
        <v>46.5</v>
      </c>
      <c r="I101">
        <f>30</f>
        <v>30</v>
      </c>
      <c r="J101">
        <f t="shared" si="23"/>
        <v>0.81157810217736326</v>
      </c>
      <c r="K101">
        <f t="shared" si="24"/>
        <v>1.1931930140967164</v>
      </c>
    </row>
    <row r="102" spans="1:11" x14ac:dyDescent="0.25">
      <c r="G102">
        <f t="shared" si="22"/>
        <v>1100</v>
      </c>
      <c r="H102">
        <f t="shared" si="26"/>
        <v>47</v>
      </c>
      <c r="I102">
        <f>30</f>
        <v>30</v>
      </c>
      <c r="J102">
        <f t="shared" si="23"/>
        <v>0.82030474843733492</v>
      </c>
      <c r="K102">
        <f t="shared" si="24"/>
        <v>1.2030286187089263</v>
      </c>
    </row>
    <row r="103" spans="1:11" x14ac:dyDescent="0.25">
      <c r="G103">
        <f t="shared" si="22"/>
        <v>1100</v>
      </c>
      <c r="H103">
        <f t="shared" si="26"/>
        <v>47.5</v>
      </c>
      <c r="I103">
        <f>30</f>
        <v>30</v>
      </c>
      <c r="J103">
        <f t="shared" si="23"/>
        <v>0.82903139469730658</v>
      </c>
      <c r="K103">
        <f t="shared" si="24"/>
        <v>1.212772608034107</v>
      </c>
    </row>
    <row r="104" spans="1:11" x14ac:dyDescent="0.25">
      <c r="G104">
        <f t="shared" ref="G104:G135" si="27">$B$5</f>
        <v>1100</v>
      </c>
      <c r="H104">
        <f t="shared" si="26"/>
        <v>48</v>
      </c>
      <c r="I104">
        <f>30</f>
        <v>30</v>
      </c>
      <c r="J104">
        <f t="shared" ref="J104:J135" si="28">RADIANS(H104)</f>
        <v>0.83775804095727824</v>
      </c>
      <c r="K104">
        <f t="shared" ref="K104:K135" si="29">SIN(J104)*$J$9*I104*2*PI()</f>
        <v>1.2224242400297454</v>
      </c>
    </row>
    <row r="105" spans="1:11" x14ac:dyDescent="0.25">
      <c r="G105">
        <f t="shared" si="27"/>
        <v>1100</v>
      </c>
      <c r="H105">
        <f t="shared" ref="H105:H136" si="30">H104+0.5</f>
        <v>48.5</v>
      </c>
      <c r="I105">
        <f>30</f>
        <v>30</v>
      </c>
      <c r="J105">
        <f t="shared" si="28"/>
        <v>0.84648468721724979</v>
      </c>
      <c r="K105">
        <f t="shared" si="29"/>
        <v>1.2319827796866978</v>
      </c>
    </row>
    <row r="106" spans="1:11" x14ac:dyDescent="0.25">
      <c r="G106">
        <f t="shared" si="27"/>
        <v>1100</v>
      </c>
      <c r="H106">
        <f t="shared" si="30"/>
        <v>49</v>
      </c>
      <c r="I106">
        <f>30</f>
        <v>30</v>
      </c>
      <c r="J106">
        <f t="shared" si="28"/>
        <v>0.85521133347722145</v>
      </c>
      <c r="K106">
        <f t="shared" si="29"/>
        <v>1.2414474990851621</v>
      </c>
    </row>
    <row r="107" spans="1:11" x14ac:dyDescent="0.25">
      <c r="G107">
        <f t="shared" si="27"/>
        <v>1100</v>
      </c>
      <c r="H107">
        <f t="shared" si="30"/>
        <v>49.5</v>
      </c>
      <c r="I107">
        <f>30</f>
        <v>30</v>
      </c>
      <c r="J107">
        <f t="shared" si="28"/>
        <v>0.86393797973719311</v>
      </c>
      <c r="K107">
        <f t="shared" si="29"/>
        <v>1.2508176774501114</v>
      </c>
    </row>
    <row r="108" spans="1:11" x14ac:dyDescent="0.25">
      <c r="G108">
        <f t="shared" si="27"/>
        <v>1100</v>
      </c>
      <c r="H108">
        <f t="shared" si="30"/>
        <v>50</v>
      </c>
      <c r="I108">
        <f>30</f>
        <v>30</v>
      </c>
      <c r="J108">
        <f t="shared" si="28"/>
        <v>0.87266462599716477</v>
      </c>
      <c r="K108">
        <f t="shared" si="29"/>
        <v>1.2600926012061853</v>
      </c>
    </row>
    <row r="109" spans="1:11" x14ac:dyDescent="0.25">
      <c r="G109">
        <f t="shared" si="27"/>
        <v>1100</v>
      </c>
      <c r="H109">
        <f t="shared" si="30"/>
        <v>50.5</v>
      </c>
      <c r="I109">
        <f>30</f>
        <v>30</v>
      </c>
      <c r="J109">
        <f t="shared" si="28"/>
        <v>0.88139127225713643</v>
      </c>
      <c r="K109">
        <f t="shared" si="29"/>
        <v>1.2692715640320305</v>
      </c>
    </row>
    <row r="110" spans="1:11" x14ac:dyDescent="0.25">
      <c r="G110">
        <f t="shared" si="27"/>
        <v>1100</v>
      </c>
      <c r="H110">
        <f t="shared" si="30"/>
        <v>51</v>
      </c>
      <c r="I110">
        <f>30</f>
        <v>30</v>
      </c>
      <c r="J110">
        <f t="shared" si="28"/>
        <v>0.89011791851710809</v>
      </c>
      <c r="K110">
        <f t="shared" si="29"/>
        <v>1.2783538669140901</v>
      </c>
    </row>
    <row r="111" spans="1:11" x14ac:dyDescent="0.25">
      <c r="G111">
        <f t="shared" si="27"/>
        <v>1100</v>
      </c>
      <c r="H111">
        <f t="shared" si="30"/>
        <v>51.5</v>
      </c>
      <c r="I111">
        <f>30</f>
        <v>30</v>
      </c>
      <c r="J111">
        <f t="shared" si="28"/>
        <v>0.89884456477707975</v>
      </c>
      <c r="K111">
        <f t="shared" si="29"/>
        <v>1.2873388181998358</v>
      </c>
    </row>
    <row r="112" spans="1:11" x14ac:dyDescent="0.25">
      <c r="G112">
        <f t="shared" si="27"/>
        <v>1100</v>
      </c>
      <c r="H112">
        <f t="shared" si="30"/>
        <v>52</v>
      </c>
      <c r="I112">
        <f>30</f>
        <v>30</v>
      </c>
      <c r="J112">
        <f t="shared" si="28"/>
        <v>0.90757121103705141</v>
      </c>
      <c r="K112">
        <f t="shared" si="29"/>
        <v>1.2962257336504408</v>
      </c>
    </row>
    <row r="113" spans="7:11" x14ac:dyDescent="0.25">
      <c r="G113">
        <f t="shared" si="27"/>
        <v>1100</v>
      </c>
      <c r="H113">
        <f t="shared" si="30"/>
        <v>52.5</v>
      </c>
      <c r="I113">
        <f>30</f>
        <v>30</v>
      </c>
      <c r="J113">
        <f t="shared" si="28"/>
        <v>0.91629785729702307</v>
      </c>
      <c r="K113">
        <f t="shared" si="29"/>
        <v>1.3050139364928863</v>
      </c>
    </row>
    <row r="114" spans="7:11" x14ac:dyDescent="0.25">
      <c r="G114">
        <f t="shared" si="27"/>
        <v>1100</v>
      </c>
      <c r="H114">
        <f t="shared" si="30"/>
        <v>53</v>
      </c>
      <c r="I114">
        <f>30</f>
        <v>30</v>
      </c>
      <c r="J114">
        <f t="shared" si="28"/>
        <v>0.92502450355699462</v>
      </c>
      <c r="K114">
        <f t="shared" si="29"/>
        <v>1.313702757471501</v>
      </c>
    </row>
    <row r="115" spans="7:11" x14ac:dyDescent="0.25">
      <c r="G115">
        <f t="shared" si="27"/>
        <v>1100</v>
      </c>
      <c r="H115">
        <f t="shared" si="30"/>
        <v>53.5</v>
      </c>
      <c r="I115">
        <f>30</f>
        <v>30</v>
      </c>
      <c r="J115">
        <f t="shared" si="28"/>
        <v>0.93375114981696627</v>
      </c>
      <c r="K115">
        <f t="shared" si="29"/>
        <v>1.322291534898927</v>
      </c>
    </row>
    <row r="116" spans="7:11" x14ac:dyDescent="0.25">
      <c r="G116">
        <f t="shared" si="27"/>
        <v>1100</v>
      </c>
      <c r="H116">
        <f t="shared" si="30"/>
        <v>54</v>
      </c>
      <c r="I116">
        <f>30</f>
        <v>30</v>
      </c>
      <c r="J116">
        <f t="shared" si="28"/>
        <v>0.94247779607693793</v>
      </c>
      <c r="K116">
        <f t="shared" si="29"/>
        <v>1.330779614706511</v>
      </c>
    </row>
    <row r="117" spans="7:11" x14ac:dyDescent="0.25">
      <c r="G117">
        <f t="shared" si="27"/>
        <v>1100</v>
      </c>
      <c r="H117">
        <f t="shared" si="30"/>
        <v>54.5</v>
      </c>
      <c r="I117">
        <f>30</f>
        <v>30</v>
      </c>
      <c r="J117">
        <f t="shared" si="28"/>
        <v>0.95120444233690959</v>
      </c>
      <c r="K117">
        <f t="shared" si="29"/>
        <v>1.339166350494112</v>
      </c>
    </row>
    <row r="118" spans="7:11" x14ac:dyDescent="0.25">
      <c r="G118">
        <f t="shared" si="27"/>
        <v>1100</v>
      </c>
      <c r="H118">
        <f t="shared" si="30"/>
        <v>55</v>
      </c>
      <c r="I118">
        <f>30</f>
        <v>30</v>
      </c>
      <c r="J118">
        <f t="shared" si="28"/>
        <v>0.95993108859688125</v>
      </c>
      <c r="K118">
        <f t="shared" si="29"/>
        <v>1.3474511035793297</v>
      </c>
    </row>
    <row r="119" spans="7:11" x14ac:dyDescent="0.25">
      <c r="G119">
        <f t="shared" si="27"/>
        <v>1100</v>
      </c>
      <c r="H119">
        <f t="shared" si="30"/>
        <v>55.5</v>
      </c>
      <c r="I119">
        <f>30</f>
        <v>30</v>
      </c>
      <c r="J119">
        <f t="shared" si="28"/>
        <v>0.96865773485685291</v>
      </c>
      <c r="K119">
        <f t="shared" si="29"/>
        <v>1.3556332430461406</v>
      </c>
    </row>
    <row r="120" spans="7:11" x14ac:dyDescent="0.25">
      <c r="G120">
        <f t="shared" si="27"/>
        <v>1100</v>
      </c>
      <c r="H120">
        <f t="shared" si="30"/>
        <v>56</v>
      </c>
      <c r="I120">
        <f>30</f>
        <v>30</v>
      </c>
      <c r="J120">
        <f t="shared" si="28"/>
        <v>0.97738438111682457</v>
      </c>
      <c r="K120">
        <f t="shared" si="29"/>
        <v>1.3637121457929464</v>
      </c>
    </row>
    <row r="121" spans="7:11" x14ac:dyDescent="0.25">
      <c r="G121">
        <f t="shared" si="27"/>
        <v>1100</v>
      </c>
      <c r="H121">
        <f t="shared" si="30"/>
        <v>56.5</v>
      </c>
      <c r="I121">
        <f>30</f>
        <v>30</v>
      </c>
      <c r="J121">
        <f t="shared" si="28"/>
        <v>0.98611102737679623</v>
      </c>
      <c r="K121">
        <f t="shared" si="29"/>
        <v>1.3716871965800235</v>
      </c>
    </row>
    <row r="122" spans="7:11" x14ac:dyDescent="0.25">
      <c r="G122">
        <f t="shared" si="27"/>
        <v>1100</v>
      </c>
      <c r="H122">
        <f t="shared" si="30"/>
        <v>57</v>
      </c>
      <c r="I122">
        <f>30</f>
        <v>30</v>
      </c>
      <c r="J122">
        <f t="shared" si="28"/>
        <v>0.99483767363676789</v>
      </c>
      <c r="K122">
        <f t="shared" si="29"/>
        <v>1.3795577880763781</v>
      </c>
    </row>
    <row r="123" spans="7:11" x14ac:dyDescent="0.25">
      <c r="G123">
        <f t="shared" si="27"/>
        <v>1100</v>
      </c>
      <c r="H123">
        <f t="shared" si="30"/>
        <v>57.5</v>
      </c>
      <c r="I123">
        <f>30</f>
        <v>30</v>
      </c>
      <c r="J123">
        <f t="shared" si="28"/>
        <v>1.0035643198967394</v>
      </c>
      <c r="K123">
        <f t="shared" si="29"/>
        <v>1.3873233209059956</v>
      </c>
    </row>
    <row r="124" spans="7:11" x14ac:dyDescent="0.25">
      <c r="G124">
        <f t="shared" si="27"/>
        <v>1100</v>
      </c>
      <c r="H124">
        <f t="shared" si="30"/>
        <v>58</v>
      </c>
      <c r="I124">
        <f>30</f>
        <v>30</v>
      </c>
      <c r="J124">
        <f t="shared" si="28"/>
        <v>1.0122909661567112</v>
      </c>
      <c r="K124">
        <f t="shared" si="29"/>
        <v>1.3949832036934855</v>
      </c>
    </row>
    <row r="125" spans="7:11" x14ac:dyDescent="0.25">
      <c r="G125">
        <f t="shared" si="27"/>
        <v>1100</v>
      </c>
      <c r="H125">
        <f t="shared" si="30"/>
        <v>58.5</v>
      </c>
      <c r="I125">
        <f>30</f>
        <v>30</v>
      </c>
      <c r="J125">
        <f t="shared" si="28"/>
        <v>1.0210176124166828</v>
      </c>
      <c r="K125">
        <f t="shared" si="29"/>
        <v>1.4025368531091169</v>
      </c>
    </row>
    <row r="126" spans="7:11" x14ac:dyDescent="0.25">
      <c r="G126">
        <f t="shared" si="27"/>
        <v>1100</v>
      </c>
      <c r="H126">
        <f t="shared" si="30"/>
        <v>59</v>
      </c>
      <c r="I126">
        <f>30</f>
        <v>30</v>
      </c>
      <c r="J126">
        <f t="shared" si="28"/>
        <v>1.0297442586766545</v>
      </c>
      <c r="K126">
        <f t="shared" si="29"/>
        <v>1.4099836939132422</v>
      </c>
    </row>
    <row r="127" spans="7:11" x14ac:dyDescent="0.25">
      <c r="G127">
        <f t="shared" si="27"/>
        <v>1100</v>
      </c>
      <c r="H127">
        <f t="shared" si="30"/>
        <v>59.5</v>
      </c>
      <c r="I127">
        <f>30</f>
        <v>30</v>
      </c>
      <c r="J127">
        <f t="shared" si="28"/>
        <v>1.0384709049366261</v>
      </c>
      <c r="K127">
        <f t="shared" si="29"/>
        <v>1.4173231590001019</v>
      </c>
    </row>
    <row r="128" spans="7:11" x14ac:dyDescent="0.25">
      <c r="G128">
        <f t="shared" si="27"/>
        <v>1100</v>
      </c>
      <c r="H128">
        <f t="shared" si="30"/>
        <v>60</v>
      </c>
      <c r="I128">
        <f>30</f>
        <v>30</v>
      </c>
      <c r="J128">
        <f t="shared" si="28"/>
        <v>1.0471975511965976</v>
      </c>
      <c r="K128">
        <f t="shared" si="29"/>
        <v>1.4245546894410139</v>
      </c>
    </row>
    <row r="129" spans="7:11" x14ac:dyDescent="0.25">
      <c r="G129">
        <f t="shared" si="27"/>
        <v>1100</v>
      </c>
      <c r="H129">
        <f t="shared" si="30"/>
        <v>60.5</v>
      </c>
      <c r="I129">
        <f>30</f>
        <v>30</v>
      </c>
      <c r="J129">
        <f t="shared" si="28"/>
        <v>1.0559241974565694</v>
      </c>
      <c r="K129">
        <f t="shared" si="29"/>
        <v>1.4316777345269374</v>
      </c>
    </row>
    <row r="130" spans="7:11" x14ac:dyDescent="0.25">
      <c r="G130">
        <f t="shared" si="27"/>
        <v>1100</v>
      </c>
      <c r="H130">
        <f t="shared" si="30"/>
        <v>61</v>
      </c>
      <c r="I130">
        <f>30</f>
        <v>30</v>
      </c>
      <c r="J130">
        <f t="shared" si="28"/>
        <v>1.064650843716541</v>
      </c>
      <c r="K130">
        <f t="shared" si="29"/>
        <v>1.438691751810411</v>
      </c>
    </row>
    <row r="131" spans="7:11" x14ac:dyDescent="0.25">
      <c r="G131">
        <f t="shared" si="27"/>
        <v>1100</v>
      </c>
      <c r="H131">
        <f t="shared" si="30"/>
        <v>61.5</v>
      </c>
      <c r="I131">
        <f>30</f>
        <v>30</v>
      </c>
      <c r="J131">
        <f t="shared" si="28"/>
        <v>1.0733774899765127</v>
      </c>
      <c r="K131">
        <f t="shared" si="29"/>
        <v>1.4455962071468624</v>
      </c>
    </row>
    <row r="132" spans="7:11" x14ac:dyDescent="0.25">
      <c r="G132">
        <f t="shared" si="27"/>
        <v>1100</v>
      </c>
      <c r="H132">
        <f t="shared" si="30"/>
        <v>62</v>
      </c>
      <c r="I132">
        <f>30</f>
        <v>30</v>
      </c>
      <c r="J132">
        <f t="shared" si="28"/>
        <v>1.0821041362364843</v>
      </c>
      <c r="K132">
        <f t="shared" si="29"/>
        <v>1.4523905747352865</v>
      </c>
    </row>
    <row r="133" spans="7:11" x14ac:dyDescent="0.25">
      <c r="G133">
        <f t="shared" si="27"/>
        <v>1100</v>
      </c>
      <c r="H133">
        <f t="shared" si="30"/>
        <v>62.5</v>
      </c>
      <c r="I133">
        <f>30</f>
        <v>30</v>
      </c>
      <c r="J133">
        <f t="shared" si="28"/>
        <v>1.090830782496456</v>
      </c>
      <c r="K133">
        <f t="shared" si="29"/>
        <v>1.4590743371582857</v>
      </c>
    </row>
    <row r="134" spans="7:11" x14ac:dyDescent="0.25">
      <c r="G134">
        <f t="shared" si="27"/>
        <v>1100</v>
      </c>
      <c r="H134">
        <f t="shared" si="30"/>
        <v>63</v>
      </c>
      <c r="I134">
        <f>30</f>
        <v>30</v>
      </c>
      <c r="J134">
        <f t="shared" si="28"/>
        <v>1.0995574287564276</v>
      </c>
      <c r="K134">
        <f t="shared" si="29"/>
        <v>1.4656469854214744</v>
      </c>
    </row>
    <row r="135" spans="7:11" x14ac:dyDescent="0.25">
      <c r="G135">
        <f t="shared" si="27"/>
        <v>1100</v>
      </c>
      <c r="H135">
        <f t="shared" si="30"/>
        <v>63.5</v>
      </c>
      <c r="I135">
        <f>30</f>
        <v>30</v>
      </c>
      <c r="J135">
        <f t="shared" si="28"/>
        <v>1.1082840750163994</v>
      </c>
      <c r="K135">
        <f t="shared" si="29"/>
        <v>1.4721080189922404</v>
      </c>
    </row>
    <row r="136" spans="7:11" x14ac:dyDescent="0.25">
      <c r="G136">
        <f t="shared" ref="G136:G167" si="31">$B$5</f>
        <v>1100</v>
      </c>
      <c r="H136">
        <f t="shared" si="30"/>
        <v>64</v>
      </c>
      <c r="I136">
        <f>30</f>
        <v>30</v>
      </c>
      <c r="J136">
        <f t="shared" ref="J136:J167" si="32">RADIANS(H136)</f>
        <v>1.1170107212763709</v>
      </c>
      <c r="K136">
        <f t="shared" ref="K136:K167" si="33">SIN(J136)*$J$9*I136*2*PI()</f>
        <v>1.478456945837862</v>
      </c>
    </row>
    <row r="137" spans="7:11" x14ac:dyDescent="0.25">
      <c r="G137">
        <f t="shared" si="31"/>
        <v>1100</v>
      </c>
      <c r="H137">
        <f t="shared" ref="H137:H168" si="34">H136+0.5</f>
        <v>64.5</v>
      </c>
      <c r="I137">
        <f>30</f>
        <v>30</v>
      </c>
      <c r="J137">
        <f t="shared" si="32"/>
        <v>1.1257373675363425</v>
      </c>
      <c r="K137">
        <f t="shared" si="33"/>
        <v>1.4846932824629788</v>
      </c>
    </row>
    <row r="138" spans="7:11" x14ac:dyDescent="0.25">
      <c r="G138">
        <f t="shared" si="31"/>
        <v>1100</v>
      </c>
      <c r="H138">
        <f t="shared" si="34"/>
        <v>65</v>
      </c>
      <c r="I138">
        <f>30</f>
        <v>30</v>
      </c>
      <c r="J138">
        <f t="shared" si="32"/>
        <v>1.1344640137963142</v>
      </c>
      <c r="K138">
        <f t="shared" si="33"/>
        <v>1.4908165539464131</v>
      </c>
    </row>
    <row r="139" spans="7:11" x14ac:dyDescent="0.25">
      <c r="G139">
        <f t="shared" si="31"/>
        <v>1100</v>
      </c>
      <c r="H139">
        <f t="shared" si="34"/>
        <v>65.5</v>
      </c>
      <c r="I139">
        <f>30</f>
        <v>30</v>
      </c>
      <c r="J139">
        <f t="shared" si="32"/>
        <v>1.1431906600562858</v>
      </c>
      <c r="K139">
        <f t="shared" si="33"/>
        <v>1.4968262939773327</v>
      </c>
    </row>
    <row r="140" spans="7:11" x14ac:dyDescent="0.25">
      <c r="G140">
        <f t="shared" si="31"/>
        <v>1100</v>
      </c>
      <c r="H140">
        <f t="shared" si="34"/>
        <v>66</v>
      </c>
      <c r="I140">
        <f>30</f>
        <v>30</v>
      </c>
      <c r="J140">
        <f t="shared" si="32"/>
        <v>1.1519173063162575</v>
      </c>
      <c r="K140">
        <f t="shared" si="33"/>
        <v>1.5027220448907677</v>
      </c>
    </row>
    <row r="141" spans="7:11" x14ac:dyDescent="0.25">
      <c r="G141">
        <f t="shared" si="31"/>
        <v>1100</v>
      </c>
      <c r="H141">
        <f t="shared" si="34"/>
        <v>66.5</v>
      </c>
      <c r="I141">
        <f>30</f>
        <v>30</v>
      </c>
      <c r="J141">
        <f t="shared" si="32"/>
        <v>1.1606439525762291</v>
      </c>
      <c r="K141">
        <f t="shared" si="33"/>
        <v>1.5085033577024589</v>
      </c>
    </row>
    <row r="142" spans="7:11" x14ac:dyDescent="0.25">
      <c r="G142">
        <f t="shared" si="31"/>
        <v>1100</v>
      </c>
      <c r="H142">
        <f t="shared" si="34"/>
        <v>67</v>
      </c>
      <c r="I142">
        <f>30</f>
        <v>30</v>
      </c>
      <c r="J142">
        <f t="shared" si="32"/>
        <v>1.1693705988362009</v>
      </c>
      <c r="K142">
        <f t="shared" si="33"/>
        <v>1.5141697921430535</v>
      </c>
    </row>
    <row r="143" spans="7:11" x14ac:dyDescent="0.25">
      <c r="G143">
        <f t="shared" si="31"/>
        <v>1100</v>
      </c>
      <c r="H143">
        <f t="shared" si="34"/>
        <v>67.5</v>
      </c>
      <c r="I143">
        <f>30</f>
        <v>30</v>
      </c>
      <c r="J143">
        <f t="shared" si="32"/>
        <v>1.1780972450961724</v>
      </c>
      <c r="K143">
        <f t="shared" si="33"/>
        <v>1.5197209166916292</v>
      </c>
    </row>
    <row r="144" spans="7:11" x14ac:dyDescent="0.25">
      <c r="G144">
        <f t="shared" si="31"/>
        <v>1100</v>
      </c>
      <c r="H144">
        <f t="shared" si="34"/>
        <v>68</v>
      </c>
      <c r="I144">
        <f>30</f>
        <v>30</v>
      </c>
      <c r="J144">
        <f t="shared" si="32"/>
        <v>1.1868238913561442</v>
      </c>
      <c r="K144">
        <f t="shared" si="33"/>
        <v>1.52515630860856</v>
      </c>
    </row>
    <row r="145" spans="7:11" x14ac:dyDescent="0.25">
      <c r="G145">
        <f t="shared" si="31"/>
        <v>1100</v>
      </c>
      <c r="H145">
        <f t="shared" si="34"/>
        <v>68.5</v>
      </c>
      <c r="I145">
        <f>30</f>
        <v>30</v>
      </c>
      <c r="J145">
        <f t="shared" si="32"/>
        <v>1.1955505376161157</v>
      </c>
      <c r="K145">
        <f t="shared" si="33"/>
        <v>1.530475553967708</v>
      </c>
    </row>
    <row r="146" spans="7:11" x14ac:dyDescent="0.25">
      <c r="G146">
        <f t="shared" si="31"/>
        <v>1100</v>
      </c>
      <c r="H146">
        <f t="shared" si="34"/>
        <v>69</v>
      </c>
      <c r="I146">
        <f>30</f>
        <v>30</v>
      </c>
      <c r="J146">
        <f t="shared" si="32"/>
        <v>1.2042771838760873</v>
      </c>
      <c r="K146">
        <f t="shared" si="33"/>
        <v>1.5356782476879436</v>
      </c>
    </row>
    <row r="147" spans="7:11" x14ac:dyDescent="0.25">
      <c r="G147">
        <f t="shared" si="31"/>
        <v>1100</v>
      </c>
      <c r="H147">
        <f t="shared" si="34"/>
        <v>69.5</v>
      </c>
      <c r="I147">
        <f>30</f>
        <v>30</v>
      </c>
      <c r="J147">
        <f t="shared" si="32"/>
        <v>1.2130038301360591</v>
      </c>
      <c r="K147">
        <f t="shared" si="33"/>
        <v>1.5407639935639981</v>
      </c>
    </row>
    <row r="148" spans="7:11" x14ac:dyDescent="0.25">
      <c r="G148">
        <f t="shared" si="31"/>
        <v>1100</v>
      </c>
      <c r="H148">
        <f t="shared" si="34"/>
        <v>70</v>
      </c>
      <c r="I148">
        <f>30</f>
        <v>30</v>
      </c>
      <c r="J148">
        <f t="shared" si="32"/>
        <v>1.2217304763960306</v>
      </c>
      <c r="K148">
        <f t="shared" si="33"/>
        <v>1.5457324042966323</v>
      </c>
    </row>
    <row r="149" spans="7:11" x14ac:dyDescent="0.25">
      <c r="G149">
        <f t="shared" si="31"/>
        <v>1100</v>
      </c>
      <c r="H149">
        <f t="shared" si="34"/>
        <v>70.5</v>
      </c>
      <c r="I149">
        <f>30</f>
        <v>30</v>
      </c>
      <c r="J149">
        <f t="shared" si="32"/>
        <v>1.2304571226560024</v>
      </c>
      <c r="K149">
        <f t="shared" si="33"/>
        <v>1.5505831015221332</v>
      </c>
    </row>
    <row r="150" spans="7:11" x14ac:dyDescent="0.25">
      <c r="G150">
        <f t="shared" si="31"/>
        <v>1100</v>
      </c>
      <c r="H150">
        <f t="shared" si="34"/>
        <v>71</v>
      </c>
      <c r="I150">
        <f>30</f>
        <v>30</v>
      </c>
      <c r="J150">
        <f t="shared" si="32"/>
        <v>1.2391837689159739</v>
      </c>
      <c r="K150">
        <f t="shared" si="33"/>
        <v>1.5553157158411264</v>
      </c>
    </row>
    <row r="151" spans="7:11" x14ac:dyDescent="0.25">
      <c r="G151">
        <f t="shared" si="31"/>
        <v>1100</v>
      </c>
      <c r="H151">
        <f t="shared" si="34"/>
        <v>71.5</v>
      </c>
      <c r="I151">
        <f>30</f>
        <v>30</v>
      </c>
      <c r="J151">
        <f t="shared" si="32"/>
        <v>1.2479104151759457</v>
      </c>
      <c r="K151">
        <f t="shared" si="33"/>
        <v>1.5599298868467086</v>
      </c>
    </row>
    <row r="152" spans="7:11" x14ac:dyDescent="0.25">
      <c r="G152">
        <f t="shared" si="31"/>
        <v>1100</v>
      </c>
      <c r="H152">
        <f t="shared" si="34"/>
        <v>72</v>
      </c>
      <c r="I152">
        <f>30</f>
        <v>30</v>
      </c>
      <c r="J152">
        <f t="shared" si="32"/>
        <v>1.2566370614359172</v>
      </c>
      <c r="K152">
        <f t="shared" si="33"/>
        <v>1.5644252631518933</v>
      </c>
    </row>
    <row r="153" spans="7:11" x14ac:dyDescent="0.25">
      <c r="G153">
        <f t="shared" si="31"/>
        <v>1100</v>
      </c>
      <c r="H153">
        <f t="shared" si="34"/>
        <v>72.5</v>
      </c>
      <c r="I153">
        <f>30</f>
        <v>30</v>
      </c>
      <c r="J153">
        <f t="shared" si="32"/>
        <v>1.265363707695889</v>
      </c>
      <c r="K153">
        <f t="shared" si="33"/>
        <v>1.5688015024163706</v>
      </c>
    </row>
    <row r="154" spans="7:11" x14ac:dyDescent="0.25">
      <c r="G154">
        <f t="shared" si="31"/>
        <v>1100</v>
      </c>
      <c r="H154">
        <f t="shared" si="34"/>
        <v>73</v>
      </c>
      <c r="I154">
        <f>30</f>
        <v>30</v>
      </c>
      <c r="J154">
        <f t="shared" si="32"/>
        <v>1.2740903539558606</v>
      </c>
      <c r="K154">
        <f t="shared" si="33"/>
        <v>1.5730582713725765</v>
      </c>
    </row>
    <row r="155" spans="7:11" x14ac:dyDescent="0.25">
      <c r="G155">
        <f t="shared" si="31"/>
        <v>1100</v>
      </c>
      <c r="H155">
        <f t="shared" si="34"/>
        <v>73.5</v>
      </c>
      <c r="I155">
        <f>30</f>
        <v>30</v>
      </c>
      <c r="J155">
        <f t="shared" si="32"/>
        <v>1.2828170002158321</v>
      </c>
      <c r="K155">
        <f t="shared" si="33"/>
        <v>1.577195245851075</v>
      </c>
    </row>
    <row r="156" spans="7:11" x14ac:dyDescent="0.25">
      <c r="G156">
        <f t="shared" si="31"/>
        <v>1100</v>
      </c>
      <c r="H156">
        <f t="shared" si="34"/>
        <v>74</v>
      </c>
      <c r="I156">
        <f>30</f>
        <v>30</v>
      </c>
      <c r="J156">
        <f t="shared" si="32"/>
        <v>1.2915436464758039</v>
      </c>
      <c r="K156">
        <f t="shared" si="33"/>
        <v>1.5812121108052422</v>
      </c>
    </row>
    <row r="157" spans="7:11" x14ac:dyDescent="0.25">
      <c r="G157">
        <f t="shared" si="31"/>
        <v>1100</v>
      </c>
      <c r="H157">
        <f t="shared" si="34"/>
        <v>74.5</v>
      </c>
      <c r="I157">
        <f>30</f>
        <v>30</v>
      </c>
      <c r="J157">
        <f t="shared" si="32"/>
        <v>1.3002702927357754</v>
      </c>
      <c r="K157">
        <f t="shared" si="33"/>
        <v>1.5851085603352597</v>
      </c>
    </row>
    <row r="158" spans="7:11" x14ac:dyDescent="0.25">
      <c r="G158">
        <f t="shared" si="31"/>
        <v>1100</v>
      </c>
      <c r="H158">
        <f t="shared" si="34"/>
        <v>75</v>
      </c>
      <c r="I158">
        <f>30</f>
        <v>30</v>
      </c>
      <c r="J158">
        <f t="shared" si="32"/>
        <v>1.3089969389957472</v>
      </c>
      <c r="K158">
        <f t="shared" si="33"/>
        <v>1.5888842977114106</v>
      </c>
    </row>
    <row r="159" spans="7:11" x14ac:dyDescent="0.25">
      <c r="G159">
        <f t="shared" si="31"/>
        <v>1100</v>
      </c>
      <c r="H159">
        <f t="shared" si="34"/>
        <v>75.5</v>
      </c>
      <c r="I159">
        <f>30</f>
        <v>30</v>
      </c>
      <c r="J159">
        <f t="shared" si="32"/>
        <v>1.3177235852557188</v>
      </c>
      <c r="K159">
        <f t="shared" si="33"/>
        <v>1.5925390353966751</v>
      </c>
    </row>
    <row r="160" spans="7:11" x14ac:dyDescent="0.25">
      <c r="G160">
        <f t="shared" si="31"/>
        <v>1100</v>
      </c>
      <c r="H160">
        <f t="shared" si="34"/>
        <v>76</v>
      </c>
      <c r="I160">
        <f>30</f>
        <v>30</v>
      </c>
      <c r="J160">
        <f t="shared" si="32"/>
        <v>1.3264502315156905</v>
      </c>
      <c r="K160">
        <f t="shared" si="33"/>
        <v>1.5960724950686285</v>
      </c>
    </row>
    <row r="161" spans="7:11" x14ac:dyDescent="0.25">
      <c r="G161">
        <f t="shared" si="31"/>
        <v>1100</v>
      </c>
      <c r="H161">
        <f t="shared" si="34"/>
        <v>76.5</v>
      </c>
      <c r="I161">
        <f>30</f>
        <v>30</v>
      </c>
      <c r="J161">
        <f t="shared" si="32"/>
        <v>1.3351768777756621</v>
      </c>
      <c r="K161">
        <f t="shared" si="33"/>
        <v>1.5994844076406363</v>
      </c>
    </row>
    <row r="162" spans="7:11" x14ac:dyDescent="0.25">
      <c r="G162">
        <f t="shared" si="31"/>
        <v>1100</v>
      </c>
      <c r="H162">
        <f t="shared" si="34"/>
        <v>77</v>
      </c>
      <c r="I162">
        <f>30</f>
        <v>30</v>
      </c>
      <c r="J162">
        <f t="shared" si="32"/>
        <v>1.3439035240356338</v>
      </c>
      <c r="K162">
        <f t="shared" si="33"/>
        <v>1.6027745132823468</v>
      </c>
    </row>
    <row r="163" spans="7:11" x14ac:dyDescent="0.25">
      <c r="G163">
        <f t="shared" si="31"/>
        <v>1100</v>
      </c>
      <c r="H163">
        <f t="shared" si="34"/>
        <v>77.5</v>
      </c>
      <c r="I163">
        <f>30</f>
        <v>30</v>
      </c>
      <c r="J163">
        <f t="shared" si="32"/>
        <v>1.3526301702956054</v>
      </c>
      <c r="K163">
        <f t="shared" si="33"/>
        <v>1.6059425614394769</v>
      </c>
    </row>
    <row r="164" spans="7:11" x14ac:dyDescent="0.25">
      <c r="G164">
        <f t="shared" si="31"/>
        <v>1100</v>
      </c>
      <c r="H164">
        <f t="shared" si="34"/>
        <v>78</v>
      </c>
      <c r="I164">
        <f>30</f>
        <v>30</v>
      </c>
      <c r="J164">
        <f t="shared" si="32"/>
        <v>1.3613568165555769</v>
      </c>
      <c r="K164">
        <f t="shared" si="33"/>
        <v>1.608988310852894</v>
      </c>
    </row>
    <row r="165" spans="7:11" x14ac:dyDescent="0.25">
      <c r="G165">
        <f t="shared" si="31"/>
        <v>1100</v>
      </c>
      <c r="H165">
        <f t="shared" si="34"/>
        <v>78.5</v>
      </c>
      <c r="I165">
        <f>30</f>
        <v>30</v>
      </c>
      <c r="J165">
        <f t="shared" si="32"/>
        <v>1.3700834628155487</v>
      </c>
      <c r="K165">
        <f t="shared" si="33"/>
        <v>1.6119115295769884</v>
      </c>
    </row>
    <row r="166" spans="7:11" x14ac:dyDescent="0.25">
      <c r="G166">
        <f t="shared" si="31"/>
        <v>1100</v>
      </c>
      <c r="H166">
        <f t="shared" si="34"/>
        <v>79</v>
      </c>
      <c r="I166">
        <f>30</f>
        <v>30</v>
      </c>
      <c r="J166">
        <f t="shared" si="32"/>
        <v>1.3788101090755203</v>
      </c>
      <c r="K166">
        <f t="shared" si="33"/>
        <v>1.6147119949973359</v>
      </c>
    </row>
    <row r="167" spans="7:11" x14ac:dyDescent="0.25">
      <c r="G167">
        <f t="shared" si="31"/>
        <v>1100</v>
      </c>
      <c r="H167">
        <f t="shared" si="34"/>
        <v>79.5</v>
      </c>
      <c r="I167">
        <f>30</f>
        <v>30</v>
      </c>
      <c r="J167">
        <f t="shared" si="32"/>
        <v>1.387536755335492</v>
      </c>
      <c r="K167">
        <f t="shared" si="33"/>
        <v>1.6173894938476527</v>
      </c>
    </row>
    <row r="168" spans="7:11" x14ac:dyDescent="0.25">
      <c r="G168">
        <f t="shared" ref="G168:G188" si="35">$B$5</f>
        <v>1100</v>
      </c>
      <c r="H168">
        <f t="shared" si="34"/>
        <v>80</v>
      </c>
      <c r="I168">
        <f>30</f>
        <v>30</v>
      </c>
      <c r="J168">
        <f t="shared" ref="J168:J188" si="36">RADIANS(H168)</f>
        <v>1.3962634015954636</v>
      </c>
      <c r="K168">
        <f t="shared" ref="K168:K199" si="37">SIN(J168)*$J$9*I168*2*PI()</f>
        <v>1.6199438222260352</v>
      </c>
    </row>
    <row r="169" spans="7:11" x14ac:dyDescent="0.25">
      <c r="G169">
        <f t="shared" si="35"/>
        <v>1100</v>
      </c>
      <c r="H169">
        <f t="shared" ref="H169:H188" si="38">H168+0.5</f>
        <v>80.5</v>
      </c>
      <c r="I169">
        <f>30</f>
        <v>30</v>
      </c>
      <c r="J169">
        <f t="shared" si="36"/>
        <v>1.4049900478554354</v>
      </c>
      <c r="K169">
        <f t="shared" si="37"/>
        <v>1.6223747856104871</v>
      </c>
    </row>
    <row r="170" spans="7:11" x14ac:dyDescent="0.25">
      <c r="G170">
        <f t="shared" si="35"/>
        <v>1100</v>
      </c>
      <c r="H170">
        <f t="shared" si="38"/>
        <v>81</v>
      </c>
      <c r="I170">
        <f>30</f>
        <v>30</v>
      </c>
      <c r="J170">
        <f t="shared" si="36"/>
        <v>1.4137166941154069</v>
      </c>
      <c r="K170">
        <f t="shared" si="37"/>
        <v>1.6246821988737359</v>
      </c>
    </row>
    <row r="171" spans="7:11" x14ac:dyDescent="0.25">
      <c r="G171">
        <f t="shared" si="35"/>
        <v>1100</v>
      </c>
      <c r="H171">
        <f t="shared" si="38"/>
        <v>81.5</v>
      </c>
      <c r="I171">
        <f>30</f>
        <v>30</v>
      </c>
      <c r="J171">
        <f t="shared" si="36"/>
        <v>1.4224433403753787</v>
      </c>
      <c r="K171">
        <f t="shared" si="37"/>
        <v>1.6268658862973275</v>
      </c>
    </row>
    <row r="172" spans="7:11" x14ac:dyDescent="0.25">
      <c r="G172">
        <f t="shared" si="35"/>
        <v>1100</v>
      </c>
      <c r="H172">
        <f t="shared" si="38"/>
        <v>82</v>
      </c>
      <c r="I172">
        <f>30</f>
        <v>30</v>
      </c>
      <c r="J172">
        <f t="shared" si="36"/>
        <v>1.4311699866353502</v>
      </c>
      <c r="K172">
        <f t="shared" si="37"/>
        <v>1.6289256815850106</v>
      </c>
    </row>
    <row r="173" spans="7:11" x14ac:dyDescent="0.25">
      <c r="G173">
        <f t="shared" si="35"/>
        <v>1100</v>
      </c>
      <c r="H173">
        <f t="shared" si="38"/>
        <v>82.5</v>
      </c>
      <c r="I173">
        <f>30</f>
        <v>30</v>
      </c>
      <c r="J173">
        <f t="shared" si="36"/>
        <v>1.4398966328953218</v>
      </c>
      <c r="K173">
        <f t="shared" si="37"/>
        <v>1.6308614278753979</v>
      </c>
    </row>
    <row r="174" spans="7:11" x14ac:dyDescent="0.25">
      <c r="G174">
        <f t="shared" si="35"/>
        <v>1100</v>
      </c>
      <c r="H174">
        <f t="shared" si="38"/>
        <v>83</v>
      </c>
      <c r="I174">
        <f>30</f>
        <v>30</v>
      </c>
      <c r="J174">
        <f t="shared" si="36"/>
        <v>1.4486232791552935</v>
      </c>
      <c r="K174">
        <f t="shared" si="37"/>
        <v>1.632672977753916</v>
      </c>
    </row>
    <row r="175" spans="7:11" x14ac:dyDescent="0.25">
      <c r="G175">
        <f t="shared" si="35"/>
        <v>1100</v>
      </c>
      <c r="H175">
        <f t="shared" si="38"/>
        <v>83.5</v>
      </c>
      <c r="I175">
        <f>30</f>
        <v>30</v>
      </c>
      <c r="J175">
        <f t="shared" si="36"/>
        <v>1.4573499254152651</v>
      </c>
      <c r="K175">
        <f t="shared" si="37"/>
        <v>1.6343601932640281</v>
      </c>
    </row>
    <row r="176" spans="7:11" x14ac:dyDescent="0.25">
      <c r="G176">
        <f t="shared" si="35"/>
        <v>1100</v>
      </c>
      <c r="H176">
        <f t="shared" si="38"/>
        <v>84</v>
      </c>
      <c r="I176">
        <f>30</f>
        <v>30</v>
      </c>
      <c r="J176">
        <f t="shared" si="36"/>
        <v>1.4660765716752369</v>
      </c>
      <c r="K176">
        <f t="shared" si="37"/>
        <v>1.63592294591774</v>
      </c>
    </row>
    <row r="177" spans="7:11" x14ac:dyDescent="0.25">
      <c r="G177">
        <f t="shared" si="35"/>
        <v>1100</v>
      </c>
      <c r="H177">
        <f t="shared" si="38"/>
        <v>84.5</v>
      </c>
      <c r="I177">
        <f>30</f>
        <v>30</v>
      </c>
      <c r="J177">
        <f t="shared" si="36"/>
        <v>1.4748032179352084</v>
      </c>
      <c r="K177">
        <f t="shared" si="37"/>
        <v>1.6373611167053872</v>
      </c>
    </row>
    <row r="178" spans="7:11" x14ac:dyDescent="0.25">
      <c r="G178">
        <f t="shared" si="35"/>
        <v>1100</v>
      </c>
      <c r="H178">
        <f t="shared" si="38"/>
        <v>85</v>
      </c>
      <c r="I178">
        <f>30</f>
        <v>30</v>
      </c>
      <c r="J178">
        <f t="shared" si="36"/>
        <v>1.4835298641951802</v>
      </c>
      <c r="K178">
        <f t="shared" si="37"/>
        <v>1.6386745961046965</v>
      </c>
    </row>
    <row r="179" spans="7:11" x14ac:dyDescent="0.25">
      <c r="G179">
        <f t="shared" si="35"/>
        <v>1100</v>
      </c>
      <c r="H179">
        <f t="shared" si="38"/>
        <v>85.5</v>
      </c>
      <c r="I179">
        <f>30</f>
        <v>30</v>
      </c>
      <c r="J179">
        <f t="shared" si="36"/>
        <v>1.4922565104551517</v>
      </c>
      <c r="K179">
        <f t="shared" si="37"/>
        <v>1.6398632840891247</v>
      </c>
    </row>
    <row r="180" spans="7:11" x14ac:dyDescent="0.25">
      <c r="G180">
        <f t="shared" si="35"/>
        <v>1100</v>
      </c>
      <c r="H180">
        <f t="shared" si="38"/>
        <v>86</v>
      </c>
      <c r="I180">
        <f>30</f>
        <v>30</v>
      </c>
      <c r="J180">
        <f t="shared" si="36"/>
        <v>1.5009831567151235</v>
      </c>
      <c r="K180">
        <f t="shared" si="37"/>
        <v>1.6409270901354809</v>
      </c>
    </row>
    <row r="181" spans="7:11" x14ac:dyDescent="0.25">
      <c r="G181">
        <f t="shared" si="35"/>
        <v>1100</v>
      </c>
      <c r="H181">
        <f t="shared" si="38"/>
        <v>86.5</v>
      </c>
      <c r="I181">
        <f>30</f>
        <v>30</v>
      </c>
      <c r="J181">
        <f t="shared" si="36"/>
        <v>1.509709802975095</v>
      </c>
      <c r="K181">
        <f t="shared" si="37"/>
        <v>1.6418659332308161</v>
      </c>
    </row>
    <row r="182" spans="7:11" x14ac:dyDescent="0.25">
      <c r="G182">
        <f t="shared" si="35"/>
        <v>1100</v>
      </c>
      <c r="H182">
        <f t="shared" si="38"/>
        <v>87</v>
      </c>
      <c r="I182">
        <f>30</f>
        <v>30</v>
      </c>
      <c r="J182">
        <f t="shared" si="36"/>
        <v>1.5184364492350666</v>
      </c>
      <c r="K182">
        <f t="shared" si="37"/>
        <v>1.6426797418785934</v>
      </c>
    </row>
    <row r="183" spans="7:11" x14ac:dyDescent="0.25">
      <c r="G183">
        <f t="shared" si="35"/>
        <v>1100</v>
      </c>
      <c r="H183">
        <f t="shared" si="38"/>
        <v>87.5</v>
      </c>
      <c r="I183">
        <f>30</f>
        <v>30</v>
      </c>
      <c r="J183">
        <f t="shared" si="36"/>
        <v>1.5271630954950384</v>
      </c>
      <c r="K183">
        <f t="shared" si="37"/>
        <v>1.6433684541041331</v>
      </c>
    </row>
    <row r="184" spans="7:11" x14ac:dyDescent="0.25">
      <c r="G184">
        <f t="shared" si="35"/>
        <v>1100</v>
      </c>
      <c r="H184">
        <f t="shared" si="38"/>
        <v>88</v>
      </c>
      <c r="I184">
        <f>30</f>
        <v>30</v>
      </c>
      <c r="J184">
        <f t="shared" si="36"/>
        <v>1.5358897417550099</v>
      </c>
      <c r="K184">
        <f t="shared" si="37"/>
        <v>1.6439320174593335</v>
      </c>
    </row>
    <row r="185" spans="7:11" x14ac:dyDescent="0.25">
      <c r="G185">
        <f t="shared" si="35"/>
        <v>1100</v>
      </c>
      <c r="H185">
        <f t="shared" si="38"/>
        <v>88.5</v>
      </c>
      <c r="I185">
        <f>30</f>
        <v>30</v>
      </c>
      <c r="J185">
        <f t="shared" si="36"/>
        <v>1.5446163880149817</v>
      </c>
      <c r="K185">
        <f t="shared" si="37"/>
        <v>1.6443703890266625</v>
      </c>
    </row>
    <row r="186" spans="7:11" x14ac:dyDescent="0.25">
      <c r="G186">
        <f t="shared" si="35"/>
        <v>1100</v>
      </c>
      <c r="H186">
        <f t="shared" si="38"/>
        <v>89</v>
      </c>
      <c r="I186">
        <f>30</f>
        <v>30</v>
      </c>
      <c r="J186">
        <f t="shared" si="36"/>
        <v>1.5533430342749532</v>
      </c>
      <c r="K186">
        <f t="shared" si="37"/>
        <v>1.6446835354224283</v>
      </c>
    </row>
    <row r="187" spans="7:11" x14ac:dyDescent="0.25">
      <c r="G187">
        <f t="shared" si="35"/>
        <v>1100</v>
      </c>
      <c r="H187">
        <f t="shared" si="38"/>
        <v>89.5</v>
      </c>
      <c r="I187">
        <f>30</f>
        <v>30</v>
      </c>
      <c r="J187">
        <f t="shared" si="36"/>
        <v>1.562069680534925</v>
      </c>
      <c r="K187">
        <f t="shared" si="37"/>
        <v>1.6448714327993208</v>
      </c>
    </row>
    <row r="188" spans="7:11" x14ac:dyDescent="0.25">
      <c r="G188">
        <f t="shared" si="35"/>
        <v>1100</v>
      </c>
      <c r="H188">
        <f t="shared" si="38"/>
        <v>90</v>
      </c>
      <c r="I188">
        <f>30</f>
        <v>30</v>
      </c>
      <c r="J188">
        <f t="shared" si="36"/>
        <v>1.5707963267948966</v>
      </c>
      <c r="K188">
        <f t="shared" si="37"/>
        <v>1.6449340668482262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K96"/>
  <sheetViews>
    <sheetView zoomScaleNormal="100" workbookViewId="0">
      <selection activeCell="G5" sqref="G5"/>
    </sheetView>
  </sheetViews>
  <sheetFormatPr defaultRowHeight="15" x14ac:dyDescent="0.25"/>
  <cols>
    <col min="1" max="1" width="11.7109375" customWidth="1"/>
    <col min="5" max="5" width="10.28515625" customWidth="1"/>
    <col min="6" max="6" width="11.7109375" customWidth="1"/>
    <col min="7" max="7" width="17.28515625" customWidth="1"/>
    <col min="8" max="8" width="36.7109375" customWidth="1"/>
    <col min="9" max="9" width="16.7109375" customWidth="1"/>
    <col min="10" max="10" width="10.85546875" customWidth="1"/>
    <col min="11" max="11" width="11.5703125" customWidth="1"/>
  </cols>
  <sheetData>
    <row r="1" spans="1:11" ht="28.9" customHeight="1" x14ac:dyDescent="0.25">
      <c r="A1" t="s">
        <v>13</v>
      </c>
      <c r="B1" s="10">
        <v>1273.368844138221</v>
      </c>
      <c r="F1" t="s">
        <v>25</v>
      </c>
      <c r="G1" s="29">
        <v>4000</v>
      </c>
      <c r="H1" s="2" t="s">
        <v>26</v>
      </c>
    </row>
    <row r="2" spans="1:11" x14ac:dyDescent="0.25">
      <c r="A2" t="s">
        <v>27</v>
      </c>
      <c r="I2" t="s">
        <v>16</v>
      </c>
      <c r="J2">
        <f>SUM(E6:E96)</f>
        <v>3.1412736524954652</v>
      </c>
    </row>
    <row r="3" spans="1:11" x14ac:dyDescent="0.25">
      <c r="I3" t="s">
        <v>28</v>
      </c>
      <c r="J3" s="10">
        <f>Intensity*J2</f>
        <v>3999.9999999999982</v>
      </c>
      <c r="K3" s="11" t="str">
        <f>IF(Flux&lt;&gt;TotalLumens,"&lt;&lt;Automated Goal Seek failed or not updated","")</f>
        <v/>
      </c>
    </row>
    <row r="5" spans="1:11" x14ac:dyDescent="0.25">
      <c r="A5" t="s">
        <v>29</v>
      </c>
      <c r="B5" t="s">
        <v>30</v>
      </c>
      <c r="C5" t="s">
        <v>31</v>
      </c>
      <c r="D5" s="4" t="s">
        <v>32</v>
      </c>
      <c r="E5" s="4" t="s">
        <v>33</v>
      </c>
      <c r="F5" t="s">
        <v>34</v>
      </c>
      <c r="G5" t="s">
        <v>35</v>
      </c>
    </row>
    <row r="6" spans="1:11" x14ac:dyDescent="0.25">
      <c r="A6">
        <f t="shared" ref="A6:A37" si="0">COS(C6)</f>
        <v>1</v>
      </c>
      <c r="B6">
        <v>0</v>
      </c>
      <c r="C6">
        <f t="shared" ref="C6:C37" si="1">RADIANS(B6)</f>
        <v>0</v>
      </c>
      <c r="D6" s="4">
        <f t="shared" ref="D6:D37" si="2">IF(A6&gt;0,SIN(C6),0)</f>
        <v>0</v>
      </c>
      <c r="E6" s="4">
        <f t="shared" ref="E6:E37" si="3">+A6*D6*$C$7*2*PI()</f>
        <v>0</v>
      </c>
      <c r="F6">
        <f t="shared" ref="F6:F37" si="4">E6*$B$1</f>
        <v>0</v>
      </c>
      <c r="G6">
        <f t="shared" ref="G6:G37" si="5">Intensity*A6</f>
        <v>1273.368844138221</v>
      </c>
      <c r="H6">
        <f t="shared" ref="H6:H37" si="6">G6*RADIANS(1)*SIN(C6)*2*PI()</f>
        <v>0</v>
      </c>
    </row>
    <row r="7" spans="1:11" x14ac:dyDescent="0.25">
      <c r="A7">
        <f t="shared" si="0"/>
        <v>0.99984769515639127</v>
      </c>
      <c r="B7">
        <f t="shared" ref="B7:B38" si="7">1+B6</f>
        <v>1</v>
      </c>
      <c r="C7">
        <f t="shared" si="1"/>
        <v>1.7453292519943295E-2</v>
      </c>
      <c r="D7" s="4">
        <f t="shared" si="2"/>
        <v>1.7452406437283512E-2</v>
      </c>
      <c r="E7" s="4">
        <f t="shared" si="3"/>
        <v>1.9135790347267062E-3</v>
      </c>
      <c r="F7">
        <f t="shared" si="4"/>
        <v>2.4366919236170785</v>
      </c>
      <c r="G7">
        <f t="shared" si="5"/>
        <v>1273.1749038955584</v>
      </c>
      <c r="H7">
        <f t="shared" si="6"/>
        <v>2.4366919236170785</v>
      </c>
      <c r="I7">
        <f>F7/(RADIANS(1)*SIN(RADIANS(1))*Intensity*2*PI())</f>
        <v>0.99984769515639127</v>
      </c>
    </row>
    <row r="8" spans="1:11" x14ac:dyDescent="0.25">
      <c r="A8">
        <f t="shared" si="0"/>
        <v>0.99939082701909576</v>
      </c>
      <c r="B8">
        <f t="shared" si="7"/>
        <v>2</v>
      </c>
      <c r="C8">
        <f t="shared" si="1"/>
        <v>3.4906585039886591E-2</v>
      </c>
      <c r="D8" s="4">
        <f t="shared" si="2"/>
        <v>3.4899496702500969E-2</v>
      </c>
      <c r="E8" s="4">
        <f t="shared" si="3"/>
        <v>3.8248266681638519E-3</v>
      </c>
      <c r="F8">
        <f t="shared" si="4"/>
        <v>4.8704151134688471</v>
      </c>
      <c r="G8">
        <f t="shared" si="5"/>
        <v>1272.5931422436468</v>
      </c>
      <c r="H8">
        <f t="shared" si="6"/>
        <v>4.8704151134688471</v>
      </c>
    </row>
    <row r="9" spans="1:11" x14ac:dyDescent="0.25">
      <c r="A9">
        <f t="shared" si="0"/>
        <v>0.99862953475457383</v>
      </c>
      <c r="B9">
        <f t="shared" si="7"/>
        <v>3</v>
      </c>
      <c r="C9">
        <f t="shared" si="1"/>
        <v>5.235987755982989E-2</v>
      </c>
      <c r="D9" s="4">
        <f t="shared" si="2"/>
        <v>5.2335956242943835E-2</v>
      </c>
      <c r="E9" s="4">
        <f t="shared" si="3"/>
        <v>5.731414339475222E-3</v>
      </c>
      <c r="F9">
        <f t="shared" si="4"/>
        <v>7.2982044527347885</v>
      </c>
      <c r="G9">
        <f t="shared" si="5"/>
        <v>1271.6237363927212</v>
      </c>
      <c r="H9">
        <f t="shared" si="6"/>
        <v>7.2982044527347893</v>
      </c>
    </row>
    <row r="10" spans="1:11" x14ac:dyDescent="0.25">
      <c r="A10">
        <f t="shared" si="0"/>
        <v>0.9975640502598242</v>
      </c>
      <c r="B10">
        <f t="shared" si="7"/>
        <v>4</v>
      </c>
      <c r="C10">
        <f t="shared" si="1"/>
        <v>6.9813170079773182E-2</v>
      </c>
      <c r="D10" s="4">
        <f t="shared" si="2"/>
        <v>6.9756473744125302E-2</v>
      </c>
      <c r="E10" s="4">
        <f t="shared" si="3"/>
        <v>7.6310191652706411E-3</v>
      </c>
      <c r="F10">
        <f t="shared" si="4"/>
        <v>9.717102054077289</v>
      </c>
      <c r="G10">
        <f t="shared" si="5"/>
        <v>1270.2669816331945</v>
      </c>
      <c r="H10">
        <f t="shared" si="6"/>
        <v>9.7171020540772872</v>
      </c>
    </row>
    <row r="11" spans="1:11" x14ac:dyDescent="0.25">
      <c r="A11">
        <f t="shared" si="0"/>
        <v>0.99619469809174555</v>
      </c>
      <c r="B11">
        <f t="shared" si="7"/>
        <v>5</v>
      </c>
      <c r="C11">
        <f t="shared" si="1"/>
        <v>8.7266462599716474E-2</v>
      </c>
      <c r="D11" s="4">
        <f t="shared" si="2"/>
        <v>8.7155742747658166E-2</v>
      </c>
      <c r="E11" s="4">
        <f t="shared" si="3"/>
        <v>9.5213267696815686E-3</v>
      </c>
      <c r="F11">
        <f t="shared" si="4"/>
        <v>12.124160863371721</v>
      </c>
      <c r="G11">
        <f t="shared" si="5"/>
        <v>1268.52329124571</v>
      </c>
      <c r="H11">
        <f t="shared" si="6"/>
        <v>12.124160863371721</v>
      </c>
    </row>
    <row r="12" spans="1:11" x14ac:dyDescent="0.25">
      <c r="A12">
        <f t="shared" si="0"/>
        <v>0.99452189536827329</v>
      </c>
      <c r="B12">
        <f t="shared" si="7"/>
        <v>6</v>
      </c>
      <c r="C12">
        <f t="shared" si="1"/>
        <v>0.10471975511965978</v>
      </c>
      <c r="D12" s="4">
        <f t="shared" si="2"/>
        <v>0.10452846326765347</v>
      </c>
      <c r="E12" s="4">
        <f t="shared" si="3"/>
        <v>1.1400034104071595E-2</v>
      </c>
      <c r="F12">
        <f t="shared" si="4"/>
        <v>14.516448250237946</v>
      </c>
      <c r="G12">
        <f t="shared" si="5"/>
        <v>1266.3931963752509</v>
      </c>
      <c r="H12">
        <f t="shared" si="6"/>
        <v>14.51644825023795</v>
      </c>
    </row>
    <row r="13" spans="1:11" x14ac:dyDescent="0.25">
      <c r="A13">
        <f t="shared" si="0"/>
        <v>0.99254615164132198</v>
      </c>
      <c r="B13">
        <f t="shared" si="7"/>
        <v>7</v>
      </c>
      <c r="C13">
        <f t="shared" si="1"/>
        <v>0.12217304763960307</v>
      </c>
      <c r="D13" s="4">
        <f t="shared" si="2"/>
        <v>0.12186934340514748</v>
      </c>
      <c r="E13" s="4">
        <f t="shared" si="3"/>
        <v>1.3264852252946447E-2</v>
      </c>
      <c r="F13">
        <f t="shared" si="4"/>
        <v>16.891049580998693</v>
      </c>
      <c r="G13">
        <f t="shared" si="5"/>
        <v>1263.8773458693495</v>
      </c>
      <c r="H13">
        <f t="shared" si="6"/>
        <v>16.891049580998693</v>
      </c>
    </row>
    <row r="14" spans="1:11" x14ac:dyDescent="0.25">
      <c r="A14">
        <f t="shared" si="0"/>
        <v>0.99026806874157036</v>
      </c>
      <c r="B14">
        <f t="shared" si="7"/>
        <v>8</v>
      </c>
      <c r="C14">
        <f t="shared" si="1"/>
        <v>0.13962634015954636</v>
      </c>
      <c r="D14" s="4">
        <f t="shared" si="2"/>
        <v>0.13917310096006544</v>
      </c>
      <c r="E14" s="4">
        <f t="shared" si="3"/>
        <v>1.5113509222644936E-2</v>
      </c>
      <c r="F14">
        <f t="shared" si="4"/>
        <v>19.245071769711725</v>
      </c>
      <c r="G14">
        <f t="shared" si="5"/>
        <v>1260.9765060804418</v>
      </c>
      <c r="H14">
        <f t="shared" si="6"/>
        <v>19.245071769711725</v>
      </c>
    </row>
    <row r="15" spans="1:11" x14ac:dyDescent="0.25">
      <c r="A15">
        <f t="shared" si="0"/>
        <v>0.98768834059513777</v>
      </c>
      <c r="B15">
        <f t="shared" si="7"/>
        <v>9</v>
      </c>
      <c r="C15">
        <f t="shared" si="1"/>
        <v>0.15707963267948966</v>
      </c>
      <c r="D15" s="4">
        <f t="shared" si="2"/>
        <v>0.15643446504023087</v>
      </c>
      <c r="E15" s="4">
        <f t="shared" si="3"/>
        <v>1.694375270941326E-2</v>
      </c>
      <c r="F15">
        <f t="shared" si="4"/>
        <v>21.575646802949414</v>
      </c>
      <c r="G15">
        <f t="shared" si="5"/>
        <v>1257.691560632428</v>
      </c>
      <c r="H15">
        <f t="shared" si="6"/>
        <v>21.575646802949411</v>
      </c>
    </row>
    <row r="16" spans="1:11" x14ac:dyDescent="0.25">
      <c r="A16">
        <f t="shared" si="0"/>
        <v>0.98480775301220802</v>
      </c>
      <c r="B16">
        <f t="shared" si="7"/>
        <v>10</v>
      </c>
      <c r="C16">
        <f t="shared" si="1"/>
        <v>0.17453292519943295</v>
      </c>
      <c r="D16" s="4">
        <f t="shared" si="2"/>
        <v>0.17364817766693033</v>
      </c>
      <c r="E16" s="4">
        <f t="shared" si="3"/>
        <v>1.8753352843490181E-2</v>
      </c>
      <c r="F16">
        <f t="shared" si="4"/>
        <v>23.879935234031311</v>
      </c>
      <c r="G16">
        <f t="shared" si="5"/>
        <v>1254.0235101515138</v>
      </c>
      <c r="H16">
        <f t="shared" si="6"/>
        <v>23.879935234031311</v>
      </c>
    </row>
    <row r="17" spans="1:8" x14ac:dyDescent="0.25">
      <c r="A17">
        <f t="shared" si="0"/>
        <v>0.98162718344766398</v>
      </c>
      <c r="B17">
        <f t="shared" si="7"/>
        <v>11</v>
      </c>
      <c r="C17">
        <f t="shared" si="1"/>
        <v>0.19198621771937624</v>
      </c>
      <c r="D17" s="4">
        <f t="shared" si="2"/>
        <v>0.1908089953765448</v>
      </c>
      <c r="E17" s="4">
        <f t="shared" si="3"/>
        <v>2.0540104905859873E-2</v>
      </c>
      <c r="F17">
        <f t="shared" si="4"/>
        <v>26.155129642452589</v>
      </c>
      <c r="G17">
        <f t="shared" si="5"/>
        <v>1249.9734719614094</v>
      </c>
      <c r="H17">
        <f t="shared" si="6"/>
        <v>26.155129642452589</v>
      </c>
    </row>
    <row r="18" spans="1:8" x14ac:dyDescent="0.25">
      <c r="A18">
        <f t="shared" si="0"/>
        <v>0.97814760073380569</v>
      </c>
      <c r="B18">
        <f t="shared" si="7"/>
        <v>12</v>
      </c>
      <c r="C18">
        <f t="shared" si="1"/>
        <v>0.20943951023931956</v>
      </c>
      <c r="D18" s="4">
        <f t="shared" si="2"/>
        <v>0.20791169081775934</v>
      </c>
      <c r="E18" s="4">
        <f t="shared" si="3"/>
        <v>2.2301832014362387E-2</v>
      </c>
      <c r="F18">
        <f t="shared" si="4"/>
        <v>28.398458054293407</v>
      </c>
      <c r="G18">
        <f t="shared" si="5"/>
        <v>1245.5426797429802</v>
      </c>
      <c r="H18">
        <f t="shared" si="6"/>
        <v>28.398458054293403</v>
      </c>
    </row>
    <row r="19" spans="1:8" x14ac:dyDescent="0.25">
      <c r="A19">
        <f t="shared" si="0"/>
        <v>0.97437006478523525</v>
      </c>
      <c r="B19">
        <f t="shared" si="7"/>
        <v>13</v>
      </c>
      <c r="C19">
        <f t="shared" si="1"/>
        <v>0.22689280275926285</v>
      </c>
      <c r="D19" s="4">
        <f t="shared" si="2"/>
        <v>0.224951054343865</v>
      </c>
      <c r="E19" s="4">
        <f t="shared" si="3"/>
        <v>2.4036387775889265E-2</v>
      </c>
      <c r="F19">
        <f t="shared" si="4"/>
        <v>30.607187319442179</v>
      </c>
      <c r="G19">
        <f t="shared" si="5"/>
        <v>1240.7324831584585</v>
      </c>
      <c r="H19">
        <f t="shared" si="6"/>
        <v>30.607187319442179</v>
      </c>
    </row>
    <row r="20" spans="1:8" x14ac:dyDescent="0.25">
      <c r="A20">
        <f t="shared" si="0"/>
        <v>0.97029572627599647</v>
      </c>
      <c r="B20">
        <f t="shared" si="7"/>
        <v>14</v>
      </c>
      <c r="C20">
        <f t="shared" si="1"/>
        <v>0.24434609527920614</v>
      </c>
      <c r="D20" s="4">
        <f t="shared" si="2"/>
        <v>0.24192189559966773</v>
      </c>
      <c r="E20" s="4">
        <f t="shared" si="3"/>
        <v>2.5741658901432925E-2</v>
      </c>
      <c r="F20">
        <f t="shared" si="4"/>
        <v>32.778626441517993</v>
      </c>
      <c r="G20">
        <f t="shared" si="5"/>
        <v>1235.5443474403212</v>
      </c>
      <c r="H20">
        <f t="shared" si="6"/>
        <v>32.778626441517993</v>
      </c>
    </row>
    <row r="21" spans="1:8" x14ac:dyDescent="0.25">
      <c r="A21">
        <f t="shared" si="0"/>
        <v>0.96592582628906831</v>
      </c>
      <c r="B21">
        <f t="shared" si="7"/>
        <v>15</v>
      </c>
      <c r="C21">
        <f t="shared" si="1"/>
        <v>0.26179938779914941</v>
      </c>
      <c r="D21" s="4">
        <f t="shared" si="2"/>
        <v>0.25881904510252074</v>
      </c>
      <c r="E21" s="4">
        <f t="shared" si="3"/>
        <v>2.7415567780803767E-2</v>
      </c>
      <c r="F21">
        <f t="shared" si="4"/>
        <v>34.910129856435148</v>
      </c>
      <c r="G21">
        <f t="shared" si="5"/>
        <v>1229.979852944967</v>
      </c>
      <c r="H21">
        <f t="shared" si="6"/>
        <v>34.910129856435148</v>
      </c>
    </row>
    <row r="22" spans="1:8" x14ac:dyDescent="0.25">
      <c r="A22">
        <f t="shared" si="0"/>
        <v>0.96126169593831889</v>
      </c>
      <c r="B22">
        <f t="shared" si="7"/>
        <v>16</v>
      </c>
      <c r="C22">
        <f t="shared" si="1"/>
        <v>0.27925268031909273</v>
      </c>
      <c r="D22" s="4">
        <f t="shared" si="2"/>
        <v>0.27563735581699916</v>
      </c>
      <c r="E22" s="4">
        <f t="shared" si="3"/>
        <v>2.9056075013878187E-2</v>
      </c>
      <c r="F22">
        <f t="shared" si="4"/>
        <v>36.999100655615514</v>
      </c>
      <c r="G22">
        <f t="shared" si="5"/>
        <v>1224.0406946713231</v>
      </c>
      <c r="H22">
        <f t="shared" si="6"/>
        <v>36.999100655615507</v>
      </c>
    </row>
    <row r="23" spans="1:8" x14ac:dyDescent="0.25">
      <c r="A23">
        <f t="shared" si="0"/>
        <v>0.95630475596303544</v>
      </c>
      <c r="B23">
        <f t="shared" si="7"/>
        <v>17</v>
      </c>
      <c r="C23">
        <f t="shared" si="1"/>
        <v>0.29670597283903605</v>
      </c>
      <c r="D23" s="4">
        <f t="shared" si="2"/>
        <v>0.29237170472273677</v>
      </c>
      <c r="E23" s="4">
        <f t="shared" si="3"/>
        <v>3.0661181895293446E-2</v>
      </c>
      <c r="F23">
        <f t="shared" si="4"/>
        <v>39.042993749921564</v>
      </c>
      <c r="G23">
        <f t="shared" si="5"/>
        <v>1217.728681744534</v>
      </c>
      <c r="H23">
        <f t="shared" si="6"/>
        <v>39.042993749921564</v>
      </c>
    </row>
    <row r="24" spans="1:8" x14ac:dyDescent="0.25">
      <c r="A24">
        <f t="shared" si="0"/>
        <v>0.95105651629515353</v>
      </c>
      <c r="B24">
        <f t="shared" si="7"/>
        <v>18</v>
      </c>
      <c r="C24">
        <f t="shared" si="1"/>
        <v>0.31415926535897931</v>
      </c>
      <c r="D24" s="4">
        <f t="shared" si="2"/>
        <v>0.3090169943749474</v>
      </c>
      <c r="E24" s="4">
        <f t="shared" si="3"/>
        <v>3.2228932849562283E-2</v>
      </c>
      <c r="F24">
        <f t="shared" si="4"/>
        <v>41.039318970455469</v>
      </c>
      <c r="G24">
        <f t="shared" si="5"/>
        <v>1211.0457368648829</v>
      </c>
      <c r="H24">
        <f t="shared" si="6"/>
        <v>41.039318970455469</v>
      </c>
    </row>
    <row r="25" spans="1:8" x14ac:dyDescent="0.25">
      <c r="A25">
        <f t="shared" si="0"/>
        <v>0.94551857559931685</v>
      </c>
      <c r="B25">
        <f t="shared" si="7"/>
        <v>19</v>
      </c>
      <c r="C25">
        <f t="shared" si="1"/>
        <v>0.33161255787892263</v>
      </c>
      <c r="D25" s="4">
        <f t="shared" si="2"/>
        <v>0.3255681544571567</v>
      </c>
      <c r="E25" s="4">
        <f t="shared" si="3"/>
        <v>3.3757417813640472E-2</v>
      </c>
      <c r="F25">
        <f t="shared" si="4"/>
        <v>42.985644102446358</v>
      </c>
      <c r="G25">
        <f t="shared" si="5"/>
        <v>1203.9938957221193</v>
      </c>
      <c r="H25">
        <f t="shared" si="6"/>
        <v>42.985644102446365</v>
      </c>
    </row>
    <row r="26" spans="1:8" x14ac:dyDescent="0.25">
      <c r="A26">
        <f t="shared" si="0"/>
        <v>0.93969262078590843</v>
      </c>
      <c r="B26">
        <f t="shared" si="7"/>
        <v>20</v>
      </c>
      <c r="C26">
        <f t="shared" si="1"/>
        <v>0.3490658503988659</v>
      </c>
      <c r="D26" s="4">
        <f t="shared" si="2"/>
        <v>0.34202014332566871</v>
      </c>
      <c r="E26" s="4">
        <f t="shared" si="3"/>
        <v>3.5244774564044318E-2</v>
      </c>
      <c r="F26">
        <f t="shared" si="4"/>
        <v>44.879597848529286</v>
      </c>
      <c r="G26">
        <f t="shared" si="5"/>
        <v>1196.5753063753677</v>
      </c>
      <c r="H26">
        <f t="shared" si="6"/>
        <v>44.879597848529286</v>
      </c>
    </row>
    <row r="27" spans="1:8" x14ac:dyDescent="0.25">
      <c r="A27">
        <f t="shared" si="0"/>
        <v>0.93358042649720174</v>
      </c>
      <c r="B27">
        <f t="shared" si="7"/>
        <v>21</v>
      </c>
      <c r="C27">
        <f t="shared" si="1"/>
        <v>0.36651914291880922</v>
      </c>
      <c r="D27" s="4">
        <f t="shared" si="2"/>
        <v>0.35836794954530027</v>
      </c>
      <c r="E27" s="4">
        <f t="shared" si="3"/>
        <v>3.6689190985683212E-2</v>
      </c>
      <c r="F27">
        <f t="shared" si="4"/>
        <v>46.718872717805866</v>
      </c>
      <c r="G27">
        <f t="shared" si="5"/>
        <v>1188.7922285988091</v>
      </c>
      <c r="H27">
        <f t="shared" si="6"/>
        <v>46.718872717805858</v>
      </c>
    </row>
    <row r="28" spans="1:8" x14ac:dyDescent="0.25">
      <c r="A28">
        <f t="shared" si="0"/>
        <v>0.92718385456678742</v>
      </c>
      <c r="B28">
        <f t="shared" si="7"/>
        <v>22</v>
      </c>
      <c r="C28">
        <f t="shared" si="1"/>
        <v>0.38397243543875248</v>
      </c>
      <c r="D28" s="4">
        <f t="shared" si="2"/>
        <v>0.37460659341591201</v>
      </c>
      <c r="E28" s="4">
        <f t="shared" si="3"/>
        <v>3.8088907279642675E-2</v>
      </c>
      <c r="F28">
        <f t="shared" si="4"/>
        <v>48.501227837166468</v>
      </c>
      <c r="G28">
        <f t="shared" si="5"/>
        <v>1180.6470331933306</v>
      </c>
      <c r="H28">
        <f t="shared" si="6"/>
        <v>48.501227837166468</v>
      </c>
    </row>
    <row r="29" spans="1:8" x14ac:dyDescent="0.25">
      <c r="A29">
        <f t="shared" si="0"/>
        <v>0.92050485345244037</v>
      </c>
      <c r="B29">
        <f t="shared" si="7"/>
        <v>23</v>
      </c>
      <c r="C29">
        <f t="shared" si="1"/>
        <v>0.4014257279586958</v>
      </c>
      <c r="D29" s="4">
        <f t="shared" si="2"/>
        <v>0.39073112848927377</v>
      </c>
      <c r="E29" s="4">
        <f t="shared" si="3"/>
        <v>3.944221810722829E-2</v>
      </c>
      <c r="F29">
        <f t="shared" si="4"/>
        <v>50.224491681448896</v>
      </c>
      <c r="G29">
        <f t="shared" si="5"/>
        <v>1172.1422012643566</v>
      </c>
      <c r="H29">
        <f t="shared" si="6"/>
        <v>50.224491681448896</v>
      </c>
    </row>
    <row r="30" spans="1:8" x14ac:dyDescent="0.25">
      <c r="A30">
        <f t="shared" si="0"/>
        <v>0.91354545764260087</v>
      </c>
      <c r="B30">
        <f t="shared" si="7"/>
        <v>24</v>
      </c>
      <c r="C30">
        <f t="shared" si="1"/>
        <v>0.41887902047863912</v>
      </c>
      <c r="D30" s="4">
        <f t="shared" si="2"/>
        <v>0.40673664307580021</v>
      </c>
      <c r="E30" s="4">
        <f t="shared" si="3"/>
        <v>4.0747474667658184E-2</v>
      </c>
      <c r="F30">
        <f t="shared" si="4"/>
        <v>51.886564719107341</v>
      </c>
      <c r="G30">
        <f t="shared" si="5"/>
        <v>1163.2803234660807</v>
      </c>
      <c r="H30">
        <f t="shared" si="6"/>
        <v>51.886564719107341</v>
      </c>
    </row>
    <row r="31" spans="1:8" x14ac:dyDescent="0.25">
      <c r="A31">
        <f t="shared" si="0"/>
        <v>0.90630778703664994</v>
      </c>
      <c r="B31">
        <f t="shared" si="7"/>
        <v>25</v>
      </c>
      <c r="C31">
        <f t="shared" si="1"/>
        <v>0.43633231299858238</v>
      </c>
      <c r="D31" s="4">
        <f t="shared" si="2"/>
        <v>0.42261826174069944</v>
      </c>
      <c r="E31" s="4">
        <f t="shared" si="3"/>
        <v>4.200308670687284E-2</v>
      </c>
      <c r="F31">
        <f t="shared" si="4"/>
        <v>53.48542197016814</v>
      </c>
      <c r="G31">
        <f t="shared" si="5"/>
        <v>1154.0640992123278</v>
      </c>
      <c r="H31">
        <f t="shared" si="6"/>
        <v>53.485421970168147</v>
      </c>
    </row>
    <row r="32" spans="1:8" x14ac:dyDescent="0.25">
      <c r="A32">
        <f t="shared" si="0"/>
        <v>0.89879404629916704</v>
      </c>
      <c r="B32">
        <f t="shared" si="7"/>
        <v>26</v>
      </c>
      <c r="C32">
        <f t="shared" si="1"/>
        <v>0.4537856055185257</v>
      </c>
      <c r="D32" s="4">
        <f t="shared" si="2"/>
        <v>0.4383711467890774</v>
      </c>
      <c r="E32" s="4">
        <f t="shared" si="3"/>
        <v>4.3207524455014697E-2</v>
      </c>
      <c r="F32">
        <f t="shared" si="4"/>
        <v>55.019115473355981</v>
      </c>
      <c r="G32">
        <f t="shared" si="5"/>
        <v>1144.496335854285</v>
      </c>
      <c r="H32">
        <f t="shared" si="6"/>
        <v>55.019115473355988</v>
      </c>
    </row>
    <row r="33" spans="1:8" x14ac:dyDescent="0.25">
      <c r="A33">
        <f t="shared" si="0"/>
        <v>0.8910065241883679</v>
      </c>
      <c r="B33">
        <f t="shared" si="7"/>
        <v>27</v>
      </c>
      <c r="C33">
        <f t="shared" si="1"/>
        <v>0.47123889803846897</v>
      </c>
      <c r="D33" s="4">
        <f t="shared" si="2"/>
        <v>0.45399049973954675</v>
      </c>
      <c r="E33" s="4">
        <f t="shared" si="3"/>
        <v>4.4359320490217027E-2</v>
      </c>
      <c r="F33">
        <f t="shared" si="4"/>
        <v>56.485776659384555</v>
      </c>
      <c r="G33">
        <f t="shared" si="5"/>
        <v>1134.5799478253559</v>
      </c>
      <c r="H33">
        <f t="shared" si="6"/>
        <v>56.485776659384562</v>
      </c>
    </row>
    <row r="34" spans="1:8" x14ac:dyDescent="0.25">
      <c r="A34">
        <f t="shared" si="0"/>
        <v>0.88294759285892699</v>
      </c>
      <c r="B34">
        <f t="shared" si="7"/>
        <v>28</v>
      </c>
      <c r="C34">
        <f t="shared" si="1"/>
        <v>0.48869219055841229</v>
      </c>
      <c r="D34" s="4">
        <f t="shared" si="2"/>
        <v>0.46947156278589081</v>
      </c>
      <c r="E34" s="4">
        <f t="shared" si="3"/>
        <v>4.5457071526431546E-2</v>
      </c>
      <c r="F34">
        <f t="shared" si="4"/>
        <v>57.883618627520576</v>
      </c>
      <c r="G34">
        <f t="shared" si="5"/>
        <v>1124.3179557533965</v>
      </c>
      <c r="H34">
        <f t="shared" si="6"/>
        <v>57.883618627520583</v>
      </c>
    </row>
    <row r="35" spans="1:8" x14ac:dyDescent="0.25">
      <c r="A35">
        <f t="shared" si="0"/>
        <v>0.87461970713939574</v>
      </c>
      <c r="B35">
        <f t="shared" si="7"/>
        <v>29</v>
      </c>
      <c r="C35">
        <f t="shared" si="1"/>
        <v>0.50614548307835561</v>
      </c>
      <c r="D35" s="4">
        <f t="shared" si="2"/>
        <v>0.48480962024633706</v>
      </c>
      <c r="E35" s="4">
        <f t="shared" si="3"/>
        <v>4.649944012311618E-2</v>
      </c>
      <c r="F35">
        <f t="shared" si="4"/>
        <v>59.210938322646868</v>
      </c>
      <c r="G35">
        <f t="shared" si="5"/>
        <v>1113.7134855406016</v>
      </c>
      <c r="H35">
        <f t="shared" si="6"/>
        <v>59.210938322646861</v>
      </c>
    </row>
    <row r="36" spans="1:8" x14ac:dyDescent="0.25">
      <c r="A36">
        <f t="shared" si="0"/>
        <v>0.86602540378443871</v>
      </c>
      <c r="B36">
        <f t="shared" si="7"/>
        <v>30</v>
      </c>
      <c r="C36">
        <f t="shared" si="1"/>
        <v>0.52359877559829882</v>
      </c>
      <c r="D36" s="4">
        <f t="shared" si="2"/>
        <v>0.49999999999999994</v>
      </c>
      <c r="E36" s="4">
        <f t="shared" si="3"/>
        <v>4.7485156314700461E-2</v>
      </c>
      <c r="F36">
        <f t="shared" si="4"/>
        <v>60.46611861017287</v>
      </c>
      <c r="G36">
        <f t="shared" si="5"/>
        <v>1102.7697674113269</v>
      </c>
      <c r="H36">
        <f t="shared" si="6"/>
        <v>60.466118610172884</v>
      </c>
    </row>
    <row r="37" spans="1:8" x14ac:dyDescent="0.25">
      <c r="A37">
        <f t="shared" si="0"/>
        <v>0.85716730070211233</v>
      </c>
      <c r="B37">
        <f t="shared" si="7"/>
        <v>31</v>
      </c>
      <c r="C37">
        <f t="shared" si="1"/>
        <v>0.54105206811824214</v>
      </c>
      <c r="D37" s="4">
        <f t="shared" si="2"/>
        <v>0.51503807491005416</v>
      </c>
      <c r="E37" s="4">
        <f t="shared" si="3"/>
        <v>4.8413019157842886E-2</v>
      </c>
      <c r="F37">
        <f t="shared" si="4"/>
        <v>61.647630246263944</v>
      </c>
      <c r="G37">
        <f t="shared" si="5"/>
        <v>1091.4901349281276</v>
      </c>
      <c r="H37">
        <f t="shared" si="6"/>
        <v>61.647630246263944</v>
      </c>
    </row>
    <row r="38" spans="1:8" x14ac:dyDescent="0.25">
      <c r="A38">
        <f t="shared" ref="A38:A69" si="8">COS(C38)</f>
        <v>0.84804809615642596</v>
      </c>
      <c r="B38">
        <f t="shared" si="7"/>
        <v>32</v>
      </c>
      <c r="C38">
        <f t="shared" ref="C38:C69" si="9">RADIANS(B38)</f>
        <v>0.55850536063818546</v>
      </c>
      <c r="D38" s="4">
        <f t="shared" ref="D38:D69" si="10">IF(A38&gt;0,SIN(C38),0)</f>
        <v>0.5299192642332049</v>
      </c>
      <c r="E38" s="4">
        <f t="shared" ref="E38:E69" si="11">+A38*D38*$C$7*2*PI()</f>
        <v>4.9281898194595386E-2</v>
      </c>
      <c r="F38">
        <f t="shared" ref="F38:F69" si="12">E38*$B$1</f>
        <v>62.754033740989406</v>
      </c>
      <c r="G38">
        <f t="shared" ref="G38:G69" si="13">Intensity*A38</f>
        <v>1079.8780239763271</v>
      </c>
      <c r="H38">
        <f t="shared" ref="H38:H69" si="14">G38*RADIANS(1)*SIN(C38)*2*PI()</f>
        <v>62.754033740989414</v>
      </c>
    </row>
    <row r="39" spans="1:8" x14ac:dyDescent="0.25">
      <c r="A39">
        <f t="shared" si="8"/>
        <v>0.83867056794542405</v>
      </c>
      <c r="B39">
        <f t="shared" ref="B39:B70" si="15">1+B38</f>
        <v>33</v>
      </c>
      <c r="C39">
        <f t="shared" si="9"/>
        <v>0.57595865315812877</v>
      </c>
      <c r="D39" s="4">
        <f t="shared" si="10"/>
        <v>0.54463903501502708</v>
      </c>
      <c r="E39" s="4">
        <f t="shared" si="11"/>
        <v>5.009073482969225E-2</v>
      </c>
      <c r="F39">
        <f t="shared" si="12"/>
        <v>63.783981112119349</v>
      </c>
      <c r="G39">
        <f t="shared" si="13"/>
        <v>1067.93697171741</v>
      </c>
      <c r="H39">
        <f t="shared" si="14"/>
        <v>63.783981112119356</v>
      </c>
    </row>
    <row r="40" spans="1:8" x14ac:dyDescent="0.25">
      <c r="A40">
        <f t="shared" si="8"/>
        <v>0.82903757255504162</v>
      </c>
      <c r="B40">
        <f t="shared" si="15"/>
        <v>34</v>
      </c>
      <c r="C40">
        <f t="shared" si="9"/>
        <v>0.59341194567807209</v>
      </c>
      <c r="D40" s="4">
        <f t="shared" si="10"/>
        <v>0.5591929034707469</v>
      </c>
      <c r="E40" s="4">
        <f t="shared" si="11"/>
        <v>5.0838543620285337E-2</v>
      </c>
      <c r="F40">
        <f t="shared" si="12"/>
        <v>64.736217527433269</v>
      </c>
      <c r="G40">
        <f t="shared" si="13"/>
        <v>1055.6706155115698</v>
      </c>
      <c r="H40">
        <f t="shared" si="14"/>
        <v>64.736217527433269</v>
      </c>
    </row>
    <row r="41" spans="1:8" x14ac:dyDescent="0.25">
      <c r="A41">
        <f t="shared" si="8"/>
        <v>0.8191520442889918</v>
      </c>
      <c r="B41">
        <f t="shared" si="15"/>
        <v>35</v>
      </c>
      <c r="C41">
        <f t="shared" si="9"/>
        <v>0.6108652381980153</v>
      </c>
      <c r="D41" s="4">
        <f t="shared" si="10"/>
        <v>0.57357643635104605</v>
      </c>
      <c r="E41" s="4">
        <f t="shared" si="11"/>
        <v>5.1524413476554412E-2</v>
      </c>
      <c r="F41">
        <f t="shared" si="12"/>
        <v>65.609582833539875</v>
      </c>
      <c r="G41">
        <f t="shared" si="13"/>
        <v>1043.0826918097343</v>
      </c>
      <c r="H41">
        <f t="shared" si="14"/>
        <v>65.609582833539875</v>
      </c>
    </row>
    <row r="42" spans="1:8" x14ac:dyDescent="0.25">
      <c r="A42">
        <f t="shared" si="8"/>
        <v>0.80901699437494745</v>
      </c>
      <c r="B42">
        <f t="shared" si="15"/>
        <v>36</v>
      </c>
      <c r="C42">
        <f t="shared" si="9"/>
        <v>0.62831853071795862</v>
      </c>
      <c r="D42" s="4">
        <f t="shared" si="10"/>
        <v>0.58778525229247314</v>
      </c>
      <c r="E42" s="4">
        <f t="shared" si="11"/>
        <v>5.2147508771729786E-2</v>
      </c>
      <c r="F42">
        <f t="shared" si="12"/>
        <v>66.403012969345298</v>
      </c>
      <c r="G42">
        <f t="shared" si="13"/>
        <v>1030.1770350154045</v>
      </c>
      <c r="H42">
        <f t="shared" si="14"/>
        <v>66.403012969345312</v>
      </c>
    </row>
    <row r="43" spans="1:8" x14ac:dyDescent="0.25">
      <c r="A43">
        <f t="shared" si="8"/>
        <v>0.79863551004729283</v>
      </c>
      <c r="B43">
        <f t="shared" si="15"/>
        <v>37</v>
      </c>
      <c r="C43">
        <f t="shared" si="9"/>
        <v>0.64577182323790194</v>
      </c>
      <c r="D43" s="4">
        <f t="shared" si="10"/>
        <v>0.60181502315204827</v>
      </c>
      <c r="E43" s="4">
        <f t="shared" si="11"/>
        <v>5.2707070360174732E-2</v>
      </c>
      <c r="F43">
        <f t="shared" si="12"/>
        <v>67.115541262447579</v>
      </c>
      <c r="G43">
        <f t="shared" si="13"/>
        <v>1016.9575763166598</v>
      </c>
      <c r="H43">
        <f t="shared" si="14"/>
        <v>67.115541262447593</v>
      </c>
    </row>
    <row r="44" spans="1:8" x14ac:dyDescent="0.25">
      <c r="A44">
        <f t="shared" si="8"/>
        <v>0.7880107536067219</v>
      </c>
      <c r="B44">
        <f t="shared" si="15"/>
        <v>38</v>
      </c>
      <c r="C44">
        <f t="shared" si="9"/>
        <v>0.66322511575784526</v>
      </c>
      <c r="D44" s="4">
        <f t="shared" si="10"/>
        <v>0.61566147532565829</v>
      </c>
      <c r="E44" s="4">
        <f t="shared" si="11"/>
        <v>5.3202416502287617E-2</v>
      </c>
      <c r="F44">
        <f t="shared" si="12"/>
        <v>67.746299606878196</v>
      </c>
      <c r="G44">
        <f t="shared" si="13"/>
        <v>1003.42834248868</v>
      </c>
      <c r="H44">
        <f t="shared" si="14"/>
        <v>67.746299606878182</v>
      </c>
    </row>
    <row r="45" spans="1:8" x14ac:dyDescent="0.25">
      <c r="A45">
        <f t="shared" si="8"/>
        <v>0.7771459614569709</v>
      </c>
      <c r="B45">
        <f t="shared" si="15"/>
        <v>39</v>
      </c>
      <c r="C45">
        <f t="shared" si="9"/>
        <v>0.68067840827778847</v>
      </c>
      <c r="D45" s="4">
        <f t="shared" si="10"/>
        <v>0.62932039104983739</v>
      </c>
      <c r="E45" s="4">
        <f t="shared" si="11"/>
        <v>5.3632943695096462E-2</v>
      </c>
      <c r="F45">
        <f t="shared" si="12"/>
        <v>68.294519520755273</v>
      </c>
      <c r="G45">
        <f t="shared" si="13"/>
        <v>989.59345466714944</v>
      </c>
      <c r="H45">
        <f t="shared" si="14"/>
        <v>68.294519520755273</v>
      </c>
    </row>
    <row r="46" spans="1:8" x14ac:dyDescent="0.25">
      <c r="A46">
        <f t="shared" si="8"/>
        <v>0.76604444311897801</v>
      </c>
      <c r="B46">
        <f t="shared" si="15"/>
        <v>40</v>
      </c>
      <c r="C46">
        <f t="shared" si="9"/>
        <v>0.69813170079773179</v>
      </c>
      <c r="D46" s="4">
        <f t="shared" si="10"/>
        <v>0.64278760968653925</v>
      </c>
      <c r="E46" s="4">
        <f t="shared" si="11"/>
        <v>5.3998127407534492E-2</v>
      </c>
      <c r="F46">
        <f t="shared" si="12"/>
        <v>68.759533082560594</v>
      </c>
      <c r="G46">
        <f t="shared" si="13"/>
        <v>975.45712709292025</v>
      </c>
      <c r="H46">
        <f t="shared" si="14"/>
        <v>68.759533082560594</v>
      </c>
    </row>
    <row r="47" spans="1:8" x14ac:dyDescent="0.25">
      <c r="A47">
        <f t="shared" si="8"/>
        <v>0.75470958022277201</v>
      </c>
      <c r="B47">
        <f t="shared" si="15"/>
        <v>41</v>
      </c>
      <c r="C47">
        <f t="shared" si="9"/>
        <v>0.71558499331767511</v>
      </c>
      <c r="D47" s="4">
        <f t="shared" si="10"/>
        <v>0.65605902899050728</v>
      </c>
      <c r="E47" s="4">
        <f t="shared" si="11"/>
        <v>5.4297522719500349E-2</v>
      </c>
      <c r="F47">
        <f t="shared" si="12"/>
        <v>69.140773744898951</v>
      </c>
      <c r="G47">
        <f t="shared" si="13"/>
        <v>961.02366582831314</v>
      </c>
      <c r="H47">
        <f t="shared" si="14"/>
        <v>69.140773744898937</v>
      </c>
    </row>
    <row r="48" spans="1:8" x14ac:dyDescent="0.25">
      <c r="A48">
        <f t="shared" si="8"/>
        <v>0.74314482547739424</v>
      </c>
      <c r="B48">
        <f t="shared" si="15"/>
        <v>42</v>
      </c>
      <c r="C48">
        <f t="shared" si="9"/>
        <v>0.73303828583761843</v>
      </c>
      <c r="D48" s="4">
        <f t="shared" si="10"/>
        <v>0.66913060635885824</v>
      </c>
      <c r="E48" s="4">
        <f t="shared" si="11"/>
        <v>5.4530764863924677E-2</v>
      </c>
      <c r="F48">
        <f t="shared" si="12"/>
        <v>69.437777024748883</v>
      </c>
      <c r="G48">
        <f t="shared" si="13"/>
        <v>946.29746744544946</v>
      </c>
      <c r="H48">
        <f t="shared" si="14"/>
        <v>69.437777024748868</v>
      </c>
    </row>
    <row r="49" spans="1:8" x14ac:dyDescent="0.25">
      <c r="A49">
        <f t="shared" si="8"/>
        <v>0.73135370161917046</v>
      </c>
      <c r="B49">
        <f t="shared" si="15"/>
        <v>43</v>
      </c>
      <c r="C49">
        <f t="shared" si="9"/>
        <v>0.75049157835756175</v>
      </c>
      <c r="D49" s="4">
        <f t="shared" si="10"/>
        <v>0.68199836006249848</v>
      </c>
      <c r="E49" s="4">
        <f t="shared" si="11"/>
        <v>5.4697569671182701E-2</v>
      </c>
      <c r="F49">
        <f t="shared" si="12"/>
        <v>69.650181069363725</v>
      </c>
      <c r="G49">
        <f t="shared" si="13"/>
        <v>931.28301768701249</v>
      </c>
      <c r="H49">
        <f t="shared" si="14"/>
        <v>69.650181069363725</v>
      </c>
    </row>
    <row r="50" spans="1:8" x14ac:dyDescent="0.25">
      <c r="A50">
        <f t="shared" si="8"/>
        <v>0.71933980033865119</v>
      </c>
      <c r="B50">
        <f t="shared" si="15"/>
        <v>44</v>
      </c>
      <c r="C50">
        <f t="shared" si="9"/>
        <v>0.76794487087750496</v>
      </c>
      <c r="D50" s="4">
        <f t="shared" si="10"/>
        <v>0.69465837045899725</v>
      </c>
      <c r="E50" s="4">
        <f t="shared" si="11"/>
        <v>5.4797733915311113E-2</v>
      </c>
      <c r="F50">
        <f t="shared" si="12"/>
        <v>69.777727097133507</v>
      </c>
      <c r="G50">
        <f t="shared" si="13"/>
        <v>915.98489009984689</v>
      </c>
      <c r="H50">
        <f t="shared" si="14"/>
        <v>69.777727097133493</v>
      </c>
    </row>
    <row r="51" spans="1:8" x14ac:dyDescent="0.25">
      <c r="A51">
        <f t="shared" si="8"/>
        <v>0.70710678118654757</v>
      </c>
      <c r="B51">
        <f t="shared" si="15"/>
        <v>45</v>
      </c>
      <c r="C51">
        <f t="shared" si="9"/>
        <v>0.78539816339744828</v>
      </c>
      <c r="D51" s="4">
        <f t="shared" si="10"/>
        <v>0.70710678118654746</v>
      </c>
      <c r="E51" s="4">
        <f t="shared" si="11"/>
        <v>5.4831135561607548E-2</v>
      </c>
      <c r="F51">
        <f t="shared" si="12"/>
        <v>69.82025971287031</v>
      </c>
      <c r="G51">
        <f t="shared" si="13"/>
        <v>900.40774464181209</v>
      </c>
      <c r="H51">
        <f t="shared" si="14"/>
        <v>69.820259712870296</v>
      </c>
    </row>
    <row r="52" spans="1:8" x14ac:dyDescent="0.25">
      <c r="A52">
        <f t="shared" si="8"/>
        <v>0.69465837045899725</v>
      </c>
      <c r="B52">
        <f t="shared" si="15"/>
        <v>46</v>
      </c>
      <c r="C52">
        <f t="shared" si="9"/>
        <v>0.8028514559173916</v>
      </c>
      <c r="D52" s="4">
        <f t="shared" si="10"/>
        <v>0.71933980033865108</v>
      </c>
      <c r="E52" s="4">
        <f t="shared" si="11"/>
        <v>5.4797733915311113E-2</v>
      </c>
      <c r="F52">
        <f t="shared" si="12"/>
        <v>69.777727097133507</v>
      </c>
      <c r="G52">
        <f t="shared" si="13"/>
        <v>884.55632626231341</v>
      </c>
      <c r="H52">
        <f t="shared" si="14"/>
        <v>69.777727097133493</v>
      </c>
    </row>
    <row r="53" spans="1:8" x14ac:dyDescent="0.25">
      <c r="A53">
        <f t="shared" si="8"/>
        <v>0.68199836006249848</v>
      </c>
      <c r="B53">
        <f t="shared" si="15"/>
        <v>47</v>
      </c>
      <c r="C53">
        <f t="shared" si="9"/>
        <v>0.82030474843733492</v>
      </c>
      <c r="D53" s="4">
        <f t="shared" si="10"/>
        <v>0.73135370161917046</v>
      </c>
      <c r="E53" s="4">
        <f t="shared" si="11"/>
        <v>5.4697569671182701E-2</v>
      </c>
      <c r="F53">
        <f t="shared" si="12"/>
        <v>69.650181069363725</v>
      </c>
      <c r="G53">
        <f t="shared" si="13"/>
        <v>868.43546345694597</v>
      </c>
      <c r="H53">
        <f t="shared" si="14"/>
        <v>69.65018106936374</v>
      </c>
    </row>
    <row r="54" spans="1:8" x14ac:dyDescent="0.25">
      <c r="A54">
        <f t="shared" si="8"/>
        <v>0.66913060635885824</v>
      </c>
      <c r="B54">
        <f t="shared" si="15"/>
        <v>48</v>
      </c>
      <c r="C54">
        <f t="shared" si="9"/>
        <v>0.83775804095727824</v>
      </c>
      <c r="D54" s="4">
        <f t="shared" si="10"/>
        <v>0.74314482547739424</v>
      </c>
      <c r="E54" s="4">
        <f t="shared" si="11"/>
        <v>5.4530764863924677E-2</v>
      </c>
      <c r="F54">
        <f t="shared" si="12"/>
        <v>69.437777024748883</v>
      </c>
      <c r="G54">
        <f t="shared" si="13"/>
        <v>852.05006679668622</v>
      </c>
      <c r="H54">
        <f t="shared" si="14"/>
        <v>69.437777024748883</v>
      </c>
    </row>
    <row r="55" spans="1:8" x14ac:dyDescent="0.25">
      <c r="A55">
        <f t="shared" si="8"/>
        <v>0.65605902899050728</v>
      </c>
      <c r="B55">
        <f t="shared" si="15"/>
        <v>49</v>
      </c>
      <c r="C55">
        <f t="shared" si="9"/>
        <v>0.85521133347722145</v>
      </c>
      <c r="D55" s="4">
        <f t="shared" si="10"/>
        <v>0.75470958022277201</v>
      </c>
      <c r="E55" s="4">
        <f t="shared" si="11"/>
        <v>5.4297522719500349E-2</v>
      </c>
      <c r="F55">
        <f t="shared" si="12"/>
        <v>69.140773744898951</v>
      </c>
      <c r="G55">
        <f t="shared" si="13"/>
        <v>835.40512743208592</v>
      </c>
      <c r="H55">
        <f t="shared" si="14"/>
        <v>69.140773744898951</v>
      </c>
    </row>
    <row r="56" spans="1:8" x14ac:dyDescent="0.25">
      <c r="A56">
        <f t="shared" si="8"/>
        <v>0.64278760968653936</v>
      </c>
      <c r="B56">
        <f t="shared" si="15"/>
        <v>50</v>
      </c>
      <c r="C56">
        <f t="shared" si="9"/>
        <v>0.87266462599716477</v>
      </c>
      <c r="D56" s="4">
        <f t="shared" si="10"/>
        <v>0.76604444311897801</v>
      </c>
      <c r="E56" s="4">
        <f t="shared" si="11"/>
        <v>5.3998127407534499E-2</v>
      </c>
      <c r="F56">
        <f t="shared" si="12"/>
        <v>68.759533082560594</v>
      </c>
      <c r="G56">
        <f t="shared" si="13"/>
        <v>818.50571557291858</v>
      </c>
      <c r="H56">
        <f t="shared" si="14"/>
        <v>68.759533082560594</v>
      </c>
    </row>
    <row r="57" spans="1:8" x14ac:dyDescent="0.25">
      <c r="A57">
        <f t="shared" si="8"/>
        <v>0.6293203910498375</v>
      </c>
      <c r="B57">
        <f t="shared" si="15"/>
        <v>51</v>
      </c>
      <c r="C57">
        <f t="shared" si="9"/>
        <v>0.89011791851710809</v>
      </c>
      <c r="D57" s="4">
        <f t="shared" si="10"/>
        <v>0.7771459614569709</v>
      </c>
      <c r="E57" s="4">
        <f t="shared" si="11"/>
        <v>5.3632943695096476E-2</v>
      </c>
      <c r="F57">
        <f t="shared" si="12"/>
        <v>68.294519520755287</v>
      </c>
      <c r="G57">
        <f t="shared" si="13"/>
        <v>801.35697894374482</v>
      </c>
      <c r="H57">
        <f t="shared" si="14"/>
        <v>68.294519520755273</v>
      </c>
    </row>
    <row r="58" spans="1:8" x14ac:dyDescent="0.25">
      <c r="A58">
        <f t="shared" si="8"/>
        <v>0.61566147532565829</v>
      </c>
      <c r="B58">
        <f t="shared" si="15"/>
        <v>52</v>
      </c>
      <c r="C58">
        <f t="shared" si="9"/>
        <v>0.90757121103705141</v>
      </c>
      <c r="D58" s="4">
        <f t="shared" si="10"/>
        <v>0.78801075360672201</v>
      </c>
      <c r="E58" s="4">
        <f t="shared" si="11"/>
        <v>5.3202416502287617E-2</v>
      </c>
      <c r="F58">
        <f t="shared" si="12"/>
        <v>67.746299606878196</v>
      </c>
      <c r="G58">
        <f t="shared" si="13"/>
        <v>783.96414121586531</v>
      </c>
      <c r="H58">
        <f t="shared" si="14"/>
        <v>67.746299606878196</v>
      </c>
    </row>
    <row r="59" spans="1:8" x14ac:dyDescent="0.25">
      <c r="A59">
        <f t="shared" si="8"/>
        <v>0.60181502315204838</v>
      </c>
      <c r="B59">
        <f t="shared" si="15"/>
        <v>53</v>
      </c>
      <c r="C59">
        <f t="shared" si="9"/>
        <v>0.92502450355699462</v>
      </c>
      <c r="D59" s="4">
        <f t="shared" si="10"/>
        <v>0.79863551004729283</v>
      </c>
      <c r="E59" s="4">
        <f t="shared" si="11"/>
        <v>5.2707070360174739E-2</v>
      </c>
      <c r="F59">
        <f t="shared" si="12"/>
        <v>67.115541262447593</v>
      </c>
      <c r="G59">
        <f t="shared" si="13"/>
        <v>766.33250041614053</v>
      </c>
      <c r="H59">
        <f t="shared" si="14"/>
        <v>67.115541262447593</v>
      </c>
    </row>
    <row r="60" spans="1:8" x14ac:dyDescent="0.25">
      <c r="A60">
        <f t="shared" si="8"/>
        <v>0.58778525229247314</v>
      </c>
      <c r="B60">
        <f t="shared" si="15"/>
        <v>54</v>
      </c>
      <c r="C60">
        <f t="shared" si="9"/>
        <v>0.94247779607693793</v>
      </c>
      <c r="D60" s="4">
        <f t="shared" si="10"/>
        <v>0.80901699437494745</v>
      </c>
      <c r="E60" s="4">
        <f t="shared" si="11"/>
        <v>5.2147508771729786E-2</v>
      </c>
      <c r="F60">
        <f t="shared" si="12"/>
        <v>66.403012969345298</v>
      </c>
      <c r="G60">
        <f t="shared" si="13"/>
        <v>748.46742731315908</v>
      </c>
      <c r="H60">
        <f t="shared" si="14"/>
        <v>66.403012969345284</v>
      </c>
    </row>
    <row r="61" spans="1:8" x14ac:dyDescent="0.25">
      <c r="A61">
        <f t="shared" si="8"/>
        <v>0.57357643635104616</v>
      </c>
      <c r="B61">
        <f t="shared" si="15"/>
        <v>55</v>
      </c>
      <c r="C61">
        <f t="shared" si="9"/>
        <v>0.95993108859688125</v>
      </c>
      <c r="D61" s="4">
        <f t="shared" si="10"/>
        <v>0.8191520442889918</v>
      </c>
      <c r="E61" s="4">
        <f t="shared" si="11"/>
        <v>5.1524413476554426E-2</v>
      </c>
      <c r="F61">
        <f t="shared" si="12"/>
        <v>65.609582833539889</v>
      </c>
      <c r="G61">
        <f t="shared" si="13"/>
        <v>730.37436378125153</v>
      </c>
      <c r="H61">
        <f t="shared" si="14"/>
        <v>65.609582833539889</v>
      </c>
    </row>
    <row r="62" spans="1:8" x14ac:dyDescent="0.25">
      <c r="A62">
        <f t="shared" si="8"/>
        <v>0.55919290347074679</v>
      </c>
      <c r="B62">
        <f t="shared" si="15"/>
        <v>56</v>
      </c>
      <c r="C62">
        <f t="shared" si="9"/>
        <v>0.97738438111682457</v>
      </c>
      <c r="D62" s="4">
        <f t="shared" si="10"/>
        <v>0.82903757255504174</v>
      </c>
      <c r="E62" s="4">
        <f t="shared" si="11"/>
        <v>5.0838543620285337E-2</v>
      </c>
      <c r="F62">
        <f t="shared" si="12"/>
        <v>64.736217527433269</v>
      </c>
      <c r="G62">
        <f t="shared" si="13"/>
        <v>712.05882114284066</v>
      </c>
      <c r="H62">
        <f t="shared" si="14"/>
        <v>64.736217527433269</v>
      </c>
    </row>
    <row r="63" spans="1:8" x14ac:dyDescent="0.25">
      <c r="A63">
        <f t="shared" si="8"/>
        <v>0.54463903501502708</v>
      </c>
      <c r="B63">
        <f t="shared" si="15"/>
        <v>57</v>
      </c>
      <c r="C63">
        <f t="shared" si="9"/>
        <v>0.99483767363676789</v>
      </c>
      <c r="D63" s="4">
        <f t="shared" si="10"/>
        <v>0.83867056794542405</v>
      </c>
      <c r="E63" s="4">
        <f t="shared" si="11"/>
        <v>5.009073482969225E-2</v>
      </c>
      <c r="F63">
        <f t="shared" si="12"/>
        <v>63.783981112119349</v>
      </c>
      <c r="G63">
        <f t="shared" si="13"/>
        <v>693.52637848964116</v>
      </c>
      <c r="H63">
        <f t="shared" si="14"/>
        <v>63.783981112119356</v>
      </c>
    </row>
    <row r="64" spans="1:8" x14ac:dyDescent="0.25">
      <c r="A64">
        <f t="shared" si="8"/>
        <v>0.5299192642332049</v>
      </c>
      <c r="B64">
        <f t="shared" si="15"/>
        <v>58</v>
      </c>
      <c r="C64">
        <f t="shared" si="9"/>
        <v>1.0122909661567112</v>
      </c>
      <c r="D64" s="4">
        <f t="shared" si="10"/>
        <v>0.84804809615642596</v>
      </c>
      <c r="E64" s="4">
        <f t="shared" si="11"/>
        <v>4.9281898194595386E-2</v>
      </c>
      <c r="F64">
        <f t="shared" si="12"/>
        <v>62.754033740989406</v>
      </c>
      <c r="G64">
        <f t="shared" si="13"/>
        <v>674.78268098321269</v>
      </c>
      <c r="H64">
        <f t="shared" si="14"/>
        <v>62.754033740989414</v>
      </c>
    </row>
    <row r="65" spans="1:8" x14ac:dyDescent="0.25">
      <c r="A65">
        <f t="shared" si="8"/>
        <v>0.51503807491005416</v>
      </c>
      <c r="B65">
        <f t="shared" si="15"/>
        <v>59</v>
      </c>
      <c r="C65">
        <f t="shared" si="9"/>
        <v>1.0297442586766545</v>
      </c>
      <c r="D65" s="4">
        <f t="shared" si="10"/>
        <v>0.85716730070211233</v>
      </c>
      <c r="E65" s="4">
        <f t="shared" si="11"/>
        <v>4.8413019157842886E-2</v>
      </c>
      <c r="F65">
        <f t="shared" si="12"/>
        <v>61.647630246263944</v>
      </c>
      <c r="G65">
        <f t="shared" si="13"/>
        <v>655.83343813539011</v>
      </c>
      <c r="H65">
        <f t="shared" si="14"/>
        <v>61.647630246263944</v>
      </c>
    </row>
    <row r="66" spans="1:8" x14ac:dyDescent="0.25">
      <c r="A66">
        <f t="shared" si="8"/>
        <v>0.50000000000000011</v>
      </c>
      <c r="B66">
        <f t="shared" si="15"/>
        <v>60</v>
      </c>
      <c r="C66">
        <f t="shared" si="9"/>
        <v>1.0471975511965976</v>
      </c>
      <c r="D66" s="4">
        <f t="shared" si="10"/>
        <v>0.8660254037844386</v>
      </c>
      <c r="E66" s="4">
        <f t="shared" si="11"/>
        <v>4.7485156314700475E-2</v>
      </c>
      <c r="F66">
        <f t="shared" si="12"/>
        <v>60.466118610172892</v>
      </c>
      <c r="G66">
        <f t="shared" si="13"/>
        <v>636.68442206911061</v>
      </c>
      <c r="H66">
        <f t="shared" si="14"/>
        <v>60.466118610172884</v>
      </c>
    </row>
    <row r="67" spans="1:8" x14ac:dyDescent="0.25">
      <c r="A67">
        <f t="shared" si="8"/>
        <v>0.48480962024633711</v>
      </c>
      <c r="B67">
        <f t="shared" si="15"/>
        <v>61</v>
      </c>
      <c r="C67">
        <f t="shared" si="9"/>
        <v>1.064650843716541</v>
      </c>
      <c r="D67" s="4">
        <f t="shared" si="10"/>
        <v>0.87461970713939574</v>
      </c>
      <c r="E67" s="4">
        <f t="shared" si="11"/>
        <v>4.6499440123116187E-2</v>
      </c>
      <c r="F67">
        <f t="shared" si="12"/>
        <v>59.210938322646875</v>
      </c>
      <c r="G67">
        <f t="shared" si="13"/>
        <v>617.34146576016815</v>
      </c>
      <c r="H67">
        <f t="shared" si="14"/>
        <v>59.210938322646882</v>
      </c>
    </row>
    <row r="68" spans="1:8" x14ac:dyDescent="0.25">
      <c r="A68">
        <f t="shared" si="8"/>
        <v>0.46947156278589086</v>
      </c>
      <c r="B68">
        <f t="shared" si="15"/>
        <v>62</v>
      </c>
      <c r="C68">
        <f t="shared" si="9"/>
        <v>1.0821041362364843</v>
      </c>
      <c r="D68" s="4">
        <f t="shared" si="10"/>
        <v>0.88294759285892688</v>
      </c>
      <c r="E68" s="4">
        <f t="shared" si="11"/>
        <v>4.5457071526431546E-2</v>
      </c>
      <c r="F68">
        <f t="shared" si="12"/>
        <v>57.883618627520576</v>
      </c>
      <c r="G68">
        <f t="shared" si="13"/>
        <v>597.81046126043407</v>
      </c>
      <c r="H68">
        <f t="shared" si="14"/>
        <v>57.883618627520569</v>
      </c>
    </row>
    <row r="69" spans="1:8" x14ac:dyDescent="0.25">
      <c r="A69">
        <f t="shared" si="8"/>
        <v>0.4539904997395468</v>
      </c>
      <c r="B69">
        <f t="shared" si="15"/>
        <v>63</v>
      </c>
      <c r="C69">
        <f t="shared" si="9"/>
        <v>1.0995574287564276</v>
      </c>
      <c r="D69" s="4">
        <f t="shared" si="10"/>
        <v>0.89100652418836779</v>
      </c>
      <c r="E69" s="4">
        <f t="shared" si="11"/>
        <v>4.4359320490217027E-2</v>
      </c>
      <c r="F69">
        <f t="shared" si="12"/>
        <v>56.485776659384555</v>
      </c>
      <c r="G69">
        <f t="shared" si="13"/>
        <v>578.09735790308002</v>
      </c>
      <c r="H69">
        <f t="shared" si="14"/>
        <v>56.485776659384562</v>
      </c>
    </row>
    <row r="70" spans="1:8" x14ac:dyDescent="0.25">
      <c r="A70">
        <f t="shared" ref="A70:A95" si="16">COS(C70)</f>
        <v>0.43837114678907746</v>
      </c>
      <c r="B70">
        <f t="shared" si="15"/>
        <v>64</v>
      </c>
      <c r="C70">
        <f t="shared" ref="C70:C101" si="17">RADIANS(B70)</f>
        <v>1.1170107212763709</v>
      </c>
      <c r="D70" s="4">
        <f t="shared" ref="D70:D101" si="18">IF(A70&gt;0,SIN(C70),0)</f>
        <v>0.89879404629916704</v>
      </c>
      <c r="E70" s="4">
        <f t="shared" ref="E70:E101" si="19">+A70*D70*$C$7*2*PI()</f>
        <v>4.3207524455014704E-2</v>
      </c>
      <c r="F70">
        <f t="shared" ref="F70:F101" si="20">E70*$B$1</f>
        <v>55.019115473355988</v>
      </c>
      <c r="G70">
        <f t="shared" ref="G70:G96" si="21">Intensity*A70</f>
        <v>558.20816049035398</v>
      </c>
      <c r="H70">
        <f t="shared" ref="H70:H101" si="22">G70*RADIANS(1)*SIN(C70)*2*PI()</f>
        <v>55.019115473355988</v>
      </c>
    </row>
    <row r="71" spans="1:8" x14ac:dyDescent="0.25">
      <c r="A71">
        <f t="shared" si="16"/>
        <v>0.42261826174069944</v>
      </c>
      <c r="B71">
        <f t="shared" ref="B71:B96" si="23">1+B70</f>
        <v>65</v>
      </c>
      <c r="C71">
        <f t="shared" si="17"/>
        <v>1.1344640137963142</v>
      </c>
      <c r="D71" s="4">
        <f t="shared" si="18"/>
        <v>0.90630778703664994</v>
      </c>
      <c r="E71" s="4">
        <f t="shared" si="19"/>
        <v>4.200308670687284E-2</v>
      </c>
      <c r="F71">
        <f t="shared" si="20"/>
        <v>53.48542197016814</v>
      </c>
      <c r="G71">
        <f t="shared" si="21"/>
        <v>538.14892746445855</v>
      </c>
      <c r="H71">
        <f t="shared" si="22"/>
        <v>53.485421970168147</v>
      </c>
    </row>
    <row r="72" spans="1:8" x14ac:dyDescent="0.25">
      <c r="A72">
        <f t="shared" si="16"/>
        <v>0.40673664307580021</v>
      </c>
      <c r="B72">
        <f t="shared" si="23"/>
        <v>66</v>
      </c>
      <c r="C72">
        <f t="shared" si="17"/>
        <v>1.1519173063162575</v>
      </c>
      <c r="D72" s="4">
        <f t="shared" si="18"/>
        <v>0.91354545764260087</v>
      </c>
      <c r="E72" s="4">
        <f t="shared" si="19"/>
        <v>4.0747474667658184E-2</v>
      </c>
      <c r="F72">
        <f t="shared" si="20"/>
        <v>51.886564719107341</v>
      </c>
      <c r="G72">
        <f t="shared" si="21"/>
        <v>517.92576906209183</v>
      </c>
      <c r="H72">
        <f t="shared" si="22"/>
        <v>51.886564719107341</v>
      </c>
    </row>
    <row r="73" spans="1:8" x14ac:dyDescent="0.25">
      <c r="A73">
        <f t="shared" si="16"/>
        <v>0.39073112848927372</v>
      </c>
      <c r="B73">
        <f t="shared" si="23"/>
        <v>67</v>
      </c>
      <c r="C73">
        <f t="shared" si="17"/>
        <v>1.1693705988362009</v>
      </c>
      <c r="D73" s="4">
        <f t="shared" si="18"/>
        <v>0.92050485345244037</v>
      </c>
      <c r="E73" s="4">
        <f t="shared" si="19"/>
        <v>3.9442218107228283E-2</v>
      </c>
      <c r="F73">
        <f t="shared" si="20"/>
        <v>50.224491681448889</v>
      </c>
      <c r="G73">
        <f t="shared" si="21"/>
        <v>497.54484545320918</v>
      </c>
      <c r="H73">
        <f t="shared" si="22"/>
        <v>50.224491681448889</v>
      </c>
    </row>
    <row r="74" spans="1:8" x14ac:dyDescent="0.25">
      <c r="A74">
        <f t="shared" si="16"/>
        <v>0.37460659341591196</v>
      </c>
      <c r="B74">
        <f t="shared" si="23"/>
        <v>68</v>
      </c>
      <c r="C74">
        <f t="shared" si="17"/>
        <v>1.1868238913561442</v>
      </c>
      <c r="D74" s="4">
        <f t="shared" si="18"/>
        <v>0.92718385456678742</v>
      </c>
      <c r="E74" s="4">
        <f t="shared" si="19"/>
        <v>3.8088907279642661E-2</v>
      </c>
      <c r="F74">
        <f t="shared" si="20"/>
        <v>48.501227837166446</v>
      </c>
      <c r="G74">
        <f t="shared" si="21"/>
        <v>477.01236486457634</v>
      </c>
      <c r="H74">
        <f t="shared" si="22"/>
        <v>48.501227837166454</v>
      </c>
    </row>
    <row r="75" spans="1:8" x14ac:dyDescent="0.25">
      <c r="A75">
        <f t="shared" si="16"/>
        <v>0.35836794954530038</v>
      </c>
      <c r="B75">
        <f t="shared" si="23"/>
        <v>69</v>
      </c>
      <c r="C75">
        <f t="shared" si="17"/>
        <v>1.2042771838760873</v>
      </c>
      <c r="D75" s="4">
        <f t="shared" si="18"/>
        <v>0.93358042649720174</v>
      </c>
      <c r="E75" s="4">
        <f t="shared" si="19"/>
        <v>3.6689190985683226E-2</v>
      </c>
      <c r="F75">
        <f t="shared" si="20"/>
        <v>46.718872717805887</v>
      </c>
      <c r="G75">
        <f t="shared" si="21"/>
        <v>456.33458168868344</v>
      </c>
      <c r="H75">
        <f t="shared" si="22"/>
        <v>46.71887271780588</v>
      </c>
    </row>
    <row r="76" spans="1:8" x14ac:dyDescent="0.25">
      <c r="A76">
        <f t="shared" si="16"/>
        <v>0.34202014332566882</v>
      </c>
      <c r="B76">
        <f t="shared" si="23"/>
        <v>70</v>
      </c>
      <c r="C76">
        <f t="shared" si="17"/>
        <v>1.2217304763960306</v>
      </c>
      <c r="D76" s="4">
        <f t="shared" si="18"/>
        <v>0.93969262078590832</v>
      </c>
      <c r="E76" s="4">
        <f t="shared" si="19"/>
        <v>3.5244774564044325E-2</v>
      </c>
      <c r="F76">
        <f t="shared" si="20"/>
        <v>44.879597848529293</v>
      </c>
      <c r="G76">
        <f t="shared" si="21"/>
        <v>435.51779457859561</v>
      </c>
      <c r="H76">
        <f t="shared" si="22"/>
        <v>44.879597848529293</v>
      </c>
    </row>
    <row r="77" spans="1:8" x14ac:dyDescent="0.25">
      <c r="A77">
        <f t="shared" si="16"/>
        <v>0.32556815445715676</v>
      </c>
      <c r="B77">
        <f t="shared" si="23"/>
        <v>71</v>
      </c>
      <c r="C77">
        <f t="shared" si="17"/>
        <v>1.2391837689159739</v>
      </c>
      <c r="D77" s="4">
        <f t="shared" si="18"/>
        <v>0.94551857559931674</v>
      </c>
      <c r="E77" s="4">
        <f t="shared" si="19"/>
        <v>3.3757417813640472E-2</v>
      </c>
      <c r="F77">
        <f t="shared" si="20"/>
        <v>42.985644102446358</v>
      </c>
      <c r="G77">
        <f t="shared" si="21"/>
        <v>414.5683445293235</v>
      </c>
      <c r="H77">
        <f t="shared" si="22"/>
        <v>42.985644102446365</v>
      </c>
    </row>
    <row r="78" spans="1:8" x14ac:dyDescent="0.25">
      <c r="A78">
        <f t="shared" si="16"/>
        <v>0.30901699437494745</v>
      </c>
      <c r="B78">
        <f t="shared" si="23"/>
        <v>72</v>
      </c>
      <c r="C78">
        <f t="shared" si="17"/>
        <v>1.2566370614359172</v>
      </c>
      <c r="D78" s="4">
        <f t="shared" si="18"/>
        <v>0.95105651629515353</v>
      </c>
      <c r="E78" s="4">
        <f t="shared" si="19"/>
        <v>3.2228932849562283E-2</v>
      </c>
      <c r="F78">
        <f t="shared" si="20"/>
        <v>41.039318970455469</v>
      </c>
      <c r="G78">
        <f t="shared" si="21"/>
        <v>393.492612946294</v>
      </c>
      <c r="H78">
        <f t="shared" si="22"/>
        <v>41.039318970455469</v>
      </c>
    </row>
    <row r="79" spans="1:8" x14ac:dyDescent="0.25">
      <c r="A79">
        <f t="shared" si="16"/>
        <v>0.29237170472273677</v>
      </c>
      <c r="B79">
        <f t="shared" si="23"/>
        <v>73</v>
      </c>
      <c r="C79">
        <f t="shared" si="17"/>
        <v>1.2740903539558606</v>
      </c>
      <c r="D79" s="4">
        <f t="shared" si="18"/>
        <v>0.95630475596303544</v>
      </c>
      <c r="E79" s="4">
        <f t="shared" si="19"/>
        <v>3.0661181895293446E-2</v>
      </c>
      <c r="F79">
        <f t="shared" si="20"/>
        <v>39.042993749921564</v>
      </c>
      <c r="G79">
        <f t="shared" si="21"/>
        <v>372.29701970151257</v>
      </c>
      <c r="H79">
        <f t="shared" si="22"/>
        <v>39.042993749921564</v>
      </c>
    </row>
    <row r="80" spans="1:8" x14ac:dyDescent="0.25">
      <c r="A80">
        <f t="shared" si="16"/>
        <v>0.27563735581699916</v>
      </c>
      <c r="B80">
        <f t="shared" si="23"/>
        <v>74</v>
      </c>
      <c r="C80">
        <f t="shared" si="17"/>
        <v>1.2915436464758039</v>
      </c>
      <c r="D80" s="4">
        <f t="shared" si="18"/>
        <v>0.96126169593831889</v>
      </c>
      <c r="E80" s="4">
        <f t="shared" si="19"/>
        <v>2.9056075013878187E-2</v>
      </c>
      <c r="F80">
        <f t="shared" si="20"/>
        <v>36.999100655615514</v>
      </c>
      <c r="G80">
        <f t="shared" si="21"/>
        <v>350.98802117800778</v>
      </c>
      <c r="H80">
        <f t="shared" si="22"/>
        <v>36.999100655615514</v>
      </c>
    </row>
    <row r="81" spans="1:8" x14ac:dyDescent="0.25">
      <c r="A81">
        <f t="shared" si="16"/>
        <v>0.25881904510252074</v>
      </c>
      <c r="B81">
        <f t="shared" si="23"/>
        <v>75</v>
      </c>
      <c r="C81">
        <f t="shared" si="17"/>
        <v>1.3089969389957472</v>
      </c>
      <c r="D81" s="4">
        <f t="shared" si="18"/>
        <v>0.96592582628906831</v>
      </c>
      <c r="E81" s="4">
        <f t="shared" si="19"/>
        <v>2.7415567780803767E-2</v>
      </c>
      <c r="F81">
        <f t="shared" si="20"/>
        <v>34.910129856435148</v>
      </c>
      <c r="G81">
        <f t="shared" si="21"/>
        <v>329.57210830315495</v>
      </c>
      <c r="H81">
        <f t="shared" si="22"/>
        <v>34.910129856435148</v>
      </c>
    </row>
    <row r="82" spans="1:8" x14ac:dyDescent="0.25">
      <c r="A82">
        <f t="shared" si="16"/>
        <v>0.24192189559966767</v>
      </c>
      <c r="B82">
        <f t="shared" si="23"/>
        <v>76</v>
      </c>
      <c r="C82">
        <f t="shared" si="17"/>
        <v>1.3264502315156905</v>
      </c>
      <c r="D82" s="4">
        <f t="shared" si="18"/>
        <v>0.97029572627599647</v>
      </c>
      <c r="E82" s="4">
        <f t="shared" si="19"/>
        <v>2.5741658901432918E-2</v>
      </c>
      <c r="F82">
        <f t="shared" si="20"/>
        <v>32.778626441517986</v>
      </c>
      <c r="G82">
        <f t="shared" si="21"/>
        <v>308.05580457147619</v>
      </c>
      <c r="H82">
        <f t="shared" si="22"/>
        <v>32.778626441517986</v>
      </c>
    </row>
    <row r="83" spans="1:8" x14ac:dyDescent="0.25">
      <c r="A83">
        <f t="shared" si="16"/>
        <v>0.22495105434386492</v>
      </c>
      <c r="B83">
        <f t="shared" si="23"/>
        <v>77</v>
      </c>
      <c r="C83">
        <f t="shared" si="17"/>
        <v>1.3439035240356338</v>
      </c>
      <c r="D83" s="4">
        <f t="shared" si="18"/>
        <v>0.97437006478523525</v>
      </c>
      <c r="E83" s="4">
        <f t="shared" si="19"/>
        <v>2.4036387775889258E-2</v>
      </c>
      <c r="F83">
        <f t="shared" si="20"/>
        <v>30.607187319442168</v>
      </c>
      <c r="G83">
        <f t="shared" si="21"/>
        <v>286.44566405752141</v>
      </c>
      <c r="H83">
        <f t="shared" si="22"/>
        <v>30.607187319442168</v>
      </c>
    </row>
    <row r="84" spans="1:8" x14ac:dyDescent="0.25">
      <c r="A84">
        <f t="shared" si="16"/>
        <v>0.20791169081775945</v>
      </c>
      <c r="B84">
        <f t="shared" si="23"/>
        <v>78</v>
      </c>
      <c r="C84">
        <f t="shared" si="17"/>
        <v>1.3613568165555769</v>
      </c>
      <c r="D84" s="4">
        <f t="shared" si="18"/>
        <v>0.97814760073380558</v>
      </c>
      <c r="E84" s="4">
        <f t="shared" si="19"/>
        <v>2.2301832014362397E-2</v>
      </c>
      <c r="F84">
        <f t="shared" si="20"/>
        <v>28.398458054293418</v>
      </c>
      <c r="G84">
        <f t="shared" si="21"/>
        <v>264.74826941943354</v>
      </c>
      <c r="H84">
        <f t="shared" si="22"/>
        <v>28.398458054293421</v>
      </c>
    </row>
    <row r="85" spans="1:8" x14ac:dyDescent="0.25">
      <c r="A85">
        <f t="shared" si="16"/>
        <v>0.19080899537654492</v>
      </c>
      <c r="B85">
        <f t="shared" si="23"/>
        <v>79</v>
      </c>
      <c r="C85">
        <f t="shared" si="17"/>
        <v>1.3788101090755203</v>
      </c>
      <c r="D85" s="4">
        <f t="shared" si="18"/>
        <v>0.98162718344766398</v>
      </c>
      <c r="E85" s="4">
        <f t="shared" si="19"/>
        <v>2.0540104905859884E-2</v>
      </c>
      <c r="F85">
        <f t="shared" si="20"/>
        <v>26.155129642452604</v>
      </c>
      <c r="G85">
        <f t="shared" si="21"/>
        <v>242.97022989380616</v>
      </c>
      <c r="H85">
        <f t="shared" si="22"/>
        <v>26.155129642452607</v>
      </c>
    </row>
    <row r="86" spans="1:8" x14ac:dyDescent="0.25">
      <c r="A86">
        <f t="shared" si="16"/>
        <v>0.17364817766693041</v>
      </c>
      <c r="B86">
        <f t="shared" si="23"/>
        <v>80</v>
      </c>
      <c r="C86">
        <f t="shared" si="17"/>
        <v>1.3962634015954636</v>
      </c>
      <c r="D86" s="4">
        <f t="shared" si="18"/>
        <v>0.98480775301220802</v>
      </c>
      <c r="E86" s="4">
        <f t="shared" si="19"/>
        <v>1.8753352843490188E-2</v>
      </c>
      <c r="F86">
        <f t="shared" si="20"/>
        <v>23.879935234031322</v>
      </c>
      <c r="G86">
        <f t="shared" si="21"/>
        <v>221.11817928244761</v>
      </c>
      <c r="H86">
        <f t="shared" si="22"/>
        <v>23.879935234031326</v>
      </c>
    </row>
    <row r="87" spans="1:8" x14ac:dyDescent="0.25">
      <c r="A87">
        <f t="shared" si="16"/>
        <v>0.15643446504023092</v>
      </c>
      <c r="B87">
        <f t="shared" si="23"/>
        <v>81</v>
      </c>
      <c r="C87">
        <f t="shared" si="17"/>
        <v>1.4137166941154069</v>
      </c>
      <c r="D87" s="4">
        <f t="shared" si="18"/>
        <v>0.98768834059513777</v>
      </c>
      <c r="E87" s="4">
        <f t="shared" si="19"/>
        <v>1.6943752709413267E-2</v>
      </c>
      <c r="F87">
        <f t="shared" si="20"/>
        <v>21.575646802949421</v>
      </c>
      <c r="G87">
        <f t="shared" si="21"/>
        <v>199.19877393165979</v>
      </c>
      <c r="H87">
        <f t="shared" si="22"/>
        <v>21.575646802949418</v>
      </c>
    </row>
    <row r="88" spans="1:8" x14ac:dyDescent="0.25">
      <c r="A88">
        <f t="shared" si="16"/>
        <v>0.13917310096006547</v>
      </c>
      <c r="B88">
        <f t="shared" si="23"/>
        <v>82</v>
      </c>
      <c r="C88">
        <f t="shared" si="17"/>
        <v>1.4311699866353502</v>
      </c>
      <c r="D88" s="4">
        <f t="shared" si="18"/>
        <v>0.99026806874157036</v>
      </c>
      <c r="E88" s="4">
        <f t="shared" si="19"/>
        <v>1.5113509222644938E-2</v>
      </c>
      <c r="F88">
        <f t="shared" si="20"/>
        <v>19.245071769711728</v>
      </c>
      <c r="G88">
        <f t="shared" si="21"/>
        <v>177.2186907046505</v>
      </c>
      <c r="H88">
        <f t="shared" si="22"/>
        <v>19.245071769711728</v>
      </c>
    </row>
    <row r="89" spans="1:8" x14ac:dyDescent="0.25">
      <c r="A89">
        <f t="shared" si="16"/>
        <v>0.12186934340514749</v>
      </c>
      <c r="B89">
        <f t="shared" si="23"/>
        <v>83</v>
      </c>
      <c r="C89">
        <f t="shared" si="17"/>
        <v>1.4486232791552935</v>
      </c>
      <c r="D89" s="4">
        <f t="shared" si="18"/>
        <v>0.99254615164132198</v>
      </c>
      <c r="E89" s="4">
        <f t="shared" si="19"/>
        <v>1.3264852252946447E-2</v>
      </c>
      <c r="F89">
        <f t="shared" si="20"/>
        <v>16.891049580998693</v>
      </c>
      <c r="G89">
        <f t="shared" si="21"/>
        <v>155.18462494769659</v>
      </c>
      <c r="H89">
        <f t="shared" si="22"/>
        <v>16.891049580998697</v>
      </c>
    </row>
    <row r="90" spans="1:8" x14ac:dyDescent="0.25">
      <c r="A90">
        <f t="shared" si="16"/>
        <v>0.10452846326765346</v>
      </c>
      <c r="B90">
        <f t="shared" si="23"/>
        <v>84</v>
      </c>
      <c r="C90">
        <f t="shared" si="17"/>
        <v>1.4660765716752369</v>
      </c>
      <c r="D90" s="4">
        <f t="shared" si="18"/>
        <v>0.99452189536827329</v>
      </c>
      <c r="E90" s="4">
        <f t="shared" si="19"/>
        <v>1.1400034104071595E-2</v>
      </c>
      <c r="F90">
        <f t="shared" si="20"/>
        <v>14.516448250237946</v>
      </c>
      <c r="G90">
        <f t="shared" si="21"/>
        <v>133.10328845067636</v>
      </c>
      <c r="H90">
        <f t="shared" si="22"/>
        <v>14.516448250237945</v>
      </c>
    </row>
    <row r="91" spans="1:8" x14ac:dyDescent="0.25">
      <c r="A91">
        <f t="shared" si="16"/>
        <v>8.7155742747658138E-2</v>
      </c>
      <c r="B91">
        <f t="shared" si="23"/>
        <v>85</v>
      </c>
      <c r="C91">
        <f t="shared" si="17"/>
        <v>1.4835298641951802</v>
      </c>
      <c r="D91" s="4">
        <f t="shared" si="18"/>
        <v>0.99619469809174555</v>
      </c>
      <c r="E91" s="4">
        <f t="shared" si="19"/>
        <v>9.5213267696815651E-3</v>
      </c>
      <c r="F91">
        <f t="shared" si="20"/>
        <v>12.124160863371715</v>
      </c>
      <c r="G91">
        <f t="shared" si="21"/>
        <v>110.98140740259358</v>
      </c>
      <c r="H91">
        <f t="shared" si="22"/>
        <v>12.124160863371717</v>
      </c>
    </row>
    <row r="92" spans="1:8" x14ac:dyDescent="0.25">
      <c r="A92">
        <f t="shared" si="16"/>
        <v>6.9756473744125233E-2</v>
      </c>
      <c r="B92">
        <f t="shared" si="23"/>
        <v>86</v>
      </c>
      <c r="C92">
        <f t="shared" si="17"/>
        <v>1.5009831567151235</v>
      </c>
      <c r="D92" s="4">
        <f t="shared" si="18"/>
        <v>0.9975640502598242</v>
      </c>
      <c r="E92" s="4">
        <f t="shared" si="19"/>
        <v>7.6310191652706342E-3</v>
      </c>
      <c r="F92">
        <f t="shared" si="20"/>
        <v>9.7171020540772801</v>
      </c>
      <c r="G92">
        <f t="shared" si="21"/>
        <v>88.825720342714902</v>
      </c>
      <c r="H92">
        <f t="shared" si="22"/>
        <v>9.7171020540772783</v>
      </c>
    </row>
    <row r="93" spans="1:8" x14ac:dyDescent="0.25">
      <c r="A93">
        <f t="shared" si="16"/>
        <v>5.2335956242943966E-2</v>
      </c>
      <c r="B93">
        <f t="shared" si="23"/>
        <v>87</v>
      </c>
      <c r="C93">
        <f t="shared" si="17"/>
        <v>1.5184364492350666</v>
      </c>
      <c r="D93" s="4">
        <f t="shared" si="18"/>
        <v>0.99862953475457383</v>
      </c>
      <c r="E93" s="4">
        <f t="shared" si="19"/>
        <v>5.7314143394752368E-3</v>
      </c>
      <c r="F93">
        <f t="shared" si="20"/>
        <v>7.298204452734808</v>
      </c>
      <c r="G93">
        <f t="shared" si="21"/>
        <v>66.642976107946069</v>
      </c>
      <c r="H93">
        <f t="shared" si="22"/>
        <v>7.2982044527348071</v>
      </c>
    </row>
    <row r="94" spans="1:8" x14ac:dyDescent="0.25">
      <c r="A94">
        <f t="shared" si="16"/>
        <v>3.489949670250108E-2</v>
      </c>
      <c r="B94">
        <f t="shared" si="23"/>
        <v>88</v>
      </c>
      <c r="C94">
        <f t="shared" si="17"/>
        <v>1.5358897417550099</v>
      </c>
      <c r="D94" s="4">
        <f t="shared" si="18"/>
        <v>0.99939082701909576</v>
      </c>
      <c r="E94" s="4">
        <f t="shared" si="19"/>
        <v>3.8248266681638644E-3</v>
      </c>
      <c r="F94">
        <f t="shared" si="20"/>
        <v>4.8704151134688631</v>
      </c>
      <c r="G94">
        <f t="shared" si="21"/>
        <v>44.439931777069454</v>
      </c>
      <c r="H94">
        <f t="shared" si="22"/>
        <v>4.8704151134688622</v>
      </c>
    </row>
    <row r="95" spans="1:8" x14ac:dyDescent="0.25">
      <c r="A95">
        <f t="shared" si="16"/>
        <v>1.7452406437283598E-2</v>
      </c>
      <c r="B95">
        <f t="shared" si="23"/>
        <v>89</v>
      </c>
      <c r="C95">
        <f t="shared" si="17"/>
        <v>1.5533430342749532</v>
      </c>
      <c r="D95" s="4">
        <f t="shared" si="18"/>
        <v>0.99984769515639127</v>
      </c>
      <c r="E95" s="4">
        <f t="shared" si="19"/>
        <v>1.9135790347267157E-3</v>
      </c>
      <c r="F95">
        <f t="shared" si="20"/>
        <v>2.4366919236170905</v>
      </c>
      <c r="G95">
        <f t="shared" si="21"/>
        <v>22.223350612474263</v>
      </c>
      <c r="H95">
        <f t="shared" si="22"/>
        <v>2.4366919236170905</v>
      </c>
    </row>
    <row r="96" spans="1:8" x14ac:dyDescent="0.25">
      <c r="A96">
        <v>0</v>
      </c>
      <c r="B96">
        <f t="shared" si="23"/>
        <v>90</v>
      </c>
      <c r="C96">
        <f t="shared" si="17"/>
        <v>1.5707963267948966</v>
      </c>
      <c r="D96" s="4">
        <f t="shared" si="18"/>
        <v>0</v>
      </c>
      <c r="E96" s="4">
        <f t="shared" si="19"/>
        <v>0</v>
      </c>
      <c r="F96">
        <f t="shared" si="20"/>
        <v>0</v>
      </c>
      <c r="G96">
        <f t="shared" si="21"/>
        <v>0</v>
      </c>
      <c r="H96">
        <f t="shared" si="22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H97"/>
  <sheetViews>
    <sheetView zoomScaleNormal="100" workbookViewId="0">
      <selection activeCell="B1" sqref="B1"/>
    </sheetView>
  </sheetViews>
  <sheetFormatPr defaultRowHeight="15" x14ac:dyDescent="0.25"/>
  <cols>
    <col min="1" max="1" width="8.7109375" customWidth="1"/>
    <col min="2" max="2" width="9.7109375" customWidth="1"/>
    <col min="3" max="3" width="12.28515625" customWidth="1"/>
    <col min="4" max="4" width="12.85546875" customWidth="1"/>
    <col min="5" max="5" width="14.28515625" customWidth="1"/>
    <col min="6" max="6" width="17.28515625" customWidth="1"/>
    <col min="7" max="7" width="23.28515625" customWidth="1"/>
  </cols>
  <sheetData>
    <row r="1" spans="1:8" x14ac:dyDescent="0.25">
      <c r="A1" t="s">
        <v>36</v>
      </c>
      <c r="B1" s="9">
        <v>40</v>
      </c>
      <c r="G1" t="s">
        <v>37</v>
      </c>
    </row>
    <row r="2" spans="1:8" x14ac:dyDescent="0.25">
      <c r="A2" t="s">
        <v>38</v>
      </c>
      <c r="B2" s="9">
        <v>10</v>
      </c>
      <c r="G2" t="s">
        <v>39</v>
      </c>
      <c r="H2">
        <f>SUM(E7:E97)</f>
        <v>0.93085659792787978</v>
      </c>
    </row>
    <row r="3" spans="1:8" x14ac:dyDescent="0.25">
      <c r="A3" t="s">
        <v>40</v>
      </c>
      <c r="B3" s="9">
        <v>1</v>
      </c>
      <c r="G3" t="s">
        <v>41</v>
      </c>
      <c r="H3">
        <f>SUM(F7:F97)</f>
        <v>3723.4263917115186</v>
      </c>
    </row>
    <row r="6" spans="1:8" x14ac:dyDescent="0.25">
      <c r="A6" t="s">
        <v>29</v>
      </c>
      <c r="B6" t="s">
        <v>30</v>
      </c>
      <c r="C6" t="s">
        <v>31</v>
      </c>
      <c r="D6" s="4" t="s">
        <v>32</v>
      </c>
      <c r="E6" s="4" t="s">
        <v>21</v>
      </c>
      <c r="F6" t="s">
        <v>42</v>
      </c>
      <c r="G6" t="s">
        <v>43</v>
      </c>
    </row>
    <row r="7" spans="1:8" x14ac:dyDescent="0.25">
      <c r="A7">
        <f t="shared" ref="A7:A38" si="0">(1 - ((3*SQRT(2)/(4*$B$3))*TAN(C7)))/(COS(C7)^3)</f>
        <v>1</v>
      </c>
      <c r="B7">
        <v>0</v>
      </c>
      <c r="C7">
        <f t="shared" ref="C7:C38" si="1">RADIANS(B7)</f>
        <v>0</v>
      </c>
      <c r="D7" s="4">
        <f t="shared" ref="D7:D38" si="2">IF(A7&gt;0,SIN(C7),0)</f>
        <v>0</v>
      </c>
      <c r="E7" s="4">
        <f t="shared" ref="E7:E38" si="3">+A7*D7*$C$8*2*PI()</f>
        <v>0</v>
      </c>
      <c r="F7">
        <f t="shared" ref="F7:F38" si="4">E7*$B$1*($B$2^2)</f>
        <v>0</v>
      </c>
      <c r="G7">
        <f t="shared" ref="G7:G38" si="5">IF(A7&gt;0,A7*$B$1*($B$2^2),0)</f>
        <v>4000</v>
      </c>
    </row>
    <row r="8" spans="1:8" x14ac:dyDescent="0.25">
      <c r="A8">
        <f t="shared" si="0"/>
        <v>0.98193469973778402</v>
      </c>
      <c r="B8">
        <f t="shared" ref="B8:B39" si="6">1+B7</f>
        <v>1</v>
      </c>
      <c r="C8">
        <f t="shared" si="1"/>
        <v>1.7453292519943295E-2</v>
      </c>
      <c r="D8" s="4">
        <f t="shared" si="2"/>
        <v>1.7452406437283512E-2</v>
      </c>
      <c r="E8" s="4">
        <f t="shared" si="3"/>
        <v>1.8792958807540999E-3</v>
      </c>
      <c r="F8">
        <f t="shared" si="4"/>
        <v>7.5171835230163992</v>
      </c>
      <c r="G8">
        <f t="shared" si="5"/>
        <v>3927.7387989511362</v>
      </c>
    </row>
    <row r="9" spans="1:8" x14ac:dyDescent="0.25">
      <c r="A9">
        <f t="shared" si="0"/>
        <v>0.96472290623384516</v>
      </c>
      <c r="B9">
        <f t="shared" si="6"/>
        <v>2</v>
      </c>
      <c r="C9">
        <f t="shared" si="1"/>
        <v>3.4906585039886591E-2</v>
      </c>
      <c r="D9" s="4">
        <f t="shared" si="2"/>
        <v>3.4899496702500969E-2</v>
      </c>
      <c r="E9" s="4">
        <f t="shared" si="3"/>
        <v>3.6921470553794083E-3</v>
      </c>
      <c r="F9">
        <f t="shared" si="4"/>
        <v>14.768588221517634</v>
      </c>
      <c r="G9">
        <f t="shared" si="5"/>
        <v>3858.8916249353806</v>
      </c>
    </row>
    <row r="10" spans="1:8" x14ac:dyDescent="0.25">
      <c r="A10">
        <f t="shared" si="0"/>
        <v>0.94830667904321042</v>
      </c>
      <c r="B10">
        <f t="shared" si="6"/>
        <v>3</v>
      </c>
      <c r="C10">
        <f t="shared" si="1"/>
        <v>5.235987755982989E-2</v>
      </c>
      <c r="D10" s="4">
        <f t="shared" si="2"/>
        <v>5.2335956242943835E-2</v>
      </c>
      <c r="E10" s="4">
        <f t="shared" si="3"/>
        <v>5.4425973890549302E-3</v>
      </c>
      <c r="F10">
        <f t="shared" si="4"/>
        <v>21.770389556219722</v>
      </c>
      <c r="G10">
        <f t="shared" si="5"/>
        <v>3793.2267161728419</v>
      </c>
    </row>
    <row r="11" spans="1:8" x14ac:dyDescent="0.25">
      <c r="A11">
        <f t="shared" si="0"/>
        <v>0.93263034881138063</v>
      </c>
      <c r="B11">
        <f t="shared" si="6"/>
        <v>4</v>
      </c>
      <c r="C11">
        <f t="shared" si="1"/>
        <v>6.9813170079773182E-2</v>
      </c>
      <c r="D11" s="4">
        <f t="shared" si="2"/>
        <v>6.9756473744125302E-2</v>
      </c>
      <c r="E11" s="4">
        <f t="shared" si="3"/>
        <v>7.1342988593454471E-3</v>
      </c>
      <c r="F11">
        <f t="shared" si="4"/>
        <v>28.53719543738179</v>
      </c>
      <c r="G11">
        <f t="shared" si="5"/>
        <v>3730.5213952455224</v>
      </c>
    </row>
    <row r="12" spans="1:8" x14ac:dyDescent="0.25">
      <c r="A12">
        <f t="shared" si="0"/>
        <v>0.91764013982936143</v>
      </c>
      <c r="B12">
        <f t="shared" si="6"/>
        <v>5</v>
      </c>
      <c r="C12">
        <f t="shared" si="1"/>
        <v>8.7266462599716474E-2</v>
      </c>
      <c r="D12" s="4">
        <f t="shared" si="2"/>
        <v>8.7155742747658166E-2</v>
      </c>
      <c r="E12" s="4">
        <f t="shared" si="3"/>
        <v>8.7705261281033047E-3</v>
      </c>
      <c r="F12">
        <f t="shared" si="4"/>
        <v>35.082104512413217</v>
      </c>
      <c r="G12">
        <f t="shared" si="5"/>
        <v>3670.5605593174455</v>
      </c>
    </row>
    <row r="13" spans="1:8" x14ac:dyDescent="0.25">
      <c r="A13">
        <f t="shared" si="0"/>
        <v>0.90328380013344778</v>
      </c>
      <c r="B13">
        <f t="shared" si="6"/>
        <v>6</v>
      </c>
      <c r="C13">
        <f t="shared" si="1"/>
        <v>0.10471975511965978</v>
      </c>
      <c r="D13" s="4">
        <f t="shared" si="2"/>
        <v>0.10452846326765347</v>
      </c>
      <c r="E13" s="4">
        <f t="shared" si="3"/>
        <v>1.0354187449401026E-2</v>
      </c>
      <c r="F13">
        <f t="shared" si="4"/>
        <v>41.416749797604105</v>
      </c>
      <c r="G13">
        <f t="shared" si="5"/>
        <v>3613.1352005337908</v>
      </c>
    </row>
    <row r="14" spans="1:8" x14ac:dyDescent="0.25">
      <c r="A14">
        <f t="shared" si="0"/>
        <v>0.8895102349524141</v>
      </c>
      <c r="B14">
        <f t="shared" si="6"/>
        <v>7</v>
      </c>
      <c r="C14">
        <f t="shared" si="1"/>
        <v>0.12217304763960307</v>
      </c>
      <c r="D14" s="4">
        <f t="shared" si="2"/>
        <v>0.12186934340514748</v>
      </c>
      <c r="E14" s="4">
        <f t="shared" si="3"/>
        <v>1.1887831940727083E-2</v>
      </c>
      <c r="F14">
        <f t="shared" si="4"/>
        <v>47.551327762908329</v>
      </c>
      <c r="G14">
        <f t="shared" si="5"/>
        <v>3558.0409398096563</v>
      </c>
    </row>
    <row r="15" spans="1:8" x14ac:dyDescent="0.25">
      <c r="A15">
        <f t="shared" si="0"/>
        <v>0.87626913924662519</v>
      </c>
      <c r="B15">
        <f t="shared" si="6"/>
        <v>8</v>
      </c>
      <c r="C15">
        <f t="shared" si="1"/>
        <v>0.13962634015954636</v>
      </c>
      <c r="D15" s="4">
        <f t="shared" si="2"/>
        <v>0.13917310096006544</v>
      </c>
      <c r="E15" s="4">
        <f t="shared" si="3"/>
        <v>1.3373653191052409E-2</v>
      </c>
      <c r="F15">
        <f t="shared" si="4"/>
        <v>53.494612764209634</v>
      </c>
      <c r="G15">
        <f t="shared" si="5"/>
        <v>3505.0765569865007</v>
      </c>
    </row>
    <row r="16" spans="1:8" x14ac:dyDescent="0.25">
      <c r="A16">
        <f t="shared" si="0"/>
        <v>0.86351062495173136</v>
      </c>
      <c r="B16">
        <f t="shared" si="6"/>
        <v>9</v>
      </c>
      <c r="C16">
        <f t="shared" si="1"/>
        <v>0.15707963267948966</v>
      </c>
      <c r="D16" s="4">
        <f t="shared" si="2"/>
        <v>0.15643446504023087</v>
      </c>
      <c r="E16" s="4">
        <f t="shared" si="3"/>
        <v>1.4813489123823177E-2</v>
      </c>
      <c r="F16">
        <f t="shared" si="4"/>
        <v>59.253956495292705</v>
      </c>
      <c r="G16">
        <f t="shared" si="5"/>
        <v>3454.0424998069257</v>
      </c>
    </row>
    <row r="17" spans="1:7" x14ac:dyDescent="0.25">
      <c r="A17">
        <f t="shared" si="0"/>
        <v>0.85118483832946568</v>
      </c>
      <c r="B17">
        <f t="shared" si="6"/>
        <v>10</v>
      </c>
      <c r="C17">
        <f t="shared" si="1"/>
        <v>0.17453292519943295</v>
      </c>
      <c r="D17" s="4">
        <f t="shared" si="2"/>
        <v>0.17364817766693033</v>
      </c>
      <c r="E17" s="4">
        <f t="shared" si="3"/>
        <v>1.6208817974266838E-2</v>
      </c>
      <c r="F17">
        <f t="shared" si="4"/>
        <v>64.835271897067344</v>
      </c>
      <c r="G17">
        <f t="shared" si="5"/>
        <v>3404.7393533178629</v>
      </c>
    </row>
    <row r="18" spans="1:7" x14ac:dyDescent="0.25">
      <c r="A18">
        <f t="shared" si="0"/>
        <v>0.83924156253302074</v>
      </c>
      <c r="B18">
        <f t="shared" si="6"/>
        <v>11</v>
      </c>
      <c r="C18">
        <f t="shared" si="1"/>
        <v>0.19198621771937624</v>
      </c>
      <c r="D18" s="4">
        <f t="shared" si="2"/>
        <v>0.1908089953765448</v>
      </c>
      <c r="E18" s="4">
        <f t="shared" si="3"/>
        <v>1.7560750177315222E-2</v>
      </c>
      <c r="F18">
        <f t="shared" si="4"/>
        <v>70.243000709260883</v>
      </c>
      <c r="G18">
        <f t="shared" si="5"/>
        <v>3356.9662501320827</v>
      </c>
    </row>
    <row r="19" spans="1:7" x14ac:dyDescent="0.25">
      <c r="A19">
        <f t="shared" si="0"/>
        <v>0.82762980010579701</v>
      </c>
      <c r="B19">
        <f t="shared" si="6"/>
        <v>12</v>
      </c>
      <c r="C19">
        <f t="shared" si="1"/>
        <v>0.20943951023931956</v>
      </c>
      <c r="D19" s="4">
        <f t="shared" si="2"/>
        <v>0.20791169081775934</v>
      </c>
      <c r="E19" s="4">
        <f t="shared" si="3"/>
        <v>1.8870015893504091E-2</v>
      </c>
      <c r="F19">
        <f t="shared" si="4"/>
        <v>75.48006357401637</v>
      </c>
      <c r="G19">
        <f t="shared" si="5"/>
        <v>3310.5192004231881</v>
      </c>
    </row>
    <row r="20" spans="1:7" x14ac:dyDescent="0.25">
      <c r="A20">
        <f t="shared" si="0"/>
        <v>0.81629732963870127</v>
      </c>
      <c r="B20">
        <f t="shared" si="6"/>
        <v>13</v>
      </c>
      <c r="C20">
        <f t="shared" si="1"/>
        <v>0.22689280275926285</v>
      </c>
      <c r="D20" s="4">
        <f t="shared" si="2"/>
        <v>0.224951054343865</v>
      </c>
      <c r="E20" s="4">
        <f t="shared" si="3"/>
        <v>2.0136947823764923E-2</v>
      </c>
      <c r="F20">
        <f t="shared" si="4"/>
        <v>80.547791295059696</v>
      </c>
      <c r="G20">
        <f t="shared" si="5"/>
        <v>3265.1893185548047</v>
      </c>
    </row>
    <row r="21" spans="1:7" x14ac:dyDescent="0.25">
      <c r="A21">
        <f t="shared" si="0"/>
        <v>0.80519023019849745</v>
      </c>
      <c r="B21">
        <f t="shared" si="6"/>
        <v>14</v>
      </c>
      <c r="C21">
        <f t="shared" si="1"/>
        <v>0.24434609527920614</v>
      </c>
      <c r="D21" s="4">
        <f t="shared" si="2"/>
        <v>0.24192189559966773</v>
      </c>
      <c r="E21" s="4">
        <f t="shared" si="3"/>
        <v>2.1361458878198018E-2</v>
      </c>
      <c r="F21">
        <f t="shared" si="4"/>
        <v>85.445835512792073</v>
      </c>
      <c r="G21">
        <f t="shared" si="5"/>
        <v>3220.7609207939895</v>
      </c>
    </row>
    <row r="22" spans="1:7" x14ac:dyDescent="0.25">
      <c r="A22">
        <f t="shared" si="0"/>
        <v>0.7942523663903347</v>
      </c>
      <c r="B22">
        <f t="shared" si="6"/>
        <v>15</v>
      </c>
      <c r="C22">
        <f t="shared" si="1"/>
        <v>0.26179938779914941</v>
      </c>
      <c r="D22" s="4">
        <f t="shared" si="2"/>
        <v>0.25881904510252074</v>
      </c>
      <c r="E22" s="4">
        <f t="shared" si="3"/>
        <v>2.2543014166515867E-2</v>
      </c>
      <c r="F22">
        <f t="shared" si="4"/>
        <v>90.172056666063469</v>
      </c>
      <c r="G22">
        <f t="shared" si="5"/>
        <v>3177.0094655613389</v>
      </c>
    </row>
    <row r="23" spans="1:7" x14ac:dyDescent="0.25">
      <c r="A23">
        <f t="shared" si="0"/>
        <v>0.7834248260099006</v>
      </c>
      <c r="B23">
        <f t="shared" si="6"/>
        <v>16</v>
      </c>
      <c r="C23">
        <f t="shared" si="1"/>
        <v>0.27925268031909273</v>
      </c>
      <c r="D23" s="4">
        <f t="shared" si="2"/>
        <v>0.27563735581699916</v>
      </c>
      <c r="E23" s="4">
        <f t="shared" si="3"/>
        <v>2.3680596666299274E-2</v>
      </c>
      <c r="F23">
        <f t="shared" si="4"/>
        <v>94.722386665197106</v>
      </c>
      <c r="G23">
        <f t="shared" si="5"/>
        <v>3133.6993040396023</v>
      </c>
    </row>
    <row r="24" spans="1:7" x14ac:dyDescent="0.25">
      <c r="A24">
        <f t="shared" si="0"/>
        <v>0.77264530114815166</v>
      </c>
      <c r="B24">
        <f t="shared" si="6"/>
        <v>17</v>
      </c>
      <c r="C24">
        <f t="shared" si="1"/>
        <v>0.29670597283903605</v>
      </c>
      <c r="D24" s="4">
        <f t="shared" si="2"/>
        <v>0.29237170472273677</v>
      </c>
      <c r="E24" s="4">
        <f t="shared" si="3"/>
        <v>2.4772665796470188E-2</v>
      </c>
      <c r="F24">
        <f t="shared" si="4"/>
        <v>99.090663185880757</v>
      </c>
      <c r="G24">
        <f t="shared" si="5"/>
        <v>3090.5812045926064</v>
      </c>
    </row>
    <row r="25" spans="1:7" x14ac:dyDescent="0.25">
      <c r="A25">
        <f t="shared" si="0"/>
        <v>0.76184740230195047</v>
      </c>
      <c r="B25">
        <f t="shared" si="6"/>
        <v>18</v>
      </c>
      <c r="C25">
        <f t="shared" si="1"/>
        <v>0.31415926535897931</v>
      </c>
      <c r="D25" s="4">
        <f t="shared" si="2"/>
        <v>0.3090169943749474</v>
      </c>
      <c r="E25" s="4">
        <f t="shared" si="3"/>
        <v>2.5817107973826248E-2</v>
      </c>
      <c r="F25">
        <f t="shared" si="4"/>
        <v>103.26843189530499</v>
      </c>
      <c r="G25">
        <f t="shared" si="5"/>
        <v>3047.3896092078016</v>
      </c>
    </row>
    <row r="26" spans="1:7" x14ac:dyDescent="0.25">
      <c r="A26">
        <f t="shared" si="0"/>
        <v>0.75095989347774716</v>
      </c>
      <c r="B26">
        <f t="shared" si="6"/>
        <v>19</v>
      </c>
      <c r="C26">
        <f t="shared" si="1"/>
        <v>0.33161255787892263</v>
      </c>
      <c r="D26" s="4">
        <f t="shared" si="2"/>
        <v>0.3255681544571567</v>
      </c>
      <c r="E26" s="4">
        <f t="shared" si="3"/>
        <v>2.6811178055753018E-2</v>
      </c>
      <c r="F26">
        <f t="shared" si="4"/>
        <v>107.24471222301206</v>
      </c>
      <c r="G26">
        <f t="shared" si="5"/>
        <v>3003.8395739109887</v>
      </c>
    </row>
    <row r="27" spans="1:7" x14ac:dyDescent="0.25">
      <c r="A27">
        <f t="shared" si="0"/>
        <v>0.73990583440467328</v>
      </c>
      <c r="B27">
        <f t="shared" si="6"/>
        <v>20</v>
      </c>
      <c r="C27">
        <f t="shared" si="1"/>
        <v>0.3490658503988659</v>
      </c>
      <c r="D27" s="4">
        <f t="shared" si="2"/>
        <v>0.34202014332566871</v>
      </c>
      <c r="E27" s="4">
        <f t="shared" si="3"/>
        <v>2.7751430367095712E-2</v>
      </c>
      <c r="F27">
        <f t="shared" si="4"/>
        <v>111.00572146838286</v>
      </c>
      <c r="G27">
        <f t="shared" si="5"/>
        <v>2959.6233376186929</v>
      </c>
    </row>
    <row r="28" spans="1:7" x14ac:dyDescent="0.25">
      <c r="A28">
        <f t="shared" si="0"/>
        <v>0.72860161373947263</v>
      </c>
      <c r="B28">
        <f t="shared" si="6"/>
        <v>21</v>
      </c>
      <c r="C28">
        <f t="shared" si="1"/>
        <v>0.36651914291880922</v>
      </c>
      <c r="D28" s="4">
        <f t="shared" si="2"/>
        <v>0.35836794954530027</v>
      </c>
      <c r="E28" s="4">
        <f t="shared" si="3"/>
        <v>2.8633637767302336E-2</v>
      </c>
      <c r="F28">
        <f t="shared" si="4"/>
        <v>114.53455106920933</v>
      </c>
      <c r="G28">
        <f t="shared" si="5"/>
        <v>2914.4064549578907</v>
      </c>
    </row>
    <row r="29" spans="1:7" x14ac:dyDescent="0.25">
      <c r="A29">
        <f t="shared" si="0"/>
        <v>0.71695585447711685</v>
      </c>
      <c r="B29">
        <f t="shared" si="6"/>
        <v>22</v>
      </c>
      <c r="C29">
        <f t="shared" si="1"/>
        <v>0.38397243543875248</v>
      </c>
      <c r="D29" s="4">
        <f t="shared" si="2"/>
        <v>0.37460659341591201</v>
      </c>
      <c r="E29" s="4">
        <f t="shared" si="3"/>
        <v>2.9452696927660768E-2</v>
      </c>
      <c r="F29">
        <f t="shared" si="4"/>
        <v>117.81078771064308</v>
      </c>
      <c r="G29">
        <f t="shared" si="5"/>
        <v>2867.8234179084675</v>
      </c>
    </row>
    <row r="30" spans="1:7" x14ac:dyDescent="0.25">
      <c r="A30">
        <f t="shared" si="0"/>
        <v>0.70486816959023524</v>
      </c>
      <c r="B30">
        <f t="shared" si="6"/>
        <v>23</v>
      </c>
      <c r="C30">
        <f t="shared" si="1"/>
        <v>0.4014257279586958</v>
      </c>
      <c r="D30" s="4">
        <f t="shared" si="2"/>
        <v>0.39073112848927377</v>
      </c>
      <c r="E30" s="4">
        <f t="shared" si="3"/>
        <v>3.020251764838441E-2</v>
      </c>
      <c r="F30">
        <f t="shared" si="4"/>
        <v>120.81007059353763</v>
      </c>
      <c r="G30">
        <f t="shared" si="5"/>
        <v>2819.4726783609412</v>
      </c>
    </row>
    <row r="31" spans="1:7" x14ac:dyDescent="0.25">
      <c r="A31">
        <f t="shared" si="0"/>
        <v>0.6922277421005677</v>
      </c>
      <c r="B31">
        <f t="shared" si="6"/>
        <v>24</v>
      </c>
      <c r="C31">
        <f t="shared" si="1"/>
        <v>0.41887902047863912</v>
      </c>
      <c r="D31" s="4">
        <f t="shared" si="2"/>
        <v>0.40673664307580021</v>
      </c>
      <c r="E31" s="4">
        <f t="shared" si="3"/>
        <v>3.0875893640016461E-2</v>
      </c>
      <c r="F31">
        <f t="shared" si="4"/>
        <v>123.50357456006584</v>
      </c>
      <c r="G31">
        <f t="shared" si="5"/>
        <v>2768.9109684022706</v>
      </c>
    </row>
    <row r="32" spans="1:7" x14ac:dyDescent="0.25">
      <c r="A32">
        <f t="shared" si="0"/>
        <v>0.67891169920493211</v>
      </c>
      <c r="B32">
        <f t="shared" si="6"/>
        <v>25</v>
      </c>
      <c r="C32">
        <f t="shared" si="1"/>
        <v>0.43633231299858238</v>
      </c>
      <c r="D32" s="4">
        <f t="shared" si="2"/>
        <v>0.42261826174069944</v>
      </c>
      <c r="E32" s="4">
        <f t="shared" si="3"/>
        <v>3.1464351709097664E-2</v>
      </c>
      <c r="F32">
        <f t="shared" si="4"/>
        <v>125.85740683639067</v>
      </c>
      <c r="G32">
        <f t="shared" si="5"/>
        <v>2715.6467968197285</v>
      </c>
    </row>
    <row r="33" spans="1:7" x14ac:dyDescent="0.25">
      <c r="A33">
        <f t="shared" si="0"/>
        <v>0.66478324457472537</v>
      </c>
      <c r="B33">
        <f t="shared" si="6"/>
        <v>26</v>
      </c>
      <c r="C33">
        <f t="shared" si="1"/>
        <v>0.4537856055185257</v>
      </c>
      <c r="D33" s="4">
        <f t="shared" si="2"/>
        <v>0.4383711467890774</v>
      </c>
      <c r="E33" s="4">
        <f t="shared" si="3"/>
        <v>3.1957975707023863E-2</v>
      </c>
      <c r="F33">
        <f t="shared" si="4"/>
        <v>127.83190282809545</v>
      </c>
      <c r="G33">
        <f t="shared" si="5"/>
        <v>2659.1329782989014</v>
      </c>
    </row>
    <row r="34" spans="1:7" x14ac:dyDescent="0.25">
      <c r="A34">
        <f t="shared" si="0"/>
        <v>0.64968950632185651</v>
      </c>
      <c r="B34">
        <f t="shared" si="6"/>
        <v>27</v>
      </c>
      <c r="C34">
        <f t="shared" si="1"/>
        <v>0.47123889803846897</v>
      </c>
      <c r="D34" s="4">
        <f t="shared" si="2"/>
        <v>0.45399049973954675</v>
      </c>
      <c r="E34" s="4">
        <f t="shared" si="3"/>
        <v>3.2345200902220685E-2</v>
      </c>
      <c r="F34">
        <f t="shared" si="4"/>
        <v>129.38080360888273</v>
      </c>
      <c r="G34">
        <f t="shared" si="5"/>
        <v>2598.7580252874259</v>
      </c>
    </row>
    <row r="35" spans="1:7" x14ac:dyDescent="0.25">
      <c r="A35">
        <f t="shared" si="0"/>
        <v>0.63345905012778614</v>
      </c>
      <c r="B35">
        <f t="shared" si="6"/>
        <v>28</v>
      </c>
      <c r="C35">
        <f t="shared" si="1"/>
        <v>0.48869219055841229</v>
      </c>
      <c r="D35" s="4">
        <f t="shared" si="2"/>
        <v>0.46947156278589081</v>
      </c>
      <c r="E35" s="4">
        <f t="shared" si="3"/>
        <v>3.2612573592830346E-2</v>
      </c>
      <c r="F35">
        <f t="shared" si="4"/>
        <v>130.45029437132138</v>
      </c>
      <c r="G35">
        <f t="shared" si="5"/>
        <v>2533.8362005111444</v>
      </c>
    </row>
    <row r="36" spans="1:7" x14ac:dyDescent="0.25">
      <c r="A36">
        <f t="shared" si="0"/>
        <v>0.61589899735877696</v>
      </c>
      <c r="B36">
        <f t="shared" si="6"/>
        <v>29</v>
      </c>
      <c r="C36">
        <f t="shared" si="1"/>
        <v>0.50614548307835561</v>
      </c>
      <c r="D36" s="4">
        <f t="shared" si="2"/>
        <v>0.48480962024633706</v>
      </c>
      <c r="E36" s="4">
        <f t="shared" si="3"/>
        <v>3.2744469757308249E-2</v>
      </c>
      <c r="F36">
        <f t="shared" si="4"/>
        <v>130.97787902923298</v>
      </c>
      <c r="G36">
        <f t="shared" si="5"/>
        <v>2463.5959894351076</v>
      </c>
    </row>
    <row r="37" spans="1:7" x14ac:dyDescent="0.25">
      <c r="A37">
        <f t="shared" si="0"/>
        <v>0.59679167625693852</v>
      </c>
      <c r="B37">
        <f t="shared" si="6"/>
        <v>30</v>
      </c>
      <c r="C37">
        <f t="shared" si="1"/>
        <v>0.52359877559829882</v>
      </c>
      <c r="D37" s="4">
        <f t="shared" si="2"/>
        <v>0.49999999999999994</v>
      </c>
      <c r="E37" s="4">
        <f t="shared" si="3"/>
        <v>3.2722765302883192E-2</v>
      </c>
      <c r="F37">
        <f t="shared" si="4"/>
        <v>130.89106121153279</v>
      </c>
      <c r="G37">
        <f t="shared" si="5"/>
        <v>2387.1667050277542</v>
      </c>
    </row>
    <row r="38" spans="1:7" x14ac:dyDescent="0.25">
      <c r="A38">
        <f t="shared" si="0"/>
        <v>0.57589072002510411</v>
      </c>
      <c r="B38">
        <f t="shared" si="6"/>
        <v>31</v>
      </c>
      <c r="C38">
        <f t="shared" si="1"/>
        <v>0.54105206811824214</v>
      </c>
      <c r="D38" s="4">
        <f t="shared" si="2"/>
        <v>0.51503807491005416</v>
      </c>
      <c r="E38" s="4">
        <f t="shared" si="3"/>
        <v>3.2526448965752748E-2</v>
      </c>
      <c r="F38">
        <f t="shared" si="4"/>
        <v>130.105795863011</v>
      </c>
      <c r="G38">
        <f t="shared" si="5"/>
        <v>2303.5628801004164</v>
      </c>
    </row>
    <row r="39" spans="1:7" x14ac:dyDescent="0.25">
      <c r="A39">
        <f t="shared" ref="A39:A70" si="7">(1 - ((3*SQRT(2)/(4*$B$3))*TAN(C39)))/(COS(C39)^3)</f>
        <v>0.55291650821462712</v>
      </c>
      <c r="B39">
        <f t="shared" si="6"/>
        <v>32</v>
      </c>
      <c r="C39">
        <f t="shared" ref="C39:C70" si="8">RADIANS(B39)</f>
        <v>0.55850536063818546</v>
      </c>
      <c r="D39" s="4">
        <f t="shared" ref="D39:D70" si="9">IF(A39&gt;0,SIN(C39),0)</f>
        <v>0.5299192642332049</v>
      </c>
      <c r="E39" s="4">
        <f t="shared" ref="E39:E70" si="10">+A39*D39*$C$8*2*PI()</f>
        <v>3.2131167078191601E-2</v>
      </c>
      <c r="F39">
        <f t="shared" ref="F39:F70" si="11">E39*$B$1*($B$2^2)</f>
        <v>128.52466831276641</v>
      </c>
      <c r="G39">
        <f t="shared" ref="G39:G70" si="12">IF(A39&gt;0,A39*$B$1*($B$2^2),0)</f>
        <v>2211.6660328585085</v>
      </c>
    </row>
    <row r="40" spans="1:7" x14ac:dyDescent="0.25">
      <c r="A40">
        <f t="shared" si="7"/>
        <v>0.52755082652483176</v>
      </c>
      <c r="B40">
        <f t="shared" ref="B40:B71" si="13">1+B39</f>
        <v>33</v>
      </c>
      <c r="C40">
        <f t="shared" si="8"/>
        <v>0.57595865315812877</v>
      </c>
      <c r="D40" s="4">
        <f t="shared" si="9"/>
        <v>0.54463903501502708</v>
      </c>
      <c r="E40" s="4">
        <f t="shared" si="10"/>
        <v>3.1508687165900336E-2</v>
      </c>
      <c r="F40">
        <f t="shared" si="11"/>
        <v>126.03474866360133</v>
      </c>
      <c r="G40">
        <f t="shared" si="12"/>
        <v>2110.2033060993272</v>
      </c>
    </row>
    <row r="41" spans="1:7" x14ac:dyDescent="0.25">
      <c r="A41">
        <f t="shared" si="7"/>
        <v>0.49943059397896056</v>
      </c>
      <c r="B41">
        <f t="shared" si="13"/>
        <v>34</v>
      </c>
      <c r="C41">
        <f t="shared" si="8"/>
        <v>0.59341194567807209</v>
      </c>
      <c r="D41" s="4">
        <f t="shared" si="9"/>
        <v>0.5591929034707469</v>
      </c>
      <c r="E41" s="4">
        <f t="shared" si="10"/>
        <v>3.0626264572126718E-2</v>
      </c>
      <c r="F41">
        <f t="shared" si="11"/>
        <v>122.50505828850686</v>
      </c>
      <c r="G41">
        <f t="shared" si="12"/>
        <v>1997.7223759158423</v>
      </c>
    </row>
    <row r="42" spans="1:7" x14ac:dyDescent="0.25">
      <c r="A42">
        <f t="shared" si="7"/>
        <v>0.46814047424734523</v>
      </c>
      <c r="B42">
        <f t="shared" si="13"/>
        <v>35</v>
      </c>
      <c r="C42">
        <f t="shared" si="8"/>
        <v>0.6108652381980153</v>
      </c>
      <c r="D42" s="4">
        <f t="shared" si="9"/>
        <v>0.57357643635104605</v>
      </c>
      <c r="E42" s="4">
        <f t="shared" si="10"/>
        <v>2.9445892894238896E-2</v>
      </c>
      <c r="F42">
        <f t="shared" si="11"/>
        <v>117.78357157695558</v>
      </c>
      <c r="G42">
        <f t="shared" si="12"/>
        <v>1872.5618969893808</v>
      </c>
    </row>
    <row r="43" spans="1:7" x14ac:dyDescent="0.25">
      <c r="A43">
        <f t="shared" si="7"/>
        <v>0.43320414810883345</v>
      </c>
      <c r="B43">
        <f t="shared" si="13"/>
        <v>36</v>
      </c>
      <c r="C43">
        <f t="shared" si="8"/>
        <v>0.62831853071795862</v>
      </c>
      <c r="D43" s="4">
        <f t="shared" si="9"/>
        <v>0.58778525229247314</v>
      </c>
      <c r="E43" s="4">
        <f t="shared" si="10"/>
        <v>2.7923414799102854E-2</v>
      </c>
      <c r="F43">
        <f t="shared" si="11"/>
        <v>111.6936591964114</v>
      </c>
      <c r="G43">
        <f t="shared" si="12"/>
        <v>1732.8165924353339</v>
      </c>
    </row>
    <row r="44" spans="1:7" x14ac:dyDescent="0.25">
      <c r="A44">
        <f t="shared" si="7"/>
        <v>0.39407397471475836</v>
      </c>
      <c r="B44">
        <f t="shared" si="13"/>
        <v>37</v>
      </c>
      <c r="C44">
        <f t="shared" si="8"/>
        <v>0.64577182323790194</v>
      </c>
      <c r="D44" s="4">
        <f t="shared" si="9"/>
        <v>0.60181502315204827</v>
      </c>
      <c r="E44" s="4">
        <f t="shared" si="10"/>
        <v>2.6007464545590418E-2</v>
      </c>
      <c r="F44">
        <f t="shared" si="11"/>
        <v>104.02985818236168</v>
      </c>
      <c r="G44">
        <f t="shared" si="12"/>
        <v>1576.2958988590335</v>
      </c>
    </row>
    <row r="45" spans="1:7" x14ac:dyDescent="0.25">
      <c r="A45">
        <f t="shared" si="7"/>
        <v>0.35011870792969879</v>
      </c>
      <c r="B45">
        <f t="shared" si="13"/>
        <v>38</v>
      </c>
      <c r="C45">
        <f t="shared" si="8"/>
        <v>0.66322511575784526</v>
      </c>
      <c r="D45" s="4">
        <f t="shared" si="9"/>
        <v>0.61566147532565829</v>
      </c>
      <c r="E45" s="4">
        <f t="shared" si="10"/>
        <v>2.3638207015909598E-2</v>
      </c>
      <c r="F45">
        <f t="shared" si="11"/>
        <v>94.552828063638401</v>
      </c>
      <c r="G45">
        <f t="shared" si="12"/>
        <v>1400.4748317187953</v>
      </c>
    </row>
    <row r="46" spans="1:7" x14ac:dyDescent="0.25">
      <c r="A46">
        <f t="shared" si="7"/>
        <v>0.30060885732791043</v>
      </c>
      <c r="B46">
        <f t="shared" si="13"/>
        <v>39</v>
      </c>
      <c r="C46">
        <f t="shared" si="8"/>
        <v>0.68067840827778847</v>
      </c>
      <c r="D46" s="4">
        <f t="shared" si="9"/>
        <v>0.62932039104983739</v>
      </c>
      <c r="E46" s="4">
        <f t="shared" si="10"/>
        <v>2.0745829894154036E-2</v>
      </c>
      <c r="F46">
        <f t="shared" si="11"/>
        <v>82.98331957661614</v>
      </c>
      <c r="G46">
        <f t="shared" si="12"/>
        <v>1202.4354293116417</v>
      </c>
    </row>
    <row r="47" spans="1:7" x14ac:dyDescent="0.25">
      <c r="A47">
        <f t="shared" si="7"/>
        <v>0.24469918722759221</v>
      </c>
      <c r="B47">
        <f t="shared" si="13"/>
        <v>40</v>
      </c>
      <c r="C47">
        <f t="shared" si="8"/>
        <v>0.69813170079773179</v>
      </c>
      <c r="D47" s="4">
        <f t="shared" si="9"/>
        <v>0.64278760968653925</v>
      </c>
      <c r="E47" s="4">
        <f t="shared" si="10"/>
        <v>1.7248735379682717E-2</v>
      </c>
      <c r="F47">
        <f t="shared" si="11"/>
        <v>68.994941518730869</v>
      </c>
      <c r="G47">
        <f t="shared" si="12"/>
        <v>978.79674891036893</v>
      </c>
    </row>
    <row r="48" spans="1:7" x14ac:dyDescent="0.25">
      <c r="A48">
        <f t="shared" si="7"/>
        <v>0.18140772599110735</v>
      </c>
      <c r="B48">
        <f t="shared" si="13"/>
        <v>41</v>
      </c>
      <c r="C48">
        <f t="shared" si="8"/>
        <v>0.71558499331767511</v>
      </c>
      <c r="D48" s="4">
        <f t="shared" si="9"/>
        <v>0.65605902899050728</v>
      </c>
      <c r="E48" s="4">
        <f t="shared" si="10"/>
        <v>1.3051364897988397E-2</v>
      </c>
      <c r="F48">
        <f t="shared" si="11"/>
        <v>52.205459591953584</v>
      </c>
      <c r="G48">
        <f t="shared" si="12"/>
        <v>725.63090396442942</v>
      </c>
    </row>
    <row r="49" spans="1:7" x14ac:dyDescent="0.25">
      <c r="A49">
        <f t="shared" si="7"/>
        <v>0.1095905045790207</v>
      </c>
      <c r="B49">
        <f t="shared" si="13"/>
        <v>42</v>
      </c>
      <c r="C49">
        <f t="shared" si="8"/>
        <v>0.73303828583761843</v>
      </c>
      <c r="D49" s="4">
        <f t="shared" si="9"/>
        <v>0.66913060635885824</v>
      </c>
      <c r="E49" s="4">
        <f t="shared" si="10"/>
        <v>8.0415739054341615E-3</v>
      </c>
      <c r="F49">
        <f t="shared" si="11"/>
        <v>32.166295621736644</v>
      </c>
      <c r="G49">
        <f t="shared" si="12"/>
        <v>438.36201831608275</v>
      </c>
    </row>
    <row r="50" spans="1:7" x14ac:dyDescent="0.25">
      <c r="A50">
        <f t="shared" si="7"/>
        <v>2.7911048657726069E-2</v>
      </c>
      <c r="B50">
        <f t="shared" si="13"/>
        <v>43</v>
      </c>
      <c r="C50">
        <f t="shared" si="8"/>
        <v>0.75049157835756175</v>
      </c>
      <c r="D50" s="4">
        <f t="shared" si="9"/>
        <v>0.68199836006249848</v>
      </c>
      <c r="E50" s="4">
        <f t="shared" si="10"/>
        <v>2.0874530684288598E-3</v>
      </c>
      <c r="F50">
        <f t="shared" si="11"/>
        <v>8.3498122737154379</v>
      </c>
      <c r="G50">
        <f t="shared" si="12"/>
        <v>111.64419463090427</v>
      </c>
    </row>
    <row r="51" spans="1:7" x14ac:dyDescent="0.25">
      <c r="A51">
        <f t="shared" si="7"/>
        <v>-6.5196599933590865E-2</v>
      </c>
      <c r="B51">
        <f t="shared" si="13"/>
        <v>44</v>
      </c>
      <c r="C51">
        <f t="shared" si="8"/>
        <v>0.76794487087750496</v>
      </c>
      <c r="D51" s="4">
        <f t="shared" si="9"/>
        <v>0</v>
      </c>
      <c r="E51" s="4">
        <f t="shared" si="10"/>
        <v>0</v>
      </c>
      <c r="F51">
        <f t="shared" si="11"/>
        <v>0</v>
      </c>
      <c r="G51">
        <f t="shared" si="12"/>
        <v>0</v>
      </c>
    </row>
    <row r="52" spans="1:7" x14ac:dyDescent="0.25">
      <c r="A52">
        <f t="shared" si="7"/>
        <v>-0.1715728752538096</v>
      </c>
      <c r="B52">
        <f t="shared" si="13"/>
        <v>45</v>
      </c>
      <c r="C52">
        <f t="shared" si="8"/>
        <v>0.78539816339744828</v>
      </c>
      <c r="D52" s="4">
        <f t="shared" si="9"/>
        <v>0</v>
      </c>
      <c r="E52" s="4">
        <f t="shared" si="10"/>
        <v>0</v>
      </c>
      <c r="F52">
        <f t="shared" si="11"/>
        <v>0</v>
      </c>
      <c r="G52">
        <f t="shared" si="12"/>
        <v>0</v>
      </c>
    </row>
    <row r="53" spans="1:7" x14ac:dyDescent="0.25">
      <c r="A53">
        <f t="shared" si="7"/>
        <v>-0.29338764657254235</v>
      </c>
      <c r="B53">
        <f t="shared" si="13"/>
        <v>46</v>
      </c>
      <c r="C53">
        <f t="shared" si="8"/>
        <v>0.8028514559173916</v>
      </c>
      <c r="D53" s="4">
        <f t="shared" si="9"/>
        <v>0</v>
      </c>
      <c r="E53" s="4">
        <f t="shared" si="10"/>
        <v>0</v>
      </c>
      <c r="F53">
        <f t="shared" si="11"/>
        <v>0</v>
      </c>
      <c r="G53">
        <f t="shared" si="12"/>
        <v>0</v>
      </c>
    </row>
    <row r="54" spans="1:7" x14ac:dyDescent="0.25">
      <c r="A54">
        <f t="shared" si="7"/>
        <v>-0.43320763093904169</v>
      </c>
      <c r="B54">
        <f t="shared" si="13"/>
        <v>47</v>
      </c>
      <c r="C54">
        <f t="shared" si="8"/>
        <v>0.82030474843733492</v>
      </c>
      <c r="D54" s="4">
        <f t="shared" si="9"/>
        <v>0</v>
      </c>
      <c r="E54" s="4">
        <f t="shared" si="10"/>
        <v>0</v>
      </c>
      <c r="F54">
        <f t="shared" si="11"/>
        <v>0</v>
      </c>
      <c r="G54">
        <f t="shared" si="12"/>
        <v>0</v>
      </c>
    </row>
    <row r="55" spans="1:7" x14ac:dyDescent="0.25">
      <c r="A55">
        <f t="shared" si="7"/>
        <v>-0.59407943855584766</v>
      </c>
      <c r="B55">
        <f t="shared" si="13"/>
        <v>48</v>
      </c>
      <c r="C55">
        <f t="shared" si="8"/>
        <v>0.83775804095727824</v>
      </c>
      <c r="D55" s="4">
        <f t="shared" si="9"/>
        <v>0</v>
      </c>
      <c r="E55" s="4">
        <f t="shared" si="10"/>
        <v>0</v>
      </c>
      <c r="F55">
        <f t="shared" si="11"/>
        <v>0</v>
      </c>
      <c r="G55">
        <f t="shared" si="12"/>
        <v>0</v>
      </c>
    </row>
    <row r="56" spans="1:7" x14ac:dyDescent="0.25">
      <c r="A56">
        <f t="shared" si="7"/>
        <v>-0.77963233927303699</v>
      </c>
      <c r="B56">
        <f t="shared" si="13"/>
        <v>49</v>
      </c>
      <c r="C56">
        <f t="shared" si="8"/>
        <v>0.85521133347722145</v>
      </c>
      <c r="D56" s="4">
        <f t="shared" si="9"/>
        <v>0</v>
      </c>
      <c r="E56" s="4">
        <f t="shared" si="10"/>
        <v>0</v>
      </c>
      <c r="F56">
        <f t="shared" si="11"/>
        <v>0</v>
      </c>
      <c r="G56">
        <f t="shared" si="12"/>
        <v>0</v>
      </c>
    </row>
    <row r="57" spans="1:7" x14ac:dyDescent="0.25">
      <c r="A57">
        <f t="shared" si="7"/>
        <v>-0.99420603645512262</v>
      </c>
      <c r="B57">
        <f t="shared" si="13"/>
        <v>50</v>
      </c>
      <c r="C57">
        <f t="shared" si="8"/>
        <v>0.87266462599716477</v>
      </c>
      <c r="D57" s="4">
        <f t="shared" si="9"/>
        <v>0</v>
      </c>
      <c r="E57" s="4">
        <f t="shared" si="10"/>
        <v>0</v>
      </c>
      <c r="F57">
        <f t="shared" si="11"/>
        <v>0</v>
      </c>
      <c r="G57">
        <f t="shared" si="12"/>
        <v>0</v>
      </c>
    </row>
    <row r="58" spans="1:7" x14ac:dyDescent="0.25">
      <c r="A58">
        <f t="shared" si="7"/>
        <v>-1.2430103235035124</v>
      </c>
      <c r="B58">
        <f t="shared" si="13"/>
        <v>51</v>
      </c>
      <c r="C58">
        <f t="shared" si="8"/>
        <v>0.89011791851710809</v>
      </c>
      <c r="D58" s="4">
        <f t="shared" si="9"/>
        <v>0</v>
      </c>
      <c r="E58" s="4">
        <f t="shared" si="10"/>
        <v>0</v>
      </c>
      <c r="F58">
        <f t="shared" si="11"/>
        <v>0</v>
      </c>
      <c r="G58">
        <f t="shared" si="12"/>
        <v>0</v>
      </c>
    </row>
    <row r="59" spans="1:7" x14ac:dyDescent="0.25">
      <c r="A59">
        <f t="shared" si="7"/>
        <v>-1.5323256199947435</v>
      </c>
      <c r="B59">
        <f t="shared" si="13"/>
        <v>52</v>
      </c>
      <c r="C59">
        <f t="shared" si="8"/>
        <v>0.90757121103705141</v>
      </c>
      <c r="D59" s="4">
        <f t="shared" si="9"/>
        <v>0</v>
      </c>
      <c r="E59" s="4">
        <f t="shared" si="10"/>
        <v>0</v>
      </c>
      <c r="F59">
        <f t="shared" si="11"/>
        <v>0</v>
      </c>
      <c r="G59">
        <f t="shared" si="12"/>
        <v>0</v>
      </c>
    </row>
    <row r="60" spans="1:7" x14ac:dyDescent="0.25">
      <c r="A60">
        <f t="shared" si="7"/>
        <v>-1.8697562368227276</v>
      </c>
      <c r="B60">
        <f t="shared" si="13"/>
        <v>53</v>
      </c>
      <c r="C60">
        <f t="shared" si="8"/>
        <v>0.92502450355699462</v>
      </c>
      <c r="D60" s="4">
        <f t="shared" si="9"/>
        <v>0</v>
      </c>
      <c r="E60" s="4">
        <f t="shared" si="10"/>
        <v>0</v>
      </c>
      <c r="F60">
        <f t="shared" si="11"/>
        <v>0</v>
      </c>
      <c r="G60">
        <f t="shared" si="12"/>
        <v>0</v>
      </c>
    </row>
    <row r="61" spans="1:7" x14ac:dyDescent="0.25">
      <c r="A61">
        <f t="shared" si="7"/>
        <v>-2.2645520824170782</v>
      </c>
      <c r="B61">
        <f t="shared" si="13"/>
        <v>54</v>
      </c>
      <c r="C61">
        <f t="shared" si="8"/>
        <v>0.94247779607693793</v>
      </c>
      <c r="D61" s="4">
        <f t="shared" si="9"/>
        <v>0</v>
      </c>
      <c r="E61" s="4">
        <f t="shared" si="10"/>
        <v>0</v>
      </c>
      <c r="F61">
        <f t="shared" si="11"/>
        <v>0</v>
      </c>
      <c r="G61">
        <f t="shared" si="12"/>
        <v>0</v>
      </c>
    </row>
    <row r="62" spans="1:7" x14ac:dyDescent="0.25">
      <c r="A62">
        <f t="shared" si="7"/>
        <v>-2.7280197927703833</v>
      </c>
      <c r="B62">
        <f t="shared" si="13"/>
        <v>55</v>
      </c>
      <c r="C62">
        <f t="shared" si="8"/>
        <v>0.95993108859688125</v>
      </c>
      <c r="D62" s="4">
        <f t="shared" si="9"/>
        <v>0</v>
      </c>
      <c r="E62" s="4">
        <f t="shared" si="10"/>
        <v>0</v>
      </c>
      <c r="F62">
        <f t="shared" si="11"/>
        <v>0</v>
      </c>
      <c r="G62">
        <f t="shared" si="12"/>
        <v>0</v>
      </c>
    </row>
    <row r="63" spans="1:7" x14ac:dyDescent="0.25">
      <c r="A63">
        <f t="shared" si="7"/>
        <v>-3.2740515176683331</v>
      </c>
      <c r="B63">
        <f t="shared" si="13"/>
        <v>56</v>
      </c>
      <c r="C63">
        <f t="shared" si="8"/>
        <v>0.97738438111682457</v>
      </c>
      <c r="D63" s="4">
        <f t="shared" si="9"/>
        <v>0</v>
      </c>
      <c r="E63" s="4">
        <f t="shared" si="10"/>
        <v>0</v>
      </c>
      <c r="F63">
        <f t="shared" si="11"/>
        <v>0</v>
      </c>
      <c r="G63">
        <f t="shared" si="12"/>
        <v>0</v>
      </c>
    </row>
    <row r="64" spans="1:7" x14ac:dyDescent="0.25">
      <c r="A64">
        <f t="shared" si="7"/>
        <v>-3.9198096517807168</v>
      </c>
      <c r="B64">
        <f t="shared" si="13"/>
        <v>57</v>
      </c>
      <c r="C64">
        <f t="shared" si="8"/>
        <v>0.99483767363676789</v>
      </c>
      <c r="D64" s="4">
        <f t="shared" si="9"/>
        <v>0</v>
      </c>
      <c r="E64" s="4">
        <f t="shared" si="10"/>
        <v>0</v>
      </c>
      <c r="F64">
        <f t="shared" si="11"/>
        <v>0</v>
      </c>
      <c r="G64">
        <f t="shared" si="12"/>
        <v>0</v>
      </c>
    </row>
    <row r="65" spans="1:7" x14ac:dyDescent="0.25">
      <c r="A65">
        <f t="shared" si="7"/>
        <v>-4.6866198735970563</v>
      </c>
      <c r="B65">
        <f t="shared" si="13"/>
        <v>58</v>
      </c>
      <c r="C65">
        <f t="shared" si="8"/>
        <v>1.0122909661567112</v>
      </c>
      <c r="D65" s="4">
        <f t="shared" si="9"/>
        <v>0</v>
      </c>
      <c r="E65" s="4">
        <f t="shared" si="10"/>
        <v>0</v>
      </c>
      <c r="F65">
        <f t="shared" si="11"/>
        <v>0</v>
      </c>
      <c r="G65">
        <f t="shared" si="12"/>
        <v>0</v>
      </c>
    </row>
    <row r="66" spans="1:7" x14ac:dyDescent="0.25">
      <c r="A66">
        <f t="shared" si="7"/>
        <v>-5.6011447396538463</v>
      </c>
      <c r="B66">
        <f t="shared" si="13"/>
        <v>59</v>
      </c>
      <c r="C66">
        <f t="shared" si="8"/>
        <v>1.0297442586766545</v>
      </c>
      <c r="D66" s="4">
        <f t="shared" si="9"/>
        <v>0</v>
      </c>
      <c r="E66" s="4">
        <f t="shared" si="10"/>
        <v>0</v>
      </c>
      <c r="F66">
        <f t="shared" si="11"/>
        <v>0</v>
      </c>
      <c r="G66">
        <f t="shared" si="12"/>
        <v>0</v>
      </c>
    </row>
    <row r="67" spans="1:7" x14ac:dyDescent="0.25">
      <c r="A67">
        <f t="shared" si="7"/>
        <v>-6.6969384566990611</v>
      </c>
      <c r="B67">
        <f t="shared" si="13"/>
        <v>60</v>
      </c>
      <c r="C67">
        <f t="shared" si="8"/>
        <v>1.0471975511965976</v>
      </c>
      <c r="D67" s="4">
        <f t="shared" si="9"/>
        <v>0</v>
      </c>
      <c r="E67" s="4">
        <f t="shared" si="10"/>
        <v>0</v>
      </c>
      <c r="F67">
        <f t="shared" si="11"/>
        <v>0</v>
      </c>
      <c r="G67">
        <f t="shared" si="12"/>
        <v>0</v>
      </c>
    </row>
    <row r="68" spans="1:7" x14ac:dyDescent="0.25">
      <c r="A68">
        <f t="shared" si="7"/>
        <v>-8.0165243775404686</v>
      </c>
      <c r="B68">
        <f t="shared" si="13"/>
        <v>61</v>
      </c>
      <c r="C68">
        <f t="shared" si="8"/>
        <v>1.064650843716541</v>
      </c>
      <c r="D68" s="4">
        <f t="shared" si="9"/>
        <v>0</v>
      </c>
      <c r="E68" s="4">
        <f t="shared" si="10"/>
        <v>0</v>
      </c>
      <c r="F68">
        <f t="shared" si="11"/>
        <v>0</v>
      </c>
      <c r="G68">
        <f t="shared" si="12"/>
        <v>0</v>
      </c>
    </row>
    <row r="69" spans="1:7" x14ac:dyDescent="0.25">
      <c r="A69">
        <f t="shared" si="7"/>
        <v>-9.6141964552697701</v>
      </c>
      <c r="B69">
        <f t="shared" si="13"/>
        <v>62</v>
      </c>
      <c r="C69">
        <f t="shared" si="8"/>
        <v>1.0821041362364843</v>
      </c>
      <c r="D69" s="4">
        <f t="shared" si="9"/>
        <v>0</v>
      </c>
      <c r="E69" s="4">
        <f t="shared" si="10"/>
        <v>0</v>
      </c>
      <c r="F69">
        <f t="shared" si="11"/>
        <v>0</v>
      </c>
      <c r="G69">
        <f t="shared" si="12"/>
        <v>0</v>
      </c>
    </row>
    <row r="70" spans="1:7" x14ac:dyDescent="0.25">
      <c r="A70">
        <f t="shared" si="7"/>
        <v>-11.559834002512911</v>
      </c>
      <c r="B70">
        <f t="shared" si="13"/>
        <v>63</v>
      </c>
      <c r="C70">
        <f t="shared" si="8"/>
        <v>1.0995574287564276</v>
      </c>
      <c r="D70" s="4">
        <f t="shared" si="9"/>
        <v>0</v>
      </c>
      <c r="E70" s="4">
        <f t="shared" si="10"/>
        <v>0</v>
      </c>
      <c r="F70">
        <f t="shared" si="11"/>
        <v>0</v>
      </c>
      <c r="G70">
        <f t="shared" si="12"/>
        <v>0</v>
      </c>
    </row>
    <row r="71" spans="1:7" x14ac:dyDescent="0.25">
      <c r="A71">
        <f t="shared" ref="A71:A97" si="14">(1 - ((3*SQRT(2)/(4*$B$3))*TAN(C71)))/(COS(C71)^3)</f>
        <v>-13.944150850284554</v>
      </c>
      <c r="B71">
        <f t="shared" si="13"/>
        <v>64</v>
      </c>
      <c r="C71">
        <f t="shared" ref="C71:C102" si="15">RADIANS(B71)</f>
        <v>1.1170107212763709</v>
      </c>
      <c r="D71" s="4">
        <f t="shared" ref="D71:D102" si="16">IF(A71&gt;0,SIN(C71),0)</f>
        <v>0</v>
      </c>
      <c r="E71" s="4">
        <f t="shared" ref="E71:E102" si="17">+A71*D71*$C$8*2*PI()</f>
        <v>0</v>
      </c>
      <c r="F71">
        <f t="shared" ref="F71:F102" si="18">E71*$B$1*($B$2^2)</f>
        <v>0</v>
      </c>
      <c r="G71">
        <f t="shared" ref="G71:G97" si="19">IF(A71&gt;0,A71*$B$1*($B$2^2),0)</f>
        <v>0</v>
      </c>
    </row>
    <row r="72" spans="1:7" x14ac:dyDescent="0.25">
      <c r="A72">
        <f t="shared" si="14"/>
        <v>-16.885999715892076</v>
      </c>
      <c r="B72">
        <f t="shared" ref="B72:B97" si="20">1+B71</f>
        <v>65</v>
      </c>
      <c r="C72">
        <f t="shared" si="15"/>
        <v>1.1344640137963142</v>
      </c>
      <c r="D72" s="4">
        <f t="shared" si="16"/>
        <v>0</v>
      </c>
      <c r="E72" s="4">
        <f t="shared" si="17"/>
        <v>0</v>
      </c>
      <c r="F72">
        <f t="shared" si="18"/>
        <v>0</v>
      </c>
      <c r="G72">
        <f t="shared" si="19"/>
        <v>0</v>
      </c>
    </row>
    <row r="73" spans="1:7" x14ac:dyDescent="0.25">
      <c r="A73">
        <f t="shared" si="14"/>
        <v>-20.542659821757471</v>
      </c>
      <c r="B73">
        <f t="shared" si="20"/>
        <v>66</v>
      </c>
      <c r="C73">
        <f t="shared" si="15"/>
        <v>1.1519173063162575</v>
      </c>
      <c r="D73" s="4">
        <f t="shared" si="16"/>
        <v>0</v>
      </c>
      <c r="E73" s="4">
        <f t="shared" si="17"/>
        <v>0</v>
      </c>
      <c r="F73">
        <f t="shared" si="18"/>
        <v>0</v>
      </c>
      <c r="G73">
        <f t="shared" si="19"/>
        <v>0</v>
      </c>
    </row>
    <row r="74" spans="1:7" x14ac:dyDescent="0.25">
      <c r="A74">
        <f t="shared" si="14"/>
        <v>-25.124515977475706</v>
      </c>
      <c r="B74">
        <f t="shared" si="20"/>
        <v>67</v>
      </c>
      <c r="C74">
        <f t="shared" si="15"/>
        <v>1.1693705988362009</v>
      </c>
      <c r="D74" s="4">
        <f t="shared" si="16"/>
        <v>0</v>
      </c>
      <c r="E74" s="4">
        <f t="shared" si="17"/>
        <v>0</v>
      </c>
      <c r="F74">
        <f t="shared" si="18"/>
        <v>0</v>
      </c>
      <c r="G74">
        <f t="shared" si="19"/>
        <v>0</v>
      </c>
    </row>
    <row r="75" spans="1:7" x14ac:dyDescent="0.25">
      <c r="A75">
        <f t="shared" si="14"/>
        <v>-30.916300706224547</v>
      </c>
      <c r="B75">
        <f t="shared" si="20"/>
        <v>68</v>
      </c>
      <c r="C75">
        <f t="shared" si="15"/>
        <v>1.1868238913561442</v>
      </c>
      <c r="D75" s="4">
        <f t="shared" si="16"/>
        <v>0</v>
      </c>
      <c r="E75" s="4">
        <f t="shared" si="17"/>
        <v>0</v>
      </c>
      <c r="F75">
        <f t="shared" si="18"/>
        <v>0</v>
      </c>
      <c r="G75">
        <f t="shared" si="19"/>
        <v>0</v>
      </c>
    </row>
    <row r="76" spans="1:7" x14ac:dyDescent="0.25">
      <c r="A76">
        <f t="shared" si="14"/>
        <v>-38.308307198942266</v>
      </c>
      <c r="B76">
        <f t="shared" si="20"/>
        <v>69</v>
      </c>
      <c r="C76">
        <f t="shared" si="15"/>
        <v>1.2042771838760873</v>
      </c>
      <c r="D76" s="4">
        <f t="shared" si="16"/>
        <v>0</v>
      </c>
      <c r="E76" s="4">
        <f t="shared" si="17"/>
        <v>0</v>
      </c>
      <c r="F76">
        <f t="shared" si="18"/>
        <v>0</v>
      </c>
      <c r="G76">
        <f t="shared" si="19"/>
        <v>0</v>
      </c>
    </row>
    <row r="77" spans="1:7" x14ac:dyDescent="0.25">
      <c r="A77">
        <f t="shared" si="14"/>
        <v>-47.843023298578757</v>
      </c>
      <c r="B77">
        <f t="shared" si="20"/>
        <v>70</v>
      </c>
      <c r="C77">
        <f t="shared" si="15"/>
        <v>1.2217304763960306</v>
      </c>
      <c r="D77" s="4">
        <f t="shared" si="16"/>
        <v>0</v>
      </c>
      <c r="E77" s="4">
        <f t="shared" si="17"/>
        <v>0</v>
      </c>
      <c r="F77">
        <f t="shared" si="18"/>
        <v>0</v>
      </c>
      <c r="G77">
        <f t="shared" si="19"/>
        <v>0</v>
      </c>
    </row>
    <row r="78" spans="1:7" x14ac:dyDescent="0.25">
      <c r="A78">
        <f t="shared" si="14"/>
        <v>-60.28608558729146</v>
      </c>
      <c r="B78">
        <f t="shared" si="20"/>
        <v>71</v>
      </c>
      <c r="C78">
        <f t="shared" si="15"/>
        <v>1.2391837689159739</v>
      </c>
      <c r="D78" s="4">
        <f t="shared" si="16"/>
        <v>0</v>
      </c>
      <c r="E78" s="4">
        <f t="shared" si="17"/>
        <v>0</v>
      </c>
      <c r="F78">
        <f t="shared" si="18"/>
        <v>0</v>
      </c>
      <c r="G78">
        <f t="shared" si="19"/>
        <v>0</v>
      </c>
    </row>
    <row r="79" spans="1:7" x14ac:dyDescent="0.25">
      <c r="A79">
        <f t="shared" si="14"/>
        <v>-76.73641713565317</v>
      </c>
      <c r="B79">
        <f t="shared" si="20"/>
        <v>72</v>
      </c>
      <c r="C79">
        <f t="shared" si="15"/>
        <v>1.2566370614359172</v>
      </c>
      <c r="D79" s="4">
        <f t="shared" si="16"/>
        <v>0</v>
      </c>
      <c r="E79" s="4">
        <f t="shared" si="17"/>
        <v>0</v>
      </c>
      <c r="F79">
        <f t="shared" si="18"/>
        <v>0</v>
      </c>
      <c r="G79">
        <f t="shared" si="19"/>
        <v>0</v>
      </c>
    </row>
    <row r="80" spans="1:7" x14ac:dyDescent="0.25">
      <c r="A80">
        <f t="shared" si="14"/>
        <v>-98.801001437726612</v>
      </c>
      <c r="B80">
        <f t="shared" si="20"/>
        <v>73</v>
      </c>
      <c r="C80">
        <f t="shared" si="15"/>
        <v>1.2740903539558606</v>
      </c>
      <c r="D80" s="4">
        <f t="shared" si="16"/>
        <v>0</v>
      </c>
      <c r="E80" s="4">
        <f t="shared" si="17"/>
        <v>0</v>
      </c>
      <c r="F80">
        <f t="shared" si="18"/>
        <v>0</v>
      </c>
      <c r="G80">
        <f t="shared" si="19"/>
        <v>0</v>
      </c>
    </row>
    <row r="81" spans="1:7" x14ac:dyDescent="0.25">
      <c r="A81">
        <f t="shared" si="14"/>
        <v>-128.87909590826564</v>
      </c>
      <c r="B81">
        <f t="shared" si="20"/>
        <v>74</v>
      </c>
      <c r="C81">
        <f t="shared" si="15"/>
        <v>1.2915436464758039</v>
      </c>
      <c r="D81" s="4">
        <f t="shared" si="16"/>
        <v>0</v>
      </c>
      <c r="E81" s="4">
        <f t="shared" si="17"/>
        <v>0</v>
      </c>
      <c r="F81">
        <f t="shared" si="18"/>
        <v>0</v>
      </c>
      <c r="G81">
        <f t="shared" si="19"/>
        <v>0</v>
      </c>
    </row>
    <row r="82" spans="1:7" x14ac:dyDescent="0.25">
      <c r="A82">
        <f t="shared" si="14"/>
        <v>-170.63720513868594</v>
      </c>
      <c r="B82">
        <f t="shared" si="20"/>
        <v>75</v>
      </c>
      <c r="C82">
        <f t="shared" si="15"/>
        <v>1.3089969389957472</v>
      </c>
      <c r="D82" s="4">
        <f t="shared" si="16"/>
        <v>0</v>
      </c>
      <c r="E82" s="4">
        <f t="shared" si="17"/>
        <v>0</v>
      </c>
      <c r="F82">
        <f t="shared" si="18"/>
        <v>0</v>
      </c>
      <c r="G82">
        <f t="shared" si="19"/>
        <v>0</v>
      </c>
    </row>
    <row r="83" spans="1:7" x14ac:dyDescent="0.25">
      <c r="A83">
        <f t="shared" si="14"/>
        <v>-229.82756049049488</v>
      </c>
      <c r="B83">
        <f t="shared" si="20"/>
        <v>76</v>
      </c>
      <c r="C83">
        <f t="shared" si="15"/>
        <v>1.3264502315156905</v>
      </c>
      <c r="D83" s="4">
        <f t="shared" si="16"/>
        <v>0</v>
      </c>
      <c r="E83" s="4">
        <f t="shared" si="17"/>
        <v>0</v>
      </c>
      <c r="F83">
        <f t="shared" si="18"/>
        <v>0</v>
      </c>
      <c r="G83">
        <f t="shared" si="19"/>
        <v>0</v>
      </c>
    </row>
    <row r="84" spans="1:7" x14ac:dyDescent="0.25">
      <c r="A84">
        <f t="shared" si="14"/>
        <v>-315.74830948736411</v>
      </c>
      <c r="B84">
        <f t="shared" si="20"/>
        <v>77</v>
      </c>
      <c r="C84">
        <f t="shared" si="15"/>
        <v>1.3439035240356338</v>
      </c>
      <c r="D84" s="4">
        <f t="shared" si="16"/>
        <v>0</v>
      </c>
      <c r="E84" s="4">
        <f t="shared" si="17"/>
        <v>0</v>
      </c>
      <c r="F84">
        <f t="shared" si="18"/>
        <v>0</v>
      </c>
      <c r="G84">
        <f t="shared" si="19"/>
        <v>0</v>
      </c>
    </row>
    <row r="85" spans="1:7" x14ac:dyDescent="0.25">
      <c r="A85">
        <f t="shared" si="14"/>
        <v>-443.95368457838703</v>
      </c>
      <c r="B85">
        <f t="shared" si="20"/>
        <v>78</v>
      </c>
      <c r="C85">
        <f t="shared" si="15"/>
        <v>1.3613568165555769</v>
      </c>
      <c r="D85" s="4">
        <f t="shared" si="16"/>
        <v>0</v>
      </c>
      <c r="E85" s="4">
        <f t="shared" si="17"/>
        <v>0</v>
      </c>
      <c r="F85">
        <f t="shared" si="18"/>
        <v>0</v>
      </c>
      <c r="G85">
        <f t="shared" si="19"/>
        <v>0</v>
      </c>
    </row>
    <row r="86" spans="1:7" x14ac:dyDescent="0.25">
      <c r="A86">
        <f t="shared" si="14"/>
        <v>-641.51884072761391</v>
      </c>
      <c r="B86">
        <f t="shared" si="20"/>
        <v>79</v>
      </c>
      <c r="C86">
        <f t="shared" si="15"/>
        <v>1.3788101090755203</v>
      </c>
      <c r="D86" s="4">
        <f t="shared" si="16"/>
        <v>0</v>
      </c>
      <c r="E86" s="4">
        <f t="shared" si="17"/>
        <v>0</v>
      </c>
      <c r="F86">
        <f t="shared" si="18"/>
        <v>0</v>
      </c>
      <c r="G86">
        <f t="shared" si="19"/>
        <v>0</v>
      </c>
    </row>
    <row r="87" spans="1:7" x14ac:dyDescent="0.25">
      <c r="A87">
        <f t="shared" si="14"/>
        <v>-957.82565289339584</v>
      </c>
      <c r="B87">
        <f t="shared" si="20"/>
        <v>80</v>
      </c>
      <c r="C87">
        <f t="shared" si="15"/>
        <v>1.3962634015954636</v>
      </c>
      <c r="D87" s="4">
        <f t="shared" si="16"/>
        <v>0</v>
      </c>
      <c r="E87" s="4">
        <f t="shared" si="17"/>
        <v>0</v>
      </c>
      <c r="F87">
        <f t="shared" si="18"/>
        <v>0</v>
      </c>
      <c r="G87">
        <f t="shared" si="19"/>
        <v>0</v>
      </c>
    </row>
    <row r="88" spans="1:7" x14ac:dyDescent="0.25">
      <c r="A88">
        <f t="shared" si="14"/>
        <v>-1488.0908213203143</v>
      </c>
      <c r="B88">
        <f t="shared" si="20"/>
        <v>81</v>
      </c>
      <c r="C88">
        <f t="shared" si="15"/>
        <v>1.4137166941154069</v>
      </c>
      <c r="D88" s="4">
        <f t="shared" si="16"/>
        <v>0</v>
      </c>
      <c r="E88" s="4">
        <f t="shared" si="17"/>
        <v>0</v>
      </c>
      <c r="F88">
        <f t="shared" si="18"/>
        <v>0</v>
      </c>
      <c r="G88">
        <f t="shared" si="19"/>
        <v>0</v>
      </c>
    </row>
    <row r="89" spans="1:7" x14ac:dyDescent="0.25">
      <c r="A89">
        <f t="shared" si="14"/>
        <v>-2428.7103148155493</v>
      </c>
      <c r="B89">
        <f t="shared" si="20"/>
        <v>82</v>
      </c>
      <c r="C89">
        <f t="shared" si="15"/>
        <v>1.4311699866353502</v>
      </c>
      <c r="D89" s="4">
        <f t="shared" si="16"/>
        <v>0</v>
      </c>
      <c r="E89" s="4">
        <f t="shared" si="17"/>
        <v>0</v>
      </c>
      <c r="F89">
        <f t="shared" si="18"/>
        <v>0</v>
      </c>
      <c r="G89">
        <f t="shared" si="19"/>
        <v>0</v>
      </c>
    </row>
    <row r="90" spans="1:7" x14ac:dyDescent="0.25">
      <c r="A90">
        <f t="shared" si="14"/>
        <v>-4220.0545708449481</v>
      </c>
      <c r="B90">
        <f t="shared" si="20"/>
        <v>83</v>
      </c>
      <c r="C90">
        <f t="shared" si="15"/>
        <v>1.4486232791552935</v>
      </c>
      <c r="D90" s="4">
        <f t="shared" si="16"/>
        <v>0</v>
      </c>
      <c r="E90" s="4">
        <f t="shared" si="17"/>
        <v>0</v>
      </c>
      <c r="F90">
        <f t="shared" si="18"/>
        <v>0</v>
      </c>
      <c r="G90">
        <f t="shared" si="19"/>
        <v>0</v>
      </c>
    </row>
    <row r="91" spans="1:7" x14ac:dyDescent="0.25">
      <c r="A91">
        <f t="shared" si="14"/>
        <v>-7960.3507005048232</v>
      </c>
      <c r="B91">
        <f t="shared" si="20"/>
        <v>84</v>
      </c>
      <c r="C91">
        <f t="shared" si="15"/>
        <v>1.4660765716752369</v>
      </c>
      <c r="D91" s="4">
        <f t="shared" si="16"/>
        <v>0</v>
      </c>
      <c r="E91" s="4">
        <f t="shared" si="17"/>
        <v>0</v>
      </c>
      <c r="F91">
        <f t="shared" si="18"/>
        <v>0</v>
      </c>
      <c r="G91">
        <f t="shared" si="19"/>
        <v>0</v>
      </c>
    </row>
    <row r="92" spans="1:7" x14ac:dyDescent="0.25">
      <c r="A92">
        <f t="shared" si="14"/>
        <v>-16801.558878580046</v>
      </c>
      <c r="B92">
        <f t="shared" si="20"/>
        <v>85</v>
      </c>
      <c r="C92">
        <f t="shared" si="15"/>
        <v>1.4835298641951802</v>
      </c>
      <c r="D92" s="4">
        <f t="shared" si="16"/>
        <v>0</v>
      </c>
      <c r="E92" s="4">
        <f t="shared" si="17"/>
        <v>0</v>
      </c>
      <c r="F92">
        <f t="shared" si="18"/>
        <v>0</v>
      </c>
      <c r="G92">
        <f t="shared" si="19"/>
        <v>0</v>
      </c>
    </row>
    <row r="93" spans="1:7" x14ac:dyDescent="0.25">
      <c r="A93">
        <f t="shared" si="14"/>
        <v>-41740.678343458138</v>
      </c>
      <c r="B93">
        <f t="shared" si="20"/>
        <v>86</v>
      </c>
      <c r="C93">
        <f t="shared" si="15"/>
        <v>1.5009831567151235</v>
      </c>
      <c r="D93" s="4">
        <f t="shared" si="16"/>
        <v>0</v>
      </c>
      <c r="E93" s="4">
        <f t="shared" si="17"/>
        <v>0</v>
      </c>
      <c r="F93">
        <f t="shared" si="18"/>
        <v>0</v>
      </c>
      <c r="G93">
        <f t="shared" si="19"/>
        <v>0</v>
      </c>
    </row>
    <row r="94" spans="1:7" x14ac:dyDescent="0.25">
      <c r="A94">
        <f t="shared" si="14"/>
        <v>-134206.33385816519</v>
      </c>
      <c r="B94">
        <f t="shared" si="20"/>
        <v>87</v>
      </c>
      <c r="C94">
        <f t="shared" si="15"/>
        <v>1.5184364492350666</v>
      </c>
      <c r="D94" s="4">
        <f t="shared" si="16"/>
        <v>0</v>
      </c>
      <c r="E94" s="4">
        <f t="shared" si="17"/>
        <v>0</v>
      </c>
      <c r="F94">
        <f t="shared" si="18"/>
        <v>0</v>
      </c>
      <c r="G94">
        <f t="shared" si="19"/>
        <v>0</v>
      </c>
    </row>
    <row r="95" spans="1:7" x14ac:dyDescent="0.25">
      <c r="A95">
        <f t="shared" si="14"/>
        <v>-691028.15419488028</v>
      </c>
      <c r="B95">
        <f t="shared" si="20"/>
        <v>88</v>
      </c>
      <c r="C95">
        <f t="shared" si="15"/>
        <v>1.5358897417550099</v>
      </c>
      <c r="D95" s="4">
        <f t="shared" si="16"/>
        <v>0</v>
      </c>
      <c r="E95" s="4">
        <f t="shared" si="17"/>
        <v>0</v>
      </c>
      <c r="F95">
        <f t="shared" si="18"/>
        <v>0</v>
      </c>
      <c r="G95">
        <f t="shared" si="19"/>
        <v>0</v>
      </c>
    </row>
    <row r="96" spans="1:7" x14ac:dyDescent="0.25">
      <c r="A96">
        <f t="shared" si="14"/>
        <v>-11243001.808773022</v>
      </c>
      <c r="B96">
        <f t="shared" si="20"/>
        <v>89</v>
      </c>
      <c r="C96">
        <f t="shared" si="15"/>
        <v>1.5533430342749532</v>
      </c>
      <c r="D96" s="4">
        <f t="shared" si="16"/>
        <v>0</v>
      </c>
      <c r="E96" s="4">
        <f t="shared" si="17"/>
        <v>0</v>
      </c>
      <c r="F96">
        <f t="shared" si="18"/>
        <v>0</v>
      </c>
      <c r="G96">
        <f t="shared" si="19"/>
        <v>0</v>
      </c>
    </row>
    <row r="97" spans="1:7" x14ac:dyDescent="0.25">
      <c r="A97">
        <f t="shared" si="14"/>
        <v>-7.532538797803431E+64</v>
      </c>
      <c r="B97">
        <f t="shared" si="20"/>
        <v>90</v>
      </c>
      <c r="C97">
        <f t="shared" si="15"/>
        <v>1.5707963267948966</v>
      </c>
      <c r="D97" s="4">
        <f t="shared" si="16"/>
        <v>0</v>
      </c>
      <c r="E97" s="4">
        <f t="shared" si="17"/>
        <v>0</v>
      </c>
      <c r="F97">
        <f t="shared" si="18"/>
        <v>0</v>
      </c>
      <c r="G97">
        <f t="shared" si="19"/>
        <v>0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5:AD127"/>
  <sheetViews>
    <sheetView workbookViewId="0">
      <selection activeCell="G62" sqref="G62"/>
    </sheetView>
  </sheetViews>
  <sheetFormatPr defaultRowHeight="15" x14ac:dyDescent="0.25"/>
  <cols>
    <col min="1" max="1" width="17.140625" customWidth="1"/>
    <col min="2" max="2" width="18.7109375" customWidth="1"/>
    <col min="4" max="4" width="13.5703125" customWidth="1"/>
    <col min="5" max="5" width="7.42578125" customWidth="1"/>
    <col min="6" max="6" width="14.140625" customWidth="1"/>
    <col min="7" max="7" width="18.5703125" customWidth="1"/>
    <col min="8" max="8" width="25.42578125" customWidth="1"/>
    <col min="9" max="9" width="15.7109375" customWidth="1"/>
    <col min="10" max="10" width="6" customWidth="1"/>
    <col min="11" max="11" width="13.7109375" customWidth="1"/>
    <col min="12" max="12" width="13.28515625" customWidth="1"/>
    <col min="13" max="13" width="12.85546875" customWidth="1"/>
    <col min="14" max="14" width="16.7109375" customWidth="1"/>
    <col min="15" max="15" width="12.42578125" customWidth="1"/>
    <col min="16" max="16" width="8.7109375" customWidth="1"/>
    <col min="17" max="17" width="15.28515625" customWidth="1"/>
    <col min="18" max="18" width="21.140625" customWidth="1"/>
    <col min="19" max="19" width="18.85546875" customWidth="1"/>
    <col min="20" max="20" width="16.28515625" customWidth="1"/>
    <col min="23" max="23" width="13.28515625" customWidth="1"/>
    <col min="29" max="30" width="10.140625" bestFit="1" customWidth="1"/>
  </cols>
  <sheetData>
    <row r="5" spans="14:14" x14ac:dyDescent="0.25">
      <c r="N5">
        <f ca="1">MAX(I34:I125)</f>
        <v>88</v>
      </c>
    </row>
    <row r="6" spans="14:14" x14ac:dyDescent="0.25">
      <c r="N6">
        <f t="array" aca="1" ref="N6" ca="1">MIN(IF(I34:I126 &gt;0,I34:I126))</f>
        <v>27</v>
      </c>
    </row>
    <row r="26" spans="1:23" ht="42" customHeight="1" x14ac:dyDescent="0.25">
      <c r="A26" t="s">
        <v>44</v>
      </c>
      <c r="B26" t="s">
        <v>45</v>
      </c>
      <c r="C26" s="2" t="s">
        <v>46</v>
      </c>
    </row>
    <row r="27" spans="1:23" x14ac:dyDescent="0.25">
      <c r="A27">
        <f>MAX(G34:G124)</f>
        <v>72.895026949498174</v>
      </c>
      <c r="B27">
        <f>INDEX(A34:A124,MATCH(A27,G34:G124,0))</f>
        <v>27</v>
      </c>
      <c r="C27">
        <v>5</v>
      </c>
    </row>
    <row r="28" spans="1:23" x14ac:dyDescent="0.25">
      <c r="H28" t="s">
        <v>47</v>
      </c>
    </row>
    <row r="29" spans="1:23" ht="26.45" customHeight="1" x14ac:dyDescent="0.25">
      <c r="A29" s="2" t="s">
        <v>48</v>
      </c>
      <c r="B29" s="2" t="s">
        <v>49</v>
      </c>
      <c r="C29" t="s">
        <v>50</v>
      </c>
      <c r="H29" t="str">
        <f t="array" aca="1" ref="H29" ca="1">CELL("address",INDEX(H35:H124,(MATCH(MIN(H35:H124),H35:H124,0)),0))</f>
        <v>$H$75</v>
      </c>
    </row>
    <row r="30" spans="1:23" ht="31.15" customHeight="1" x14ac:dyDescent="0.25">
      <c r="A30" s="9">
        <v>40</v>
      </c>
      <c r="B30">
        <f>RADIANS(1)</f>
        <v>1.7453292519943295E-2</v>
      </c>
      <c r="C30">
        <f>C27*B30</f>
        <v>8.7266462599716474E-2</v>
      </c>
      <c r="D30">
        <f>45*C30</f>
        <v>3.9269908169872414</v>
      </c>
      <c r="E30" s="2"/>
    </row>
    <row r="31" spans="1:23" ht="48" customHeight="1" x14ac:dyDescent="0.25">
      <c r="A31" t="s">
        <v>51</v>
      </c>
      <c r="B31">
        <f>C30*3</f>
        <v>0.26179938779914941</v>
      </c>
      <c r="C31">
        <f>C30*2</f>
        <v>0.17453292519943295</v>
      </c>
      <c r="G31" s="5" t="s">
        <v>52</v>
      </c>
    </row>
    <row r="32" spans="1:23" ht="54.6" customHeight="1" x14ac:dyDescent="0.25">
      <c r="A32">
        <v>0.9</v>
      </c>
      <c r="G32" s="6" t="s">
        <v>53</v>
      </c>
      <c r="W32" s="2" t="s">
        <v>54</v>
      </c>
    </row>
    <row r="33" spans="1:30" ht="57.6" customHeight="1" x14ac:dyDescent="0.25">
      <c r="A33" t="s">
        <v>55</v>
      </c>
      <c r="B33" t="s">
        <v>42</v>
      </c>
      <c r="D33" t="s">
        <v>34</v>
      </c>
      <c r="G33" t="s">
        <v>56</v>
      </c>
      <c r="H33" s="2" t="s">
        <v>57</v>
      </c>
      <c r="I33" s="2" t="s">
        <v>58</v>
      </c>
      <c r="Q33" t="s">
        <v>59</v>
      </c>
      <c r="R33" t="s">
        <v>60</v>
      </c>
      <c r="S33" t="s">
        <v>61</v>
      </c>
      <c r="W33">
        <v>5</v>
      </c>
      <c r="AC33" s="32"/>
      <c r="AD33" s="33"/>
    </row>
    <row r="34" spans="1:30" x14ac:dyDescent="0.25">
      <c r="A34">
        <v>0</v>
      </c>
      <c r="B34">
        <f>'Linear distribution and flux'!F7</f>
        <v>0</v>
      </c>
      <c r="D34">
        <f>'Lambertian dist and flux'!F6</f>
        <v>0</v>
      </c>
      <c r="F34">
        <f t="shared" ref="F34:F65" si="0">D34-B34</f>
        <v>0</v>
      </c>
      <c r="G34">
        <f t="shared" ref="G34:G65" si="1">IF(B34&gt;D34,ABS(D34-B34), D34-B34)</f>
        <v>0</v>
      </c>
      <c r="H34">
        <v>0</v>
      </c>
      <c r="J34" s="7"/>
      <c r="R34">
        <f>H34</f>
        <v>0</v>
      </c>
      <c r="T34">
        <v>90</v>
      </c>
      <c r="U34">
        <v>1</v>
      </c>
      <c r="V34">
        <f t="shared" ref="V34:V79" si="2">(T34-U34)/2</f>
        <v>44.5</v>
      </c>
      <c r="W34">
        <f t="shared" ref="W34:W79" si="3">RADIANS(1)*$W$33</f>
        <v>8.7266462599716474E-2</v>
      </c>
      <c r="X34">
        <f t="shared" ref="X34:X79" si="4">V34+90</f>
        <v>134.5</v>
      </c>
      <c r="AC34" s="33"/>
      <c r="AD34" s="33"/>
    </row>
    <row r="35" spans="1:30" x14ac:dyDescent="0.25">
      <c r="A35">
        <f t="shared" ref="A35:A66" si="5">A34+1</f>
        <v>1</v>
      </c>
      <c r="B35">
        <f>'Linear distribution and flux'!F8</f>
        <v>7.5171835230163992</v>
      </c>
      <c r="D35">
        <f>'Lambertian dist and flux'!F7</f>
        <v>2.4366919236170785</v>
      </c>
      <c r="F35">
        <f t="shared" si="0"/>
        <v>-5.0804915993993207</v>
      </c>
      <c r="G35">
        <f t="shared" si="1"/>
        <v>5.0804915993993207</v>
      </c>
      <c r="H35">
        <f t="array" ref="H35">IF( INDEX($A$34:$A$124,$A$30+2,0) &gt; A35, ((SUM(B34:B35)-SUM(D34:D35))/$A$32),0)</f>
        <v>5.644990665999245</v>
      </c>
      <c r="J35" s="7"/>
      <c r="R35">
        <f t="shared" ref="R35:R66" ca="1" si="6">IF(H35&lt;&gt; 0,D35+ INDEX($Q$34:$Q$125,(MATCH(A36,$L$34:$L$125,0) )),0)</f>
        <v>9.7437989607030318</v>
      </c>
      <c r="T35">
        <f t="shared" ref="T35:T79" si="7">T34-1</f>
        <v>89</v>
      </c>
      <c r="U35">
        <v>1</v>
      </c>
      <c r="V35">
        <f t="shared" si="2"/>
        <v>44</v>
      </c>
      <c r="W35">
        <f t="shared" si="3"/>
        <v>8.7266462599716474E-2</v>
      </c>
      <c r="X35">
        <f t="shared" si="4"/>
        <v>134</v>
      </c>
      <c r="AC35" s="33"/>
      <c r="AD35" s="33"/>
    </row>
    <row r="36" spans="1:30" x14ac:dyDescent="0.25">
      <c r="A36">
        <f t="shared" si="5"/>
        <v>2</v>
      </c>
      <c r="B36">
        <f>'Linear distribution and flux'!F9</f>
        <v>14.768588221517634</v>
      </c>
      <c r="D36">
        <f>'Lambertian dist and flux'!F8</f>
        <v>4.8704151134688471</v>
      </c>
      <c r="F36">
        <f t="shared" si="0"/>
        <v>-9.8981731080487876</v>
      </c>
      <c r="G36">
        <f t="shared" si="1"/>
        <v>9.8981731080487876</v>
      </c>
      <c r="H36">
        <f t="array" ref="H36">IF( INDEX($A$34:$A$124,$A$30+2,0) &gt; A36, ((SUM(B35:B36)-SUM(D35:D36))/$A$32),0)</f>
        <v>16.64296078605345</v>
      </c>
      <c r="J36" s="7"/>
      <c r="R36">
        <f t="shared" ca="1" si="6"/>
        <v>84.662452084601028</v>
      </c>
      <c r="T36">
        <f t="shared" si="7"/>
        <v>88</v>
      </c>
      <c r="U36">
        <v>1</v>
      </c>
      <c r="V36">
        <f t="shared" si="2"/>
        <v>43.5</v>
      </c>
      <c r="W36">
        <f t="shared" si="3"/>
        <v>8.7266462599716474E-2</v>
      </c>
      <c r="X36">
        <f t="shared" si="4"/>
        <v>133.5</v>
      </c>
      <c r="AC36" s="33"/>
      <c r="AD36" s="33"/>
    </row>
    <row r="37" spans="1:30" x14ac:dyDescent="0.25">
      <c r="A37">
        <f t="shared" si="5"/>
        <v>3</v>
      </c>
      <c r="B37">
        <f>'Linear distribution and flux'!F10</f>
        <v>21.770389556219722</v>
      </c>
      <c r="D37">
        <f>'Lambertian dist and flux'!F9</f>
        <v>7.2982044527347885</v>
      </c>
      <c r="F37">
        <f t="shared" si="0"/>
        <v>-14.472185103484934</v>
      </c>
      <c r="G37">
        <f t="shared" si="1"/>
        <v>14.472185103484934</v>
      </c>
      <c r="H37">
        <f t="array" ref="H37">IF( INDEX($A$34:$A$124,$A$30+2,0) &gt; A37, ((SUM(B36:B37)-SUM(D36:D37))/$A$32),0)</f>
        <v>27.078175790593026</v>
      </c>
      <c r="J37" s="7"/>
      <c r="R37">
        <f t="shared" ca="1" si="6"/>
        <v>107.30737418646156</v>
      </c>
      <c r="T37">
        <f t="shared" si="7"/>
        <v>87</v>
      </c>
      <c r="U37">
        <v>2</v>
      </c>
      <c r="V37">
        <f t="shared" si="2"/>
        <v>42.5</v>
      </c>
      <c r="W37">
        <f t="shared" si="3"/>
        <v>8.7266462599716474E-2</v>
      </c>
      <c r="X37">
        <f t="shared" si="4"/>
        <v>132.5</v>
      </c>
      <c r="AC37" s="33"/>
      <c r="AD37" s="33"/>
    </row>
    <row r="38" spans="1:30" x14ac:dyDescent="0.25">
      <c r="A38">
        <f t="shared" si="5"/>
        <v>4</v>
      </c>
      <c r="B38">
        <f>'Linear distribution and flux'!F11</f>
        <v>28.53719543738179</v>
      </c>
      <c r="D38">
        <f>'Lambertian dist and flux'!F10</f>
        <v>9.717102054077289</v>
      </c>
      <c r="F38">
        <f t="shared" si="0"/>
        <v>-18.820093383304503</v>
      </c>
      <c r="G38">
        <f t="shared" si="1"/>
        <v>18.820093383304503</v>
      </c>
      <c r="H38">
        <f t="array" ref="H38">IF( INDEX($A$34:$A$124,$A$30+2,0) &gt; A38, ((SUM(B37:B38)-SUM(D37:D38))/$A$32),0)</f>
        <v>36.991420540877144</v>
      </c>
      <c r="J38" s="7"/>
      <c r="R38">
        <f t="shared" ca="1" si="6"/>
        <v>108.01304567147258</v>
      </c>
      <c r="T38">
        <f t="shared" si="7"/>
        <v>86</v>
      </c>
      <c r="U38">
        <v>2</v>
      </c>
      <c r="V38">
        <f t="shared" si="2"/>
        <v>42</v>
      </c>
      <c r="W38">
        <f t="shared" si="3"/>
        <v>8.7266462599716474E-2</v>
      </c>
      <c r="X38">
        <f t="shared" si="4"/>
        <v>132</v>
      </c>
      <c r="AC38" s="33"/>
      <c r="AD38" s="33"/>
    </row>
    <row r="39" spans="1:30" x14ac:dyDescent="0.25">
      <c r="A39">
        <f t="shared" si="5"/>
        <v>5</v>
      </c>
      <c r="B39">
        <f>'Linear distribution and flux'!F12</f>
        <v>35.082104512413217</v>
      </c>
      <c r="D39">
        <f>'Lambertian dist and flux'!F11</f>
        <v>12.124160863371721</v>
      </c>
      <c r="F39">
        <f t="shared" si="0"/>
        <v>-22.957943649041496</v>
      </c>
      <c r="G39">
        <f t="shared" si="1"/>
        <v>22.957943649041496</v>
      </c>
      <c r="H39">
        <f t="array" ref="H39">IF( INDEX($A$34:$A$124,$A$30+2,0) &gt; A39, ((SUM(B38:B39)-SUM(D38:D39))/$A$32),0)</f>
        <v>46.420041147051109</v>
      </c>
      <c r="J39" s="7"/>
      <c r="R39">
        <f t="shared" ca="1" si="6"/>
        <v>129.20557423936427</v>
      </c>
      <c r="T39">
        <f t="shared" si="7"/>
        <v>85</v>
      </c>
      <c r="U39">
        <v>3</v>
      </c>
      <c r="V39">
        <f t="shared" si="2"/>
        <v>41</v>
      </c>
      <c r="W39">
        <f t="shared" si="3"/>
        <v>8.7266462599716474E-2</v>
      </c>
      <c r="X39">
        <f t="shared" si="4"/>
        <v>131</v>
      </c>
      <c r="AC39" s="33"/>
      <c r="AD39" s="33"/>
    </row>
    <row r="40" spans="1:30" x14ac:dyDescent="0.25">
      <c r="A40">
        <f t="shared" si="5"/>
        <v>6</v>
      </c>
      <c r="B40">
        <f>'Linear distribution and flux'!F13</f>
        <v>41.416749797604105</v>
      </c>
      <c r="D40">
        <f>'Lambertian dist and flux'!F12</f>
        <v>14.516448250237946</v>
      </c>
      <c r="F40">
        <f t="shared" si="0"/>
        <v>-26.900301547366158</v>
      </c>
      <c r="G40">
        <f t="shared" si="1"/>
        <v>26.900301547366158</v>
      </c>
      <c r="H40">
        <f t="array" ref="H40">IF( INDEX($A$34:$A$124,$A$30+2,0) &gt; A40, ((SUM(B39:B40)-SUM(D39:D40))/$A$32),0)</f>
        <v>55.398050218230722</v>
      </c>
      <c r="J40" s="7"/>
      <c r="R40">
        <f t="shared" ca="1" si="6"/>
        <v>149.10056291901947</v>
      </c>
      <c r="T40">
        <f t="shared" si="7"/>
        <v>84</v>
      </c>
      <c r="U40">
        <v>3</v>
      </c>
      <c r="V40">
        <f t="shared" si="2"/>
        <v>40.5</v>
      </c>
      <c r="W40">
        <f t="shared" si="3"/>
        <v>8.7266462599716474E-2</v>
      </c>
      <c r="X40">
        <f t="shared" si="4"/>
        <v>130.5</v>
      </c>
    </row>
    <row r="41" spans="1:30" x14ac:dyDescent="0.25">
      <c r="A41">
        <f t="shared" si="5"/>
        <v>7</v>
      </c>
      <c r="B41">
        <f>'Linear distribution and flux'!F14</f>
        <v>47.551327762908329</v>
      </c>
      <c r="D41">
        <f>'Lambertian dist and flux'!F13</f>
        <v>16.891049580998693</v>
      </c>
      <c r="F41">
        <f t="shared" si="0"/>
        <v>-30.660278181909636</v>
      </c>
      <c r="G41">
        <f t="shared" si="1"/>
        <v>30.660278181909636</v>
      </c>
      <c r="H41">
        <f t="array" ref="H41">IF( INDEX($A$34:$A$124,$A$30+2,0) &gt; A41, ((SUM(B40:B41)-SUM(D40:D41))/$A$32),0)</f>
        <v>63.956199699195317</v>
      </c>
      <c r="J41" s="7"/>
      <c r="R41">
        <f t="shared" ca="1" si="6"/>
        <v>167.50333381872139</v>
      </c>
      <c r="T41">
        <f t="shared" si="7"/>
        <v>83</v>
      </c>
      <c r="U41">
        <v>3</v>
      </c>
      <c r="V41">
        <f t="shared" si="2"/>
        <v>40</v>
      </c>
      <c r="W41">
        <f t="shared" si="3"/>
        <v>8.7266462599716474E-2</v>
      </c>
      <c r="X41">
        <f t="shared" si="4"/>
        <v>130</v>
      </c>
    </row>
    <row r="42" spans="1:30" x14ac:dyDescent="0.25">
      <c r="A42">
        <f t="shared" si="5"/>
        <v>8</v>
      </c>
      <c r="B42">
        <f>'Linear distribution and flux'!F15</f>
        <v>53.494612764209634</v>
      </c>
      <c r="D42">
        <f>'Lambertian dist and flux'!F14</f>
        <v>19.245071769711725</v>
      </c>
      <c r="F42">
        <f t="shared" si="0"/>
        <v>-34.249540994497906</v>
      </c>
      <c r="G42">
        <f t="shared" si="1"/>
        <v>34.249540994497906</v>
      </c>
      <c r="H42">
        <f t="array" ref="H42">IF( INDEX($A$34:$A$124,$A$30+2,0) &gt; A42, ((SUM(B41:B42)-SUM(D41:D42))/$A$32),0)</f>
        <v>72.122021307119496</v>
      </c>
      <c r="J42" s="7"/>
      <c r="R42">
        <f t="shared" ca="1" si="6"/>
        <v>127.74960921323586</v>
      </c>
      <c r="T42">
        <f t="shared" si="7"/>
        <v>82</v>
      </c>
      <c r="U42">
        <v>4</v>
      </c>
      <c r="V42">
        <f t="shared" si="2"/>
        <v>39</v>
      </c>
      <c r="W42">
        <f t="shared" si="3"/>
        <v>8.7266462599716474E-2</v>
      </c>
      <c r="X42">
        <f t="shared" si="4"/>
        <v>129</v>
      </c>
    </row>
    <row r="43" spans="1:30" x14ac:dyDescent="0.25">
      <c r="A43">
        <f t="shared" si="5"/>
        <v>9</v>
      </c>
      <c r="B43">
        <f>'Linear distribution and flux'!F16</f>
        <v>59.253956495292705</v>
      </c>
      <c r="D43">
        <f>'Lambertian dist and flux'!F15</f>
        <v>21.575646802949414</v>
      </c>
      <c r="F43">
        <f t="shared" si="0"/>
        <v>-37.678309692343291</v>
      </c>
      <c r="G43">
        <f t="shared" si="1"/>
        <v>37.678309692343291</v>
      </c>
      <c r="H43">
        <f t="array" ref="H43">IF( INDEX($A$34:$A$124,$A$30+2,0) &gt; A43, ((SUM(B42:B43)-SUM(D42:D43))/$A$32),0)</f>
        <v>79.919834096490234</v>
      </c>
      <c r="J43" s="7"/>
      <c r="R43">
        <f t="shared" ca="1" si="6"/>
        <v>135.94504208985455</v>
      </c>
      <c r="T43">
        <f t="shared" si="7"/>
        <v>81</v>
      </c>
      <c r="U43">
        <v>4</v>
      </c>
      <c r="V43">
        <f t="shared" si="2"/>
        <v>38.5</v>
      </c>
      <c r="W43">
        <f t="shared" si="3"/>
        <v>8.7266462599716474E-2</v>
      </c>
      <c r="X43">
        <f t="shared" si="4"/>
        <v>128.5</v>
      </c>
    </row>
    <row r="44" spans="1:30" x14ac:dyDescent="0.25">
      <c r="A44">
        <f t="shared" si="5"/>
        <v>10</v>
      </c>
      <c r="B44">
        <f>'Linear distribution and flux'!F17</f>
        <v>64.835271897067344</v>
      </c>
      <c r="D44">
        <f>'Lambertian dist and flux'!F16</f>
        <v>23.879935234031311</v>
      </c>
      <c r="F44">
        <f t="shared" si="0"/>
        <v>-40.955336663036036</v>
      </c>
      <c r="G44">
        <f t="shared" si="1"/>
        <v>40.955336663036036</v>
      </c>
      <c r="H44">
        <f t="array" ref="H44">IF( INDEX($A$34:$A$124,$A$30+2,0) &gt; A44, ((SUM(B43:B44)-SUM(D43:D44))/$A$32),0)</f>
        <v>87.370718172643677</v>
      </c>
      <c r="J44" s="7"/>
      <c r="R44">
        <f t="shared" ca="1" si="6"/>
        <v>205.20462241311503</v>
      </c>
      <c r="T44">
        <f t="shared" si="7"/>
        <v>80</v>
      </c>
      <c r="U44">
        <v>5</v>
      </c>
      <c r="V44">
        <f t="shared" si="2"/>
        <v>37.5</v>
      </c>
      <c r="W44">
        <f t="shared" si="3"/>
        <v>8.7266462599716474E-2</v>
      </c>
      <c r="X44">
        <f t="shared" si="4"/>
        <v>127.5</v>
      </c>
    </row>
    <row r="45" spans="1:30" x14ac:dyDescent="0.25">
      <c r="A45">
        <f t="shared" si="5"/>
        <v>11</v>
      </c>
      <c r="B45">
        <f>'Linear distribution and flux'!F18</f>
        <v>70.243000709260883</v>
      </c>
      <c r="D45">
        <f>'Lambertian dist and flux'!F17</f>
        <v>26.155129642452589</v>
      </c>
      <c r="F45">
        <f t="shared" si="0"/>
        <v>-44.08787106680829</v>
      </c>
      <c r="G45">
        <f t="shared" si="1"/>
        <v>44.08787106680829</v>
      </c>
      <c r="H45">
        <f t="array" ref="H45">IF( INDEX($A$34:$A$124,$A$30+2,0) &gt; A45, ((SUM(B44:B45)-SUM(D44:D45))/$A$32),0)</f>
        <v>94.492453033160359</v>
      </c>
      <c r="J45" s="7"/>
      <c r="R45">
        <f t="shared" ca="1" si="6"/>
        <v>152.69314449556134</v>
      </c>
      <c r="T45">
        <f t="shared" si="7"/>
        <v>79</v>
      </c>
      <c r="U45">
        <v>5</v>
      </c>
      <c r="V45">
        <f t="shared" si="2"/>
        <v>37</v>
      </c>
      <c r="W45">
        <f t="shared" si="3"/>
        <v>8.7266462599716474E-2</v>
      </c>
      <c r="X45">
        <f t="shared" si="4"/>
        <v>127</v>
      </c>
    </row>
    <row r="46" spans="1:30" x14ac:dyDescent="0.25">
      <c r="A46">
        <f t="shared" si="5"/>
        <v>12</v>
      </c>
      <c r="B46">
        <f>'Linear distribution and flux'!F19</f>
        <v>75.48006357401637</v>
      </c>
      <c r="D46">
        <f>'Lambertian dist and flux'!F18</f>
        <v>28.398458054293407</v>
      </c>
      <c r="F46">
        <f t="shared" si="0"/>
        <v>-47.081605519722963</v>
      </c>
      <c r="G46">
        <f t="shared" si="1"/>
        <v>47.081605519722963</v>
      </c>
      <c r="H46">
        <f t="array" ref="H46">IF( INDEX($A$34:$A$124,$A$30+2,0) &gt; A46, ((SUM(B45:B46)-SUM(D45:D46))/$A$32),0)</f>
        <v>101.29941842947919</v>
      </c>
      <c r="J46" s="7"/>
      <c r="R46">
        <f t="shared" ca="1" si="6"/>
        <v>225.14727138461186</v>
      </c>
      <c r="T46">
        <f t="shared" si="7"/>
        <v>78</v>
      </c>
      <c r="U46">
        <v>6</v>
      </c>
      <c r="V46">
        <f t="shared" si="2"/>
        <v>36</v>
      </c>
      <c r="W46">
        <f t="shared" si="3"/>
        <v>8.7266462599716474E-2</v>
      </c>
      <c r="X46">
        <f t="shared" si="4"/>
        <v>126</v>
      </c>
    </row>
    <row r="47" spans="1:30" x14ac:dyDescent="0.25">
      <c r="A47">
        <f t="shared" si="5"/>
        <v>13</v>
      </c>
      <c r="B47">
        <f>'Linear distribution and flux'!F20</f>
        <v>80.547791295059696</v>
      </c>
      <c r="D47">
        <f>'Lambertian dist and flux'!F19</f>
        <v>30.607187319442179</v>
      </c>
      <c r="F47">
        <f t="shared" si="0"/>
        <v>-49.94060397561752</v>
      </c>
      <c r="G47">
        <f t="shared" si="1"/>
        <v>49.94060397561752</v>
      </c>
      <c r="H47">
        <f t="array" ref="H47">IF( INDEX($A$34:$A$124,$A$30+2,0) &gt; A47, ((SUM(B46:B47)-SUM(D46:D47))/$A$32),0)</f>
        <v>107.80245499482275</v>
      </c>
      <c r="J47" s="7"/>
      <c r="R47">
        <f t="shared" ca="1" si="6"/>
        <v>233.76354770952327</v>
      </c>
      <c r="T47">
        <f t="shared" si="7"/>
        <v>77</v>
      </c>
      <c r="U47">
        <v>6</v>
      </c>
      <c r="V47">
        <f t="shared" si="2"/>
        <v>35.5</v>
      </c>
      <c r="W47">
        <f t="shared" si="3"/>
        <v>8.7266462599716474E-2</v>
      </c>
      <c r="X47">
        <f t="shared" si="4"/>
        <v>125.5</v>
      </c>
    </row>
    <row r="48" spans="1:30" x14ac:dyDescent="0.25">
      <c r="A48">
        <f t="shared" si="5"/>
        <v>14</v>
      </c>
      <c r="B48">
        <f>'Linear distribution and flux'!F21</f>
        <v>85.445835512792073</v>
      </c>
      <c r="D48">
        <f>'Lambertian dist and flux'!F20</f>
        <v>32.778626441517993</v>
      </c>
      <c r="F48">
        <f t="shared" si="0"/>
        <v>-52.66720907127408</v>
      </c>
      <c r="G48">
        <f t="shared" si="1"/>
        <v>52.66720907127408</v>
      </c>
      <c r="H48">
        <f t="array" ref="H48">IF( INDEX($A$34:$A$124,$A$30+2,0) &gt; A48, ((SUM(B47:B48)-SUM(D47:D48))/$A$32),0)</f>
        <v>114.00868116321288</v>
      </c>
      <c r="J48" s="7"/>
      <c r="R48">
        <f t="shared" ca="1" si="6"/>
        <v>240.11671029372644</v>
      </c>
      <c r="T48">
        <f t="shared" si="7"/>
        <v>76</v>
      </c>
      <c r="U48">
        <v>7</v>
      </c>
      <c r="V48">
        <f t="shared" si="2"/>
        <v>34.5</v>
      </c>
      <c r="W48">
        <f t="shared" si="3"/>
        <v>8.7266462599716474E-2</v>
      </c>
      <c r="X48">
        <f t="shared" si="4"/>
        <v>124.5</v>
      </c>
    </row>
    <row r="49" spans="1:24" x14ac:dyDescent="0.25">
      <c r="A49">
        <f t="shared" si="5"/>
        <v>15</v>
      </c>
      <c r="B49">
        <f>'Linear distribution and flux'!F22</f>
        <v>90.172056666063469</v>
      </c>
      <c r="D49">
        <f>'Lambertian dist and flux'!F21</f>
        <v>34.910129856435148</v>
      </c>
      <c r="F49">
        <f t="shared" si="0"/>
        <v>-55.261926809628321</v>
      </c>
      <c r="G49">
        <f t="shared" si="1"/>
        <v>55.261926809628321</v>
      </c>
      <c r="H49">
        <f t="array" ref="H49">IF( INDEX($A$34:$A$124,$A$30+2,0) &gt; A49, ((SUM(B48:B49)-SUM(D48:D49))/$A$32),0)</f>
        <v>119.92126208989153</v>
      </c>
      <c r="J49" s="7"/>
      <c r="R49">
        <f t="shared" ca="1" si="6"/>
        <v>244.15829773580271</v>
      </c>
      <c r="T49">
        <f t="shared" si="7"/>
        <v>75</v>
      </c>
      <c r="U49">
        <v>7</v>
      </c>
      <c r="V49">
        <f t="shared" si="2"/>
        <v>34</v>
      </c>
      <c r="W49">
        <f t="shared" si="3"/>
        <v>8.7266462599716474E-2</v>
      </c>
      <c r="X49">
        <f t="shared" si="4"/>
        <v>124</v>
      </c>
    </row>
    <row r="50" spans="1:24" x14ac:dyDescent="0.25">
      <c r="A50">
        <f t="shared" si="5"/>
        <v>16</v>
      </c>
      <c r="B50">
        <f>'Linear distribution and flux'!F23</f>
        <v>94.722386665197106</v>
      </c>
      <c r="D50">
        <f>'Lambertian dist and flux'!F22</f>
        <v>36.999100655615514</v>
      </c>
      <c r="F50">
        <f t="shared" si="0"/>
        <v>-57.723286009581592</v>
      </c>
      <c r="G50">
        <f t="shared" si="1"/>
        <v>57.723286009581592</v>
      </c>
      <c r="H50">
        <f t="array" ref="H50">IF( INDEX($A$34:$A$124,$A$30+2,0) &gt; A50, ((SUM(B49:B50)-SUM(D49:D50))/$A$32),0)</f>
        <v>125.53912535467765</v>
      </c>
      <c r="J50" s="7"/>
      <c r="R50">
        <f t="shared" ca="1" si="6"/>
        <v>245.86478584686159</v>
      </c>
      <c r="T50">
        <f t="shared" si="7"/>
        <v>74</v>
      </c>
      <c r="U50">
        <v>8</v>
      </c>
      <c r="V50">
        <f t="shared" si="2"/>
        <v>33</v>
      </c>
      <c r="W50">
        <f t="shared" si="3"/>
        <v>8.7266462599716474E-2</v>
      </c>
      <c r="X50">
        <f t="shared" si="4"/>
        <v>123</v>
      </c>
    </row>
    <row r="51" spans="1:24" x14ac:dyDescent="0.25">
      <c r="A51">
        <f t="shared" si="5"/>
        <v>17</v>
      </c>
      <c r="B51">
        <f>'Linear distribution and flux'!F24</f>
        <v>99.090663185880757</v>
      </c>
      <c r="D51">
        <f>'Lambertian dist and flux'!F23</f>
        <v>39.042993749921564</v>
      </c>
      <c r="F51">
        <f t="shared" si="0"/>
        <v>-60.047669435959193</v>
      </c>
      <c r="G51">
        <f t="shared" si="1"/>
        <v>60.047669435959193</v>
      </c>
      <c r="H51">
        <f t="array" ref="H51">IF( INDEX($A$34:$A$124,$A$30+2,0) &gt; A51, ((SUM(B50:B51)-SUM(D50:D51))/$A$32),0)</f>
        <v>130.85661716171197</v>
      </c>
      <c r="J51" s="7"/>
      <c r="R51">
        <f t="shared" ca="1" si="6"/>
        <v>245.23782009813641</v>
      </c>
      <c r="T51">
        <f t="shared" si="7"/>
        <v>73</v>
      </c>
      <c r="U51">
        <v>8</v>
      </c>
      <c r="V51">
        <f t="shared" si="2"/>
        <v>32.5</v>
      </c>
      <c r="W51">
        <f t="shared" si="3"/>
        <v>8.7266462599716474E-2</v>
      </c>
      <c r="X51">
        <f t="shared" si="4"/>
        <v>122.5</v>
      </c>
    </row>
    <row r="52" spans="1:24" x14ac:dyDescent="0.25">
      <c r="A52">
        <f t="shared" si="5"/>
        <v>18</v>
      </c>
      <c r="B52">
        <f>'Linear distribution and flux'!F25</f>
        <v>103.26843189530499</v>
      </c>
      <c r="D52">
        <f>'Lambertian dist and flux'!F24</f>
        <v>41.039318970455469</v>
      </c>
      <c r="F52">
        <f t="shared" si="0"/>
        <v>-62.229112924849517</v>
      </c>
      <c r="G52">
        <f t="shared" si="1"/>
        <v>62.229112924849517</v>
      </c>
      <c r="H52">
        <f t="array" ref="H52">IF( INDEX($A$34:$A$124,$A$30+2,0) &gt; A52, ((SUM(B51:B52)-SUM(D51:D52))/$A$32),0)</f>
        <v>135.86309151200965</v>
      </c>
      <c r="J52" s="7"/>
      <c r="R52">
        <f t="shared" ca="1" si="6"/>
        <v>242.30417280912653</v>
      </c>
      <c r="T52">
        <f t="shared" si="7"/>
        <v>72</v>
      </c>
      <c r="U52">
        <v>9</v>
      </c>
      <c r="V52">
        <f t="shared" si="2"/>
        <v>31.5</v>
      </c>
      <c r="W52">
        <f t="shared" si="3"/>
        <v>8.7266462599716474E-2</v>
      </c>
      <c r="X52">
        <f t="shared" si="4"/>
        <v>121.5</v>
      </c>
    </row>
    <row r="53" spans="1:24" x14ac:dyDescent="0.25">
      <c r="A53">
        <f t="shared" si="5"/>
        <v>19</v>
      </c>
      <c r="B53">
        <f>'Linear distribution and flux'!F26</f>
        <v>107.24471222301206</v>
      </c>
      <c r="D53">
        <f>'Lambertian dist and flux'!F25</f>
        <v>42.985644102446358</v>
      </c>
      <c r="F53">
        <f t="shared" si="0"/>
        <v>-64.259068120565701</v>
      </c>
      <c r="G53">
        <f t="shared" si="1"/>
        <v>64.259068120565701</v>
      </c>
      <c r="H53">
        <f t="array" ref="H53">IF( INDEX($A$34:$A$124,$A$30+2,0) &gt; A53, ((SUM(B52:B53)-SUM(D52:D53))/$A$32),0)</f>
        <v>140.54242338379467</v>
      </c>
      <c r="J53" s="7"/>
      <c r="R53">
        <f t="shared" ca="1" si="6"/>
        <v>237.11542557553889</v>
      </c>
      <c r="T53">
        <f t="shared" si="7"/>
        <v>71</v>
      </c>
      <c r="U53">
        <v>9</v>
      </c>
      <c r="V53">
        <f t="shared" si="2"/>
        <v>31</v>
      </c>
      <c r="W53">
        <f t="shared" si="3"/>
        <v>8.7266462599716474E-2</v>
      </c>
      <c r="X53">
        <f t="shared" si="4"/>
        <v>121</v>
      </c>
    </row>
    <row r="54" spans="1:24" x14ac:dyDescent="0.25">
      <c r="A54">
        <f t="shared" si="5"/>
        <v>20</v>
      </c>
      <c r="B54">
        <f>'Linear distribution and flux'!F27</f>
        <v>111.00572146838286</v>
      </c>
      <c r="D54">
        <f>'Lambertian dist and flux'!F26</f>
        <v>44.879597848529286</v>
      </c>
      <c r="F54">
        <f t="shared" si="0"/>
        <v>-66.126123619853573</v>
      </c>
      <c r="G54">
        <f t="shared" si="1"/>
        <v>66.126123619853573</v>
      </c>
      <c r="H54">
        <f t="array" ref="H54">IF( INDEX($A$34:$A$124,$A$30+2,0) &gt; A54, ((SUM(B53:B54)-SUM(D53:D54))/$A$32),0)</f>
        <v>144.87243526713252</v>
      </c>
      <c r="J54" s="7"/>
      <c r="R54">
        <f t="shared" ca="1" si="6"/>
        <v>229.74738044595551</v>
      </c>
      <c r="T54">
        <f t="shared" si="7"/>
        <v>70</v>
      </c>
      <c r="U54">
        <v>10</v>
      </c>
      <c r="V54">
        <f t="shared" si="2"/>
        <v>30</v>
      </c>
      <c r="W54">
        <f t="shared" si="3"/>
        <v>8.7266462599716474E-2</v>
      </c>
      <c r="X54">
        <f t="shared" si="4"/>
        <v>120</v>
      </c>
    </row>
    <row r="55" spans="1:24" x14ac:dyDescent="0.25">
      <c r="A55">
        <f t="shared" si="5"/>
        <v>21</v>
      </c>
      <c r="B55">
        <f>'Linear distribution and flux'!F28</f>
        <v>114.53455106920933</v>
      </c>
      <c r="D55">
        <f>'Lambertian dist and flux'!F27</f>
        <v>46.718872717805866</v>
      </c>
      <c r="F55">
        <f t="shared" si="0"/>
        <v>-67.815678351403463</v>
      </c>
      <c r="G55">
        <f t="shared" si="1"/>
        <v>67.815678351403463</v>
      </c>
      <c r="H55">
        <f t="array" ref="H55">IF( INDEX($A$34:$A$124,$A$30+2,0) &gt; A55, ((SUM(B54:B55)-SUM(D54:D55))/$A$32),0)</f>
        <v>148.82422441250782</v>
      </c>
      <c r="J55" s="7"/>
      <c r="R55">
        <f t="shared" ca="1" si="6"/>
        <v>220.29920632735787</v>
      </c>
      <c r="T55">
        <f t="shared" si="7"/>
        <v>69</v>
      </c>
      <c r="U55">
        <v>10</v>
      </c>
      <c r="V55">
        <f t="shared" si="2"/>
        <v>29.5</v>
      </c>
      <c r="W55">
        <f t="shared" si="3"/>
        <v>8.7266462599716474E-2</v>
      </c>
      <c r="X55">
        <f t="shared" si="4"/>
        <v>119.5</v>
      </c>
    </row>
    <row r="56" spans="1:24" x14ac:dyDescent="0.25">
      <c r="A56">
        <f t="shared" si="5"/>
        <v>22</v>
      </c>
      <c r="B56">
        <f>'Linear distribution and flux'!F29</f>
        <v>117.81078771064308</v>
      </c>
      <c r="D56">
        <f>'Lambertian dist and flux'!F28</f>
        <v>48.501227837166468</v>
      </c>
      <c r="F56">
        <f t="shared" si="0"/>
        <v>-69.309559873476616</v>
      </c>
      <c r="G56">
        <f t="shared" si="1"/>
        <v>69.309559873476616</v>
      </c>
      <c r="H56">
        <f t="array" ref="H56">IF( INDEX($A$34:$A$124,$A$30+2,0) &gt; A56, ((SUM(B55:B56)-SUM(D55:D56))/$A$32),0)</f>
        <v>152.36137580542228</v>
      </c>
      <c r="I56" s="7"/>
      <c r="R56" t="e">
        <f t="shared" ca="1" si="6"/>
        <v>#N/A</v>
      </c>
      <c r="T56">
        <f t="shared" si="7"/>
        <v>68</v>
      </c>
      <c r="U56">
        <v>11</v>
      </c>
      <c r="V56">
        <f t="shared" si="2"/>
        <v>28.5</v>
      </c>
      <c r="W56">
        <f t="shared" si="3"/>
        <v>8.7266462599716474E-2</v>
      </c>
      <c r="X56">
        <f t="shared" si="4"/>
        <v>118.5</v>
      </c>
    </row>
    <row r="57" spans="1:24" x14ac:dyDescent="0.25">
      <c r="A57">
        <f t="shared" si="5"/>
        <v>23</v>
      </c>
      <c r="B57">
        <f>'Linear distribution and flux'!F30</f>
        <v>120.81007059353763</v>
      </c>
      <c r="D57">
        <f>'Lambertian dist and flux'!F29</f>
        <v>50.224491681448896</v>
      </c>
      <c r="F57">
        <f t="shared" si="0"/>
        <v>-70.585578912088735</v>
      </c>
      <c r="G57">
        <f t="shared" si="1"/>
        <v>70.585578912088735</v>
      </c>
      <c r="H57">
        <f t="array" ref="H57">IF( INDEX($A$34:$A$124,$A$30+2,0) &gt; A57, ((SUM(B56:B57)-SUM(D56:D57))/$A$32),0)</f>
        <v>155.43904309507263</v>
      </c>
      <c r="I57" s="7"/>
      <c r="R57" t="e">
        <f t="shared" ca="1" si="6"/>
        <v>#N/A</v>
      </c>
      <c r="T57">
        <f t="shared" si="7"/>
        <v>67</v>
      </c>
      <c r="U57">
        <v>11</v>
      </c>
      <c r="V57">
        <f t="shared" si="2"/>
        <v>28</v>
      </c>
      <c r="W57">
        <f t="shared" si="3"/>
        <v>8.7266462599716474E-2</v>
      </c>
      <c r="X57">
        <f t="shared" si="4"/>
        <v>118</v>
      </c>
    </row>
    <row r="58" spans="1:24" x14ac:dyDescent="0.25">
      <c r="A58">
        <f t="shared" si="5"/>
        <v>24</v>
      </c>
      <c r="B58">
        <f>'Linear distribution and flux'!F31</f>
        <v>123.50357456006584</v>
      </c>
      <c r="D58">
        <f>'Lambertian dist and flux'!F30</f>
        <v>51.886564719107341</v>
      </c>
      <c r="F58">
        <f t="shared" si="0"/>
        <v>-71.617009840958502</v>
      </c>
      <c r="G58">
        <f t="shared" si="1"/>
        <v>71.617009840958502</v>
      </c>
      <c r="H58">
        <f t="array" ref="H58">IF( INDEX($A$34:$A$124,$A$30+2,0) &gt; A58, ((SUM(B57:B58)-SUM(D57:D58))/$A$32),0)</f>
        <v>158.00287639227471</v>
      </c>
      <c r="I58" s="7"/>
      <c r="R58" t="e">
        <f t="shared" ca="1" si="6"/>
        <v>#N/A</v>
      </c>
      <c r="T58">
        <f t="shared" si="7"/>
        <v>66</v>
      </c>
      <c r="U58">
        <v>12</v>
      </c>
      <c r="V58">
        <f t="shared" si="2"/>
        <v>27</v>
      </c>
      <c r="W58">
        <f t="shared" si="3"/>
        <v>8.7266462599716474E-2</v>
      </c>
      <c r="X58">
        <f t="shared" si="4"/>
        <v>117</v>
      </c>
    </row>
    <row r="59" spans="1:24" x14ac:dyDescent="0.25">
      <c r="A59">
        <f t="shared" si="5"/>
        <v>25</v>
      </c>
      <c r="B59">
        <f>'Linear distribution and flux'!F32</f>
        <v>125.85740683639067</v>
      </c>
      <c r="D59">
        <f>'Lambertian dist and flux'!F31</f>
        <v>53.48542197016814</v>
      </c>
      <c r="F59">
        <f t="shared" si="0"/>
        <v>-72.371984866222533</v>
      </c>
      <c r="G59">
        <f t="shared" si="1"/>
        <v>72.371984866222533</v>
      </c>
      <c r="H59">
        <f t="array" ref="H59">IF( INDEX($A$34:$A$124,$A$30+2,0) &gt; A59, ((SUM(B58:B59)-SUM(D58:D59))/$A$32),0)</f>
        <v>159.98777189686783</v>
      </c>
      <c r="I59" s="7"/>
      <c r="R59" t="e">
        <f t="shared" ca="1" si="6"/>
        <v>#N/A</v>
      </c>
      <c r="T59">
        <f t="shared" si="7"/>
        <v>65</v>
      </c>
      <c r="U59">
        <v>12</v>
      </c>
      <c r="V59">
        <f t="shared" si="2"/>
        <v>26.5</v>
      </c>
      <c r="W59">
        <f t="shared" si="3"/>
        <v>8.7266462599716474E-2</v>
      </c>
      <c r="X59">
        <f t="shared" si="4"/>
        <v>116.5</v>
      </c>
    </row>
    <row r="60" spans="1:24" x14ac:dyDescent="0.25">
      <c r="A60">
        <f t="shared" si="5"/>
        <v>26</v>
      </c>
      <c r="B60">
        <f>'Linear distribution and flux'!F33</f>
        <v>127.83190282809545</v>
      </c>
      <c r="D60">
        <f>'Lambertian dist and flux'!F32</f>
        <v>55.019115473355981</v>
      </c>
      <c r="F60">
        <f t="shared" si="0"/>
        <v>-72.81278735473947</v>
      </c>
      <c r="G60">
        <f t="shared" si="1"/>
        <v>72.81278735473947</v>
      </c>
      <c r="H60">
        <f t="array" ref="H60">IF( INDEX($A$34:$A$124,$A$30+2,0) &gt; A60, ((SUM(B59:B60)-SUM(D59:D60))/$A$32),0)</f>
        <v>161.31641357884666</v>
      </c>
      <c r="I60" s="7">
        <f t="array" aca="1" ref="I60" ca="1">IF(SUM(D59:INDIRECT(CELL("address",INDEX($D57:$D$124,(MATCH(N61,$D57:$D$124,0))-1)))) &gt;= K61,A59,0)</f>
        <v>0</v>
      </c>
      <c r="J60">
        <f t="shared" ref="J60:J91" ca="1" si="8">IF(I60 &lt;&gt; 0, 1,0)</f>
        <v>0</v>
      </c>
      <c r="K60">
        <f t="array" aca="1" ref="K60" ca="1">(IFERROR(IF(J60&lt;&gt;0,INDEX($H$35:INDIRECT($H$29),$H$35+L60),K61),"END OF LINE"))</f>
        <v>161.89757144915293</v>
      </c>
      <c r="L60">
        <f ca="1">IF(J60&lt;&gt;0,MAX(L61:$L$125)+1,$L$125)</f>
        <v>0</v>
      </c>
      <c r="N60">
        <f t="shared" ref="N60:N91" ca="1" si="9">IF(I60&lt;&gt;0,INDEX(D$34:D$124,MATCH(I60,$A$34:$A$124,0)),N61)</f>
        <v>56.485776659384555</v>
      </c>
      <c r="R60" t="e">
        <f t="shared" ca="1" si="6"/>
        <v>#N/A</v>
      </c>
      <c r="T60">
        <f t="shared" si="7"/>
        <v>64</v>
      </c>
      <c r="U60">
        <v>13</v>
      </c>
      <c r="V60">
        <f t="shared" si="2"/>
        <v>25.5</v>
      </c>
      <c r="W60">
        <f t="shared" si="3"/>
        <v>8.7266462599716474E-2</v>
      </c>
      <c r="X60">
        <f t="shared" si="4"/>
        <v>115.5</v>
      </c>
    </row>
    <row r="61" spans="1:24" x14ac:dyDescent="0.25">
      <c r="A61">
        <f t="shared" si="5"/>
        <v>27</v>
      </c>
      <c r="B61">
        <f>'Linear distribution and flux'!F34</f>
        <v>129.38080360888273</v>
      </c>
      <c r="D61">
        <f>'Lambertian dist and flux'!F33</f>
        <v>56.485776659384555</v>
      </c>
      <c r="F61">
        <f t="shared" si="0"/>
        <v>-72.895026949498174</v>
      </c>
      <c r="G61">
        <f t="shared" si="1"/>
        <v>72.895026949498174</v>
      </c>
      <c r="H61">
        <f t="array" ref="H61">IF( INDEX($A$34:$A$124,$A$30+2,0) &gt; A61, ((SUM(B60:B61)-SUM(D60:D61))/$A$32),0)</f>
        <v>161.89757144915293</v>
      </c>
      <c r="I61" s="7">
        <f t="array" aca="1" ref="I61" ca="1">IF(SUM(D60:INDIRECT(CELL("address",INDEX($D58:$D$124,(MATCH(N62,$D58:$D$124,0))-1)))) &gt;= K62,A60,0)</f>
        <v>0</v>
      </c>
      <c r="J61">
        <f t="shared" ca="1" si="8"/>
        <v>0</v>
      </c>
      <c r="K61">
        <f t="array" aca="1" ref="K61" ca="1">(IFERROR(IF(J61&lt;&gt;0,INDEX($H$35:INDIRECT($H$29),$H$35+L61),K62),"END OF LINE"))</f>
        <v>161.89757144915293</v>
      </c>
      <c r="L61">
        <f ca="1">IF(J61&lt;&gt;0,MAX(L62:$L$125)+1,$L$125)</f>
        <v>0</v>
      </c>
      <c r="N61">
        <f t="shared" ca="1" si="9"/>
        <v>56.485776659384555</v>
      </c>
      <c r="Q61">
        <f t="array" aca="1" ref="Q61" ca="1">IF(I61&lt;&gt;0, SUM(D60:INDIRECT(CELL("address",INDEX($D58:$D$124,(MATCH(N62,$D58:$D$124,0))-1)))),0)</f>
        <v>0</v>
      </c>
      <c r="R61" t="e">
        <f t="shared" ca="1" si="6"/>
        <v>#N/A</v>
      </c>
      <c r="T61">
        <f t="shared" si="7"/>
        <v>63</v>
      </c>
      <c r="U61">
        <v>13</v>
      </c>
      <c r="V61">
        <f t="shared" si="2"/>
        <v>25</v>
      </c>
      <c r="W61">
        <f t="shared" si="3"/>
        <v>8.7266462599716474E-2</v>
      </c>
      <c r="X61">
        <f t="shared" si="4"/>
        <v>115</v>
      </c>
    </row>
    <row r="62" spans="1:24" x14ac:dyDescent="0.25">
      <c r="A62">
        <f t="shared" si="5"/>
        <v>28</v>
      </c>
      <c r="B62">
        <f>'Linear distribution and flux'!F35</f>
        <v>130.45029437132138</v>
      </c>
      <c r="D62">
        <f>'Lambertian dist and flux'!F34</f>
        <v>57.883618627520576</v>
      </c>
      <c r="F62">
        <f t="shared" si="0"/>
        <v>-72.566675743800801</v>
      </c>
      <c r="G62">
        <f t="shared" si="1"/>
        <v>72.566675743800801</v>
      </c>
      <c r="H62">
        <f t="array" ref="H62">IF( INDEX($A$34:$A$124,$A$30+2,0) &gt; A62, ((SUM(B61:B62)-SUM(D61:D62))/$A$32),0)</f>
        <v>161.62411410366553</v>
      </c>
      <c r="I62" s="7">
        <f t="array" aca="1" ref="I62" ca="1">IF(SUM(D61:INDIRECT(CELL("address",INDEX($D59:$D$124,(MATCH(N63,$D59:$D$124,0))-1)))) &gt;= K63,A61,0)</f>
        <v>27</v>
      </c>
      <c r="J62">
        <f t="shared" ca="1" si="8"/>
        <v>1</v>
      </c>
      <c r="K62">
        <f t="array" aca="1" ref="K62" ca="1">(IFERROR(IF(J62&lt;&gt;0,INDEX($H$35:INDIRECT($H$29),$H$35+L62),K63),"END OF LINE"))</f>
        <v>161.89757144915293</v>
      </c>
      <c r="L62">
        <f ca="1">IF(J62&lt;&gt;0,MAX(L63:$L$125)+1,$L$125)</f>
        <v>22</v>
      </c>
      <c r="N62">
        <f t="shared" ca="1" si="9"/>
        <v>56.485776659384555</v>
      </c>
      <c r="Q62">
        <f t="array" aca="1" ref="Q62" ca="1">IF(I62&lt;&gt;0, SUM(D61:INDIRECT(CELL("address",INDEX($D59:$D$124,(MATCH(N63,$D59:$D$124,0))-1)))),0)</f>
        <v>173.58033360955199</v>
      </c>
      <c r="R62" t="e">
        <f t="shared" ca="1" si="6"/>
        <v>#N/A</v>
      </c>
      <c r="T62">
        <f t="shared" si="7"/>
        <v>62</v>
      </c>
      <c r="U62">
        <v>14</v>
      </c>
      <c r="V62">
        <f t="shared" si="2"/>
        <v>24</v>
      </c>
      <c r="W62">
        <f t="shared" si="3"/>
        <v>8.7266462599716474E-2</v>
      </c>
      <c r="X62">
        <f t="shared" si="4"/>
        <v>114</v>
      </c>
    </row>
    <row r="63" spans="1:24" x14ac:dyDescent="0.25">
      <c r="A63">
        <f t="shared" si="5"/>
        <v>29</v>
      </c>
      <c r="B63">
        <f>'Linear distribution and flux'!F36</f>
        <v>130.97787902923298</v>
      </c>
      <c r="D63">
        <f>'Lambertian dist and flux'!F35</f>
        <v>59.210938322646868</v>
      </c>
      <c r="F63">
        <f t="shared" si="0"/>
        <v>-71.766940706586112</v>
      </c>
      <c r="G63">
        <f t="shared" si="1"/>
        <v>71.766940706586112</v>
      </c>
      <c r="H63">
        <f t="array" ref="H63">IF( INDEX($A$34:$A$124,$A$30+2,0) &gt; A63, ((SUM(B62:B63)-SUM(D62:D63))/$A$32),0)</f>
        <v>160.37068494487434</v>
      </c>
      <c r="I63" s="7">
        <f t="array" aca="1" ref="I63" ca="1">IF(SUM(D62:INDIRECT(CELL("address",INDEX($D60:$D$124,(MATCH(N64,$D60:$D$124,0))-1)))) &gt;= K64,A62,0)</f>
        <v>0</v>
      </c>
      <c r="J63">
        <f t="shared" ca="1" si="8"/>
        <v>0</v>
      </c>
      <c r="K63">
        <f t="array" aca="1" ref="K63" ca="1">(IFERROR(IF(J63&lt;&gt;0,INDEX($H$35:INDIRECT($H$29),$H$35+L63),K64),"END OF LINE"))</f>
        <v>161.31641357884666</v>
      </c>
      <c r="L63">
        <f ca="1">IF(J63&lt;&gt;0,MAX(L64:$L$125)+1,$L$125)</f>
        <v>0</v>
      </c>
      <c r="N63">
        <f t="shared" ca="1" si="9"/>
        <v>60.46611861017287</v>
      </c>
      <c r="Q63">
        <f t="array" aca="1" ref="Q63" ca="1">IF(I63&lt;&gt;0, SUM(D62:INDIRECT(CELL("address",INDEX($D60:$D$124,(MATCH(N64,$D60:$D$124,0))-1)))),0)</f>
        <v>0</v>
      </c>
      <c r="R63" t="e">
        <f t="shared" ca="1" si="6"/>
        <v>#N/A</v>
      </c>
      <c r="T63">
        <f t="shared" si="7"/>
        <v>61</v>
      </c>
      <c r="U63">
        <v>14</v>
      </c>
      <c r="V63">
        <f t="shared" si="2"/>
        <v>23.5</v>
      </c>
      <c r="W63">
        <f t="shared" si="3"/>
        <v>8.7266462599716474E-2</v>
      </c>
      <c r="X63">
        <f t="shared" si="4"/>
        <v>113.5</v>
      </c>
    </row>
    <row r="64" spans="1:24" x14ac:dyDescent="0.25">
      <c r="A64">
        <f t="shared" si="5"/>
        <v>30</v>
      </c>
      <c r="B64">
        <f>'Linear distribution and flux'!F37</f>
        <v>130.89106121153279</v>
      </c>
      <c r="D64">
        <f>'Lambertian dist and flux'!F36</f>
        <v>60.46611861017287</v>
      </c>
      <c r="F64">
        <f t="shared" si="0"/>
        <v>-70.424942601359916</v>
      </c>
      <c r="G64">
        <f t="shared" si="1"/>
        <v>70.424942601359916</v>
      </c>
      <c r="H64">
        <f t="array" ref="H64">IF( INDEX($A$34:$A$124,$A$30+2,0) &gt; A64, ((SUM(B63:B64)-SUM(D63:D64))/$A$32),0)</f>
        <v>157.99098145327335</v>
      </c>
      <c r="I64" s="7">
        <f t="array" aca="1" ref="I64" ca="1">IF(SUM(D63:INDIRECT(CELL("address",INDEX($D61:$D$124,(MATCH(N65,$D61:$D$124,0))-1)))) &gt;= K65,A63,0)</f>
        <v>0</v>
      </c>
      <c r="J64">
        <f t="shared" ca="1" si="8"/>
        <v>0</v>
      </c>
      <c r="K64">
        <f t="array" aca="1" ref="K64" ca="1">(IFERROR(IF(J64&lt;&gt;0,INDEX($H$35:INDIRECT($H$29),$H$35+L64),K65),"END OF LINE"))</f>
        <v>161.31641357884666</v>
      </c>
      <c r="L64">
        <f ca="1">IF(J64&lt;&gt;0,MAX(L65:$L$125)+1,$L$125)</f>
        <v>0</v>
      </c>
      <c r="N64">
        <f t="shared" ca="1" si="9"/>
        <v>60.46611861017287</v>
      </c>
      <c r="Q64">
        <f t="array" aca="1" ref="Q64" ca="1">IF(I64&lt;&gt;0, SUM(D63:INDIRECT(CELL("address",INDEX($D61:$D$124,(MATCH(N65,$D61:$D$124,0))-1)))),0)</f>
        <v>0</v>
      </c>
      <c r="R64" t="e">
        <f t="shared" ca="1" si="6"/>
        <v>#N/A</v>
      </c>
      <c r="T64">
        <f t="shared" si="7"/>
        <v>60</v>
      </c>
      <c r="U64">
        <v>15</v>
      </c>
      <c r="V64">
        <f t="shared" si="2"/>
        <v>22.5</v>
      </c>
      <c r="W64">
        <f t="shared" si="3"/>
        <v>8.7266462599716474E-2</v>
      </c>
      <c r="X64">
        <f t="shared" si="4"/>
        <v>112.5</v>
      </c>
    </row>
    <row r="65" spans="1:24" x14ac:dyDescent="0.25">
      <c r="A65">
        <f t="shared" si="5"/>
        <v>31</v>
      </c>
      <c r="B65">
        <f>'Linear distribution and flux'!F38</f>
        <v>130.105795863011</v>
      </c>
      <c r="D65">
        <f>'Lambertian dist and flux'!F37</f>
        <v>61.647630246263944</v>
      </c>
      <c r="F65">
        <f t="shared" si="0"/>
        <v>-68.458165616747053</v>
      </c>
      <c r="G65">
        <f t="shared" si="1"/>
        <v>68.458165616747053</v>
      </c>
      <c r="H65">
        <f t="array" ref="H65">IF( INDEX($A$34:$A$124,$A$30+2,0) &gt; A65, ((SUM(B64:B65)-SUM(D64:D65))/$A$32),0)</f>
        <v>154.31456468678547</v>
      </c>
      <c r="I65" s="7">
        <f t="array" aca="1" ref="I65" ca="1">IF(SUM(D64:INDIRECT(CELL("address",INDEX($D62:$D$124,(MATCH(N66,$D62:$D$124,0))-1)))) &gt;= K66,A64,0)</f>
        <v>30</v>
      </c>
      <c r="J65">
        <f t="shared" ca="1" si="8"/>
        <v>1</v>
      </c>
      <c r="K65">
        <f t="array" aca="1" ref="K65" ca="1">(IFERROR(IF(J65&lt;&gt;0,INDEX($H$35:INDIRECT($H$29),$H$35+L65),K66),"END OF LINE"))</f>
        <v>161.31641357884666</v>
      </c>
      <c r="L65">
        <f ca="1">IF(J65&lt;&gt;0,MAX(L66:$L$125)+1,$L$125)</f>
        <v>21</v>
      </c>
      <c r="N65">
        <f t="shared" ca="1" si="9"/>
        <v>60.46611861017287</v>
      </c>
      <c r="Q65">
        <f t="array" aca="1" ref="Q65" ca="1">IF(I65&lt;&gt;0, SUM(D64:INDIRECT(CELL("address",INDEX($D62:$D$124,(MATCH(N66,$D62:$D$124,0))-1)))),0)</f>
        <v>184.86778259742621</v>
      </c>
      <c r="R65" t="e">
        <f t="shared" ca="1" si="6"/>
        <v>#N/A</v>
      </c>
      <c r="T65">
        <f t="shared" si="7"/>
        <v>59</v>
      </c>
      <c r="U65">
        <v>15</v>
      </c>
      <c r="V65">
        <f t="shared" si="2"/>
        <v>22</v>
      </c>
      <c r="W65">
        <f t="shared" si="3"/>
        <v>8.7266462599716474E-2</v>
      </c>
      <c r="X65">
        <f t="shared" si="4"/>
        <v>112</v>
      </c>
    </row>
    <row r="66" spans="1:24" x14ac:dyDescent="0.25">
      <c r="A66">
        <f t="shared" si="5"/>
        <v>32</v>
      </c>
      <c r="B66">
        <f>'Linear distribution and flux'!F39</f>
        <v>128.52466831276641</v>
      </c>
      <c r="D66">
        <f>'Lambertian dist and flux'!F38</f>
        <v>62.754033740989406</v>
      </c>
      <c r="F66">
        <f t="shared" ref="F66:F97" si="10">D66-B66</f>
        <v>-65.770634571777009</v>
      </c>
      <c r="G66">
        <f t="shared" ref="G66:G97" si="11">IF(B66&gt;D66,ABS(D66-B66), D66-B66)</f>
        <v>65.770634571777009</v>
      </c>
      <c r="H66">
        <f t="array" ref="H66">IF( INDEX($A$34:$A$124,$A$30+2,0) &gt; A66, ((SUM(B65:B66)-SUM(D65:D66))/$A$32),0)</f>
        <v>149.14311132058231</v>
      </c>
      <c r="I66" s="7">
        <f t="array" aca="1" ref="I66" ca="1">IF(SUM(D65:INDIRECT(CELL("address",INDEX($D63:$D$124,(MATCH(N67,$D63:$D$124,0))-1)))) &gt;= K67,A65,0)</f>
        <v>0</v>
      </c>
      <c r="J66">
        <f t="shared" ca="1" si="8"/>
        <v>0</v>
      </c>
      <c r="K66">
        <f t="array" aca="1" ref="K66" ca="1">(IFERROR(IF(J66&lt;&gt;0,INDEX($H$35:INDIRECT($H$29),$H$35+L66),K67),"END OF LINE"))</f>
        <v>159.98777189686783</v>
      </c>
      <c r="L66">
        <f ca="1">IF(J66&lt;&gt;0,MAX(L67:$L$125)+1,$L$125)</f>
        <v>0</v>
      </c>
      <c r="N66">
        <f t="shared" ca="1" si="9"/>
        <v>63.783981112119349</v>
      </c>
      <c r="Q66">
        <f t="array" aca="1" ref="Q66" ca="1">IF(I66&lt;&gt;0, SUM(D65:INDIRECT(CELL("address",INDEX($D63:$D$124,(MATCH(N67,$D63:$D$124,0))-1)))),0)</f>
        <v>0</v>
      </c>
      <c r="R66" t="e">
        <f t="shared" ca="1" si="6"/>
        <v>#N/A</v>
      </c>
      <c r="T66">
        <f t="shared" si="7"/>
        <v>58</v>
      </c>
      <c r="U66">
        <v>16</v>
      </c>
      <c r="V66">
        <f t="shared" si="2"/>
        <v>21</v>
      </c>
      <c r="W66">
        <f t="shared" si="3"/>
        <v>8.7266462599716474E-2</v>
      </c>
      <c r="X66">
        <f t="shared" si="4"/>
        <v>111</v>
      </c>
    </row>
    <row r="67" spans="1:24" x14ac:dyDescent="0.25">
      <c r="A67">
        <f t="shared" ref="A67:A98" si="12">A66+1</f>
        <v>33</v>
      </c>
      <c r="B67">
        <f>'Linear distribution and flux'!F40</f>
        <v>126.03474866360133</v>
      </c>
      <c r="D67">
        <f>'Lambertian dist and flux'!F39</f>
        <v>63.783981112119349</v>
      </c>
      <c r="F67">
        <f t="shared" si="10"/>
        <v>-62.250767551481985</v>
      </c>
      <c r="G67">
        <f t="shared" si="11"/>
        <v>62.250767551481985</v>
      </c>
      <c r="H67">
        <f t="array" ref="H67">IF( INDEX($A$34:$A$124,$A$30+2,0) &gt; A67, ((SUM(B66:B67)-SUM(D66:D67))/$A$32),0)</f>
        <v>142.24600235917663</v>
      </c>
      <c r="I67" s="7">
        <f t="array" aca="1" ref="I67" ca="1">IF(SUM(D66:INDIRECT(CELL("address",INDEX($D64:$D$124,(MATCH(N68,$D64:$D$124,0))-1)))) &gt;= K68,A66,0)</f>
        <v>0</v>
      </c>
      <c r="J67">
        <f t="shared" ca="1" si="8"/>
        <v>0</v>
      </c>
      <c r="K67">
        <f t="array" aca="1" ref="K67" ca="1">(IFERROR(IF(J67&lt;&gt;0,INDEX($H$35:INDIRECT($H$29),$H$35+L67),K68),"END OF LINE"))</f>
        <v>159.98777189686783</v>
      </c>
      <c r="L67">
        <f ca="1">IF(J67&lt;&gt;0,MAX(L68:$L$125)+1,$L$125)</f>
        <v>0</v>
      </c>
      <c r="N67">
        <f t="shared" ca="1" si="9"/>
        <v>63.783981112119349</v>
      </c>
      <c r="O67" s="8"/>
      <c r="Q67">
        <f t="array" aca="1" ref="Q67" ca="1">IF(I67&lt;&gt;0, SUM(D66:INDIRECT(CELL("address",INDEX($D64:$D$124,(MATCH(N68,$D64:$D$124,0))-1)))),0)</f>
        <v>0</v>
      </c>
      <c r="R67" t="e">
        <f t="shared" ref="R67:R98" ca="1" si="13">IF(H67&lt;&gt; 0,D67+ INDEX($Q$34:$Q$125,(MATCH(A68,$L$34:$L$125,0) )),0)</f>
        <v>#N/A</v>
      </c>
      <c r="T67">
        <f t="shared" si="7"/>
        <v>57</v>
      </c>
      <c r="U67">
        <v>16</v>
      </c>
      <c r="V67">
        <f t="shared" si="2"/>
        <v>20.5</v>
      </c>
      <c r="W67">
        <f t="shared" si="3"/>
        <v>8.7266462599716474E-2</v>
      </c>
      <c r="X67">
        <f t="shared" si="4"/>
        <v>110.5</v>
      </c>
    </row>
    <row r="68" spans="1:24" x14ac:dyDescent="0.25">
      <c r="A68">
        <f t="shared" si="12"/>
        <v>34</v>
      </c>
      <c r="B68">
        <f>'Linear distribution and flux'!F41</f>
        <v>122.50505828850686</v>
      </c>
      <c r="D68">
        <f>'Lambertian dist and flux'!F40</f>
        <v>64.736217527433269</v>
      </c>
      <c r="F68">
        <f t="shared" si="10"/>
        <v>-57.768840761073591</v>
      </c>
      <c r="G68">
        <f t="shared" si="11"/>
        <v>57.768840761073591</v>
      </c>
      <c r="H68">
        <f t="array" ref="H68">IF( INDEX($A$34:$A$124,$A$30+2,0) &gt; A68, ((SUM(B67:B68)-SUM(D67:D68))/$A$32),0)</f>
        <v>133.35512034728396</v>
      </c>
      <c r="I68" s="7">
        <f t="array" aca="1" ref="I68" ca="1">IF(SUM(D67:INDIRECT(CELL("address",INDEX($D65:$D$124,(MATCH(N69,$D65:$D$124,0))-1)))) &gt;= K69,A67,0)</f>
        <v>33</v>
      </c>
      <c r="J68">
        <f t="shared" ca="1" si="8"/>
        <v>1</v>
      </c>
      <c r="K68">
        <f t="array" aca="1" ref="K68" ca="1">(IFERROR(IF(J68&lt;&gt;0,INDEX($H$35:INDIRECT($H$29),$H$35+L68),K69),"END OF LINE"))</f>
        <v>159.98777189686783</v>
      </c>
      <c r="L68">
        <f ca="1">IF(J68&lt;&gt;0,MAX(L69:$L$125)+1,$L$125)</f>
        <v>20</v>
      </c>
      <c r="N68">
        <f t="shared" ca="1" si="9"/>
        <v>63.783981112119349</v>
      </c>
      <c r="O68" s="8"/>
      <c r="Q68">
        <f t="array" aca="1" ref="Q68" ca="1">IF(I68&lt;&gt;0, SUM(D67:INDIRECT(CELL("address",INDEX($D65:$D$124,(MATCH(N69,$D65:$D$124,0))-1)))),0)</f>
        <v>194.12978147309252</v>
      </c>
      <c r="R68" t="e">
        <f t="shared" ca="1" si="13"/>
        <v>#N/A</v>
      </c>
      <c r="T68">
        <f t="shared" si="7"/>
        <v>56</v>
      </c>
      <c r="U68">
        <v>17</v>
      </c>
      <c r="V68">
        <f t="shared" si="2"/>
        <v>19.5</v>
      </c>
      <c r="W68">
        <f t="shared" si="3"/>
        <v>8.7266462599716474E-2</v>
      </c>
      <c r="X68">
        <f t="shared" si="4"/>
        <v>109.5</v>
      </c>
    </row>
    <row r="69" spans="1:24" x14ac:dyDescent="0.25">
      <c r="A69">
        <f t="shared" si="12"/>
        <v>35</v>
      </c>
      <c r="B69">
        <f>'Linear distribution and flux'!F42</f>
        <v>117.78357157695558</v>
      </c>
      <c r="D69">
        <f>'Lambertian dist and flux'!F41</f>
        <v>65.609582833539875</v>
      </c>
      <c r="F69">
        <f t="shared" si="10"/>
        <v>-52.173988743415705</v>
      </c>
      <c r="G69">
        <f t="shared" si="11"/>
        <v>52.173988743415705</v>
      </c>
      <c r="H69">
        <f t="array" ref="H69">IF( INDEX($A$34:$A$124,$A$30+2,0) &gt; A69, ((SUM(B68:B69)-SUM(D68:D69))/$A$32),0)</f>
        <v>122.15869944943253</v>
      </c>
      <c r="I69" s="7">
        <f t="array" aca="1" ref="I69" ca="1">IF(SUM(D68:INDIRECT(CELL("address",INDEX($D66:$D$124,(MATCH(N70,$D66:$D$124,0))-1)))) &gt;= K70,A68,0)</f>
        <v>0</v>
      </c>
      <c r="J69">
        <f t="shared" ca="1" si="8"/>
        <v>0</v>
      </c>
      <c r="K69">
        <f t="array" aca="1" ref="K69" ca="1">(IFERROR(IF(J69&lt;&gt;0,INDEX($H$35:INDIRECT($H$29),$H$35+L69),K70),"END OF LINE"))</f>
        <v>158.00287639227471</v>
      </c>
      <c r="L69">
        <f ca="1">IF(J69&lt;&gt;0,MAX(L70:$L$125)+1,$L$125)</f>
        <v>0</v>
      </c>
      <c r="N69">
        <f t="shared" ca="1" si="9"/>
        <v>66.403012969345298</v>
      </c>
      <c r="O69" s="8"/>
      <c r="Q69">
        <f t="array" aca="1" ref="Q69" ca="1">IF(I69&lt;&gt;0, SUM(D68:INDIRECT(CELL("address",INDEX($D66:$D$124,(MATCH(N70,$D66:$D$124,0))-1)))),0)</f>
        <v>0</v>
      </c>
      <c r="R69" t="e">
        <f t="shared" ca="1" si="13"/>
        <v>#N/A</v>
      </c>
      <c r="T69">
        <f t="shared" si="7"/>
        <v>55</v>
      </c>
      <c r="U69">
        <v>17</v>
      </c>
      <c r="V69">
        <f t="shared" si="2"/>
        <v>19</v>
      </c>
      <c r="W69">
        <f t="shared" si="3"/>
        <v>8.7266462599716474E-2</v>
      </c>
      <c r="X69">
        <f t="shared" si="4"/>
        <v>109</v>
      </c>
    </row>
    <row r="70" spans="1:24" x14ac:dyDescent="0.25">
      <c r="A70">
        <f t="shared" si="12"/>
        <v>36</v>
      </c>
      <c r="B70">
        <f>'Linear distribution and flux'!F43</f>
        <v>111.6936591964114</v>
      </c>
      <c r="D70">
        <f>'Lambertian dist and flux'!F42</f>
        <v>66.403012969345298</v>
      </c>
      <c r="F70">
        <f t="shared" si="10"/>
        <v>-45.290646227066105</v>
      </c>
      <c r="G70">
        <f t="shared" si="11"/>
        <v>45.290646227066105</v>
      </c>
      <c r="H70">
        <f t="array" ref="H70">IF( INDEX($A$34:$A$124,$A$30+2,0) &gt; A70, ((SUM(B69:B70)-SUM(D69:D70))/$A$32),0)</f>
        <v>108.29403885609088</v>
      </c>
      <c r="I70" s="7">
        <f t="array" aca="1" ref="I70" ca="1">IF(SUM(D69:INDIRECT(CELL("address",INDEX($D67:$D$124,(MATCH(N71,$D67:$D$124,0))-1)))) &gt;= K71,A69,0)</f>
        <v>0</v>
      </c>
      <c r="J70">
        <f t="shared" ca="1" si="8"/>
        <v>0</v>
      </c>
      <c r="K70">
        <f t="array" aca="1" ref="K70" ca="1">(IFERROR(IF(J70&lt;&gt;0,INDEX($H$35:INDIRECT($H$29),$H$35+L70),K71),"END OF LINE"))</f>
        <v>158.00287639227471</v>
      </c>
      <c r="L70">
        <f ca="1">IF(J70&lt;&gt;0,MAX(L71:$L$125)+1,$L$125)</f>
        <v>0</v>
      </c>
      <c r="N70">
        <f t="shared" ca="1" si="9"/>
        <v>66.403012969345298</v>
      </c>
      <c r="O70" s="8"/>
      <c r="Q70">
        <f t="array" aca="1" ref="Q70" ca="1">IF(I70&lt;&gt;0, SUM(D69:INDIRECT(CELL("address",INDEX($D67:$D$124,(MATCH(N71,$D67:$D$124,0))-1)))),0)</f>
        <v>0</v>
      </c>
      <c r="R70" t="e">
        <f t="shared" ca="1" si="13"/>
        <v>#N/A</v>
      </c>
      <c r="T70">
        <f t="shared" si="7"/>
        <v>54</v>
      </c>
      <c r="U70">
        <v>17</v>
      </c>
      <c r="V70">
        <f t="shared" si="2"/>
        <v>18.5</v>
      </c>
      <c r="W70">
        <f t="shared" si="3"/>
        <v>8.7266462599716474E-2</v>
      </c>
      <c r="X70">
        <f t="shared" si="4"/>
        <v>108.5</v>
      </c>
    </row>
    <row r="71" spans="1:24" x14ac:dyDescent="0.25">
      <c r="A71">
        <f t="shared" si="12"/>
        <v>37</v>
      </c>
      <c r="B71">
        <f>'Linear distribution and flux'!F44</f>
        <v>104.02985818236168</v>
      </c>
      <c r="D71">
        <f>'Lambertian dist and flux'!F43</f>
        <v>67.115541262447579</v>
      </c>
      <c r="F71">
        <f t="shared" si="10"/>
        <v>-36.9143169199141</v>
      </c>
      <c r="G71">
        <f t="shared" si="11"/>
        <v>36.9143169199141</v>
      </c>
      <c r="H71">
        <f t="array" ref="H71">IF( INDEX($A$34:$A$124,$A$30+2,0) &gt; A71, ((SUM(B70:B71)-SUM(D70:D71))/$A$32),0)</f>
        <v>91.338847941089099</v>
      </c>
      <c r="I71" s="7">
        <f t="array" aca="1" ref="I71" ca="1">IF(SUM(D70:INDIRECT(CELL("address",INDEX($D68:$D$124,(MATCH(N72,$D68:$D$124,0))-1)))) &gt;= K72,A70,0)</f>
        <v>36</v>
      </c>
      <c r="J71">
        <f t="shared" ca="1" si="8"/>
        <v>1</v>
      </c>
      <c r="K71">
        <f t="array" aca="1" ref="K71" ca="1">(IFERROR(IF(J71&lt;&gt;0,INDEX($H$35:INDIRECT($H$29),$H$35+L71),K72),"END OF LINE"))</f>
        <v>158.00287639227471</v>
      </c>
      <c r="L71">
        <f ca="1">IF(J71&lt;&gt;0,MAX(L72:$L$125)+1,$L$125)</f>
        <v>19</v>
      </c>
      <c r="N71">
        <f t="shared" ca="1" si="9"/>
        <v>66.403012969345298</v>
      </c>
      <c r="O71" s="8"/>
      <c r="Q71">
        <f t="array" aca="1" ref="Q71" ca="1">IF(I71&lt;&gt;0, SUM(D70:INDIRECT(CELL("address",INDEX($D68:$D$124,(MATCH(N72,$D68:$D$124,0))-1)))),0)</f>
        <v>201.26485383867106</v>
      </c>
      <c r="R71" t="e">
        <f t="shared" ca="1" si="13"/>
        <v>#N/A</v>
      </c>
      <c r="T71">
        <f t="shared" si="7"/>
        <v>53</v>
      </c>
      <c r="U71">
        <v>18</v>
      </c>
      <c r="V71">
        <f t="shared" si="2"/>
        <v>17.5</v>
      </c>
      <c r="W71">
        <f t="shared" si="3"/>
        <v>8.7266462599716474E-2</v>
      </c>
      <c r="X71">
        <f t="shared" si="4"/>
        <v>107.5</v>
      </c>
    </row>
    <row r="72" spans="1:24" x14ac:dyDescent="0.25">
      <c r="A72">
        <f t="shared" si="12"/>
        <v>38</v>
      </c>
      <c r="B72">
        <f>'Linear distribution and flux'!F45</f>
        <v>94.552828063638401</v>
      </c>
      <c r="D72">
        <f>'Lambertian dist and flux'!F44</f>
        <v>67.746299606878196</v>
      </c>
      <c r="F72">
        <f t="shared" si="10"/>
        <v>-26.806528456760205</v>
      </c>
      <c r="G72">
        <f t="shared" si="11"/>
        <v>26.806528456760205</v>
      </c>
      <c r="H72">
        <f t="array" ref="H72">IF( INDEX($A$34:$A$124,$A$30+2,0) &gt; A72, ((SUM(B71:B72)-SUM(D71:D72))/$A$32),0)</f>
        <v>70.800939307415931</v>
      </c>
      <c r="I72" s="7">
        <f t="array" aca="1" ref="I72" ca="1">IF(SUM(D71:INDIRECT(CELL("address",INDEX($D69:$D$124,(MATCH(N73,$D69:$D$124,0))-1)))) &gt;= K73,A71,0)</f>
        <v>0</v>
      </c>
      <c r="J72">
        <f t="shared" ca="1" si="8"/>
        <v>0</v>
      </c>
      <c r="K72">
        <f t="array" aca="1" ref="K72" ca="1">(IFERROR(IF(J72&lt;&gt;0,INDEX($H$35:INDIRECT($H$29),$H$35+L72),K73),"END OF LINE"))</f>
        <v>155.43904309507263</v>
      </c>
      <c r="L72">
        <f ca="1">IF(J72&lt;&gt;0,MAX(L73:$L$125)+1,$L$125)</f>
        <v>0</v>
      </c>
      <c r="N72">
        <f t="shared" ca="1" si="9"/>
        <v>68.294519520755273</v>
      </c>
      <c r="O72" s="8"/>
      <c r="Q72">
        <f t="array" aca="1" ref="Q72" ca="1">IF(I72&lt;&gt;0, SUM(D71:INDIRECT(CELL("address",INDEX($D69:$D$124,(MATCH(N73,$D69:$D$124,0))-1)))),0)</f>
        <v>0</v>
      </c>
      <c r="R72" t="e">
        <f t="shared" ca="1" si="13"/>
        <v>#N/A</v>
      </c>
      <c r="T72">
        <f t="shared" si="7"/>
        <v>52</v>
      </c>
      <c r="U72">
        <v>18</v>
      </c>
      <c r="V72">
        <f t="shared" si="2"/>
        <v>17</v>
      </c>
      <c r="W72">
        <f t="shared" si="3"/>
        <v>8.7266462599716474E-2</v>
      </c>
      <c r="X72">
        <f t="shared" si="4"/>
        <v>107</v>
      </c>
    </row>
    <row r="73" spans="1:24" x14ac:dyDescent="0.25">
      <c r="A73">
        <f t="shared" si="12"/>
        <v>39</v>
      </c>
      <c r="B73">
        <f>'Linear distribution and flux'!F46</f>
        <v>82.98331957661614</v>
      </c>
      <c r="D73">
        <f>'Lambertian dist and flux'!F45</f>
        <v>68.294519520755273</v>
      </c>
      <c r="F73">
        <f t="shared" si="10"/>
        <v>-14.688800055860867</v>
      </c>
      <c r="G73">
        <f t="shared" si="11"/>
        <v>14.688800055860867</v>
      </c>
      <c r="H73">
        <f t="array" ref="H73">IF( INDEX($A$34:$A$124,$A$30+2,0) &gt; A73, ((SUM(B72:B73)-SUM(D72:D73))/$A$32),0)</f>
        <v>46.105920569578949</v>
      </c>
      <c r="I73" s="7">
        <f t="array" aca="1" ref="I73" ca="1">IF(SUM(D72:INDIRECT(CELL("address",INDEX($D70:$D$124,(MATCH(N74,$D70:$D$124,0))-1)))) &gt;= K74,A72,0)</f>
        <v>0</v>
      </c>
      <c r="J73">
        <f t="shared" ca="1" si="8"/>
        <v>0</v>
      </c>
      <c r="K73">
        <f t="array" aca="1" ref="K73" ca="1">(IFERROR(IF(J73&lt;&gt;0,INDEX($H$35:INDIRECT($H$29),$H$35+L73),K74),"END OF LINE"))</f>
        <v>155.43904309507263</v>
      </c>
      <c r="L73">
        <f ca="1">IF(J73&lt;&gt;0,MAX(L74:$L$125)+1,$L$125)</f>
        <v>0</v>
      </c>
      <c r="N73">
        <f t="shared" ca="1" si="9"/>
        <v>68.294519520755273</v>
      </c>
      <c r="O73" s="8"/>
      <c r="Q73">
        <f t="array" aca="1" ref="Q73" ca="1">IF(I73&lt;&gt;0, SUM(D72:INDIRECT(CELL("address",INDEX($D70:$D$124,(MATCH(N74,$D70:$D$124,0))-1)))),0)</f>
        <v>0</v>
      </c>
      <c r="R73" t="e">
        <f t="shared" ca="1" si="13"/>
        <v>#N/A</v>
      </c>
      <c r="T73">
        <f t="shared" si="7"/>
        <v>51</v>
      </c>
      <c r="U73">
        <v>18</v>
      </c>
      <c r="V73">
        <f t="shared" si="2"/>
        <v>16.5</v>
      </c>
      <c r="W73">
        <f t="shared" si="3"/>
        <v>8.7266462599716474E-2</v>
      </c>
      <c r="X73">
        <f t="shared" si="4"/>
        <v>106.5</v>
      </c>
    </row>
    <row r="74" spans="1:24" x14ac:dyDescent="0.25">
      <c r="A74">
        <f t="shared" si="12"/>
        <v>40</v>
      </c>
      <c r="B74">
        <f>'Linear distribution and flux'!F47</f>
        <v>68.994941518730869</v>
      </c>
      <c r="D74">
        <f>'Lambertian dist and flux'!F46</f>
        <v>68.759533082560594</v>
      </c>
      <c r="F74">
        <f t="shared" si="10"/>
        <v>-0.23540843617027463</v>
      </c>
      <c r="G74">
        <f t="shared" si="11"/>
        <v>0.23540843617027463</v>
      </c>
      <c r="H74">
        <f t="array" ref="H74">IF( INDEX($A$34:$A$124,$A$30+2,0) &gt; A74, ((SUM(B73:B74)-SUM(D73:D74))/$A$32),0)</f>
        <v>16.582453880034603</v>
      </c>
      <c r="I74" s="7">
        <f t="array" aca="1" ref="I74" ca="1">IF(SUM(D73:INDIRECT(CELL("address",INDEX($D71:$D$124,(MATCH(N75,$D71:$D$124,0))-1)))) &gt;= K75,A73,0)</f>
        <v>39</v>
      </c>
      <c r="J74">
        <f t="shared" ca="1" si="8"/>
        <v>1</v>
      </c>
      <c r="K74">
        <f t="array" aca="1" ref="K74" ca="1">(IFERROR(IF(J74&lt;&gt;0,INDEX($H$35:INDIRECT($H$29),$H$35+L74),K75),"END OF LINE"))</f>
        <v>155.43904309507263</v>
      </c>
      <c r="L74">
        <f ca="1">IF(J74&lt;&gt;0,MAX(L75:$L$125)+1,$L$125)</f>
        <v>18</v>
      </c>
      <c r="N74">
        <f t="shared" ca="1" si="9"/>
        <v>68.294519520755273</v>
      </c>
      <c r="O74" s="8"/>
      <c r="Q74">
        <f t="array" aca="1" ref="Q74" ca="1">IF(I74&lt;&gt;0, SUM(D73:INDIRECT(CELL("address",INDEX($D71:$D$124,(MATCH(N75,$D71:$D$124,0))-1)))),0)</f>
        <v>206.19482634821483</v>
      </c>
      <c r="R74" t="e">
        <f t="shared" ca="1" si="13"/>
        <v>#N/A</v>
      </c>
      <c r="T74">
        <f t="shared" si="7"/>
        <v>50</v>
      </c>
      <c r="U74">
        <v>19</v>
      </c>
      <c r="V74">
        <f t="shared" si="2"/>
        <v>15.5</v>
      </c>
      <c r="W74">
        <f t="shared" si="3"/>
        <v>8.7266462599716474E-2</v>
      </c>
      <c r="X74">
        <f t="shared" si="4"/>
        <v>105.5</v>
      </c>
    </row>
    <row r="75" spans="1:24" x14ac:dyDescent="0.25">
      <c r="A75">
        <f t="shared" si="12"/>
        <v>41</v>
      </c>
      <c r="B75">
        <f>'Linear distribution and flux'!F48</f>
        <v>52.205459591953584</v>
      </c>
      <c r="D75">
        <f>'Lambertian dist and flux'!F47</f>
        <v>69.140773744898951</v>
      </c>
      <c r="F75">
        <f t="shared" si="10"/>
        <v>16.935314152945367</v>
      </c>
      <c r="G75">
        <f t="shared" si="11"/>
        <v>16.935314152945367</v>
      </c>
      <c r="H75">
        <f t="array" ref="H75">IF( INDEX($A$34:$A$124,$A$30+2,0) &gt; A75, ((SUM(B74:B75)-SUM(D74:D75))/$A$32),0)</f>
        <v>0</v>
      </c>
      <c r="I75" s="7">
        <f t="array" aca="1" ref="I75" ca="1">IF(SUM(D74:INDIRECT(CELL("address",INDEX($D72:$D$124,(MATCH(N76,$D72:$D$124,0))-1)))) &gt;= K76,A74,0)</f>
        <v>0</v>
      </c>
      <c r="J75">
        <f t="shared" ca="1" si="8"/>
        <v>0</v>
      </c>
      <c r="K75">
        <f t="array" aca="1" ref="K75" ca="1">(IFERROR(IF(J75&lt;&gt;0,INDEX($H$35:INDIRECT($H$29),$H$35+L75),K76),"END OF LINE"))</f>
        <v>152.36137580542228</v>
      </c>
      <c r="L75">
        <f ca="1">IF(J75&lt;&gt;0,MAX(L76:$L$125)+1,$L$125)</f>
        <v>0</v>
      </c>
      <c r="N75">
        <f t="shared" ca="1" si="9"/>
        <v>69.437777024748883</v>
      </c>
      <c r="O75" s="8"/>
      <c r="Q75">
        <f t="array" aca="1" ref="Q75" ca="1">IF(I75&lt;&gt;0, SUM(D74:INDIRECT(CELL("address",INDEX($D72:$D$124,(MATCH(N76,$D72:$D$124,0))-1)))),0)</f>
        <v>0</v>
      </c>
      <c r="R75">
        <f t="shared" si="13"/>
        <v>0</v>
      </c>
      <c r="T75">
        <f t="shared" si="7"/>
        <v>49</v>
      </c>
      <c r="U75">
        <v>19</v>
      </c>
      <c r="V75">
        <f t="shared" si="2"/>
        <v>15</v>
      </c>
      <c r="W75">
        <f t="shared" si="3"/>
        <v>8.7266462599716474E-2</v>
      </c>
      <c r="X75">
        <f t="shared" si="4"/>
        <v>105</v>
      </c>
    </row>
    <row r="76" spans="1:24" x14ac:dyDescent="0.25">
      <c r="A76">
        <f t="shared" si="12"/>
        <v>42</v>
      </c>
      <c r="B76">
        <f>'Linear distribution and flux'!F49</f>
        <v>32.166295621736644</v>
      </c>
      <c r="D76">
        <f>'Lambertian dist and flux'!F48</f>
        <v>69.437777024748883</v>
      </c>
      <c r="F76">
        <f t="shared" si="10"/>
        <v>37.271481403012238</v>
      </c>
      <c r="G76">
        <f t="shared" si="11"/>
        <v>37.271481403012238</v>
      </c>
      <c r="H76">
        <f t="array" ref="H76">IF( INDEX($A$34:$A$124,$A$30+2,0) &gt; A76, ((SUM(B75:B76)-SUM(D75:D76))/$A$32),0)</f>
        <v>0</v>
      </c>
      <c r="I76" s="7">
        <f t="array" aca="1" ref="I76" ca="1">IF(SUM(D75:INDIRECT(CELL("address",INDEX($D73:$D$124,(MATCH(N77,$D73:$D$124,0))-1)))) &gt;= K77,A75,0)</f>
        <v>0</v>
      </c>
      <c r="J76">
        <f t="shared" ca="1" si="8"/>
        <v>0</v>
      </c>
      <c r="K76">
        <f t="array" aca="1" ref="K76" ca="1">(IFERROR(IF(J76&lt;&gt;0,INDEX($H$35:INDIRECT($H$29),$H$35+L76),K77),"END OF LINE"))</f>
        <v>152.36137580542228</v>
      </c>
      <c r="L76">
        <f ca="1">IF(J76&lt;&gt;0,MAX(L77:$L$125)+1,$L$125)</f>
        <v>0</v>
      </c>
      <c r="N76">
        <f t="shared" ca="1" si="9"/>
        <v>69.437777024748883</v>
      </c>
      <c r="O76" s="8"/>
      <c r="Q76">
        <f t="array" aca="1" ref="Q76" ca="1">IF(I76&lt;&gt;0, SUM(D75:INDIRECT(CELL("address",INDEX($D73:$D$124,(MATCH(N77,$D73:$D$124,0))-1)))),0)</f>
        <v>0</v>
      </c>
      <c r="R76">
        <f t="shared" si="13"/>
        <v>0</v>
      </c>
      <c r="T76">
        <f t="shared" si="7"/>
        <v>48</v>
      </c>
      <c r="U76">
        <v>19</v>
      </c>
      <c r="V76">
        <f t="shared" si="2"/>
        <v>14.5</v>
      </c>
      <c r="W76">
        <f t="shared" si="3"/>
        <v>8.7266462599716474E-2</v>
      </c>
      <c r="X76">
        <f t="shared" si="4"/>
        <v>104.5</v>
      </c>
    </row>
    <row r="77" spans="1:24" x14ac:dyDescent="0.25">
      <c r="A77">
        <f t="shared" si="12"/>
        <v>43</v>
      </c>
      <c r="B77">
        <f>'Linear distribution and flux'!F50</f>
        <v>8.3498122737154379</v>
      </c>
      <c r="D77">
        <f>'Lambertian dist and flux'!F49</f>
        <v>69.650181069363725</v>
      </c>
      <c r="F77">
        <f t="shared" si="10"/>
        <v>61.300368795648289</v>
      </c>
      <c r="G77">
        <f t="shared" si="11"/>
        <v>61.300368795648289</v>
      </c>
      <c r="H77">
        <f t="array" ref="H77">IF( INDEX($A$34:$A$124,$A$30+2,0) &gt; A77, ((SUM(B76:B77)-SUM(D76:D77))/$A$32),0)</f>
        <v>0</v>
      </c>
      <c r="I77" s="7">
        <f t="array" aca="1" ref="I77" ca="1">IF(SUM(D76:INDIRECT(CELL("address",INDEX($D74:$D$124,(MATCH(N78,$D74:$D$124,0))-1)))) &gt;= K78,A76,0)</f>
        <v>42</v>
      </c>
      <c r="J77">
        <f t="shared" ca="1" si="8"/>
        <v>1</v>
      </c>
      <c r="K77">
        <f t="array" aca="1" ref="K77" ca="1">(IFERROR(IF(J77&lt;&gt;0,INDEX($H$35:INDIRECT($H$29),$H$35+L77),K78),"END OF LINE"))</f>
        <v>152.36137580542228</v>
      </c>
      <c r="L77">
        <f ca="1">IF(J77&lt;&gt;0,MAX(L78:$L$125)+1,$L$125)</f>
        <v>17</v>
      </c>
      <c r="N77">
        <f t="shared" ca="1" si="9"/>
        <v>69.437777024748883</v>
      </c>
      <c r="O77" s="8"/>
      <c r="Q77">
        <f t="array" aca="1" ref="Q77" ca="1">IF(I77&lt;&gt;0, SUM(D76:INDIRECT(CELL("address",INDEX($D74:$D$124,(MATCH(N78,$D74:$D$124,0))-1)))),0)</f>
        <v>208.86568519124609</v>
      </c>
      <c r="R77">
        <f t="shared" si="13"/>
        <v>0</v>
      </c>
      <c r="T77">
        <f t="shared" si="7"/>
        <v>47</v>
      </c>
      <c r="U77">
        <v>20</v>
      </c>
      <c r="V77">
        <f t="shared" si="2"/>
        <v>13.5</v>
      </c>
      <c r="W77">
        <f t="shared" si="3"/>
        <v>8.7266462599716474E-2</v>
      </c>
      <c r="X77">
        <f t="shared" si="4"/>
        <v>103.5</v>
      </c>
    </row>
    <row r="78" spans="1:24" x14ac:dyDescent="0.25">
      <c r="A78">
        <f t="shared" si="12"/>
        <v>44</v>
      </c>
      <c r="B78">
        <f>'Linear distribution and flux'!F51</f>
        <v>0</v>
      </c>
      <c r="D78">
        <f>'Lambertian dist and flux'!F50</f>
        <v>69.777727097133507</v>
      </c>
      <c r="F78">
        <f t="shared" si="10"/>
        <v>69.777727097133507</v>
      </c>
      <c r="G78">
        <f t="shared" si="11"/>
        <v>69.777727097133507</v>
      </c>
      <c r="H78">
        <f t="array" ref="H78">IF( INDEX($A$34:$A$124,$A$30+2,0) &gt; A78, ((SUM(B77:B78)-SUM(D77:D78))/$A$32),0)</f>
        <v>0</v>
      </c>
      <c r="I78" s="7">
        <f t="array" aca="1" ref="I78" ca="1">IF(SUM(D77:INDIRECT(CELL("address",INDEX($D75:$D$124,(MATCH(N79,$D75:$D$124,0))-1)))) &gt;= K79,A77,0)</f>
        <v>0</v>
      </c>
      <c r="J78">
        <f t="shared" ca="1" si="8"/>
        <v>0</v>
      </c>
      <c r="K78">
        <f t="array" aca="1" ref="K78" ca="1">(IFERROR(IF(J78&lt;&gt;0,INDEX($H$35:INDIRECT($H$29),$H$35+L78),K79),"END OF LINE"))</f>
        <v>148.82422441250782</v>
      </c>
      <c r="L78">
        <f ca="1">IF(J78&lt;&gt;0,MAX(L79:$L$125)+1,$L$125)</f>
        <v>0</v>
      </c>
      <c r="N78">
        <f t="shared" ca="1" si="9"/>
        <v>69.82025971287031</v>
      </c>
      <c r="O78" s="8"/>
      <c r="Q78">
        <f t="array" aca="1" ref="Q78" ca="1">IF(I78&lt;&gt;0, SUM(D77:INDIRECT(CELL("address",INDEX($D75:$D$124,(MATCH(N79,$D75:$D$124,0))-1)))),0)</f>
        <v>0</v>
      </c>
      <c r="R78">
        <f t="shared" si="13"/>
        <v>0</v>
      </c>
      <c r="T78">
        <f t="shared" si="7"/>
        <v>46</v>
      </c>
      <c r="U78">
        <v>20</v>
      </c>
      <c r="V78">
        <f t="shared" si="2"/>
        <v>13</v>
      </c>
      <c r="W78">
        <f t="shared" si="3"/>
        <v>8.7266462599716474E-2</v>
      </c>
      <c r="X78">
        <f t="shared" si="4"/>
        <v>103</v>
      </c>
    </row>
    <row r="79" spans="1:24" x14ac:dyDescent="0.25">
      <c r="A79">
        <f t="shared" si="12"/>
        <v>45</v>
      </c>
      <c r="B79">
        <f>'Linear distribution and flux'!F52</f>
        <v>0</v>
      </c>
      <c r="D79">
        <f>'Lambertian dist and flux'!F51</f>
        <v>69.82025971287031</v>
      </c>
      <c r="F79">
        <f t="shared" si="10"/>
        <v>69.82025971287031</v>
      </c>
      <c r="G79">
        <f t="shared" si="11"/>
        <v>69.82025971287031</v>
      </c>
      <c r="H79">
        <f t="array" ref="H79">IF( INDEX($A$34:$A$124,$A$30+2,0) &gt; A79, ((SUM(B78:B79)-SUM(D78:D79))/$A$32),0)</f>
        <v>0</v>
      </c>
      <c r="I79" s="7">
        <f t="array" aca="1" ref="I79" ca="1">IF(SUM(D78:INDIRECT(CELL("address",INDEX($D76:$D$124,(MATCH(N80,$D76:$D$124,0))-1)))) &gt;= K80,A78,0)</f>
        <v>0</v>
      </c>
      <c r="J79">
        <f t="shared" ca="1" si="8"/>
        <v>0</v>
      </c>
      <c r="K79">
        <f t="array" aca="1" ref="K79" ca="1">(IFERROR(IF(J79&lt;&gt;0,INDEX($H$35:INDIRECT($H$29),$H$35+L79),K80),"END OF LINE"))</f>
        <v>148.82422441250782</v>
      </c>
      <c r="L79">
        <f ca="1">IF(J79&lt;&gt;0,MAX(L80:$L$125)+1,$L$125)</f>
        <v>0</v>
      </c>
      <c r="N79">
        <f t="shared" ca="1" si="9"/>
        <v>69.82025971287031</v>
      </c>
      <c r="O79" s="8"/>
      <c r="Q79">
        <f t="array" aca="1" ref="Q79" ca="1">IF(I79&lt;&gt;0, SUM(D78:INDIRECT(CELL("address",INDEX($D76:$D$124,(MATCH(N80,$D76:$D$124,0))-1)))),0)</f>
        <v>0</v>
      </c>
      <c r="R79">
        <f t="shared" si="13"/>
        <v>0</v>
      </c>
      <c r="T79">
        <f t="shared" si="7"/>
        <v>45</v>
      </c>
      <c r="U79">
        <v>20</v>
      </c>
      <c r="V79">
        <f t="shared" si="2"/>
        <v>12.5</v>
      </c>
      <c r="W79">
        <f t="shared" si="3"/>
        <v>8.7266462599716474E-2</v>
      </c>
      <c r="X79">
        <f t="shared" si="4"/>
        <v>102.5</v>
      </c>
    </row>
    <row r="80" spans="1:24" x14ac:dyDescent="0.25">
      <c r="A80">
        <f t="shared" si="12"/>
        <v>46</v>
      </c>
      <c r="B80">
        <f>'Linear distribution and flux'!F53</f>
        <v>0</v>
      </c>
      <c r="D80">
        <f>'Lambertian dist and flux'!F52</f>
        <v>69.777727097133507</v>
      </c>
      <c r="F80">
        <f t="shared" si="10"/>
        <v>69.777727097133507</v>
      </c>
      <c r="G80">
        <f t="shared" si="11"/>
        <v>69.777727097133507</v>
      </c>
      <c r="H80">
        <f t="array" ref="H80">IF( INDEX($A$34:$A$124,$A$30+2,0) &gt; A80, ((SUM(B79:B80)-SUM(D79:D80))/$A$32),0)</f>
        <v>0</v>
      </c>
      <c r="I80" s="7">
        <f t="array" aca="1" ref="I80" ca="1">IF(SUM(D79:INDIRECT(CELL("address",INDEX($D77:$D$124,(MATCH(N81,$D77:$D$124,0))-1)))) &gt;= K81,A79,0)</f>
        <v>45</v>
      </c>
      <c r="J80">
        <f t="shared" ca="1" si="8"/>
        <v>1</v>
      </c>
      <c r="K80">
        <f t="array" aca="1" ref="K80" ca="1">(IFERROR(IF(J80&lt;&gt;0,INDEX($H$35:INDIRECT($H$29),$H$35+L80),K81),"END OF LINE"))</f>
        <v>148.82422441250782</v>
      </c>
      <c r="L80">
        <f ca="1">IF(J80&lt;&gt;0,MAX(L81:$L$125)+1,$L$125)</f>
        <v>16</v>
      </c>
      <c r="N80">
        <f t="shared" ca="1" si="9"/>
        <v>69.82025971287031</v>
      </c>
      <c r="O80" s="8">
        <f>D81+D80+D79</f>
        <v>209.24816787936754</v>
      </c>
      <c r="P80">
        <f t="array" aca="1" ref="P80" ca="1">SUM(D79:INDIRECT(CELL("address",INDEX($D77:$D$124,(MATCH(N81,$D77:$D$124,0))-1))))</f>
        <v>209.24816787936754</v>
      </c>
      <c r="Q80">
        <f t="array" aca="1" ref="Q80" ca="1">IF(I80&lt;&gt;0, SUM(D79:INDIRECT(CELL("address",INDEX($D77:$D$124,(MATCH(N81,$D77:$D$124,0))-1)))),0)</f>
        <v>209.24816787936754</v>
      </c>
      <c r="R80">
        <f t="shared" si="13"/>
        <v>0</v>
      </c>
    </row>
    <row r="81" spans="1:18" x14ac:dyDescent="0.25">
      <c r="A81">
        <f t="shared" si="12"/>
        <v>47</v>
      </c>
      <c r="B81">
        <f>'Linear distribution and flux'!F54</f>
        <v>0</v>
      </c>
      <c r="D81">
        <f>'Lambertian dist and flux'!F53</f>
        <v>69.650181069363725</v>
      </c>
      <c r="F81">
        <f t="shared" si="10"/>
        <v>69.650181069363725</v>
      </c>
      <c r="G81">
        <f t="shared" si="11"/>
        <v>69.650181069363725</v>
      </c>
      <c r="H81">
        <f t="array" ref="H81">IF( INDEX($A$34:$A$124,$A$30+2,0) &gt; A81, ((SUM(B80:B81)-SUM(D80:D81))/$A$32),0)</f>
        <v>0</v>
      </c>
      <c r="I81" s="7">
        <f t="array" aca="1" ref="I81" ca="1">IF(SUM(D80:INDIRECT(CELL("address",INDEX($D78:$D$124,(MATCH(N82,$D78:$D$124,0))-1)))) &gt;= K82,A80,0)</f>
        <v>0</v>
      </c>
      <c r="J81">
        <f t="shared" ca="1" si="8"/>
        <v>0</v>
      </c>
      <c r="K81">
        <f t="array" aca="1" ref="K81" ca="1">(IFERROR(IF(J81&lt;&gt;0,INDEX($H$35:INDIRECT($H$29),$H$35+L81),K82),"END OF LINE"))</f>
        <v>144.87243526713252</v>
      </c>
      <c r="L81">
        <f ca="1">IF(J81&lt;&gt;0,MAX(L82:$L$125)+1,$L$125)</f>
        <v>0</v>
      </c>
      <c r="N81">
        <f t="shared" ca="1" si="9"/>
        <v>69.437777024748883</v>
      </c>
      <c r="O81" s="8">
        <f>D81+D80</f>
        <v>139.42790816649722</v>
      </c>
      <c r="P81">
        <f t="array" aca="1" ref="P81" ca="1">SUM(D80:INDIRECT(CELL("address",INDEX($D78:$D$124,(MATCH(N82,$D78:$D$124,0))-1))))</f>
        <v>139.42790816649722</v>
      </c>
      <c r="Q81">
        <f t="array" aca="1" ref="Q81" ca="1">IF(I81&lt;&gt;0, SUM(D80:INDIRECT(CELL("address",INDEX($D78:$D$124,(MATCH(N82,$D78:$D$124,0))-1)))),0)</f>
        <v>0</v>
      </c>
      <c r="R81">
        <f t="shared" si="13"/>
        <v>0</v>
      </c>
    </row>
    <row r="82" spans="1:18" x14ac:dyDescent="0.25">
      <c r="A82">
        <f t="shared" si="12"/>
        <v>48</v>
      </c>
      <c r="B82">
        <f>'Linear distribution and flux'!F55</f>
        <v>0</v>
      </c>
      <c r="D82">
        <f>'Lambertian dist and flux'!F54</f>
        <v>69.437777024748883</v>
      </c>
      <c r="F82">
        <f t="shared" si="10"/>
        <v>69.437777024748883</v>
      </c>
      <c r="G82">
        <f t="shared" si="11"/>
        <v>69.437777024748883</v>
      </c>
      <c r="H82">
        <f t="array" ref="H82">IF( INDEX($A$34:$A$124,$A$30+2,0) &gt; A82, ((SUM(B81:B82)-SUM(D81:D82))/$A$32),0)</f>
        <v>0</v>
      </c>
      <c r="I82" s="7">
        <f t="array" aca="1" ref="I82" ca="1">IF(SUM(D81:INDIRECT(CELL("address",INDEX($D79:$D$124,(MATCH(N83,$D79:$D$124,0))-1)))) &gt;= K83,A81,0)</f>
        <v>0</v>
      </c>
      <c r="J82">
        <f t="shared" ca="1" si="8"/>
        <v>0</v>
      </c>
      <c r="K82">
        <f t="array" aca="1" ref="K82" ca="1">(IFERROR(IF(J82&lt;&gt;0,INDEX($H$35:INDIRECT($H$29),$H$35+L82),K83),"END OF LINE"))</f>
        <v>144.87243526713252</v>
      </c>
      <c r="L82">
        <f ca="1">IF(J82&lt;&gt;0,MAX(L83:$L$125)+1,$L$125)</f>
        <v>0</v>
      </c>
      <c r="N82">
        <f t="shared" ca="1" si="9"/>
        <v>69.437777024748883</v>
      </c>
      <c r="O82" s="8">
        <f>D81</f>
        <v>69.650181069363725</v>
      </c>
      <c r="P82">
        <f t="array" aca="1" ref="P82" ca="1">SUM(D81:INDIRECT(CELL("address",INDEX($D79:$D$124,(MATCH(N83,$D79:$D$124,0))-1))))</f>
        <v>69.650181069363725</v>
      </c>
      <c r="Q82">
        <f t="array" aca="1" ref="Q82" ca="1">IF(I82&lt;&gt;0, SUM(D81:INDIRECT(CELL("address",INDEX($D79:$D$124,(MATCH(N83,$D79:$D$124,0))-1)))),0)</f>
        <v>0</v>
      </c>
      <c r="R82">
        <f t="shared" si="13"/>
        <v>0</v>
      </c>
    </row>
    <row r="83" spans="1:18" x14ac:dyDescent="0.25">
      <c r="A83">
        <f t="shared" si="12"/>
        <v>49</v>
      </c>
      <c r="B83">
        <f>'Linear distribution and flux'!F56</f>
        <v>0</v>
      </c>
      <c r="D83">
        <f>'Lambertian dist and flux'!F55</f>
        <v>69.140773744898951</v>
      </c>
      <c r="F83">
        <f t="shared" si="10"/>
        <v>69.140773744898951</v>
      </c>
      <c r="G83">
        <f t="shared" si="11"/>
        <v>69.140773744898951</v>
      </c>
      <c r="H83">
        <f t="array" ref="H83">IF( INDEX($A$34:$A$124,$A$30+2,0) &gt; A83, ((SUM(B82:B83)-SUM(D82:D83))/$A$32),0)</f>
        <v>0</v>
      </c>
      <c r="I83" s="7">
        <f t="array" aca="1" ref="I83" ca="1">IF(SUM(D82:INDIRECT(CELL("address",INDEX($D80:$D$124,(MATCH(N84,$D80:$D$124,0))-1)))) &gt;= K84,A82,0)</f>
        <v>48</v>
      </c>
      <c r="J83">
        <f t="shared" ca="1" si="8"/>
        <v>1</v>
      </c>
      <c r="K83">
        <f t="array" aca="1" ref="K83" ca="1">(IFERROR(IF(J83&lt;&gt;0,INDEX($H$35:INDIRECT($H$29),$H$35+L83),K84),"END OF LINE"))</f>
        <v>144.87243526713252</v>
      </c>
      <c r="L83">
        <f ca="1">IF(J83&lt;&gt;0,MAX(L84:$L$125)+1,$L$125)</f>
        <v>15</v>
      </c>
      <c r="N83">
        <f t="shared" ca="1" si="9"/>
        <v>69.437777024748883</v>
      </c>
      <c r="O83" s="8">
        <f>O84+D82</f>
        <v>207.3380838522084</v>
      </c>
      <c r="P83">
        <f t="array" aca="1" ref="P83" ca="1">SUM(D82:INDIRECT(CELL("address",INDEX($D80:$D$124,(MATCH(N84,$D80:$D$124,0))-1))))</f>
        <v>207.33808385220846</v>
      </c>
      <c r="Q83">
        <f t="array" aca="1" ref="Q83" ca="1">IF(I83&lt;&gt;0, SUM(D82:INDIRECT(CELL("address",INDEX($D80:$D$124,(MATCH(N84,$D80:$D$124,0))-1)))),0)</f>
        <v>207.33808385220846</v>
      </c>
      <c r="R83">
        <f t="shared" si="13"/>
        <v>0</v>
      </c>
    </row>
    <row r="84" spans="1:18" x14ac:dyDescent="0.25">
      <c r="A84">
        <f t="shared" si="12"/>
        <v>50</v>
      </c>
      <c r="B84">
        <f>'Linear distribution and flux'!F57</f>
        <v>0</v>
      </c>
      <c r="D84">
        <f>'Lambertian dist and flux'!F56</f>
        <v>68.759533082560594</v>
      </c>
      <c r="F84">
        <f t="shared" si="10"/>
        <v>68.759533082560594</v>
      </c>
      <c r="G84">
        <f t="shared" si="11"/>
        <v>68.759533082560594</v>
      </c>
      <c r="H84">
        <f t="array" ref="H84">IF( INDEX($A$34:$A$124,$A$30+2,0) &gt; A84, ((SUM(B83:B84)-SUM(D83:D84))/$A$32),0)</f>
        <v>0</v>
      </c>
      <c r="I84" s="7">
        <f t="array" aca="1" ref="I84" ca="1">IF(SUM(D83:INDIRECT(CELL("address",INDEX($D81:$D$124,(MATCH(N85,$D81:$D$124,0))-1)))) &gt;= K85,A83,0)</f>
        <v>0</v>
      </c>
      <c r="J84">
        <f t="shared" ca="1" si="8"/>
        <v>0</v>
      </c>
      <c r="K84">
        <f t="array" aca="1" ref="K84" ca="1">(IFERROR(IF(J84&lt;&gt;0,INDEX($H$35:INDIRECT($H$29),$H$35+L84),K85),"END OF LINE"))</f>
        <v>140.54242338379467</v>
      </c>
      <c r="L84">
        <f ca="1">IF(J84&lt;&gt;0,MAX(L85:$L$125)+1,$L$125)</f>
        <v>0</v>
      </c>
      <c r="N84">
        <f t="shared" ca="1" si="9"/>
        <v>68.294519520755287</v>
      </c>
      <c r="O84" s="8">
        <f>D83+D84</f>
        <v>137.90030682745953</v>
      </c>
      <c r="P84">
        <f t="array" aca="1" ref="P84" ca="1">SUM(D83:INDIRECT(CELL("address",INDEX($D81:$D$124,(MATCH(N85,$D81:$D$124,0))-1))))</f>
        <v>137.90030682745953</v>
      </c>
      <c r="Q84">
        <f t="array" aca="1" ref="Q84" ca="1">IF(I84&lt;&gt;0, SUM(D83:INDIRECT(CELL("address",INDEX($D81:$D$124,(MATCH(N85,$D81:$D$124,0))-1)))),0)</f>
        <v>0</v>
      </c>
      <c r="R84">
        <f t="shared" si="13"/>
        <v>0</v>
      </c>
    </row>
    <row r="85" spans="1:18" x14ac:dyDescent="0.25">
      <c r="A85">
        <f t="shared" si="12"/>
        <v>51</v>
      </c>
      <c r="B85">
        <f>'Linear distribution and flux'!F58</f>
        <v>0</v>
      </c>
      <c r="D85">
        <f>'Lambertian dist and flux'!F57</f>
        <v>68.294519520755287</v>
      </c>
      <c r="F85">
        <f t="shared" si="10"/>
        <v>68.294519520755287</v>
      </c>
      <c r="G85">
        <f t="shared" si="11"/>
        <v>68.294519520755287</v>
      </c>
      <c r="H85">
        <f t="array" ref="H85">IF( INDEX($A$34:$A$124,$A$30+2,0) &gt; A85, ((SUM(B84:B85)-SUM(D84:D85))/$A$32),0)</f>
        <v>0</v>
      </c>
      <c r="I85" s="7">
        <f t="array" aca="1" ref="I85" ca="1">IF(SUM(D84:INDIRECT(CELL("address",INDEX($D82:$D$124,(MATCH(N86,$D82:$D$124,0))-1)))) &gt;= K86,A84,0)</f>
        <v>0</v>
      </c>
      <c r="J85">
        <f t="shared" ca="1" si="8"/>
        <v>0</v>
      </c>
      <c r="K85">
        <f t="array" aca="1" ref="K85" ca="1">(IFERROR(IF(J85&lt;&gt;0,INDEX($H$35:INDIRECT($H$29),$H$35+L85),K86),"END OF LINE"))</f>
        <v>140.54242338379467</v>
      </c>
      <c r="L85">
        <f ca="1">IF(J85&lt;&gt;0,MAX(L86:$L$125)+1,$L$125)</f>
        <v>0</v>
      </c>
      <c r="N85">
        <f t="shared" ca="1" si="9"/>
        <v>68.294519520755287</v>
      </c>
      <c r="O85" s="8">
        <f>D84</f>
        <v>68.759533082560594</v>
      </c>
      <c r="P85">
        <f t="array" aca="1" ref="P85" ca="1">SUM(D84:INDIRECT(CELL("address",INDEX($D82:$D$124,(MATCH(N86,$D82:$D$124,0))-1))))</f>
        <v>68.759533082560594</v>
      </c>
      <c r="Q85">
        <f t="array" aca="1" ref="Q85" ca="1">IF(I85&lt;&gt;0, SUM(D84:INDIRECT(CELL("address",INDEX($D82:$D$124,(MATCH(N86,$D82:$D$124,0))-1)))),0)</f>
        <v>0</v>
      </c>
      <c r="R85">
        <f t="shared" si="13"/>
        <v>0</v>
      </c>
    </row>
    <row r="86" spans="1:18" x14ac:dyDescent="0.25">
      <c r="A86">
        <f t="shared" si="12"/>
        <v>52</v>
      </c>
      <c r="B86">
        <f>'Linear distribution and flux'!F59</f>
        <v>0</v>
      </c>
      <c r="D86">
        <f>'Lambertian dist and flux'!F58</f>
        <v>67.746299606878196</v>
      </c>
      <c r="F86">
        <f t="shared" si="10"/>
        <v>67.746299606878196</v>
      </c>
      <c r="G86">
        <f t="shared" si="11"/>
        <v>67.746299606878196</v>
      </c>
      <c r="H86">
        <f t="array" ref="H86">IF( INDEX($A$34:$A$124,$A$30+2,0) &gt; A86, ((SUM(B85:B86)-SUM(D85:D86))/$A$32),0)</f>
        <v>0</v>
      </c>
      <c r="I86" s="7">
        <f t="array" aca="1" ref="I86" ca="1">IF(SUM(D85:INDIRECT(CELL("address",INDEX($D83:$D$124,(MATCH(N87,$D83:$D$124,0))-1)))) &gt;= K87,A85,0)</f>
        <v>51</v>
      </c>
      <c r="J86">
        <f t="shared" ca="1" si="8"/>
        <v>1</v>
      </c>
      <c r="K86">
        <f t="array" aca="1" ref="K86" ca="1">(IFERROR(IF(J86&lt;&gt;0,INDEX($H$35:INDIRECT($H$29),$H$35+L86),K87),"END OF LINE"))</f>
        <v>140.54242338379467</v>
      </c>
      <c r="L86">
        <f ca="1">IF(J86&lt;&gt;0,MAX(L87:$L$125)+1,$L$125)</f>
        <v>14</v>
      </c>
      <c r="N86">
        <f t="shared" ca="1" si="9"/>
        <v>68.294519520755287</v>
      </c>
      <c r="O86" s="8">
        <f>D87+D85+D86</f>
        <v>203.15636039008109</v>
      </c>
      <c r="P86">
        <f t="array" aca="1" ref="P86" ca="1">SUM(D85:INDIRECT(CELL("address",INDEX($D83:$D$124,(MATCH(N87,$D83:$D$124,0))-1))))</f>
        <v>203.15636039008109</v>
      </c>
      <c r="Q86">
        <f t="array" aca="1" ref="Q86" ca="1">IF(I86&lt;&gt;0, SUM(D85:INDIRECT(CELL("address",INDEX($D83:$D$124,(MATCH(N87,$D83:$D$124,0))-1)))),0)</f>
        <v>203.15636039008109</v>
      </c>
      <c r="R86">
        <f t="shared" si="13"/>
        <v>0</v>
      </c>
    </row>
    <row r="87" spans="1:18" x14ac:dyDescent="0.25">
      <c r="A87">
        <f t="shared" si="12"/>
        <v>53</v>
      </c>
      <c r="B87">
        <f>'Linear distribution and flux'!F60</f>
        <v>0</v>
      </c>
      <c r="D87">
        <f>'Lambertian dist and flux'!F59</f>
        <v>67.115541262447593</v>
      </c>
      <c r="F87">
        <f t="shared" si="10"/>
        <v>67.115541262447593</v>
      </c>
      <c r="G87">
        <f t="shared" si="11"/>
        <v>67.115541262447593</v>
      </c>
      <c r="H87">
        <f t="array" ref="H87">IF( INDEX($A$34:$A$124,$A$30+2,0) &gt; A87, ((SUM(B86:B87)-SUM(D86:D87))/$A$32),0)</f>
        <v>0</v>
      </c>
      <c r="I87" s="7">
        <f t="array" aca="1" ref="I87" ca="1">IF(SUM(D86:INDIRECT(CELL("address",INDEX($D84:$D$124,(MATCH(N88,$D84:$D$124,0))-1)))) &gt;= K88,A86,0)</f>
        <v>0</v>
      </c>
      <c r="J87">
        <f t="shared" ca="1" si="8"/>
        <v>0</v>
      </c>
      <c r="K87">
        <f t="array" aca="1" ref="K87" ca="1">(IFERROR(IF(J87&lt;&gt;0,INDEX($H$35:INDIRECT($H$29),$H$35+L87),K88),"END OF LINE"))</f>
        <v>135.86309151200965</v>
      </c>
      <c r="L87">
        <f ca="1">IF(J87&lt;&gt;0,MAX(L88:$L$125)+1,$L$125)</f>
        <v>0</v>
      </c>
      <c r="N87">
        <f t="shared" ca="1" si="9"/>
        <v>66.403012969345298</v>
      </c>
      <c r="O87" s="8">
        <f>D87+D86</f>
        <v>134.86184086932579</v>
      </c>
      <c r="P87">
        <f t="array" aca="1" ref="P87" ca="1">SUM(D86:INDIRECT(CELL("address",INDEX($D84:$D$124,(MATCH(N88,$D84:$D$124,0))-1))))</f>
        <v>134.86184086932579</v>
      </c>
      <c r="Q87">
        <f t="array" aca="1" ref="Q87" ca="1">IF(I87&lt;&gt;0, SUM(D86:INDIRECT(CELL("address",INDEX($D84:$D$124,(MATCH(N88,$D84:$D$124,0))-1)))),0)</f>
        <v>0</v>
      </c>
      <c r="R87">
        <f t="shared" si="13"/>
        <v>0</v>
      </c>
    </row>
    <row r="88" spans="1:18" x14ac:dyDescent="0.25">
      <c r="A88">
        <f t="shared" si="12"/>
        <v>54</v>
      </c>
      <c r="B88">
        <f>'Linear distribution and flux'!F61</f>
        <v>0</v>
      </c>
      <c r="D88">
        <f>'Lambertian dist and flux'!F60</f>
        <v>66.403012969345298</v>
      </c>
      <c r="F88">
        <f t="shared" si="10"/>
        <v>66.403012969345298</v>
      </c>
      <c r="G88">
        <f t="shared" si="11"/>
        <v>66.403012969345298</v>
      </c>
      <c r="H88">
        <f t="array" ref="H88">IF( INDEX($A$34:$A$124,$A$30+2,0) &gt; A88, ((SUM(B87:B88)-SUM(D87:D88))/$A$32),0)</f>
        <v>0</v>
      </c>
      <c r="I88" s="7">
        <f t="array" aca="1" ref="I88" ca="1">IF(SUM(D87:INDIRECT(CELL("address",INDEX($D85:$D$124,(MATCH(N89,$D85:$D$124,0))-1)))) &gt;= K89,A87,0)</f>
        <v>0</v>
      </c>
      <c r="J88">
        <f t="shared" ca="1" si="8"/>
        <v>0</v>
      </c>
      <c r="K88">
        <f t="array" aca="1" ref="K88" ca="1">(IFERROR(IF(J88&lt;&gt;0,INDEX($H$35:INDIRECT($H$29),$H$35+L88),K89),"END OF LINE"))</f>
        <v>135.86309151200965</v>
      </c>
      <c r="L88">
        <f ca="1">IF(J88&lt;&gt;0,MAX(L89:$L$125)+1,$L$125)</f>
        <v>0</v>
      </c>
      <c r="N88">
        <f t="shared" ca="1" si="9"/>
        <v>66.403012969345298</v>
      </c>
      <c r="O88" s="8">
        <f>D87</f>
        <v>67.115541262447593</v>
      </c>
      <c r="P88">
        <f t="array" aca="1" ref="P88" ca="1">SUM(D87:INDIRECT(CELL("address",INDEX($D85:$D$124,(MATCH(N89,$D85:$D$124,0))-1))))</f>
        <v>67.115541262447593</v>
      </c>
      <c r="Q88">
        <f t="array" aca="1" ref="Q88" ca="1">IF(I88&lt;&gt;0, SUM(D87:INDIRECT(CELL("address",INDEX($D85:$D$124,(MATCH(N89,$D85:$D$124,0))-1)))),0)</f>
        <v>0</v>
      </c>
      <c r="R88">
        <f t="shared" si="13"/>
        <v>0</v>
      </c>
    </row>
    <row r="89" spans="1:18" x14ac:dyDescent="0.25">
      <c r="A89">
        <f t="shared" si="12"/>
        <v>55</v>
      </c>
      <c r="B89">
        <f>'Linear distribution and flux'!F62</f>
        <v>0</v>
      </c>
      <c r="D89">
        <f>'Lambertian dist and flux'!F61</f>
        <v>65.609582833539889</v>
      </c>
      <c r="F89">
        <f t="shared" si="10"/>
        <v>65.609582833539889</v>
      </c>
      <c r="G89">
        <f t="shared" si="11"/>
        <v>65.609582833539889</v>
      </c>
      <c r="H89">
        <f t="array" ref="H89">IF( INDEX($A$34:$A$124,$A$30+2,0) &gt; A89, ((SUM(B88:B89)-SUM(D88:D89))/$A$32),0)</f>
        <v>0</v>
      </c>
      <c r="I89" s="7">
        <f t="array" aca="1" ref="I89" ca="1">IF(SUM(D88:INDIRECT(CELL("address",INDEX($D86:$D$124,(MATCH(N90,$D86:$D$124,0))-1)))) &gt;= K90,A88,0)</f>
        <v>54</v>
      </c>
      <c r="J89">
        <f t="shared" ca="1" si="8"/>
        <v>1</v>
      </c>
      <c r="K89">
        <f t="array" aca="1" ref="K89" ca="1">(IFERROR(IF(J89&lt;&gt;0,INDEX($H$35:INDIRECT($H$29),$H$35+L89),K90),"END OF LINE"))</f>
        <v>135.86309151200965</v>
      </c>
      <c r="L89">
        <f ca="1">IF(J89&lt;&gt;0,MAX(L90:$L$125)+1,$L$125)</f>
        <v>13</v>
      </c>
      <c r="N89">
        <f t="shared" ca="1" si="9"/>
        <v>66.403012969345298</v>
      </c>
      <c r="O89" s="8">
        <f>O90+D88</f>
        <v>196.74881333031846</v>
      </c>
      <c r="P89">
        <f t="array" aca="1" ref="P89" ca="1">SUM(D88:INDIRECT(CELL("address",INDEX($D86:$D$124,(MATCH(N90,$D86:$D$124,0))-1))))</f>
        <v>196.74881333031846</v>
      </c>
      <c r="Q89">
        <f t="array" aca="1" ref="Q89" ca="1">IF(I89&lt;&gt;0, SUM(D88:INDIRECT(CELL("address",INDEX($D86:$D$124,(MATCH(N90,$D86:$D$124,0))-1)))),0)</f>
        <v>196.74881333031846</v>
      </c>
      <c r="R89">
        <f t="shared" si="13"/>
        <v>0</v>
      </c>
    </row>
    <row r="90" spans="1:18" x14ac:dyDescent="0.25">
      <c r="A90">
        <f t="shared" si="12"/>
        <v>56</v>
      </c>
      <c r="B90">
        <f>'Linear distribution and flux'!F63</f>
        <v>0</v>
      </c>
      <c r="D90">
        <f>'Lambertian dist and flux'!F62</f>
        <v>64.736217527433269</v>
      </c>
      <c r="F90">
        <f t="shared" si="10"/>
        <v>64.736217527433269</v>
      </c>
      <c r="G90">
        <f t="shared" si="11"/>
        <v>64.736217527433269</v>
      </c>
      <c r="H90">
        <f t="array" ref="H90">IF( INDEX($A$34:$A$124,$A$30+2,0) &gt; A90, ((SUM(B89:B90)-SUM(D89:D90))/$A$32),0)</f>
        <v>0</v>
      </c>
      <c r="I90" s="7">
        <f t="array" aca="1" ref="I90" ca="1">IF(SUM(D89:INDIRECT(CELL("address",INDEX($D87:$D$124,(MATCH(N91,$D87:$D$124,0))-1)))) &gt;= K91,A89,0)</f>
        <v>0</v>
      </c>
      <c r="J90">
        <f t="shared" ca="1" si="8"/>
        <v>0</v>
      </c>
      <c r="K90">
        <f t="array" aca="1" ref="K90" ca="1">(IFERROR(IF(J90&lt;&gt;0,INDEX($H$35:INDIRECT($H$29),$H$35+L90),K91),"END OF LINE"))</f>
        <v>130.85661716171197</v>
      </c>
      <c r="L90">
        <f ca="1">IF(J90&lt;&gt;0,MAX(L91:$L$125)+1,$L$125)</f>
        <v>0</v>
      </c>
      <c r="N90">
        <f t="shared" ca="1" si="9"/>
        <v>63.783981112119349</v>
      </c>
      <c r="O90" s="8">
        <f>D90+D89</f>
        <v>130.34580036097316</v>
      </c>
      <c r="P90">
        <f t="array" aca="1" ref="P90" ca="1">SUM(D89:INDIRECT(CELL("address",INDEX($D87:$D$124,(MATCH(N91,$D87:$D$124,0))-1))))</f>
        <v>130.34580036097316</v>
      </c>
      <c r="Q90">
        <f t="array" aca="1" ref="Q90" ca="1">IF(I90&lt;&gt;0, SUM(D89:INDIRECT(CELL("address",INDEX($D87:$D$124,(MATCH(N91,$D87:$D$124,0))-1)))),0)</f>
        <v>0</v>
      </c>
      <c r="R90">
        <f t="shared" si="13"/>
        <v>0</v>
      </c>
    </row>
    <row r="91" spans="1:18" x14ac:dyDescent="0.25">
      <c r="A91">
        <f t="shared" si="12"/>
        <v>57</v>
      </c>
      <c r="B91">
        <f>'Linear distribution and flux'!F64</f>
        <v>0</v>
      </c>
      <c r="D91">
        <f>'Lambertian dist and flux'!F63</f>
        <v>63.783981112119349</v>
      </c>
      <c r="F91">
        <f t="shared" si="10"/>
        <v>63.783981112119349</v>
      </c>
      <c r="G91">
        <f t="shared" si="11"/>
        <v>63.783981112119349</v>
      </c>
      <c r="H91">
        <f t="array" ref="H91">IF( INDEX($A$34:$A$124,$A$30+2,0) &gt; A91, ((SUM(B90:B91)-SUM(D90:D91))/$A$32),0)</f>
        <v>0</v>
      </c>
      <c r="I91" s="7">
        <f t="array" aca="1" ref="I91" ca="1">IF(SUM(D90:INDIRECT(CELL("address",INDEX($D88:$D$124,(MATCH(N92,$D88:$D$124,0))-1)))) &gt;= K92,A90,0)</f>
        <v>0</v>
      </c>
      <c r="J91">
        <f t="shared" ca="1" si="8"/>
        <v>0</v>
      </c>
      <c r="K91">
        <f t="array" aca="1" ref="K91" ca="1">(IFERROR(IF(J91&lt;&gt;0,INDEX($H$35:INDIRECT($H$29),$H$35+L91),K92),"END OF LINE"))</f>
        <v>130.85661716171197</v>
      </c>
      <c r="L91">
        <f ca="1">IF(J91&lt;&gt;0,MAX(L92:$L$125)+1,$L$125)</f>
        <v>0</v>
      </c>
      <c r="N91">
        <f t="shared" ca="1" si="9"/>
        <v>63.783981112119349</v>
      </c>
      <c r="O91" s="8">
        <f>D90</f>
        <v>64.736217527433269</v>
      </c>
      <c r="P91">
        <f t="array" aca="1" ref="P91" ca="1">SUM(D90:INDIRECT(CELL("address",INDEX($D88:$D$124,(MATCH(N92,$D88:$D$124,0))-1))))</f>
        <v>64.736217527433269</v>
      </c>
      <c r="Q91">
        <f t="array" aca="1" ref="Q91" ca="1">IF(I91&lt;&gt;0, SUM(D90:INDIRECT(CELL("address",INDEX($D88:$D$124,(MATCH(N92,$D88:$D$124,0))-1)))),0)</f>
        <v>0</v>
      </c>
      <c r="R91">
        <f t="shared" si="13"/>
        <v>0</v>
      </c>
    </row>
    <row r="92" spans="1:18" x14ac:dyDescent="0.25">
      <c r="A92">
        <f t="shared" si="12"/>
        <v>58</v>
      </c>
      <c r="B92">
        <f>'Linear distribution and flux'!F65</f>
        <v>0</v>
      </c>
      <c r="D92">
        <f>'Lambertian dist and flux'!F64</f>
        <v>62.754033740989406</v>
      </c>
      <c r="F92">
        <f t="shared" si="10"/>
        <v>62.754033740989406</v>
      </c>
      <c r="G92">
        <f t="shared" si="11"/>
        <v>62.754033740989406</v>
      </c>
      <c r="H92">
        <f t="array" ref="H92">IF( INDEX($A$34:$A$124,$A$30+2,0) &gt; A92, ((SUM(B91:B92)-SUM(D91:D92))/$A$32),0)</f>
        <v>0</v>
      </c>
      <c r="I92" s="7">
        <f t="array" aca="1" ref="I92" ca="1">IF(SUM(D91:INDIRECT(CELL("address",INDEX($D89:$D$124,(MATCH(N93,$D89:$D$124,0))-1)))) &gt;= K93,A91,0)</f>
        <v>57</v>
      </c>
      <c r="J92">
        <f t="shared" ref="J92:J123" ca="1" si="14">IF(I92 &lt;&gt; 0, 1,0)</f>
        <v>1</v>
      </c>
      <c r="K92">
        <f t="array" aca="1" ref="K92" ca="1">(IFERROR(IF(J92&lt;&gt;0,INDEX($H$35:INDIRECT($H$29),$H$35+L92),K93),"END OF LINE"))</f>
        <v>130.85661716171197</v>
      </c>
      <c r="L92">
        <f ca="1">IF(J92&lt;&gt;0,MAX(L93:$L$125)+1,$L$125)</f>
        <v>12</v>
      </c>
      <c r="N92">
        <f t="shared" ref="N92:N124" ca="1" si="15">IF(I92&lt;&gt;0,INDEX(D$34:D$124,MATCH(I92,$A$34:$A$124,0)),N93)</f>
        <v>63.783981112119349</v>
      </c>
      <c r="O92" s="8">
        <f>D91+D92</f>
        <v>126.53801485310876</v>
      </c>
      <c r="P92">
        <f t="array" aca="1" ref="P92" ca="1">SUM(D91:INDIRECT(CELL("address",INDEX($D89:$D$124,(MATCH(N93,$D89:$D$124,0))-1))))</f>
        <v>126.53801485310876</v>
      </c>
      <c r="Q92">
        <f t="array" aca="1" ref="Q92" ca="1">IF(I92&lt;&gt;0, SUM(D91:INDIRECT(CELL("address",INDEX($D89:$D$124,(MATCH(N93,$D89:$D$124,0))-1)))),0)</f>
        <v>126.53801485310876</v>
      </c>
      <c r="R92">
        <f t="shared" si="13"/>
        <v>0</v>
      </c>
    </row>
    <row r="93" spans="1:18" x14ac:dyDescent="0.25">
      <c r="A93">
        <f t="shared" si="12"/>
        <v>59</v>
      </c>
      <c r="B93">
        <f>'Linear distribution and flux'!F66</f>
        <v>0</v>
      </c>
      <c r="D93">
        <f>'Lambertian dist and flux'!F65</f>
        <v>61.647630246263944</v>
      </c>
      <c r="F93">
        <f t="shared" si="10"/>
        <v>61.647630246263944</v>
      </c>
      <c r="G93">
        <f t="shared" si="11"/>
        <v>61.647630246263944</v>
      </c>
      <c r="H93">
        <f t="array" ref="H93">IF( INDEX($A$34:$A$124,$A$30+2,0) &gt; A93, ((SUM(B92:B93)-SUM(D92:D93))/$A$32),0)</f>
        <v>0</v>
      </c>
      <c r="I93" s="7">
        <f t="array" aca="1" ref="I93" ca="1">IF(SUM(D92:INDIRECT(CELL("address",INDEX($D90:$D$124,(MATCH(N94,$D90:$D$124,0))-1)))) &gt;= K94,A92,0)</f>
        <v>0</v>
      </c>
      <c r="J93">
        <f t="shared" ca="1" si="14"/>
        <v>0</v>
      </c>
      <c r="K93">
        <f t="array" aca="1" ref="K93" ca="1">(IFERROR(IF(J93&lt;&gt;0,INDEX($H$35:INDIRECT($H$29),$H$35+L93),K94),"END OF LINE"))</f>
        <v>125.53912535467765</v>
      </c>
      <c r="L93">
        <f ca="1">IF(J93&lt;&gt;0,MAX(L94:$L$125)+1,$L$125)</f>
        <v>0</v>
      </c>
      <c r="N93">
        <f t="shared" ca="1" si="15"/>
        <v>61.647630246263944</v>
      </c>
      <c r="O93" s="8">
        <f>D92</f>
        <v>62.754033740989406</v>
      </c>
      <c r="P93">
        <f t="array" aca="1" ref="P93" ca="1">SUM(D92:INDIRECT(CELL("address",INDEX($D90:$D$124,(MATCH(N94,$D90:$D$124,0))-1))))</f>
        <v>62.754033740989406</v>
      </c>
      <c r="Q93">
        <f t="array" aca="1" ref="Q93" ca="1">IF(I93&lt;&gt;0, SUM(D92:INDIRECT(CELL("address",INDEX($D90:$D$124,(MATCH(N94,$D90:$D$124,0))-1)))),0)</f>
        <v>0</v>
      </c>
      <c r="R93">
        <f t="shared" si="13"/>
        <v>0</v>
      </c>
    </row>
    <row r="94" spans="1:18" x14ac:dyDescent="0.25">
      <c r="A94">
        <f t="shared" si="12"/>
        <v>60</v>
      </c>
      <c r="B94">
        <f>'Linear distribution and flux'!F67</f>
        <v>0</v>
      </c>
      <c r="D94">
        <f>'Lambertian dist and flux'!F66</f>
        <v>60.466118610172892</v>
      </c>
      <c r="F94">
        <f t="shared" si="10"/>
        <v>60.466118610172892</v>
      </c>
      <c r="G94">
        <f t="shared" si="11"/>
        <v>60.466118610172892</v>
      </c>
      <c r="H94">
        <f t="array" ref="H94">IF( INDEX($A$34:$A$124,$A$30+2,0) &gt; A94, ((SUM(B93:B94)-SUM(D93:D94))/$A$32),0)</f>
        <v>0</v>
      </c>
      <c r="I94" s="7">
        <f t="array" aca="1" ref="I94" ca="1">IF(SUM(D93:INDIRECT(CELL("address",INDEX($D91:$D$124,(MATCH(N95,$D91:$D$124,0))-1)))) &gt;= K95,A93,0)</f>
        <v>59</v>
      </c>
      <c r="J94">
        <f t="shared" ca="1" si="14"/>
        <v>1</v>
      </c>
      <c r="K94">
        <f t="array" aca="1" ref="K94" ca="1">(IFERROR(IF(J94&lt;&gt;0,INDEX($H$35:INDIRECT($H$29),$H$35+L94),K95),"END OF LINE"))</f>
        <v>125.53912535467765</v>
      </c>
      <c r="L94">
        <f ca="1">IF(J94&lt;&gt;0,MAX(L95:$L$125)+1,$L$125)</f>
        <v>11</v>
      </c>
      <c r="N94">
        <f t="shared" ca="1" si="15"/>
        <v>61.647630246263944</v>
      </c>
      <c r="O94" s="8">
        <f>D94+D93</f>
        <v>122.11374885643684</v>
      </c>
      <c r="P94">
        <f t="array" aca="1" ref="P94" ca="1">SUM(D93:INDIRECT(CELL("address",INDEX($D91:$D$124,(MATCH(N95,$D91:$D$124,0))-1))))</f>
        <v>181.32468717908372</v>
      </c>
      <c r="Q94">
        <f t="array" aca="1" ref="Q94" ca="1">IF(I94&lt;&gt;0, SUM(D93:INDIRECT(CELL("address",INDEX($D91:$D$124,(MATCH(N95,$D91:$D$124,0))-1)))),0)</f>
        <v>181.32468717908372</v>
      </c>
      <c r="R94">
        <f t="shared" si="13"/>
        <v>0</v>
      </c>
    </row>
    <row r="95" spans="1:18" x14ac:dyDescent="0.25">
      <c r="A95">
        <f t="shared" si="12"/>
        <v>61</v>
      </c>
      <c r="B95">
        <f>'Linear distribution and flux'!F68</f>
        <v>0</v>
      </c>
      <c r="D95">
        <f>'Lambertian dist and flux'!F67</f>
        <v>59.210938322646875</v>
      </c>
      <c r="F95">
        <f t="shared" si="10"/>
        <v>59.210938322646875</v>
      </c>
      <c r="G95">
        <f t="shared" si="11"/>
        <v>59.210938322646875</v>
      </c>
      <c r="H95">
        <f t="array" ref="H95">IF( INDEX($A$34:$A$124,$A$30+2,0) &gt; A95, ((SUM(B94:B95)-SUM(D94:D95))/$A$32),0)</f>
        <v>0</v>
      </c>
      <c r="I95" s="7">
        <f t="array" aca="1" ref="I95" ca="1">IF(SUM(D94:INDIRECT(CELL("address",INDEX($D92:$D$124,(MATCH(N96,$D92:$D$124,0))-1)))) &gt;= K96,A94,0)</f>
        <v>0</v>
      </c>
      <c r="J95">
        <f t="shared" ca="1" si="14"/>
        <v>0</v>
      </c>
      <c r="K95">
        <f t="array" aca="1" ref="K95" ca="1">(IFERROR(IF(J95&lt;&gt;0,INDEX($H$35:INDIRECT($H$29),$H$35+L95),K96),"END OF LINE"))</f>
        <v>119.92126208989153</v>
      </c>
      <c r="L95">
        <f ca="1">IF(J95&lt;&gt;0,MAX(L96:$L$125)+1,$L$125)</f>
        <v>0</v>
      </c>
      <c r="N95">
        <f t="shared" ca="1" si="15"/>
        <v>57.883618627520576</v>
      </c>
      <c r="O95">
        <f>D94</f>
        <v>60.466118610172892</v>
      </c>
      <c r="P95">
        <f t="array" aca="1" ref="P95" ca="1">SUM(D94:INDIRECT(CELL("address",INDEX($D92:$D$124,(MATCH(N96,$D92:$D$124,0))-1))))</f>
        <v>119.67705693281977</v>
      </c>
      <c r="Q95">
        <f t="array" aca="1" ref="Q95" ca="1">IF(I95&lt;&gt;0, SUM(D94:INDIRECT(CELL("address",INDEX($D92:$D$124,(MATCH(N96,$D92:$D$124,0))-1)))),0)</f>
        <v>0</v>
      </c>
      <c r="R95">
        <f t="shared" si="13"/>
        <v>0</v>
      </c>
    </row>
    <row r="96" spans="1:18" x14ac:dyDescent="0.25">
      <c r="A96">
        <f t="shared" si="12"/>
        <v>62</v>
      </c>
      <c r="B96">
        <f>'Linear distribution and flux'!F69</f>
        <v>0</v>
      </c>
      <c r="D96">
        <f>'Lambertian dist and flux'!F68</f>
        <v>57.883618627520576</v>
      </c>
      <c r="F96">
        <f t="shared" si="10"/>
        <v>57.883618627520576</v>
      </c>
      <c r="G96">
        <f t="shared" si="11"/>
        <v>57.883618627520576</v>
      </c>
      <c r="H96">
        <f t="array" ref="H96">IF( INDEX($A$34:$A$124,$A$30+2,0) &gt; A96, ((SUM(B95:B96)-SUM(D95:D96))/$A$32),0)</f>
        <v>0</v>
      </c>
      <c r="I96" s="7">
        <f t="array" aca="1" ref="I96" ca="1">IF(SUM(D95:INDIRECT(CELL("address",INDEX($D93:$D$124,(MATCH(N97,$D93:$D$124,0))-1)))) &gt;= K97,A95,0)</f>
        <v>0</v>
      </c>
      <c r="J96">
        <f t="shared" ca="1" si="14"/>
        <v>0</v>
      </c>
      <c r="K96">
        <f t="array" aca="1" ref="K96" ca="1">(IFERROR(IF(J96&lt;&gt;0,INDEX($H$35:INDIRECT($H$29),$H$35+L96),K97),"END OF LINE"))</f>
        <v>119.92126208989153</v>
      </c>
      <c r="L96">
        <f ca="1">IF(J96&lt;&gt;0,MAX(L97:$L$125)+1,$L$125)</f>
        <v>0</v>
      </c>
      <c r="N96">
        <f t="shared" ca="1" si="15"/>
        <v>57.883618627520576</v>
      </c>
      <c r="O96">
        <f>D95+D96</f>
        <v>117.09455695016746</v>
      </c>
      <c r="P96">
        <f t="array" aca="1" ref="P96" ca="1">SUM(D95:INDIRECT(CELL("address",INDEX($D93:$D$124,(MATCH(N97,$D93:$D$124,0))-1))))</f>
        <v>59.210938322646875</v>
      </c>
      <c r="Q96">
        <f t="array" aca="1" ref="Q96" ca="1">IF(I96&lt;&gt;0, SUM(D95:INDIRECT(CELL("address",INDEX($D93:$D$124,(MATCH(N97,$D93:$D$124,0))-1)))),0)</f>
        <v>0</v>
      </c>
      <c r="R96">
        <f t="shared" si="13"/>
        <v>0</v>
      </c>
    </row>
    <row r="97" spans="1:18" x14ac:dyDescent="0.25">
      <c r="A97">
        <f t="shared" si="12"/>
        <v>63</v>
      </c>
      <c r="B97">
        <f>'Linear distribution and flux'!F70</f>
        <v>0</v>
      </c>
      <c r="D97">
        <f>'Lambertian dist and flux'!F69</f>
        <v>56.485776659384555</v>
      </c>
      <c r="F97">
        <f t="shared" si="10"/>
        <v>56.485776659384555</v>
      </c>
      <c r="G97">
        <f t="shared" si="11"/>
        <v>56.485776659384555</v>
      </c>
      <c r="H97">
        <f t="array" ref="H97">IF( INDEX($A$34:$A$124,$A$30+2,0) &gt; A97, ((SUM(B96:B97)-SUM(D96:D97))/$A$32),0)</f>
        <v>0</v>
      </c>
      <c r="I97" s="7">
        <f t="array" aca="1" ref="I97" ca="1">IF(SUM(D96:INDIRECT(CELL("address",INDEX($D94:$D$124,(MATCH(N98,$D94:$D$124,0))-1)))) &gt;= K98,A96,0)</f>
        <v>62</v>
      </c>
      <c r="J97">
        <f t="shared" ca="1" si="14"/>
        <v>1</v>
      </c>
      <c r="K97">
        <f t="array" aca="1" ref="K97" ca="1">(IFERROR(IF(J97&lt;&gt;0,INDEX($H$35:INDIRECT($H$29),$H$35+L97),K98),"END OF LINE"))</f>
        <v>119.92126208989153</v>
      </c>
      <c r="L97">
        <f ca="1">IF(J97&lt;&gt;0,MAX(L98:$L$125)+1,$L$125)</f>
        <v>10</v>
      </c>
      <c r="N97">
        <f t="shared" ca="1" si="15"/>
        <v>57.883618627520576</v>
      </c>
      <c r="O97">
        <f>D96</f>
        <v>57.883618627520576</v>
      </c>
      <c r="P97">
        <f t="array" aca="1" ref="P97" ca="1">SUM(D96:INDIRECT(CELL("address",INDEX($D94:$D$124,(MATCH(N98,$D94:$D$124,0))-1))))</f>
        <v>114.36939528690513</v>
      </c>
      <c r="Q97">
        <f t="array" aca="1" ref="Q97" ca="1">IF(I97&lt;&gt;0, SUM(D96:INDIRECT(CELL("address",INDEX($D94:$D$124,(MATCH(N98,$D94:$D$124,0))-1)))),0)</f>
        <v>114.36939528690513</v>
      </c>
      <c r="R97">
        <f t="shared" si="13"/>
        <v>0</v>
      </c>
    </row>
    <row r="98" spans="1:18" x14ac:dyDescent="0.25">
      <c r="A98">
        <f t="shared" si="12"/>
        <v>64</v>
      </c>
      <c r="B98">
        <f>'Linear distribution and flux'!F71</f>
        <v>0</v>
      </c>
      <c r="D98">
        <f>'Lambertian dist and flux'!F70</f>
        <v>55.019115473355988</v>
      </c>
      <c r="F98">
        <f t="shared" ref="F98:F124" si="16">D98-B98</f>
        <v>55.019115473355988</v>
      </c>
      <c r="G98">
        <f t="shared" ref="G98:G124" si="17">IF(B98&gt;D98,ABS(D98-B98), D98-B98)</f>
        <v>55.019115473355988</v>
      </c>
      <c r="H98">
        <f t="array" ref="H98">IF( INDEX($A$34:$A$124,$A$30+2,0) &gt; A98, ((SUM(B97:B98)-SUM(D97:D98))/$A$32),0)</f>
        <v>0</v>
      </c>
      <c r="I98" s="7">
        <f t="array" aca="1" ref="I98" ca="1">IF(SUM(D97:INDIRECT(CELL("address",INDEX($D95:$D$124,(MATCH(N99,$D95:$D$124,0))-1)))) &gt;= K99,A97,0)</f>
        <v>0</v>
      </c>
      <c r="J98">
        <f t="shared" ca="1" si="14"/>
        <v>0</v>
      </c>
      <c r="K98">
        <f t="array" aca="1" ref="K98" ca="1">(IFERROR(IF(J98&lt;&gt;0,INDEX($H$35:INDIRECT($H$29),$H$35+L98),K99),"END OF LINE"))</f>
        <v>114.00868116321288</v>
      </c>
      <c r="L98">
        <f ca="1">IF(J98&lt;&gt;0,MAX(L99:$L$125)+1,$L$125)</f>
        <v>0</v>
      </c>
      <c r="N98">
        <f t="shared" ca="1" si="15"/>
        <v>55.019115473355988</v>
      </c>
      <c r="O98">
        <f>D97+D98</f>
        <v>111.50489213274054</v>
      </c>
      <c r="P98">
        <f t="array" aca="1" ref="P98" ca="1">SUM(D97:INDIRECT(CELL("address",INDEX($D95:$D$124,(MATCH(N99,$D95:$D$124,0))-1))))</f>
        <v>56.485776659384555</v>
      </c>
      <c r="Q98">
        <f t="array" aca="1" ref="Q98" ca="1">IF(I98&lt;&gt;0, SUM(D97:INDIRECT(CELL("address",INDEX($D95:$D$124,(MATCH(N99,$D95:$D$124,0))-1)))),0)</f>
        <v>0</v>
      </c>
      <c r="R98">
        <f t="shared" si="13"/>
        <v>0</v>
      </c>
    </row>
    <row r="99" spans="1:18" x14ac:dyDescent="0.25">
      <c r="A99">
        <f t="shared" ref="A99:A124" si="18">A98+1</f>
        <v>65</v>
      </c>
      <c r="B99">
        <f>'Linear distribution and flux'!F72</f>
        <v>0</v>
      </c>
      <c r="D99">
        <f>'Lambertian dist and flux'!F71</f>
        <v>53.48542197016814</v>
      </c>
      <c r="F99">
        <f t="shared" si="16"/>
        <v>53.48542197016814</v>
      </c>
      <c r="G99">
        <f t="shared" si="17"/>
        <v>53.48542197016814</v>
      </c>
      <c r="H99">
        <f t="array" ref="H99">IF( INDEX($A$34:$A$124,$A$30+2,0) &gt; A99, ((SUM(B98:B99)-SUM(D98:D99))/$A$32),0)</f>
        <v>0</v>
      </c>
      <c r="I99" s="7">
        <f t="array" aca="1" ref="I99" ca="1">IF(SUM(D98:INDIRECT(CELL("address",INDEX($D96:$D$124,(MATCH(N100,$D96:$D$124,0))-1)))) &gt;= K100,A98,0)</f>
        <v>64</v>
      </c>
      <c r="J99">
        <f t="shared" ca="1" si="14"/>
        <v>1</v>
      </c>
      <c r="K99">
        <f t="array" aca="1" ref="K99" ca="1">(IFERROR(IF(J99&lt;&gt;0,INDEX($H$35:INDIRECT($H$29),$H$35+L99),K100),"END OF LINE"))</f>
        <v>114.00868116321288</v>
      </c>
      <c r="L99">
        <f ca="1">IF(J99&lt;&gt;0,MAX(L100:$L$125)+1,$L$125)</f>
        <v>9</v>
      </c>
      <c r="N99">
        <f t="shared" ca="1" si="15"/>
        <v>55.019115473355988</v>
      </c>
      <c r="O99">
        <f>D98</f>
        <v>55.019115473355988</v>
      </c>
      <c r="P99">
        <f t="array" aca="1" ref="P99" ca="1">SUM(D98:INDIRECT(CELL("address",INDEX($D96:$D$124,(MATCH(N100,$D96:$D$124,0))-1))))</f>
        <v>108.50453744352413</v>
      </c>
      <c r="Q99">
        <f t="array" aca="1" ref="Q99" ca="1">IF(I99&lt;&gt;0, SUM(D98:INDIRECT(CELL("address",INDEX($D96:$D$124,(MATCH(N100,$D96:$D$124,0))-1)))),0)</f>
        <v>108.50453744352413</v>
      </c>
      <c r="R99">
        <f t="shared" ref="R99:R125" si="19">IF(H99&lt;&gt; 0,D99+ INDEX($Q$34:$Q$125,(MATCH(A100,$L$34:$L$125,0) )),0)</f>
        <v>0</v>
      </c>
    </row>
    <row r="100" spans="1:18" x14ac:dyDescent="0.25">
      <c r="A100">
        <f t="shared" si="18"/>
        <v>66</v>
      </c>
      <c r="B100">
        <f>'Linear distribution and flux'!F73</f>
        <v>0</v>
      </c>
      <c r="D100">
        <f>'Lambertian dist and flux'!F72</f>
        <v>51.886564719107341</v>
      </c>
      <c r="F100">
        <f t="shared" si="16"/>
        <v>51.886564719107341</v>
      </c>
      <c r="G100">
        <f t="shared" si="17"/>
        <v>51.886564719107341</v>
      </c>
      <c r="H100">
        <f t="array" ref="H100">IF( INDEX($A$34:$A$124,$A$30+2,0) &gt; A100, ((SUM(B99:B100)-SUM(D99:D100))/$A$32),0)</f>
        <v>0</v>
      </c>
      <c r="I100" s="7">
        <f t="array" aca="1" ref="I100" ca="1">IF(SUM(D99:INDIRECT(CELL("address",INDEX($D97:$D$124,(MATCH(N101,$D97:$D$124,0))-1)))) &gt;= K101,A99,0)</f>
        <v>0</v>
      </c>
      <c r="J100">
        <f t="shared" ca="1" si="14"/>
        <v>0</v>
      </c>
      <c r="K100">
        <f t="array" aca="1" ref="K100" ca="1">(IFERROR(IF(J100&lt;&gt;0,INDEX($H$35:INDIRECT($H$29),$H$35+L100),K101),"END OF LINE"))</f>
        <v>107.80245499482275</v>
      </c>
      <c r="L100">
        <f ca="1">IF(J100&lt;&gt;0,MAX(L101:$L$125)+1,$L$125)</f>
        <v>0</v>
      </c>
      <c r="N100">
        <f t="shared" ca="1" si="15"/>
        <v>51.886564719107341</v>
      </c>
      <c r="O100">
        <f>D100+D99</f>
        <v>105.37198668927547</v>
      </c>
      <c r="P100">
        <f t="array" aca="1" ref="P100" ca="1">SUM(D99:INDIRECT(CELL("address",INDEX($D97:$D$124,(MATCH(N101,$D97:$D$124,0))-1))))</f>
        <v>53.48542197016814</v>
      </c>
      <c r="Q100">
        <f t="array" aca="1" ref="Q100" ca="1">IF(I100&lt;&gt;0, SUM(D99:INDIRECT(CELL("address",INDEX($D97:$D$124,(MATCH(N101,$D97:$D$124,0))-1)))),0)</f>
        <v>0</v>
      </c>
      <c r="R100">
        <f t="shared" si="19"/>
        <v>0</v>
      </c>
    </row>
    <row r="101" spans="1:18" x14ac:dyDescent="0.25">
      <c r="A101">
        <f t="shared" si="18"/>
        <v>67</v>
      </c>
      <c r="B101">
        <f>'Linear distribution and flux'!F74</f>
        <v>0</v>
      </c>
      <c r="D101">
        <f>'Lambertian dist and flux'!F73</f>
        <v>50.224491681448889</v>
      </c>
      <c r="F101">
        <f t="shared" si="16"/>
        <v>50.224491681448889</v>
      </c>
      <c r="G101">
        <f t="shared" si="17"/>
        <v>50.224491681448889</v>
      </c>
      <c r="H101">
        <f t="array" ref="H101">IF( INDEX($A$34:$A$124,$A$30+2,0) &gt; A101, ((SUM(B100:B101)-SUM(D100:D101))/$A$32),0)</f>
        <v>0</v>
      </c>
      <c r="I101" s="7">
        <f t="array" aca="1" ref="I101" ca="1">IF(SUM(D100:INDIRECT(CELL("address",INDEX($D98:$D$124,(MATCH(N102,$D98:$D$124,0))-1)))) &gt;= K102,A100,0)</f>
        <v>66</v>
      </c>
      <c r="J101">
        <f t="shared" ca="1" si="14"/>
        <v>1</v>
      </c>
      <c r="K101">
        <f t="array" aca="1" ref="K101" ca="1">(IFERROR(IF(J101&lt;&gt;0,INDEX($H$35:INDIRECT($H$29),$H$35+L101),K102),"END OF LINE"))</f>
        <v>107.80245499482275</v>
      </c>
      <c r="L101">
        <f ca="1">IF(J101&lt;&gt;0,MAX(L102:$L$125)+1,$L$125)</f>
        <v>8</v>
      </c>
      <c r="N101">
        <f t="shared" ca="1" si="15"/>
        <v>51.886564719107341</v>
      </c>
      <c r="O101">
        <f>D100</f>
        <v>51.886564719107341</v>
      </c>
      <c r="P101">
        <f t="array" aca="1" ref="P101" ca="1">SUM(D100:INDIRECT(CELL("address",INDEX($D98:$D$124,(MATCH(N102,$D98:$D$124,0))-1))))</f>
        <v>150.61228423772269</v>
      </c>
      <c r="Q101">
        <f t="array" aca="1" ref="Q101" ca="1">IF(I101&lt;&gt;0, SUM(D100:INDIRECT(CELL("address",INDEX($D98:$D$124,(MATCH(N102,$D98:$D$124,0))-1)))),0)</f>
        <v>150.61228423772269</v>
      </c>
      <c r="R101">
        <f t="shared" si="19"/>
        <v>0</v>
      </c>
    </row>
    <row r="102" spans="1:18" x14ac:dyDescent="0.25">
      <c r="A102">
        <f t="shared" si="18"/>
        <v>68</v>
      </c>
      <c r="B102">
        <f>'Linear distribution and flux'!F75</f>
        <v>0</v>
      </c>
      <c r="D102">
        <f>'Lambertian dist and flux'!F74</f>
        <v>48.501227837166446</v>
      </c>
      <c r="F102">
        <f t="shared" si="16"/>
        <v>48.501227837166446</v>
      </c>
      <c r="G102">
        <f t="shared" si="17"/>
        <v>48.501227837166446</v>
      </c>
      <c r="H102">
        <f t="array" ref="H102">IF( INDEX($A$34:$A$124,$A$30+2,0) &gt; A102, ((SUM(B101:B102)-SUM(D101:D102))/$A$32),0)</f>
        <v>0</v>
      </c>
      <c r="I102" s="7">
        <f t="array" aca="1" ref="I102" ca="1">IF(SUM(D101:INDIRECT(CELL("address",INDEX($D99:$D$124,(MATCH(N103,$D99:$D$124,0))-1)))) &gt;= K103,A101,0)</f>
        <v>0</v>
      </c>
      <c r="J102">
        <f t="shared" ca="1" si="14"/>
        <v>0</v>
      </c>
      <c r="K102">
        <f t="array" aca="1" ref="K102" ca="1">(IFERROR(IF(J102&lt;&gt;0,INDEX($H$35:INDIRECT($H$29),$H$35+L102),K103),"END OF LINE"))</f>
        <v>101.29941842947919</v>
      </c>
      <c r="L102">
        <f ca="1">IF(J102&lt;&gt;0,MAX(L103:$L$125)+1,$L$125)</f>
        <v>0</v>
      </c>
      <c r="N102">
        <f t="shared" ca="1" si="15"/>
        <v>46.718872717805887</v>
      </c>
      <c r="O102">
        <f>D102+D101</f>
        <v>98.725719518615335</v>
      </c>
      <c r="P102">
        <f t="array" aca="1" ref="P102" ca="1">SUM(D101:INDIRECT(CELL("address",INDEX($D99:$D$124,(MATCH(N103,$D99:$D$124,0))-1))))</f>
        <v>98.725719518615335</v>
      </c>
      <c r="Q102">
        <f t="array" aca="1" ref="Q102" ca="1">IF(I102&lt;&gt;0, SUM(D101:INDIRECT(CELL("address",INDEX($D99:$D$124,(MATCH(N103,$D99:$D$124,0))-1)))),0)</f>
        <v>0</v>
      </c>
      <c r="R102">
        <f t="shared" si="19"/>
        <v>0</v>
      </c>
    </row>
    <row r="103" spans="1:18" x14ac:dyDescent="0.25">
      <c r="A103">
        <f t="shared" si="18"/>
        <v>69</v>
      </c>
      <c r="B103">
        <f>'Linear distribution and flux'!F76</f>
        <v>0</v>
      </c>
      <c r="D103">
        <f>'Lambertian dist and flux'!F75</f>
        <v>46.718872717805887</v>
      </c>
      <c r="F103">
        <f t="shared" si="16"/>
        <v>46.718872717805887</v>
      </c>
      <c r="G103">
        <f t="shared" si="17"/>
        <v>46.718872717805887</v>
      </c>
      <c r="H103">
        <f t="array" ref="H103">IF( INDEX($A$34:$A$124,$A$30+2,0) &gt; A103, ((SUM(B102:B103)-SUM(D102:D103))/$A$32),0)</f>
        <v>0</v>
      </c>
      <c r="I103" s="7">
        <f t="array" aca="1" ref="I103" ca="1">IF(SUM(D102:INDIRECT(CELL("address",INDEX($D100:$D$124,(MATCH(N104,$D100:$D$124,0))-1)))) &gt;= K104,A102,0)</f>
        <v>0</v>
      </c>
      <c r="J103">
        <f t="shared" ca="1" si="14"/>
        <v>0</v>
      </c>
      <c r="K103">
        <f t="array" aca="1" ref="K103" ca="1">(IFERROR(IF(J103&lt;&gt;0,INDEX($H$35:INDIRECT($H$29),$H$35+L103),K104),"END OF LINE"))</f>
        <v>101.29941842947919</v>
      </c>
      <c r="L103">
        <f ca="1">IF(J103&lt;&gt;0,MAX(L104:$L$125)+1,$L$125)</f>
        <v>0</v>
      </c>
      <c r="N103">
        <f t="shared" ca="1" si="15"/>
        <v>46.718872717805887</v>
      </c>
      <c r="O103">
        <f>D102</f>
        <v>48.501227837166446</v>
      </c>
      <c r="P103">
        <f t="array" aca="1" ref="P103" ca="1">SUM(D102:INDIRECT(CELL("address",INDEX($D100:$D$124,(MATCH(N104,$D100:$D$124,0))-1))))</f>
        <v>48.501227837166446</v>
      </c>
      <c r="Q103">
        <f t="array" aca="1" ref="Q103" ca="1">IF(I103&lt;&gt;0, SUM(D102:INDIRECT(CELL("address",INDEX($D100:$D$124,(MATCH(N104,$D100:$D$124,0))-1)))),0)</f>
        <v>0</v>
      </c>
      <c r="R103">
        <f t="shared" si="19"/>
        <v>0</v>
      </c>
    </row>
    <row r="104" spans="1:18" x14ac:dyDescent="0.25">
      <c r="A104">
        <f t="shared" si="18"/>
        <v>70</v>
      </c>
      <c r="B104">
        <f>'Linear distribution and flux'!F77</f>
        <v>0</v>
      </c>
      <c r="D104">
        <f>'Lambertian dist and flux'!F76</f>
        <v>44.879597848529293</v>
      </c>
      <c r="F104">
        <f t="shared" si="16"/>
        <v>44.879597848529293</v>
      </c>
      <c r="G104">
        <f t="shared" si="17"/>
        <v>44.879597848529293</v>
      </c>
      <c r="H104">
        <f t="array" ref="H104">IF( INDEX($A$34:$A$124,$A$30+2,0) &gt; A104, ((SUM(B103:B104)-SUM(D103:D104))/$A$32),0)</f>
        <v>0</v>
      </c>
      <c r="I104" s="7">
        <f t="array" aca="1" ref="I104" ca="1">IF(SUM(D103:INDIRECT(CELL("address",INDEX($D101:$D$124,(MATCH(N105,$D101:$D$124,0))-1)))) &gt;= K105,A103,0)</f>
        <v>69</v>
      </c>
      <c r="J104">
        <f t="shared" ca="1" si="14"/>
        <v>1</v>
      </c>
      <c r="K104">
        <f t="array" aca="1" ref="K104" ca="1">(IFERROR(IF(J104&lt;&gt;0,INDEX($H$35:INDIRECT($H$29),$H$35+L104),K105),"END OF LINE"))</f>
        <v>101.29941842947919</v>
      </c>
      <c r="L104">
        <f ca="1">IF(J104&lt;&gt;0,MAX(L105:$L$125)+1,$L$125)</f>
        <v>7</v>
      </c>
      <c r="N104">
        <f t="shared" ca="1" si="15"/>
        <v>46.718872717805887</v>
      </c>
      <c r="O104">
        <f>D103+D104</f>
        <v>91.59847056633518</v>
      </c>
      <c r="P104">
        <f t="array" aca="1" ref="P104" ca="1">SUM(D103:INDIRECT(CELL("address",INDEX($D101:$D$124,(MATCH(N105,$D101:$D$124,0))-1))))</f>
        <v>134.58411466878152</v>
      </c>
      <c r="Q104">
        <f t="array" aca="1" ref="Q104" ca="1">IF(I104&lt;&gt;0, SUM(D103:INDIRECT(CELL("address",INDEX($D101:$D$124,(MATCH(N105,$D101:$D$124,0))-1)))),0)</f>
        <v>134.58411466878152</v>
      </c>
      <c r="R104">
        <f t="shared" si="19"/>
        <v>0</v>
      </c>
    </row>
    <row r="105" spans="1:18" x14ac:dyDescent="0.25">
      <c r="A105">
        <f t="shared" si="18"/>
        <v>71</v>
      </c>
      <c r="B105">
        <f>'Linear distribution and flux'!F78</f>
        <v>0</v>
      </c>
      <c r="D105">
        <f>'Lambertian dist and flux'!F77</f>
        <v>42.985644102446358</v>
      </c>
      <c r="F105">
        <f t="shared" si="16"/>
        <v>42.985644102446358</v>
      </c>
      <c r="G105">
        <f t="shared" si="17"/>
        <v>42.985644102446358</v>
      </c>
      <c r="H105">
        <f t="array" ref="H105">IF( INDEX($A$34:$A$124,$A$30+2,0) &gt; A105, ((SUM(B104:B105)-SUM(D104:D105))/$A$32),0)</f>
        <v>0</v>
      </c>
      <c r="I105" s="7">
        <f t="array" aca="1" ref="I105" ca="1">IF(SUM(D104:INDIRECT(CELL("address",INDEX($D102:$D$124,(MATCH(N106,$D102:$D$124,0))-1)))) &gt;= K106,A104,0)</f>
        <v>0</v>
      </c>
      <c r="J105">
        <f t="shared" ca="1" si="14"/>
        <v>0</v>
      </c>
      <c r="K105">
        <f t="array" aca="1" ref="K105" ca="1">(IFERROR(IF(J105&lt;&gt;0,INDEX($H$35:INDIRECT($H$29),$H$35+L105),K106),"END OF LINE"))</f>
        <v>94.492453033160359</v>
      </c>
      <c r="L105">
        <f ca="1">IF(J105&lt;&gt;0,MAX(L106:$L$125)+1,$L$125)</f>
        <v>0</v>
      </c>
      <c r="N105">
        <f t="shared" ca="1" si="15"/>
        <v>41.039318970455469</v>
      </c>
      <c r="O105">
        <f>D104</f>
        <v>44.879597848529293</v>
      </c>
      <c r="P105">
        <f t="array" aca="1" ref="P105" ca="1">SUM(D104:INDIRECT(CELL("address",INDEX($D102:$D$124,(MATCH(N106,$D102:$D$124,0))-1))))</f>
        <v>87.865241950975644</v>
      </c>
      <c r="Q105">
        <f t="array" aca="1" ref="Q105" ca="1">IF(I105&lt;&gt;0, SUM(D104:INDIRECT(CELL("address",INDEX($D102:$D$124,(MATCH(N106,$D102:$D$124,0))-1)))),0)</f>
        <v>0</v>
      </c>
      <c r="R105">
        <f t="shared" si="19"/>
        <v>0</v>
      </c>
    </row>
    <row r="106" spans="1:18" x14ac:dyDescent="0.25">
      <c r="A106">
        <f t="shared" si="18"/>
        <v>72</v>
      </c>
      <c r="B106">
        <f>'Linear distribution and flux'!F79</f>
        <v>0</v>
      </c>
      <c r="D106">
        <f>'Lambertian dist and flux'!F78</f>
        <v>41.039318970455469</v>
      </c>
      <c r="F106">
        <f t="shared" si="16"/>
        <v>41.039318970455469</v>
      </c>
      <c r="G106">
        <f t="shared" si="17"/>
        <v>41.039318970455469</v>
      </c>
      <c r="H106">
        <f t="array" ref="H106">IF( INDEX($A$34:$A$124,$A$30+2,0) &gt; A106, ((SUM(B105:B106)-SUM(D105:D106))/$A$32),0)</f>
        <v>0</v>
      </c>
      <c r="I106" s="7">
        <f t="array" aca="1" ref="I106" ca="1">IF(SUM(D105:INDIRECT(CELL("address",INDEX($D103:$D$124,(MATCH(N107,$D103:$D$124,0))-1)))) &gt;= K107,A105,0)</f>
        <v>0</v>
      </c>
      <c r="J106">
        <f t="shared" ca="1" si="14"/>
        <v>0</v>
      </c>
      <c r="K106">
        <f t="array" aca="1" ref="K106" ca="1">(IFERROR(IF(J106&lt;&gt;0,INDEX($H$35:INDIRECT($H$29),$H$35+L106),K107),"END OF LINE"))</f>
        <v>94.492453033160359</v>
      </c>
      <c r="L106">
        <f ca="1">IF(J106&lt;&gt;0,MAX(L107:$L$125)+1,$L$125)</f>
        <v>0</v>
      </c>
      <c r="N106">
        <f t="shared" ca="1" si="15"/>
        <v>41.039318970455469</v>
      </c>
      <c r="O106">
        <f>D106+D105</f>
        <v>84.024963072901826</v>
      </c>
      <c r="P106">
        <f t="array" aca="1" ref="P106" ca="1">SUM(D105:INDIRECT(CELL("address",INDEX($D103:$D$124,(MATCH(N107,$D103:$D$124,0))-1))))</f>
        <v>42.985644102446358</v>
      </c>
      <c r="Q106">
        <f t="array" aca="1" ref="Q106" ca="1">IF(I106&lt;&gt;0, SUM(D105:INDIRECT(CELL("address",INDEX($D103:$D$124,(MATCH(N107,$D103:$D$124,0))-1)))),0)</f>
        <v>0</v>
      </c>
      <c r="R106">
        <f t="shared" si="19"/>
        <v>0</v>
      </c>
    </row>
    <row r="107" spans="1:18" x14ac:dyDescent="0.25">
      <c r="A107">
        <f t="shared" si="18"/>
        <v>73</v>
      </c>
      <c r="B107">
        <f>'Linear distribution and flux'!F80</f>
        <v>0</v>
      </c>
      <c r="D107">
        <f>'Lambertian dist and flux'!F79</f>
        <v>39.042993749921564</v>
      </c>
      <c r="F107">
        <f t="shared" si="16"/>
        <v>39.042993749921564</v>
      </c>
      <c r="G107">
        <f t="shared" si="17"/>
        <v>39.042993749921564</v>
      </c>
      <c r="H107">
        <f t="array" ref="H107">IF( INDEX($A$34:$A$124,$A$30+2,0) &gt; A107, ((SUM(B106:B107)-SUM(D106:D107))/$A$32),0)</f>
        <v>0</v>
      </c>
      <c r="I107" s="7">
        <f t="array" aca="1" ref="I107" ca="1">IF(SUM(D106:INDIRECT(CELL("address",INDEX($D104:$D$124,(MATCH(N108,$D104:$D$124,0))-1)))) &gt;= K108,A106,0)</f>
        <v>72</v>
      </c>
      <c r="J107">
        <f t="shared" ca="1" si="14"/>
        <v>1</v>
      </c>
      <c r="K107">
        <f t="array" aca="1" ref="K107" ca="1">(IFERROR(IF(J107&lt;&gt;0,INDEX($H$35:INDIRECT($H$29),$H$35+L107),K108),"END OF LINE"))</f>
        <v>94.492453033160359</v>
      </c>
      <c r="L107">
        <f ca="1">IF(J107&lt;&gt;0,MAX(L108:$L$125)+1,$L$125)</f>
        <v>6</v>
      </c>
      <c r="N107">
        <f t="shared" ca="1" si="15"/>
        <v>41.039318970455469</v>
      </c>
      <c r="O107">
        <f>D106</f>
        <v>41.039318970455469</v>
      </c>
      <c r="P107">
        <f t="array" aca="1" ref="P107" ca="1">SUM(D106:INDIRECT(CELL("address",INDEX($D104:$D$124,(MATCH(N108,$D104:$D$124,0))-1))))</f>
        <v>117.08141337599255</v>
      </c>
      <c r="Q107">
        <f t="array" aca="1" ref="Q107" ca="1">IF(I107&lt;&gt;0, SUM(D106:INDIRECT(CELL("address",INDEX($D104:$D$124,(MATCH(N108,$D104:$D$124,0))-1)))),0)</f>
        <v>117.08141337599255</v>
      </c>
      <c r="R107">
        <f t="shared" si="19"/>
        <v>0</v>
      </c>
    </row>
    <row r="108" spans="1:18" x14ac:dyDescent="0.25">
      <c r="A108">
        <f t="shared" si="18"/>
        <v>74</v>
      </c>
      <c r="B108">
        <f>'Linear distribution and flux'!F81</f>
        <v>0</v>
      </c>
      <c r="D108">
        <f>'Lambertian dist and flux'!F80</f>
        <v>36.999100655615514</v>
      </c>
      <c r="F108">
        <f t="shared" si="16"/>
        <v>36.999100655615514</v>
      </c>
      <c r="G108">
        <f t="shared" si="17"/>
        <v>36.999100655615514</v>
      </c>
      <c r="H108">
        <f t="array" ref="H108">IF( INDEX($A$34:$A$124,$A$30+2,0) &gt; A108, ((SUM(B107:B108)-SUM(D107:D108))/$A$32),0)</f>
        <v>0</v>
      </c>
      <c r="I108" s="7">
        <f t="array" aca="1" ref="I108" ca="1">IF(SUM(D107:INDIRECT(CELL("address",INDEX($D105:$D$124,(MATCH(N109,$D105:$D$124,0))-1)))) &gt;= K109,A107,0)</f>
        <v>0</v>
      </c>
      <c r="J108">
        <f t="shared" ca="1" si="14"/>
        <v>0</v>
      </c>
      <c r="K108">
        <f t="array" aca="1" ref="K108" ca="1">(IFERROR(IF(J108&lt;&gt;0,INDEX($H$35:INDIRECT($H$29),$H$35+L108),K109),"END OF LINE"))</f>
        <v>87.370718172643677</v>
      </c>
      <c r="L108">
        <f ca="1">IF(J108&lt;&gt;0,MAX(L109:$L$125)+1,$L$125)</f>
        <v>0</v>
      </c>
      <c r="N108">
        <f t="shared" ca="1" si="15"/>
        <v>34.910129856435148</v>
      </c>
      <c r="O108">
        <f>D108+D107</f>
        <v>76.042094405537085</v>
      </c>
      <c r="P108">
        <f t="array" aca="1" ref="P108" ca="1">SUM(D107:INDIRECT(CELL("address",INDEX($D105:$D$124,(MATCH(N109,$D105:$D$124,0))-1))))</f>
        <v>76.042094405537085</v>
      </c>
      <c r="Q108">
        <f t="array" aca="1" ref="Q108" ca="1">IF(I108&lt;&gt;0, SUM(D107:INDIRECT(CELL("address",INDEX($D105:$D$124,(MATCH(N109,$D105:$D$124,0))-1)))),0)</f>
        <v>0</v>
      </c>
      <c r="R108">
        <f t="shared" si="19"/>
        <v>0</v>
      </c>
    </row>
    <row r="109" spans="1:18" x14ac:dyDescent="0.25">
      <c r="A109">
        <f t="shared" si="18"/>
        <v>75</v>
      </c>
      <c r="B109">
        <f>'Linear distribution and flux'!F82</f>
        <v>0</v>
      </c>
      <c r="D109">
        <f>'Lambertian dist and flux'!F81</f>
        <v>34.910129856435148</v>
      </c>
      <c r="F109">
        <f t="shared" si="16"/>
        <v>34.910129856435148</v>
      </c>
      <c r="G109">
        <f t="shared" si="17"/>
        <v>34.910129856435148</v>
      </c>
      <c r="H109">
        <f t="array" ref="H109">IF( INDEX($A$34:$A$124,$A$30+2,0) &gt; A109, ((SUM(B108:B109)-SUM(D108:D109))/$A$32),0)</f>
        <v>0</v>
      </c>
      <c r="I109" s="7">
        <f t="array" aca="1" ref="I109" ca="1">IF(SUM(D108:INDIRECT(CELL("address",INDEX($D106:$D$124,(MATCH(N110,$D106:$D$124,0))-1)))) &gt;= K110,A108,0)</f>
        <v>0</v>
      </c>
      <c r="J109">
        <f t="shared" ca="1" si="14"/>
        <v>0</v>
      </c>
      <c r="K109">
        <f t="array" aca="1" ref="K109" ca="1">(IFERROR(IF(J109&lt;&gt;0,INDEX($H$35:INDIRECT($H$29),$H$35+L109),K110),"END OF LINE"))</f>
        <v>87.370718172643677</v>
      </c>
      <c r="L109">
        <f ca="1">IF(J109&lt;&gt;0,MAX(L110:$L$125)+1,$L$125)</f>
        <v>0</v>
      </c>
      <c r="N109">
        <f t="shared" ca="1" si="15"/>
        <v>34.910129856435148</v>
      </c>
      <c r="O109">
        <f>D108</f>
        <v>36.999100655615514</v>
      </c>
      <c r="P109">
        <f t="array" aca="1" ref="P109" ca="1">SUM(D108:INDIRECT(CELL("address",INDEX($D106:$D$124,(MATCH(N110,$D106:$D$124,0))-1))))</f>
        <v>36.999100655615514</v>
      </c>
      <c r="Q109">
        <f t="array" aca="1" ref="Q109" ca="1">IF(I109&lt;&gt;0, SUM(D108:INDIRECT(CELL("address",INDEX($D106:$D$124,(MATCH(N110,$D106:$D$124,0))-1)))),0)</f>
        <v>0</v>
      </c>
      <c r="R109">
        <f t="shared" si="19"/>
        <v>0</v>
      </c>
    </row>
    <row r="110" spans="1:18" x14ac:dyDescent="0.25">
      <c r="A110">
        <f t="shared" si="18"/>
        <v>76</v>
      </c>
      <c r="B110">
        <f>'Linear distribution and flux'!F83</f>
        <v>0</v>
      </c>
      <c r="D110">
        <f>'Lambertian dist and flux'!F82</f>
        <v>32.778626441517986</v>
      </c>
      <c r="F110">
        <f t="shared" si="16"/>
        <v>32.778626441517986</v>
      </c>
      <c r="G110">
        <f t="shared" si="17"/>
        <v>32.778626441517986</v>
      </c>
      <c r="H110">
        <f t="array" ref="H110">IF( INDEX($A$34:$A$124,$A$30+2,0) &gt; A110, ((SUM(B109:B110)-SUM(D109:D110))/$A$32),0)</f>
        <v>0</v>
      </c>
      <c r="I110" s="7">
        <f t="array" aca="1" ref="I110" ca="1">IF(SUM(D109:INDIRECT(CELL("address",INDEX($D107:$D$124,(MATCH(N111,$D107:$D$124,0))-1)))) &gt;= K111,A109,0)</f>
        <v>75</v>
      </c>
      <c r="J110">
        <f t="shared" ca="1" si="14"/>
        <v>1</v>
      </c>
      <c r="K110">
        <f t="array" aca="1" ref="K110" ca="1">(IFERROR(IF(J110&lt;&gt;0,INDEX($H$35:INDIRECT($H$29),$H$35+L110),K111),"END OF LINE"))</f>
        <v>87.370718172643677</v>
      </c>
      <c r="L110">
        <f ca="1">IF(J110&lt;&gt;0,MAX(L111:$L$125)+1,$L$125)</f>
        <v>5</v>
      </c>
      <c r="N110">
        <f t="shared" ca="1" si="15"/>
        <v>34.910129856435148</v>
      </c>
      <c r="O110">
        <f>O111+D109</f>
        <v>67.688756297953134</v>
      </c>
      <c r="P110">
        <f t="array" aca="1" ref="P110" ca="1">SUM(D109:INDIRECT(CELL("address",INDEX($D107:$D$124,(MATCH(N111,$D107:$D$124,0))-1))))</f>
        <v>98.295943617395295</v>
      </c>
      <c r="Q110">
        <f t="array" aca="1" ref="Q110" ca="1">IF(I110&lt;&gt;0, SUM(D109:INDIRECT(CELL("address",INDEX($D107:$D$124,(MATCH(N111,$D107:$D$124,0))-1)))),0)</f>
        <v>98.295943617395295</v>
      </c>
      <c r="R110">
        <f t="shared" si="19"/>
        <v>0</v>
      </c>
    </row>
    <row r="111" spans="1:18" x14ac:dyDescent="0.25">
      <c r="A111">
        <f t="shared" si="18"/>
        <v>77</v>
      </c>
      <c r="B111">
        <f>'Linear distribution and flux'!F84</f>
        <v>0</v>
      </c>
      <c r="D111">
        <f>'Lambertian dist and flux'!F83</f>
        <v>30.607187319442168</v>
      </c>
      <c r="F111">
        <f t="shared" si="16"/>
        <v>30.607187319442168</v>
      </c>
      <c r="G111">
        <f t="shared" si="17"/>
        <v>30.607187319442168</v>
      </c>
      <c r="H111">
        <f t="array" ref="H111">IF( INDEX($A$34:$A$124,$A$30+2,0) &gt; A111, ((SUM(B110:B111)-SUM(D110:D111))/$A$32),0)</f>
        <v>0</v>
      </c>
      <c r="I111" s="7">
        <f t="array" aca="1" ref="I111" ca="1">IF(SUM(D110:INDIRECT(CELL("address",INDEX($D108:$D$124,(MATCH(N112,$D108:$D$124,0))-1)))) &gt;= K112,A110,0)</f>
        <v>0</v>
      </c>
      <c r="J111">
        <f t="shared" ca="1" si="14"/>
        <v>0</v>
      </c>
      <c r="K111">
        <f t="array" aca="1" ref="K111" ca="1">(IFERROR(IF(J111&lt;&gt;0,INDEX($H$35:INDIRECT($H$29),$H$35+L111),K112),"END OF LINE"))</f>
        <v>79.919834096490234</v>
      </c>
      <c r="L111">
        <f ca="1">IF(J111&lt;&gt;0,MAX(L112:$L$125)+1,$L$125)</f>
        <v>0</v>
      </c>
      <c r="N111">
        <f t="shared" ca="1" si="15"/>
        <v>28.398458054293418</v>
      </c>
      <c r="O111">
        <f>D110</f>
        <v>32.778626441517986</v>
      </c>
      <c r="P111">
        <f t="array" aca="1" ref="P111" ca="1">SUM(D110:INDIRECT(CELL("address",INDEX($D108:$D$124,(MATCH(N112,$D108:$D$124,0))-1))))</f>
        <v>63.385813760960154</v>
      </c>
      <c r="Q111">
        <f t="array" aca="1" ref="Q111" ca="1">IF(I111&lt;&gt;0, SUM(D110:INDIRECT(CELL("address",INDEX($D108:$D$124,(MATCH(N112,$D108:$D$124,0))-1)))),0)</f>
        <v>0</v>
      </c>
      <c r="R111">
        <f t="shared" si="19"/>
        <v>0</v>
      </c>
    </row>
    <row r="112" spans="1:18" x14ac:dyDescent="0.25">
      <c r="A112">
        <f t="shared" si="18"/>
        <v>78</v>
      </c>
      <c r="B112">
        <f>'Linear distribution and flux'!F85</f>
        <v>0</v>
      </c>
      <c r="D112">
        <f>'Lambertian dist and flux'!F84</f>
        <v>28.398458054293418</v>
      </c>
      <c r="F112">
        <f t="shared" si="16"/>
        <v>28.398458054293418</v>
      </c>
      <c r="G112">
        <f t="shared" si="17"/>
        <v>28.398458054293418</v>
      </c>
      <c r="H112">
        <f t="array" ref="H112">IF( INDEX($A$34:$A$124,$A$30+2,0) &gt; A112, ((SUM(B111:B112)-SUM(D111:D112))/$A$32),0)</f>
        <v>0</v>
      </c>
      <c r="I112" s="7">
        <f t="array" aca="1" ref="I112" ca="1">IF(SUM(D111:INDIRECT(CELL("address",INDEX($D109:$D$124,(MATCH(N113,$D109:$D$124,0))-1)))) &gt;= K113,A111,0)</f>
        <v>0</v>
      </c>
      <c r="J112">
        <f t="shared" ca="1" si="14"/>
        <v>0</v>
      </c>
      <c r="K112">
        <f t="array" aca="1" ref="K112" ca="1">(IFERROR(IF(J112&lt;&gt;0,INDEX($H$35:INDIRECT($H$29),$H$35+L112),K113),"END OF LINE"))</f>
        <v>79.919834096490234</v>
      </c>
      <c r="L112">
        <f ca="1">IF(J112&lt;&gt;0,MAX(L113:$L$125)+1,$L$125)</f>
        <v>0</v>
      </c>
      <c r="N112">
        <f t="shared" ca="1" si="15"/>
        <v>28.398458054293418</v>
      </c>
      <c r="O112">
        <f>SUM(D111:D112)</f>
        <v>59.005645373735589</v>
      </c>
      <c r="P112">
        <f t="array" aca="1" ref="P112" ca="1">SUM(D111:INDIRECT(CELL("address",INDEX($D109:$D$124,(MATCH(N113,$D109:$D$124,0))-1))))</f>
        <v>30.607187319442168</v>
      </c>
      <c r="Q112">
        <f t="array" aca="1" ref="Q112" ca="1">IF(I112&lt;&gt;0, SUM(D111:INDIRECT(CELL("address",INDEX($D109:$D$124,(MATCH(N113,$D109:$D$124,0))-1)))),0)</f>
        <v>0</v>
      </c>
      <c r="R112">
        <f t="shared" si="19"/>
        <v>0</v>
      </c>
    </row>
    <row r="113" spans="1:18" x14ac:dyDescent="0.25">
      <c r="A113">
        <f t="shared" si="18"/>
        <v>79</v>
      </c>
      <c r="B113">
        <f>'Linear distribution and flux'!F86</f>
        <v>0</v>
      </c>
      <c r="D113">
        <f>'Lambertian dist and flux'!F85</f>
        <v>26.155129642452604</v>
      </c>
      <c r="F113">
        <f t="shared" si="16"/>
        <v>26.155129642452604</v>
      </c>
      <c r="G113">
        <f t="shared" si="17"/>
        <v>26.155129642452604</v>
      </c>
      <c r="H113">
        <f t="array" ref="H113">IF( INDEX($A$34:$A$124,$A$30+2,0) &gt; A113, ((SUM(B112:B113)-SUM(D112:D113))/$A$32),0)</f>
        <v>0</v>
      </c>
      <c r="I113" s="7">
        <f t="array" aca="1" ref="I113" ca="1">IF(SUM(D112:INDIRECT(CELL("address",INDEX($D110:$D$124,(MATCH(N114,$D110:$D$124,0))-1)))) &gt;= K114,A112,0)</f>
        <v>78</v>
      </c>
      <c r="J113">
        <f t="shared" ca="1" si="14"/>
        <v>1</v>
      </c>
      <c r="K113">
        <f t="array" aca="1" ref="K113" ca="1">(IFERROR(IF(J113&lt;&gt;0,INDEX($H$35:INDIRECT($H$29),$H$35+L113),K114),"END OF LINE"))</f>
        <v>79.919834096490234</v>
      </c>
      <c r="L113">
        <f ca="1">IF(J113&lt;&gt;0,MAX(L114:$L$125)+1,$L$125)</f>
        <v>4</v>
      </c>
      <c r="N113">
        <f t="shared" ca="1" si="15"/>
        <v>28.398458054293418</v>
      </c>
      <c r="O113">
        <f>D112</f>
        <v>28.398458054293418</v>
      </c>
      <c r="P113">
        <f t="array" aca="1" ref="P113" ca="1">SUM(D112:INDIRECT(CELL("address",INDEX($D110:$D$124,(MATCH(N114,$D110:$D$124,0))-1))))</f>
        <v>100.00916973372676</v>
      </c>
      <c r="Q113">
        <f t="array" aca="1" ref="Q113" ca="1">IF(I113&lt;&gt;0, SUM(D112:INDIRECT(CELL("address",INDEX($D110:$D$124,(MATCH(N114,$D110:$D$124,0))-1)))),0)</f>
        <v>100.00916973372676</v>
      </c>
      <c r="R113">
        <f t="shared" si="19"/>
        <v>0</v>
      </c>
    </row>
    <row r="114" spans="1:18" x14ac:dyDescent="0.25">
      <c r="A114">
        <f t="shared" si="18"/>
        <v>80</v>
      </c>
      <c r="B114">
        <f>'Linear distribution and flux'!F87</f>
        <v>0</v>
      </c>
      <c r="D114">
        <f>'Lambertian dist and flux'!F86</f>
        <v>23.879935234031322</v>
      </c>
      <c r="F114">
        <f t="shared" si="16"/>
        <v>23.879935234031322</v>
      </c>
      <c r="G114">
        <f t="shared" si="17"/>
        <v>23.879935234031322</v>
      </c>
      <c r="H114">
        <f t="array" ref="H114">IF( INDEX($A$34:$A$124,$A$30+2,0) &gt; A114, ((SUM(B113:B114)-SUM(D113:D114))/$A$32),0)</f>
        <v>0</v>
      </c>
      <c r="I114" s="7">
        <f t="array" aca="1" ref="I114" ca="1">IF(SUM(D113:INDIRECT(CELL("address",INDEX($D111:$D$124,(MATCH(N115,$D111:$D$124,0))-1)))) &gt;= K115,A113,0)</f>
        <v>0</v>
      </c>
      <c r="J114">
        <f t="shared" ca="1" si="14"/>
        <v>0</v>
      </c>
      <c r="K114">
        <f t="array" aca="1" ref="K114" ca="1">(IFERROR(IF(J114&lt;&gt;0,INDEX($H$35:INDIRECT($H$29),$H$35+L114),K115),"END OF LINE"))</f>
        <v>72.122021307119496</v>
      </c>
      <c r="L114">
        <f ca="1">IF(J114&lt;&gt;0,MAX(L115:$L$125)+1,$L$125)</f>
        <v>0</v>
      </c>
      <c r="N114">
        <f t="shared" ca="1" si="15"/>
        <v>19.245071769711728</v>
      </c>
      <c r="O114">
        <f>O115+D113</f>
        <v>50.035064876483929</v>
      </c>
      <c r="P114">
        <f t="array" aca="1" ref="P114" ca="1">SUM(D113:INDIRECT(CELL("address",INDEX($D111:$D$124,(MATCH(N115,$D111:$D$124,0))-1))))</f>
        <v>71.610711679433351</v>
      </c>
      <c r="Q114">
        <f t="array" aca="1" ref="Q114" ca="1">IF(I114&lt;&gt;0, SUM(D113:INDIRECT(CELL("address",INDEX($D111:$D$124,(MATCH(N115,$D111:$D$124,0))-1)))),0)</f>
        <v>0</v>
      </c>
      <c r="R114">
        <f t="shared" si="19"/>
        <v>0</v>
      </c>
    </row>
    <row r="115" spans="1:18" x14ac:dyDescent="0.25">
      <c r="A115">
        <f t="shared" si="18"/>
        <v>81</v>
      </c>
      <c r="B115">
        <f>'Linear distribution and flux'!F88</f>
        <v>0</v>
      </c>
      <c r="D115">
        <f>'Lambertian dist and flux'!F87</f>
        <v>21.575646802949421</v>
      </c>
      <c r="F115">
        <f t="shared" si="16"/>
        <v>21.575646802949421</v>
      </c>
      <c r="G115">
        <f t="shared" si="17"/>
        <v>21.575646802949421</v>
      </c>
      <c r="H115">
        <f t="array" ref="H115">IF( INDEX($A$34:$A$124,$A$30+2,0) &gt; A115, ((SUM(B114:B115)-SUM(D114:D115))/$A$32),0)</f>
        <v>0</v>
      </c>
      <c r="I115" s="7">
        <f t="array" aca="1" ref="I115" ca="1">IF(SUM(D114:INDIRECT(CELL("address",INDEX($D112:$D$124,(MATCH(N116,$D112:$D$124,0))-1)))) &gt;= K116,A114,0)</f>
        <v>0</v>
      </c>
      <c r="J115">
        <f t="shared" ca="1" si="14"/>
        <v>0</v>
      </c>
      <c r="K115">
        <f t="array" aca="1" ref="K115" ca="1">(IFERROR(IF(J115&lt;&gt;0,INDEX($H$35:INDIRECT($H$29),$H$35+L115),K116),"END OF LINE"))</f>
        <v>72.122021307119496</v>
      </c>
      <c r="L115">
        <f ca="1">IF(J115&lt;&gt;0,MAX(L116:$L$125)+1,$L$125)</f>
        <v>0</v>
      </c>
      <c r="N115">
        <f t="shared" ca="1" si="15"/>
        <v>19.245071769711728</v>
      </c>
      <c r="O115">
        <f>D114</f>
        <v>23.879935234031322</v>
      </c>
      <c r="P115">
        <f t="array" aca="1" ref="P115" ca="1">SUM(D114:INDIRECT(CELL("address",INDEX($D112:$D$124,(MATCH(N116,$D112:$D$124,0))-1))))</f>
        <v>45.455582036980744</v>
      </c>
      <c r="Q115">
        <f t="array" aca="1" ref="Q115" ca="1">IF(I115&lt;&gt;0, SUM(D114:INDIRECT(CELL("address",INDEX($D112:$D$124,(MATCH(N116,$D112:$D$124,0))-1)))),0)</f>
        <v>0</v>
      </c>
      <c r="R115">
        <f t="shared" si="19"/>
        <v>0</v>
      </c>
    </row>
    <row r="116" spans="1:18" x14ac:dyDescent="0.25">
      <c r="A116">
        <f t="shared" si="18"/>
        <v>82</v>
      </c>
      <c r="B116">
        <f>'Linear distribution and flux'!F89</f>
        <v>0</v>
      </c>
      <c r="D116">
        <f>'Lambertian dist and flux'!F88</f>
        <v>19.245071769711728</v>
      </c>
      <c r="F116">
        <f t="shared" si="16"/>
        <v>19.245071769711728</v>
      </c>
      <c r="G116">
        <f t="shared" si="17"/>
        <v>19.245071769711728</v>
      </c>
      <c r="H116">
        <f t="array" ref="H116">IF( INDEX($A$34:$A$124,$A$30+2,0) &gt; A116, ((SUM(B115:B116)-SUM(D115:D116))/$A$32),0)</f>
        <v>0</v>
      </c>
      <c r="I116" s="7">
        <f t="array" aca="1" ref="I116" ca="1">IF(SUM(D115:INDIRECT(CELL("address",INDEX($D113:$D$124,(MATCH(N117,$D113:$D$124,0))-1)))) &gt;= K117,A115,0)</f>
        <v>0</v>
      </c>
      <c r="J116">
        <f t="shared" ca="1" si="14"/>
        <v>0</v>
      </c>
      <c r="K116">
        <f t="array" aca="1" ref="K116" ca="1">(IFERROR(IF(J116&lt;&gt;0,INDEX($H$35:INDIRECT($H$29),$H$35+L116),K117),"END OF LINE"))</f>
        <v>72.122021307119496</v>
      </c>
      <c r="L116">
        <f ca="1">IF(J116&lt;&gt;0,MAX(L117:$L$125)+1,$L$125)</f>
        <v>0</v>
      </c>
      <c r="N116">
        <f t="shared" ca="1" si="15"/>
        <v>19.245071769711728</v>
      </c>
      <c r="O116">
        <f>O117+D115</f>
        <v>40.82071857266115</v>
      </c>
      <c r="P116">
        <f t="array" aca="1" ref="P116" ca="1">SUM(D115:INDIRECT(CELL("address",INDEX($D113:$D$124,(MATCH(N117,$D113:$D$124,0))-1))))</f>
        <v>21.575646802949421</v>
      </c>
      <c r="Q116">
        <f t="array" aca="1" ref="Q116" ca="1">IF(I116&lt;&gt;0, SUM(D115:INDIRECT(CELL("address",INDEX($D113:$D$124,(MATCH(N117,$D113:$D$124,0))-1)))),0)</f>
        <v>0</v>
      </c>
      <c r="R116">
        <f t="shared" si="19"/>
        <v>0</v>
      </c>
    </row>
    <row r="117" spans="1:18" x14ac:dyDescent="0.25">
      <c r="A117">
        <f t="shared" si="18"/>
        <v>83</v>
      </c>
      <c r="B117">
        <f>'Linear distribution and flux'!F90</f>
        <v>0</v>
      </c>
      <c r="D117">
        <f>'Lambertian dist and flux'!F89</f>
        <v>16.891049580998693</v>
      </c>
      <c r="F117">
        <f t="shared" si="16"/>
        <v>16.891049580998693</v>
      </c>
      <c r="G117">
        <f t="shared" si="17"/>
        <v>16.891049580998693</v>
      </c>
      <c r="H117">
        <f t="array" ref="H117">IF( INDEX($A$34:$A$124,$A$30+2,0) &gt; A117, ((SUM(B116:B117)-SUM(D116:D117))/$A$32),0)</f>
        <v>0</v>
      </c>
      <c r="I117" s="7">
        <f t="array" aca="1" ref="I117" ca="1">IF(SUM(D116:INDIRECT(CELL("address",INDEX($D114:$D$124,(MATCH(N118,$D114:$D$124,0))-1)))) &gt;= K118,A116,0)</f>
        <v>82</v>
      </c>
      <c r="J117">
        <f t="shared" ca="1" si="14"/>
        <v>1</v>
      </c>
      <c r="K117">
        <f t="array" aca="1" ref="K117" ca="1">(IFERROR(IF(J117&lt;&gt;0,INDEX($H$35:INDIRECT($H$29),$H$35+L117),K118),"END OF LINE"))</f>
        <v>72.122021307119496</v>
      </c>
      <c r="L117">
        <f ca="1">IF(J117&lt;&gt;0,MAX(L118:$L$125)+1,$L$125)</f>
        <v>3</v>
      </c>
      <c r="N117">
        <f t="shared" ca="1" si="15"/>
        <v>19.245071769711728</v>
      </c>
      <c r="O117">
        <f>D116</f>
        <v>19.245071769711728</v>
      </c>
      <c r="P117">
        <f t="array" aca="1" ref="P117" ca="1">SUM(D116:INDIRECT(CELL("address",INDEX($D114:$D$124,(MATCH(N118,$D114:$D$124,0))-1))))</f>
        <v>79.792036971132177</v>
      </c>
      <c r="Q117">
        <f t="array" aca="1" ref="Q117" ca="1">IF(I117&lt;&gt;0, SUM(D116:INDIRECT(CELL("address",INDEX($D114:$D$124,(MATCH(N118,$D114:$D$124,0))-1)))),0)</f>
        <v>79.792036971132177</v>
      </c>
      <c r="R117">
        <f t="shared" si="19"/>
        <v>0</v>
      </c>
    </row>
    <row r="118" spans="1:18" x14ac:dyDescent="0.25">
      <c r="A118">
        <f t="shared" si="18"/>
        <v>84</v>
      </c>
      <c r="B118">
        <f>'Linear distribution and flux'!F91</f>
        <v>0</v>
      </c>
      <c r="D118">
        <f>'Lambertian dist and flux'!F90</f>
        <v>14.516448250237946</v>
      </c>
      <c r="F118">
        <f t="shared" si="16"/>
        <v>14.516448250237946</v>
      </c>
      <c r="G118">
        <f t="shared" si="17"/>
        <v>14.516448250237946</v>
      </c>
      <c r="H118">
        <f t="array" ref="H118">IF( INDEX($A$34:$A$124,$A$30+2,0) &gt; A118, ((SUM(B117:B118)-SUM(D117:D118))/$A$32),0)</f>
        <v>0</v>
      </c>
      <c r="I118" s="7">
        <f t="array" aca="1" ref="I118" ca="1">IF(SUM(D117:INDIRECT(CELL("address",INDEX($D115:$D$124,(MATCH(N119,$D115:$D$124,0))-1)))) &gt;= K119,A117,0)</f>
        <v>0</v>
      </c>
      <c r="J118">
        <f t="shared" ca="1" si="14"/>
        <v>0</v>
      </c>
      <c r="K118">
        <f t="array" aca="1" ref="K118" ca="1">(IFERROR(IF(J118&lt;&gt;0,INDEX($H$35:INDIRECT($H$29),$H$35+L118),K119),"END OF LINE"))</f>
        <v>63.956199699195317</v>
      </c>
      <c r="L118">
        <f ca="1">IF(J118&lt;&gt;0,MAX(L119:$L$125)+1,$L$125)</f>
        <v>0</v>
      </c>
      <c r="N118">
        <f t="shared" ca="1" si="15"/>
        <v>4.8704151134688631</v>
      </c>
      <c r="O118">
        <f>O119+D117</f>
        <v>43.531658694608353</v>
      </c>
      <c r="P118">
        <f t="array" aca="1" ref="P118" ca="1">SUM(D117:INDIRECT(CELL("address",INDEX($D115:$D$124,(MATCH(N119,$D115:$D$124,0))-1))))</f>
        <v>60.546965201420441</v>
      </c>
      <c r="Q118">
        <f t="array" aca="1" ref="Q118" ca="1">IF(I118&lt;&gt;0, SUM(D117:INDIRECT(CELL("address",INDEX($D115:$D$124,(MATCH(N119,$D115:$D$124,0))-1)))),0)</f>
        <v>0</v>
      </c>
      <c r="R118">
        <f t="shared" si="19"/>
        <v>0</v>
      </c>
    </row>
    <row r="119" spans="1:18" x14ac:dyDescent="0.25">
      <c r="A119">
        <f t="shared" si="18"/>
        <v>85</v>
      </c>
      <c r="B119">
        <f>'Linear distribution and flux'!F92</f>
        <v>0</v>
      </c>
      <c r="D119">
        <f>'Lambertian dist and flux'!F91</f>
        <v>12.124160863371715</v>
      </c>
      <c r="F119">
        <f t="shared" si="16"/>
        <v>12.124160863371715</v>
      </c>
      <c r="G119">
        <f t="shared" si="17"/>
        <v>12.124160863371715</v>
      </c>
      <c r="H119">
        <f t="array" ref="H119">IF( INDEX($A$34:$A$124,$A$30+2,0) &gt; A119, ((SUM(B118:B119)-SUM(D118:D119))/$A$32),0)</f>
        <v>0</v>
      </c>
      <c r="I119" s="7">
        <f t="array" aca="1" ref="I119" ca="1">IF(SUM(D118:INDIRECT(CELL("address",INDEX($D116:$D$124,(MATCH(N120,$D116:$D$124,0))-1)))) &gt;= K120,A118,0)</f>
        <v>0</v>
      </c>
      <c r="J119">
        <f t="shared" ca="1" si="14"/>
        <v>0</v>
      </c>
      <c r="K119">
        <f t="array" aca="1" ref="K119" ca="1">(IFERROR(IF(J119&lt;&gt;0,INDEX($H$35:INDIRECT($H$29),$H$35+L119),K120),"END OF LINE"))</f>
        <v>63.956199699195317</v>
      </c>
      <c r="L119">
        <f ca="1">IF(J119&lt;&gt;0,MAX(L120:$L$125)+1,$L$125)</f>
        <v>0</v>
      </c>
      <c r="N119">
        <f t="shared" ca="1" si="15"/>
        <v>4.8704151134688631</v>
      </c>
      <c r="O119">
        <f>O120+D118</f>
        <v>26.640609113609663</v>
      </c>
      <c r="P119">
        <f t="array" aca="1" ref="P119" ca="1">SUM(D118:INDIRECT(CELL("address",INDEX($D116:$D$124,(MATCH(N120,$D116:$D$124,0))-1))))</f>
        <v>43.655915620421752</v>
      </c>
      <c r="Q119">
        <f t="array" aca="1" ref="Q119" ca="1">IF(I119&lt;&gt;0, SUM(D118:INDIRECT(CELL("address",INDEX($D116:$D$124,(MATCH(N120,$D116:$D$124,0))-1)))),0)</f>
        <v>0</v>
      </c>
      <c r="R119">
        <f t="shared" si="19"/>
        <v>0</v>
      </c>
    </row>
    <row r="120" spans="1:18" ht="13.9" customHeight="1" x14ac:dyDescent="0.25">
      <c r="A120">
        <f t="shared" si="18"/>
        <v>86</v>
      </c>
      <c r="B120">
        <f>'Linear distribution and flux'!F93</f>
        <v>0</v>
      </c>
      <c r="D120">
        <f>'Lambertian dist and flux'!F92</f>
        <v>9.7171020540772801</v>
      </c>
      <c r="F120">
        <f t="shared" si="16"/>
        <v>9.7171020540772801</v>
      </c>
      <c r="G120">
        <f t="shared" si="17"/>
        <v>9.7171020540772801</v>
      </c>
      <c r="H120">
        <f t="array" ref="H120">IF( INDEX($A$34:$A$124,$A$30+2,0) &gt; A120, ((SUM(B119:B120)-SUM(D119:D120))/$A$32),0)</f>
        <v>0</v>
      </c>
      <c r="I120" s="7">
        <f t="array" aca="1" ref="I120" ca="1">IF(SUM(D119:INDIRECT(CELL("address",INDEX($D117:$D$124,(MATCH(N121,$D117:$D$124,0))-1)))) &gt;= K121,A119,0)</f>
        <v>0</v>
      </c>
      <c r="J120">
        <f t="shared" ca="1" si="14"/>
        <v>0</v>
      </c>
      <c r="K120">
        <f t="array" aca="1" ref="K120" ca="1">(IFERROR(IF(J120&lt;&gt;0,INDEX($H$35:INDIRECT($H$29),$H$35+L120),K121),"END OF LINE"))</f>
        <v>63.956199699195317</v>
      </c>
      <c r="L120">
        <f ca="1">IF(J120&lt;&gt;0,MAX(L121:$L$125)+1,$L$125)</f>
        <v>0</v>
      </c>
      <c r="N120">
        <f t="shared" ca="1" si="15"/>
        <v>4.8704151134688631</v>
      </c>
      <c r="O120">
        <f>D119</f>
        <v>12.124160863371715</v>
      </c>
      <c r="P120">
        <f t="array" aca="1" ref="P120" ca="1">SUM(D119:INDIRECT(CELL("address",INDEX($D117:$D$124,(MATCH(N121,$D117:$D$124,0))-1))))</f>
        <v>29.139467370183802</v>
      </c>
      <c r="Q120">
        <f t="array" aca="1" ref="Q120" ca="1">IF(I120&lt;&gt;0, SUM(D119:INDIRECT(CELL("address",INDEX($D117:$D$124,(MATCH(N121,$D117:$D$124,0))-1)))),0)</f>
        <v>0</v>
      </c>
      <c r="R120">
        <f t="shared" si="19"/>
        <v>0</v>
      </c>
    </row>
    <row r="121" spans="1:18" x14ac:dyDescent="0.25">
      <c r="A121">
        <f t="shared" si="18"/>
        <v>87</v>
      </c>
      <c r="B121">
        <f>'Linear distribution and flux'!F94</f>
        <v>0</v>
      </c>
      <c r="D121">
        <f>'Lambertian dist and flux'!F93</f>
        <v>7.298204452734808</v>
      </c>
      <c r="F121">
        <f t="shared" si="16"/>
        <v>7.298204452734808</v>
      </c>
      <c r="G121">
        <f t="shared" si="17"/>
        <v>7.298204452734808</v>
      </c>
      <c r="H121">
        <f t="array" ref="H121">IF( INDEX($A$34:$A$124,$A$30+2,0) &gt; A121, ((SUM(B120:B121)-SUM(D120:D121))/$A$32),0)</f>
        <v>0</v>
      </c>
      <c r="I121" s="7">
        <f t="array" aca="1" ref="I121" ca="1">IF(SUM(D120:INDIRECT(CELL("address",INDEX($D118:$D$124,(MATCH(N122,$D118:$D$124,0))-1)))) &gt;= K122,A120,0)</f>
        <v>0</v>
      </c>
      <c r="J121">
        <f t="shared" ca="1" si="14"/>
        <v>0</v>
      </c>
      <c r="K121">
        <f t="array" aca="1" ref="K121" ca="1">(IFERROR(IF(J121&lt;&gt;0,INDEX($H$35:INDIRECT($H$29),$H$35+L121),K122),"END OF LINE"))</f>
        <v>63.956199699195317</v>
      </c>
      <c r="L121">
        <f ca="1">IF(J121&lt;&gt;0,MAX(L122:$L$125)+1,$L$125)</f>
        <v>0</v>
      </c>
      <c r="N121">
        <f t="shared" ca="1" si="15"/>
        <v>4.8704151134688631</v>
      </c>
      <c r="O121">
        <f>SUM(D120:D121)</f>
        <v>17.015306506812088</v>
      </c>
      <c r="P121">
        <f t="array" aca="1" ref="P121" ca="1">SUM(D120:INDIRECT(CELL("address",INDEX($D118:$D$124,(MATCH(N122,$D118:$D$124,0))-1))))</f>
        <v>17.015306506812088</v>
      </c>
      <c r="Q121">
        <f t="array" aca="1" ref="Q121" ca="1">IF(I121&lt;&gt;0, SUM(D120:INDIRECT(CELL("address",INDEX($D118:$D$124,(MATCH(N122,$D118:$D$124,0))-1)))),0)</f>
        <v>0</v>
      </c>
      <c r="R121">
        <f t="shared" si="19"/>
        <v>0</v>
      </c>
    </row>
    <row r="122" spans="1:18" x14ac:dyDescent="0.25">
      <c r="A122">
        <f t="shared" si="18"/>
        <v>88</v>
      </c>
      <c r="B122">
        <f>'Linear distribution and flux'!F95</f>
        <v>0</v>
      </c>
      <c r="D122">
        <f>'Lambertian dist and flux'!F94</f>
        <v>4.8704151134688631</v>
      </c>
      <c r="F122">
        <f t="shared" si="16"/>
        <v>4.8704151134688631</v>
      </c>
      <c r="G122">
        <f t="shared" si="17"/>
        <v>4.8704151134688631</v>
      </c>
      <c r="H122">
        <f t="array" ref="H122">IF( INDEX($A$34:$A$124,$A$30+2,0) &gt; A122, ((SUM(B121:B122)-SUM(D121:D122))/$A$32),0)</f>
        <v>0</v>
      </c>
      <c r="I122" s="7">
        <f t="array" aca="1" ref="I122" ca="1">IF(SUM(D121:INDIRECT(CELL("address",INDEX($D119:$D$124,(MATCH(N123,$D119:$D$124,0))-1)))) &gt;= K123,A121,0)</f>
        <v>0</v>
      </c>
      <c r="J122">
        <f t="shared" ca="1" si="14"/>
        <v>0</v>
      </c>
      <c r="K122">
        <f t="array" aca="1" ref="K122" ca="1">(IFERROR(IF(J122&lt;&gt;0,INDEX($H$35:INDIRECT($H$29),$H$35+L122),K123),"END OF LINE"))</f>
        <v>63.956199699195317</v>
      </c>
      <c r="L122">
        <f ca="1">IF(J122&lt;&gt;0,MAX(L123:$L$125)+1,$L$125)</f>
        <v>0</v>
      </c>
      <c r="N122">
        <f t="shared" ca="1" si="15"/>
        <v>4.8704151134688631</v>
      </c>
      <c r="O122">
        <f>G121</f>
        <v>7.298204452734808</v>
      </c>
      <c r="P122">
        <f t="array" aca="1" ref="P122" ca="1">SUM(D121:INDIRECT(CELL("address",INDEX($D119:$D$124,(MATCH(N123,$D119:$D$124,0))-1))))</f>
        <v>7.298204452734808</v>
      </c>
      <c r="Q122">
        <f t="array" aca="1" ref="Q122" ca="1">IF(I122&lt;&gt;0, SUM(D121:INDIRECT(CELL("address",INDEX($D119:$D$124,(MATCH(N123,$D119:$D$124,0))-1)))),0)</f>
        <v>0</v>
      </c>
      <c r="R122">
        <f t="shared" si="19"/>
        <v>0</v>
      </c>
    </row>
    <row r="123" spans="1:18" x14ac:dyDescent="0.25">
      <c r="A123">
        <f t="shared" si="18"/>
        <v>89</v>
      </c>
      <c r="B123">
        <f>'Linear distribution and flux'!F96</f>
        <v>0</v>
      </c>
      <c r="D123">
        <f>'Lambertian dist and flux'!F95</f>
        <v>2.4366919236170905</v>
      </c>
      <c r="F123">
        <f t="shared" si="16"/>
        <v>2.4366919236170905</v>
      </c>
      <c r="G123">
        <f t="shared" si="17"/>
        <v>2.4366919236170905</v>
      </c>
      <c r="H123">
        <f t="array" ref="H123">IF( INDEX($A$34:$A$124,$A$30+2,0) &gt; A123, ((SUM(B122:B123)-SUM(D122:D123))/$A$32),0)</f>
        <v>0</v>
      </c>
      <c r="I123" s="7">
        <f t="array" aca="1" ref="I123" ca="1">IF(SUM(D122:INDIRECT(CELL("address",INDEX($D120:$D$124,(MATCH(N124,$D120:$D$124,0))-1)))) &gt;= K124,A122,0)</f>
        <v>88</v>
      </c>
      <c r="J123">
        <f t="shared" ca="1" si="14"/>
        <v>1</v>
      </c>
      <c r="K123">
        <f t="array" aca="1" ref="K123" ca="1">(IFERROR(IF(J123&lt;&gt;0,INDEX($H$35:INDIRECT($H$29),$H$35+L123),K124),"END OF LINE"))</f>
        <v>63.956199699195317</v>
      </c>
      <c r="L123">
        <f ca="1">IF(J123&lt;&gt;0,MAX(L124:$L$125)+1,$L$125)</f>
        <v>2</v>
      </c>
      <c r="N123">
        <f t="shared" ca="1" si="15"/>
        <v>4.8704151134688631</v>
      </c>
      <c r="O123">
        <f>SUM(G122:G124)</f>
        <v>7.3071070370859541</v>
      </c>
      <c r="P123">
        <f t="array" aca="1" ref="P123" ca="1">SUM(D122:INDIRECT(CELL("address",INDEX($D120:$D$124,(MATCH(N124,$D120:$D$124,0))-1))))</f>
        <v>7.3071070370859541</v>
      </c>
      <c r="Q123">
        <f t="array" aca="1" ref="Q123" ca="1">IF(I123&lt;&gt;0, SUM(D122:INDIRECT(CELL("address",INDEX($D120:$D$124,(MATCH(N124,$D120:$D$124,0))-1)))),0)</f>
        <v>7.3071070370859541</v>
      </c>
      <c r="R123">
        <f t="shared" si="19"/>
        <v>0</v>
      </c>
    </row>
    <row r="124" spans="1:18" x14ac:dyDescent="0.25">
      <c r="A124">
        <f t="shared" si="18"/>
        <v>90</v>
      </c>
      <c r="B124">
        <f>'Linear distribution and flux'!F97</f>
        <v>0</v>
      </c>
      <c r="D124">
        <f>'Lambertian dist and flux'!F96</f>
        <v>0</v>
      </c>
      <c r="F124">
        <f t="shared" si="16"/>
        <v>0</v>
      </c>
      <c r="G124">
        <f t="shared" si="17"/>
        <v>0</v>
      </c>
      <c r="H124">
        <f t="array" ref="H124">IF( INDEX($A$34:$A$124,$A$30+2,0) &gt; A124, ((SUM(B123:B124)-SUM(D123:D124))/$A$32),0)</f>
        <v>0</v>
      </c>
      <c r="I124" s="7">
        <f>IF((SUM(D123:$D$124)) &gt;= K125,A123,0)</f>
        <v>0</v>
      </c>
      <c r="J124">
        <f t="shared" ref="J124:J155" si="20">IF(I124 &lt;&gt; 0, 1,0)</f>
        <v>0</v>
      </c>
      <c r="K124">
        <f t="array" aca="1" ref="K124" ca="1">(IFERROR(IF(J124&lt;&gt;0,INDEX($H$35:INDIRECT($H$29),$H$35+L124),K125),"END OF LINE"))</f>
        <v>5.644990665999245</v>
      </c>
      <c r="L124">
        <v>1</v>
      </c>
      <c r="N124">
        <f t="shared" si="15"/>
        <v>0</v>
      </c>
      <c r="O124">
        <f>G123</f>
        <v>2.4366919236170905</v>
      </c>
      <c r="P124">
        <f t="array" aca="1" ref="P124" ca="1">SUM(D123:INDIRECT(CELL("address",INDEX($D120:$D$124,(MATCH(N125,$D120:$D$124,0))-1))))</f>
        <v>2.4366919236170905</v>
      </c>
      <c r="Q124">
        <f t="array" aca="1" ref="Q124" ca="1">IF(I124&lt;&gt;0, SUM(D123:INDIRECT(CELL("address",INDEX($D121:$D$124,(MATCH(N125,$D121:$D$124,0))-1)))),0)</f>
        <v>0</v>
      </c>
      <c r="R124">
        <f t="shared" si="19"/>
        <v>0</v>
      </c>
    </row>
    <row r="125" spans="1:18" x14ac:dyDescent="0.25">
      <c r="I125">
        <v>0</v>
      </c>
      <c r="J125">
        <f t="shared" si="20"/>
        <v>0</v>
      </c>
      <c r="K125">
        <f>H35</f>
        <v>5.644990665999245</v>
      </c>
      <c r="L125">
        <v>0</v>
      </c>
      <c r="N125">
        <v>0</v>
      </c>
      <c r="Q125">
        <f t="array" aca="1" ref="Q125" ca="1">IF(I125&lt;&gt;0, SUM(D124:INDIRECT(CELL("address",INDEX($D122:$D$124,(MATCH(N126,$D122:$D$124,0))-1)))),0)</f>
        <v>0</v>
      </c>
      <c r="R125">
        <f t="shared" si="19"/>
        <v>0</v>
      </c>
    </row>
    <row r="126" spans="1:18" x14ac:dyDescent="0.25">
      <c r="I126">
        <v>90</v>
      </c>
      <c r="Q126">
        <v>1</v>
      </c>
    </row>
    <row r="127" spans="1:18" x14ac:dyDescent="0.25">
      <c r="B127">
        <f>SUM(B34:B124)</f>
        <v>3723.4263917115186</v>
      </c>
      <c r="D127">
        <f>SUM(D34:D124)</f>
        <v>3999.9999999999977</v>
      </c>
    </row>
  </sheetData>
  <conditionalFormatting sqref="G34:G124">
    <cfRule type="expression" dxfId="15" priority="5">
      <formula>F34 &lt; 0</formula>
    </cfRule>
    <cfRule type="expression" dxfId="14" priority="6">
      <formula>F34&gt;0</formula>
    </cfRule>
  </conditionalFormatting>
  <conditionalFormatting sqref="O124:P124 O95:O123 P67:P123">
    <cfRule type="expression" dxfId="13" priority="1">
      <formula>$O67 &lt;&gt; $P67</formula>
    </cfRule>
    <cfRule type="expression" dxfId="12" priority="2">
      <formula>$O67 = $P67</formula>
    </cfRule>
  </conditionalFormatting>
  <pageMargins left="0.7" right="0.7" top="0.75" bottom="0.75" header="0.3" footer="0.3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2:AJ127"/>
  <sheetViews>
    <sheetView topLeftCell="I25" zoomScaleNormal="100" workbookViewId="0">
      <selection activeCell="R32" sqref="R32"/>
    </sheetView>
  </sheetViews>
  <sheetFormatPr defaultRowHeight="15" x14ac:dyDescent="0.25"/>
  <cols>
    <col min="1" max="1" width="17.140625" customWidth="1"/>
    <col min="2" max="2" width="18.7109375" customWidth="1"/>
    <col min="4" max="4" width="17.7109375" customWidth="1"/>
    <col min="5" max="5" width="17.28515625" customWidth="1"/>
    <col min="6" max="6" width="19.42578125" customWidth="1"/>
    <col min="7" max="7" width="18.42578125" hidden="1" customWidth="1"/>
    <col min="8" max="8" width="18.42578125" customWidth="1"/>
    <col min="9" max="10" width="19.42578125" customWidth="1"/>
    <col min="11" max="11" width="18.42578125" customWidth="1"/>
    <col min="12" max="12" width="17.42578125" customWidth="1"/>
    <col min="13" max="13" width="18.5703125" customWidth="1"/>
    <col min="14" max="14" width="25.42578125" customWidth="1"/>
    <col min="15" max="15" width="15.7109375" customWidth="1"/>
    <col min="16" max="16" width="13.5703125" customWidth="1"/>
    <col min="17" max="17" width="14.7109375" customWidth="1"/>
    <col min="18" max="18" width="14.28515625" customWidth="1"/>
    <col min="19" max="19" width="12.85546875" customWidth="1"/>
    <col min="20" max="20" width="16.7109375" customWidth="1"/>
    <col min="21" max="21" width="12.42578125" customWidth="1"/>
    <col min="22" max="22" width="8.7109375" customWidth="1"/>
    <col min="23" max="23" width="15.28515625" customWidth="1"/>
    <col min="24" max="24" width="21.140625" customWidth="1"/>
    <col min="25" max="25" width="18.85546875" customWidth="1"/>
    <col min="26" max="26" width="16.28515625" customWidth="1"/>
    <col min="29" max="29" width="13.28515625" customWidth="1"/>
    <col min="35" max="36" width="10.140625" bestFit="1" customWidth="1"/>
  </cols>
  <sheetData>
    <row r="2" spans="12:20" ht="28.9" customHeight="1" x14ac:dyDescent="0.25">
      <c r="L2" s="2" t="s">
        <v>62</v>
      </c>
      <c r="M2" s="2" t="s">
        <v>63</v>
      </c>
    </row>
    <row r="3" spans="12:20" ht="28.9" customHeight="1" x14ac:dyDescent="0.25">
      <c r="L3" s="2" t="s">
        <v>64</v>
      </c>
      <c r="M3" s="2" t="s">
        <v>65</v>
      </c>
    </row>
    <row r="5" spans="12:20" x14ac:dyDescent="0.25">
      <c r="T5">
        <f>MAX(O34:O125)</f>
        <v>130.97787902923301</v>
      </c>
    </row>
    <row r="6" spans="12:20" x14ac:dyDescent="0.25">
      <c r="T6">
        <f t="array" ref="T6">MIN(IF(O34:O126 &gt;0,O34:O126))</f>
        <v>7.5171835230164596</v>
      </c>
    </row>
    <row r="25" spans="1:29" ht="15" customHeight="1" x14ac:dyDescent="0.25"/>
    <row r="26" spans="1:29" ht="42" customHeight="1" x14ac:dyDescent="0.25">
      <c r="A26" t="s">
        <v>44</v>
      </c>
      <c r="B26" t="s">
        <v>45</v>
      </c>
      <c r="C26" s="2"/>
    </row>
    <row r="27" spans="1:29" x14ac:dyDescent="0.25">
      <c r="A27">
        <f>MAX(M34:M124)</f>
        <v>72.895026949498174</v>
      </c>
      <c r="B27">
        <f>INDEX(A34:A124,MATCH(A27,M34:M124,0))</f>
        <v>27</v>
      </c>
    </row>
    <row r="29" spans="1:29" ht="26.45" customHeight="1" x14ac:dyDescent="0.25">
      <c r="A29" s="2" t="s">
        <v>66</v>
      </c>
      <c r="B29" s="2" t="s">
        <v>49</v>
      </c>
    </row>
    <row r="30" spans="1:29" ht="31.15" customHeight="1" x14ac:dyDescent="0.25">
      <c r="A30" s="9">
        <v>40</v>
      </c>
      <c r="B30">
        <f>RADIANS(1)</f>
        <v>1.7453292519943295E-2</v>
      </c>
      <c r="E30" s="2"/>
      <c r="F30" s="2"/>
      <c r="G30" s="2"/>
      <c r="H30" s="2"/>
      <c r="I30" s="2"/>
      <c r="J30" s="2"/>
      <c r="K30" s="2"/>
    </row>
    <row r="31" spans="1:29" ht="48" customHeight="1" x14ac:dyDescent="0.25">
      <c r="A31" t="s">
        <v>67</v>
      </c>
      <c r="S31" s="2"/>
    </row>
    <row r="32" spans="1:29" ht="54.6" customHeight="1" x14ac:dyDescent="0.25">
      <c r="A32" s="25">
        <v>1</v>
      </c>
      <c r="Q32" s="2" t="s">
        <v>68</v>
      </c>
      <c r="R32" s="12">
        <v>6</v>
      </c>
      <c r="AC32" s="2"/>
    </row>
    <row r="33" spans="1:36" ht="43.15" customHeight="1" x14ac:dyDescent="0.25">
      <c r="A33" t="s">
        <v>55</v>
      </c>
      <c r="B33" t="s">
        <v>42</v>
      </c>
      <c r="D33" s="17" t="s">
        <v>64</v>
      </c>
      <c r="E33" s="31" t="s">
        <v>69</v>
      </c>
      <c r="F33" s="2" t="str">
        <f>IF(D33 = L2, M2,M3)</f>
        <v>Intensity Lambertian Source</v>
      </c>
      <c r="G33" t="s">
        <v>70</v>
      </c>
      <c r="H33" t="s">
        <v>71</v>
      </c>
      <c r="I33" t="s">
        <v>72</v>
      </c>
      <c r="J33" s="2" t="s">
        <v>73</v>
      </c>
      <c r="K33" s="2" t="s">
        <v>74</v>
      </c>
      <c r="L33" t="s">
        <v>75</v>
      </c>
      <c r="M33" t="s">
        <v>56</v>
      </c>
      <c r="N33" s="2" t="s">
        <v>76</v>
      </c>
      <c r="O33" s="2" t="s">
        <v>77</v>
      </c>
      <c r="P33" s="2" t="s">
        <v>78</v>
      </c>
      <c r="Q33" s="2" t="s">
        <v>79</v>
      </c>
      <c r="R33" s="2" t="s">
        <v>80</v>
      </c>
      <c r="AI33" s="32"/>
      <c r="AJ33" s="33"/>
    </row>
    <row r="34" spans="1:36" x14ac:dyDescent="0.25">
      <c r="A34">
        <v>0</v>
      </c>
      <c r="B34">
        <f>'Linear distribution and flux'!F7</f>
        <v>0</v>
      </c>
      <c r="D34">
        <f>IF($D$33=$L$2,'Point source estimation'!F8,'Lambertian dist and flux'!F6)</f>
        <v>0</v>
      </c>
      <c r="E34">
        <f>'Linear distribution and flux'!G7</f>
        <v>4000</v>
      </c>
      <c r="F34">
        <f>IF($D$33=$L$2,'Point source estimation'!G8,'Lambertian dist and flux'!G6)</f>
        <v>1273.368844138221</v>
      </c>
      <c r="G34">
        <f t="shared" ref="G34:G65" si="0">IF(E34-F34&gt;0,E34-F34,ABS(E34-F34))</f>
        <v>2726.631155861779</v>
      </c>
      <c r="H34">
        <f>ASIN( (SQRT(1 - M34/(A32*Flux))))</f>
        <v>1.5707963267948966</v>
      </c>
      <c r="I34">
        <f t="shared" ref="I34:I77" si="1">DEGREES(H34)</f>
        <v>90</v>
      </c>
      <c r="J34">
        <v>1</v>
      </c>
      <c r="L34">
        <v>0</v>
      </c>
      <c r="M34">
        <f t="shared" ref="M34:M65" si="2">IF(B34&gt;D34,ABS(D34-B34), D34-B34)</f>
        <v>0</v>
      </c>
      <c r="N34" t="b">
        <f t="shared" ref="N34:N65" si="3">IF(L34 &lt;&gt; "", ROUND(L34,5)=ROUND(M34,5),"")</f>
        <v>1</v>
      </c>
      <c r="O34">
        <f>0</f>
        <v>0</v>
      </c>
      <c r="P34" s="7">
        <f t="shared" ref="P34:P76" si="4">I34-I35</f>
        <v>2.042384392183294</v>
      </c>
      <c r="Q34">
        <f t="shared" ref="Q34:Q76" si="5">RADIANS(P34)</f>
        <v>3.5646332234941618E-2</v>
      </c>
      <c r="R34">
        <f t="shared" ref="R34:R76" si="6">Q34*$R$32</f>
        <v>0.21387799340964969</v>
      </c>
      <c r="AI34" s="33"/>
      <c r="AJ34" s="33"/>
    </row>
    <row r="35" spans="1:36" x14ac:dyDescent="0.25">
      <c r="A35">
        <f t="shared" ref="A35:A66" si="7">A34+1</f>
        <v>1</v>
      </c>
      <c r="B35">
        <f>'Linear distribution and flux'!F8</f>
        <v>7.5171835230163992</v>
      </c>
      <c r="D35">
        <f>IF($D$33=$L$2,'Point source estimation'!F9,'Lambertian dist and flux'!F7)</f>
        <v>2.4366919236170785</v>
      </c>
      <c r="E35">
        <f>'Linear distribution and flux'!G8</f>
        <v>3927.7387989511362</v>
      </c>
      <c r="F35">
        <f>IF($D$33=$L$2,'Point source estimation'!G9,'Lambertian dist and flux'!G7)</f>
        <v>1273.1749038955584</v>
      </c>
      <c r="G35">
        <f t="shared" si="0"/>
        <v>2654.5638950555776</v>
      </c>
      <c r="H35">
        <f t="shared" ref="H35:H77" si="8">ASIN((SQRT(SIN(RADIANS(I34))^2-(M35/($A$32*Flux)))))</f>
        <v>1.5351499945599549</v>
      </c>
      <c r="I35">
        <f t="shared" si="1"/>
        <v>87.957615607816706</v>
      </c>
      <c r="J35">
        <f t="shared" ref="J35:J77" si="9">J34+1</f>
        <v>2</v>
      </c>
      <c r="K35">
        <f t="shared" ref="K35:K77" si="10">( (SIN(RADIANS(I34))^2) - (SIN(RADIANS(I35))^2) )</f>
        <v>1.2701228998498459E-3</v>
      </c>
      <c r="L35">
        <f t="shared" ref="L35:L77" si="11">$A$32*Flux*K35</f>
        <v>5.0804915993993811</v>
      </c>
      <c r="M35">
        <f t="shared" si="2"/>
        <v>5.0804915993993207</v>
      </c>
      <c r="N35" t="b">
        <f t="shared" si="3"/>
        <v>1</v>
      </c>
      <c r="O35">
        <f t="shared" ref="O35:O74" si="12">D35+L35</f>
        <v>7.5171835230164596</v>
      </c>
      <c r="P35" s="7">
        <f t="shared" si="4"/>
        <v>1.4659469824652831</v>
      </c>
      <c r="Q35">
        <f t="shared" si="5"/>
        <v>2.5585601503694769E-2</v>
      </c>
      <c r="R35">
        <f t="shared" si="6"/>
        <v>0.15351360902216862</v>
      </c>
      <c r="AI35" s="33"/>
      <c r="AJ35" s="33"/>
    </row>
    <row r="36" spans="1:36" x14ac:dyDescent="0.25">
      <c r="A36">
        <f t="shared" si="7"/>
        <v>2</v>
      </c>
      <c r="B36">
        <f>'Linear distribution and flux'!F9</f>
        <v>14.768588221517634</v>
      </c>
      <c r="D36">
        <f>IF($D$33=$L$2,'Point source estimation'!F10,'Lambertian dist and flux'!F8)</f>
        <v>4.8704151134688471</v>
      </c>
      <c r="E36">
        <f>'Linear distribution and flux'!G9</f>
        <v>3858.8916249353806</v>
      </c>
      <c r="F36">
        <f>IF($D$33=$L$2,'Point source estimation'!G10,'Lambertian dist and flux'!G8)</f>
        <v>1272.5931422436468</v>
      </c>
      <c r="G36">
        <f t="shared" si="0"/>
        <v>2586.2984826917336</v>
      </c>
      <c r="H36">
        <f t="shared" si="8"/>
        <v>1.5095643930562601</v>
      </c>
      <c r="I36">
        <f t="shared" si="1"/>
        <v>86.491668625351423</v>
      </c>
      <c r="J36">
        <f t="shared" si="9"/>
        <v>3</v>
      </c>
      <c r="K36">
        <f t="shared" si="10"/>
        <v>2.4745432770122422E-3</v>
      </c>
      <c r="L36">
        <f t="shared" si="11"/>
        <v>9.8981731080489634</v>
      </c>
      <c r="M36">
        <f t="shared" si="2"/>
        <v>9.8981731080487876</v>
      </c>
      <c r="N36" t="b">
        <f t="shared" si="3"/>
        <v>1</v>
      </c>
      <c r="O36">
        <f t="shared" si="12"/>
        <v>14.76858822151781</v>
      </c>
      <c r="P36" s="7">
        <f t="shared" si="4"/>
        <v>1.4140575818258867</v>
      </c>
      <c r="Q36">
        <f t="shared" si="5"/>
        <v>2.4679960615650854E-2</v>
      </c>
      <c r="R36">
        <f t="shared" si="6"/>
        <v>0.14807976369390513</v>
      </c>
      <c r="AI36" s="33"/>
      <c r="AJ36" s="33"/>
    </row>
    <row r="37" spans="1:36" x14ac:dyDescent="0.25">
      <c r="A37">
        <f t="shared" si="7"/>
        <v>3</v>
      </c>
      <c r="B37">
        <f>'Linear distribution and flux'!F10</f>
        <v>21.770389556219722</v>
      </c>
      <c r="D37">
        <f>IF($D$33=$L$2,'Point source estimation'!F11,'Lambertian dist and flux'!F9)</f>
        <v>7.2982044527347885</v>
      </c>
      <c r="E37">
        <f>'Linear distribution and flux'!G10</f>
        <v>3793.2267161728419</v>
      </c>
      <c r="F37">
        <f>IF($D$33=$L$2,'Point source estimation'!G11,'Lambertian dist and flux'!G9)</f>
        <v>1271.6237363927212</v>
      </c>
      <c r="G37">
        <f t="shared" si="0"/>
        <v>2521.6029797801207</v>
      </c>
      <c r="H37">
        <f t="shared" si="8"/>
        <v>1.4848844324406094</v>
      </c>
      <c r="I37">
        <f t="shared" si="1"/>
        <v>85.077611043525536</v>
      </c>
      <c r="J37">
        <f t="shared" si="9"/>
        <v>4</v>
      </c>
      <c r="K37">
        <f t="shared" si="10"/>
        <v>3.6180462758711451E-3</v>
      </c>
      <c r="L37">
        <f t="shared" si="11"/>
        <v>14.472185103484573</v>
      </c>
      <c r="M37">
        <f t="shared" si="2"/>
        <v>14.472185103484934</v>
      </c>
      <c r="N37" t="b">
        <f t="shared" si="3"/>
        <v>1</v>
      </c>
      <c r="O37">
        <f t="shared" si="12"/>
        <v>21.770389556219364</v>
      </c>
      <c r="P37" s="7">
        <f t="shared" si="4"/>
        <v>1.3844669972684756</v>
      </c>
      <c r="Q37">
        <f t="shared" si="5"/>
        <v>2.4163507487534239E-2</v>
      </c>
      <c r="R37">
        <f t="shared" si="6"/>
        <v>0.14498104492520544</v>
      </c>
      <c r="AI37" s="33"/>
      <c r="AJ37" s="33"/>
    </row>
    <row r="38" spans="1:36" x14ac:dyDescent="0.25">
      <c r="A38">
        <f t="shared" si="7"/>
        <v>4</v>
      </c>
      <c r="B38">
        <f>'Linear distribution and flux'!F11</f>
        <v>28.53719543738179</v>
      </c>
      <c r="D38">
        <f>IF($D$33=$L$2,'Point source estimation'!F12,'Lambertian dist and flux'!F10)</f>
        <v>9.717102054077289</v>
      </c>
      <c r="E38">
        <f>'Linear distribution and flux'!G11</f>
        <v>3730.5213952455224</v>
      </c>
      <c r="F38">
        <f>IF($D$33=$L$2,'Point source estimation'!G12,'Lambertian dist and flux'!G10)</f>
        <v>1270.2669816331945</v>
      </c>
      <c r="G38">
        <f t="shared" si="0"/>
        <v>2460.2544136123279</v>
      </c>
      <c r="H38">
        <f t="shared" si="8"/>
        <v>1.460720924953075</v>
      </c>
      <c r="I38">
        <f t="shared" si="1"/>
        <v>83.693144046257061</v>
      </c>
      <c r="J38">
        <f t="shared" si="9"/>
        <v>5</v>
      </c>
      <c r="K38">
        <f t="shared" si="10"/>
        <v>4.7050233458261204E-3</v>
      </c>
      <c r="L38">
        <f t="shared" si="11"/>
        <v>18.820093383304474</v>
      </c>
      <c r="M38">
        <f t="shared" si="2"/>
        <v>18.820093383304503</v>
      </c>
      <c r="N38" t="b">
        <f t="shared" si="3"/>
        <v>1</v>
      </c>
      <c r="O38">
        <f t="shared" si="12"/>
        <v>28.537195437381762</v>
      </c>
      <c r="P38" s="7">
        <f t="shared" si="4"/>
        <v>1.3617804079302687</v>
      </c>
      <c r="Q38">
        <f t="shared" si="5"/>
        <v>2.3767551807534686E-2</v>
      </c>
      <c r="R38">
        <f t="shared" si="6"/>
        <v>0.14260531084520811</v>
      </c>
      <c r="AI38" s="33"/>
      <c r="AJ38" s="33"/>
    </row>
    <row r="39" spans="1:36" x14ac:dyDescent="0.25">
      <c r="A39">
        <f t="shared" si="7"/>
        <v>5</v>
      </c>
      <c r="B39">
        <f>'Linear distribution and flux'!F12</f>
        <v>35.082104512413217</v>
      </c>
      <c r="D39">
        <f>IF($D$33=$L$2,'Point source estimation'!F13,'Lambertian dist and flux'!F11)</f>
        <v>12.124160863371721</v>
      </c>
      <c r="E39">
        <f>'Linear distribution and flux'!G12</f>
        <v>3670.5605593174455</v>
      </c>
      <c r="F39">
        <f>IF($D$33=$L$2,'Point source estimation'!G13,'Lambertian dist and flux'!G11)</f>
        <v>1268.52329124571</v>
      </c>
      <c r="G39">
        <f t="shared" si="0"/>
        <v>2402.0372680717355</v>
      </c>
      <c r="H39">
        <f t="shared" si="8"/>
        <v>1.4369533731455404</v>
      </c>
      <c r="I39">
        <f t="shared" si="1"/>
        <v>82.331363638326792</v>
      </c>
      <c r="J39">
        <f t="shared" si="9"/>
        <v>6</v>
      </c>
      <c r="K39">
        <f t="shared" si="10"/>
        <v>5.739485912260256E-3</v>
      </c>
      <c r="L39">
        <f t="shared" si="11"/>
        <v>22.957943649041013</v>
      </c>
      <c r="M39">
        <f t="shared" si="2"/>
        <v>22.957943649041496</v>
      </c>
      <c r="N39" t="b">
        <f t="shared" si="3"/>
        <v>1</v>
      </c>
      <c r="O39">
        <f t="shared" si="12"/>
        <v>35.082104512412734</v>
      </c>
      <c r="P39" s="7">
        <f t="shared" si="4"/>
        <v>1.3425846072066605</v>
      </c>
      <c r="Q39">
        <f t="shared" si="5"/>
        <v>2.3432521882351016E-2</v>
      </c>
      <c r="R39">
        <f t="shared" si="6"/>
        <v>0.14059513129410611</v>
      </c>
      <c r="AI39" s="33"/>
      <c r="AJ39" s="33"/>
    </row>
    <row r="40" spans="1:36" x14ac:dyDescent="0.25">
      <c r="A40">
        <f t="shared" si="7"/>
        <v>6</v>
      </c>
      <c r="B40">
        <f>'Linear distribution and flux'!F13</f>
        <v>41.416749797604105</v>
      </c>
      <c r="D40">
        <f>IF($D$33=$L$2,'Point source estimation'!F14,'Lambertian dist and flux'!F12)</f>
        <v>14.516448250237946</v>
      </c>
      <c r="E40">
        <f>'Linear distribution and flux'!G13</f>
        <v>3613.1352005337908</v>
      </c>
      <c r="F40">
        <f>IF($D$33=$L$2,'Point source estimation'!G14,'Lambertian dist and flux'!G12)</f>
        <v>1266.3931963752509</v>
      </c>
      <c r="G40">
        <f t="shared" si="0"/>
        <v>2346.7420041585401</v>
      </c>
      <c r="H40">
        <f t="shared" si="8"/>
        <v>1.4135208512631894</v>
      </c>
      <c r="I40">
        <f t="shared" si="1"/>
        <v>80.988779031120131</v>
      </c>
      <c r="J40">
        <f t="shared" si="9"/>
        <v>7</v>
      </c>
      <c r="K40">
        <f t="shared" si="10"/>
        <v>6.7250753868415281E-3</v>
      </c>
      <c r="L40">
        <f t="shared" si="11"/>
        <v>26.900301547366102</v>
      </c>
      <c r="M40">
        <f t="shared" si="2"/>
        <v>26.900301547366158</v>
      </c>
      <c r="N40" t="b">
        <f t="shared" si="3"/>
        <v>1</v>
      </c>
      <c r="O40">
        <f t="shared" si="12"/>
        <v>41.416749797604048</v>
      </c>
      <c r="P40" s="7">
        <f t="shared" si="4"/>
        <v>1.3257035339527334</v>
      </c>
      <c r="Q40">
        <f t="shared" si="5"/>
        <v>2.3137891572799635E-2</v>
      </c>
      <c r="R40">
        <f t="shared" si="6"/>
        <v>0.13882734943679781</v>
      </c>
    </row>
    <row r="41" spans="1:36" x14ac:dyDescent="0.25">
      <c r="A41">
        <f t="shared" si="7"/>
        <v>7</v>
      </c>
      <c r="B41">
        <f>'Linear distribution and flux'!F14</f>
        <v>47.551327762908329</v>
      </c>
      <c r="D41">
        <f>IF($D$33=$L$2,'Point source estimation'!F15,'Lambertian dist and flux'!F13)</f>
        <v>16.891049580998693</v>
      </c>
      <c r="E41">
        <f>'Linear distribution and flux'!G14</f>
        <v>3558.0409398096563</v>
      </c>
      <c r="F41">
        <f>IF($D$33=$L$2,'Point source estimation'!G15,'Lambertian dist and flux'!G13)</f>
        <v>1263.8773458693495</v>
      </c>
      <c r="G41">
        <f t="shared" si="0"/>
        <v>2294.1635939403068</v>
      </c>
      <c r="H41">
        <f t="shared" si="8"/>
        <v>1.3903829596903898</v>
      </c>
      <c r="I41">
        <f t="shared" si="1"/>
        <v>79.663075497167398</v>
      </c>
      <c r="J41">
        <f t="shared" si="9"/>
        <v>8</v>
      </c>
      <c r="K41">
        <f t="shared" si="10"/>
        <v>7.6650695454772988E-3</v>
      </c>
      <c r="L41">
        <f t="shared" si="11"/>
        <v>30.660278181909181</v>
      </c>
      <c r="M41">
        <f t="shared" si="2"/>
        <v>30.660278181909636</v>
      </c>
      <c r="N41" t="b">
        <f t="shared" si="3"/>
        <v>1</v>
      </c>
      <c r="O41">
        <f t="shared" si="12"/>
        <v>47.551327762907874</v>
      </c>
      <c r="P41" s="7">
        <f t="shared" si="4"/>
        <v>1.3106044362966287</v>
      </c>
      <c r="Q41">
        <f t="shared" si="5"/>
        <v>2.287436260462045E-2</v>
      </c>
      <c r="R41">
        <f t="shared" si="6"/>
        <v>0.13724617562772271</v>
      </c>
    </row>
    <row r="42" spans="1:36" x14ac:dyDescent="0.25">
      <c r="A42">
        <f t="shared" si="7"/>
        <v>8</v>
      </c>
      <c r="B42">
        <f>'Linear distribution and flux'!F15</f>
        <v>53.494612764209634</v>
      </c>
      <c r="D42">
        <f>IF($D$33=$L$2,'Point source estimation'!F16,'Lambertian dist and flux'!F14)</f>
        <v>19.245071769711725</v>
      </c>
      <c r="E42">
        <f>'Linear distribution and flux'!G15</f>
        <v>3505.0765569865007</v>
      </c>
      <c r="F42">
        <f>IF($D$33=$L$2,'Point source estimation'!G16,'Lambertian dist and flux'!G14)</f>
        <v>1260.9765060804418</v>
      </c>
      <c r="G42">
        <f t="shared" si="0"/>
        <v>2244.1000509060586</v>
      </c>
      <c r="H42">
        <f t="shared" si="8"/>
        <v>1.3675085970857692</v>
      </c>
      <c r="I42">
        <f t="shared" si="1"/>
        <v>78.352471060870769</v>
      </c>
      <c r="J42">
        <f t="shared" si="9"/>
        <v>9</v>
      </c>
      <c r="K42">
        <f t="shared" si="10"/>
        <v>8.5623852486244045E-3</v>
      </c>
      <c r="L42">
        <f t="shared" si="11"/>
        <v>34.2495409944976</v>
      </c>
      <c r="M42">
        <f t="shared" si="2"/>
        <v>34.249540994497906</v>
      </c>
      <c r="N42" t="b">
        <f t="shared" si="3"/>
        <v>1</v>
      </c>
      <c r="O42">
        <f t="shared" si="12"/>
        <v>53.494612764209322</v>
      </c>
      <c r="P42" s="7">
        <f t="shared" si="4"/>
        <v>1.2969894930543262</v>
      </c>
      <c r="Q42">
        <f t="shared" si="5"/>
        <v>2.2636737017570119E-2</v>
      </c>
      <c r="R42">
        <f t="shared" si="6"/>
        <v>0.13582042210542072</v>
      </c>
    </row>
    <row r="43" spans="1:36" x14ac:dyDescent="0.25">
      <c r="A43">
        <f t="shared" si="7"/>
        <v>9</v>
      </c>
      <c r="B43">
        <f>'Linear distribution and flux'!F16</f>
        <v>59.253956495292705</v>
      </c>
      <c r="D43">
        <f>IF($D$33=$L$2,'Point source estimation'!F17,'Lambertian dist and flux'!F15)</f>
        <v>21.575646802949414</v>
      </c>
      <c r="E43">
        <f>'Linear distribution and flux'!G16</f>
        <v>3454.0424998069257</v>
      </c>
      <c r="F43">
        <f>IF($D$33=$L$2,'Point source estimation'!G17,'Lambertian dist and flux'!G15)</f>
        <v>1257.691560632428</v>
      </c>
      <c r="G43">
        <f t="shared" si="0"/>
        <v>2196.3509391744974</v>
      </c>
      <c r="H43">
        <f t="shared" si="8"/>
        <v>1.3448718600681993</v>
      </c>
      <c r="I43">
        <f t="shared" si="1"/>
        <v>77.055481567816443</v>
      </c>
      <c r="J43">
        <f t="shared" si="9"/>
        <v>10</v>
      </c>
      <c r="K43">
        <f t="shared" si="10"/>
        <v>9.4195774230858564E-3</v>
      </c>
      <c r="L43">
        <f t="shared" si="11"/>
        <v>37.678309692343412</v>
      </c>
      <c r="M43">
        <f t="shared" si="2"/>
        <v>37.678309692343291</v>
      </c>
      <c r="N43" t="b">
        <f t="shared" si="3"/>
        <v>1</v>
      </c>
      <c r="O43">
        <f t="shared" si="12"/>
        <v>59.253956495292826</v>
      </c>
      <c r="P43" s="7">
        <f t="shared" si="4"/>
        <v>1.2846606703436265</v>
      </c>
      <c r="Q43">
        <f t="shared" si="5"/>
        <v>2.2421558468373758E-2</v>
      </c>
      <c r="R43">
        <f t="shared" si="6"/>
        <v>0.13452935081024253</v>
      </c>
    </row>
    <row r="44" spans="1:36" x14ac:dyDescent="0.25">
      <c r="A44">
        <f t="shared" si="7"/>
        <v>10</v>
      </c>
      <c r="B44">
        <f>'Linear distribution and flux'!F17</f>
        <v>64.835271897067344</v>
      </c>
      <c r="D44">
        <f>IF($D$33=$L$2,'Point source estimation'!F18,'Lambertian dist and flux'!F16)</f>
        <v>23.879935234031311</v>
      </c>
      <c r="E44">
        <f>'Linear distribution and flux'!G17</f>
        <v>3404.7393533178629</v>
      </c>
      <c r="F44">
        <f>IF($D$33=$L$2,'Point source estimation'!G18,'Lambertian dist and flux'!G16)</f>
        <v>1254.0235101515138</v>
      </c>
      <c r="G44">
        <f t="shared" si="0"/>
        <v>2150.7158431663493</v>
      </c>
      <c r="H44">
        <f t="shared" si="8"/>
        <v>1.3224503015998255</v>
      </c>
      <c r="I44">
        <f t="shared" si="1"/>
        <v>75.770820897472817</v>
      </c>
      <c r="J44">
        <f t="shared" si="9"/>
        <v>11</v>
      </c>
      <c r="K44">
        <f t="shared" si="10"/>
        <v>1.0238834165758992E-2</v>
      </c>
      <c r="L44">
        <f t="shared" si="11"/>
        <v>40.955336663035951</v>
      </c>
      <c r="M44">
        <f t="shared" si="2"/>
        <v>40.955336663036036</v>
      </c>
      <c r="N44" t="b">
        <f t="shared" si="3"/>
        <v>1</v>
      </c>
      <c r="O44">
        <f t="shared" si="12"/>
        <v>64.835271897067258</v>
      </c>
      <c r="P44" s="7">
        <f t="shared" si="4"/>
        <v>1.2734662951433933</v>
      </c>
      <c r="Q44">
        <f t="shared" si="5"/>
        <v>2.2226179763426088E-2</v>
      </c>
      <c r="R44">
        <f t="shared" si="6"/>
        <v>0.13335707858055654</v>
      </c>
    </row>
    <row r="45" spans="1:36" x14ac:dyDescent="0.25">
      <c r="A45">
        <f t="shared" si="7"/>
        <v>11</v>
      </c>
      <c r="B45">
        <f>'Linear distribution and flux'!F18</f>
        <v>70.243000709260883</v>
      </c>
      <c r="D45">
        <f>IF($D$33=$L$2,'Point source estimation'!F19,'Lambertian dist and flux'!F17)</f>
        <v>26.155129642452589</v>
      </c>
      <c r="E45">
        <f>'Linear distribution and flux'!G18</f>
        <v>3356.9662501320827</v>
      </c>
      <c r="F45">
        <f>IF($D$33=$L$2,'Point source estimation'!G19,'Lambertian dist and flux'!G17)</f>
        <v>1249.9734719614094</v>
      </c>
      <c r="G45">
        <f t="shared" si="0"/>
        <v>2106.9927781706733</v>
      </c>
      <c r="H45">
        <f t="shared" si="8"/>
        <v>1.3002241218363992</v>
      </c>
      <c r="I45">
        <f t="shared" si="1"/>
        <v>74.497354602329423</v>
      </c>
      <c r="J45">
        <f t="shared" si="9"/>
        <v>12</v>
      </c>
      <c r="K45">
        <f t="shared" si="10"/>
        <v>1.1021967766701835E-2</v>
      </c>
      <c r="L45">
        <f t="shared" si="11"/>
        <v>44.087871066807317</v>
      </c>
      <c r="M45">
        <f t="shared" si="2"/>
        <v>44.08787106680829</v>
      </c>
      <c r="N45" t="b">
        <f t="shared" si="3"/>
        <v>1</v>
      </c>
      <c r="O45">
        <f t="shared" si="12"/>
        <v>70.243000709259903</v>
      </c>
      <c r="P45" s="7">
        <f t="shared" si="4"/>
        <v>1.263276682581747</v>
      </c>
      <c r="Q45">
        <f t="shared" si="5"/>
        <v>2.2048337474722787E-2</v>
      </c>
      <c r="R45">
        <f t="shared" si="6"/>
        <v>0.13229002484833671</v>
      </c>
    </row>
    <row r="46" spans="1:36" x14ac:dyDescent="0.25">
      <c r="A46">
        <f t="shared" si="7"/>
        <v>12</v>
      </c>
      <c r="B46">
        <f>'Linear distribution and flux'!F19</f>
        <v>75.48006357401637</v>
      </c>
      <c r="D46">
        <f>IF($D$33=$L$2,'Point source estimation'!F20,'Lambertian dist and flux'!F18)</f>
        <v>28.398458054293407</v>
      </c>
      <c r="E46">
        <f>'Linear distribution and flux'!G19</f>
        <v>3310.5192004231881</v>
      </c>
      <c r="F46">
        <f>IF($D$33=$L$2,'Point source estimation'!G20,'Lambertian dist and flux'!G18)</f>
        <v>1245.5426797429802</v>
      </c>
      <c r="G46">
        <f t="shared" si="0"/>
        <v>2064.9765206802076</v>
      </c>
      <c r="H46">
        <f t="shared" si="8"/>
        <v>1.2781757843616766</v>
      </c>
      <c r="I46">
        <f t="shared" si="1"/>
        <v>73.234077919747676</v>
      </c>
      <c r="J46">
        <f t="shared" si="9"/>
        <v>13</v>
      </c>
      <c r="K46">
        <f t="shared" si="10"/>
        <v>1.1770401379930795E-2</v>
      </c>
      <c r="L46">
        <f t="shared" si="11"/>
        <v>47.081605519723155</v>
      </c>
      <c r="M46">
        <f t="shared" si="2"/>
        <v>47.081605519722963</v>
      </c>
      <c r="N46" t="b">
        <f t="shared" si="3"/>
        <v>1</v>
      </c>
      <c r="O46">
        <f t="shared" si="12"/>
        <v>75.480063574016555</v>
      </c>
      <c r="P46" s="7">
        <f t="shared" si="4"/>
        <v>1.253971429269086</v>
      </c>
      <c r="Q46">
        <f t="shared" si="5"/>
        <v>2.188593016668474E-2</v>
      </c>
      <c r="R46">
        <f t="shared" si="6"/>
        <v>0.13131558100010843</v>
      </c>
    </row>
    <row r="47" spans="1:36" x14ac:dyDescent="0.25">
      <c r="A47">
        <f t="shared" si="7"/>
        <v>13</v>
      </c>
      <c r="B47">
        <f>'Linear distribution and flux'!F20</f>
        <v>80.547791295059696</v>
      </c>
      <c r="D47">
        <f>IF($D$33=$L$2,'Point source estimation'!F21,'Lambertian dist and flux'!F19)</f>
        <v>30.607187319442179</v>
      </c>
      <c r="E47">
        <f>'Linear distribution and flux'!G20</f>
        <v>3265.1893185548047</v>
      </c>
      <c r="F47">
        <f>IF($D$33=$L$2,'Point source estimation'!G21,'Lambertian dist and flux'!G19)</f>
        <v>1240.7324831584585</v>
      </c>
      <c r="G47">
        <f t="shared" si="0"/>
        <v>2024.4568353963462</v>
      </c>
      <c r="H47">
        <f t="shared" si="8"/>
        <v>1.2562898541949918</v>
      </c>
      <c r="I47">
        <f t="shared" si="1"/>
        <v>71.98010649047859</v>
      </c>
      <c r="J47">
        <f t="shared" si="9"/>
        <v>14</v>
      </c>
      <c r="K47">
        <f t="shared" si="10"/>
        <v>1.2485150993904348E-2</v>
      </c>
      <c r="L47">
        <f t="shared" si="11"/>
        <v>49.940603975617371</v>
      </c>
      <c r="M47">
        <f t="shared" si="2"/>
        <v>49.94060397561752</v>
      </c>
      <c r="N47" t="b">
        <f t="shared" si="3"/>
        <v>1</v>
      </c>
      <c r="O47">
        <f t="shared" si="12"/>
        <v>80.547791295059554</v>
      </c>
      <c r="P47" s="7">
        <f t="shared" si="4"/>
        <v>1.2454317922949514</v>
      </c>
      <c r="Q47">
        <f t="shared" si="5"/>
        <v>2.1736885384561047E-2</v>
      </c>
      <c r="R47">
        <f t="shared" si="6"/>
        <v>0.13042131230736628</v>
      </c>
    </row>
    <row r="48" spans="1:36" x14ac:dyDescent="0.25">
      <c r="A48">
        <f t="shared" si="7"/>
        <v>14</v>
      </c>
      <c r="B48">
        <f>'Linear distribution and flux'!F21</f>
        <v>85.445835512792073</v>
      </c>
      <c r="D48">
        <f>IF($D$33=$L$2,'Point source estimation'!F22,'Lambertian dist and flux'!F20)</f>
        <v>32.778626441517993</v>
      </c>
      <c r="E48">
        <f>'Linear distribution and flux'!G21</f>
        <v>3220.7609207939895</v>
      </c>
      <c r="F48">
        <f>IF($D$33=$L$2,'Point source estimation'!G22,'Lambertian dist and flux'!G20)</f>
        <v>1235.5443474403212</v>
      </c>
      <c r="G48">
        <f t="shared" si="0"/>
        <v>1985.2165733536683</v>
      </c>
      <c r="H48">
        <f t="shared" si="8"/>
        <v>1.2345529688104309</v>
      </c>
      <c r="I48">
        <f t="shared" si="1"/>
        <v>70.734674698183639</v>
      </c>
      <c r="J48">
        <f t="shared" si="9"/>
        <v>15</v>
      </c>
      <c r="K48">
        <f t="shared" si="10"/>
        <v>1.3166802267818412E-2</v>
      </c>
      <c r="L48">
        <f t="shared" si="11"/>
        <v>52.667209071273625</v>
      </c>
      <c r="M48">
        <f t="shared" si="2"/>
        <v>52.66720907127408</v>
      </c>
      <c r="N48" t="b">
        <f t="shared" si="3"/>
        <v>1</v>
      </c>
      <c r="O48">
        <f t="shared" si="12"/>
        <v>85.445835512791618</v>
      </c>
      <c r="P48" s="7">
        <f t="shared" si="4"/>
        <v>1.2375353711427692</v>
      </c>
      <c r="Q48">
        <f t="shared" si="5"/>
        <v>2.1599066836331345E-2</v>
      </c>
      <c r="R48">
        <f t="shared" si="6"/>
        <v>0.12959440101798808</v>
      </c>
    </row>
    <row r="49" spans="1:18" x14ac:dyDescent="0.25">
      <c r="A49">
        <f t="shared" si="7"/>
        <v>15</v>
      </c>
      <c r="B49">
        <f>'Linear distribution and flux'!F22</f>
        <v>90.172056666063469</v>
      </c>
      <c r="D49">
        <f>IF($D$33=$L$2,'Point source estimation'!F23,'Lambertian dist and flux'!F21)</f>
        <v>34.910129856435148</v>
      </c>
      <c r="E49">
        <f>'Linear distribution and flux'!G22</f>
        <v>3177.0094655613389</v>
      </c>
      <c r="F49">
        <f>IF($D$33=$L$2,'Point source estimation'!G23,'Lambertian dist and flux'!G21)</f>
        <v>1229.979852944967</v>
      </c>
      <c r="G49">
        <f t="shared" si="0"/>
        <v>1947.0296126163719</v>
      </c>
      <c r="H49">
        <f t="shared" si="8"/>
        <v>1.2129539019740994</v>
      </c>
      <c r="I49">
        <f t="shared" si="1"/>
        <v>69.49713932704087</v>
      </c>
      <c r="J49">
        <f t="shared" si="9"/>
        <v>16</v>
      </c>
      <c r="K49">
        <f t="shared" si="10"/>
        <v>1.3815481702407206E-2</v>
      </c>
      <c r="L49">
        <f t="shared" si="11"/>
        <v>55.261926809628797</v>
      </c>
      <c r="M49">
        <f t="shared" si="2"/>
        <v>55.261926809628321</v>
      </c>
      <c r="N49" t="b">
        <f t="shared" si="3"/>
        <v>1</v>
      </c>
      <c r="O49">
        <f t="shared" si="12"/>
        <v>90.172056666063952</v>
      </c>
      <c r="P49" s="7">
        <f t="shared" si="4"/>
        <v>1.230151790583264</v>
      </c>
      <c r="Q49">
        <f t="shared" si="5"/>
        <v>2.1470199044981732E-2</v>
      </c>
      <c r="R49">
        <f t="shared" si="6"/>
        <v>0.12882119426989039</v>
      </c>
    </row>
    <row r="50" spans="1:18" x14ac:dyDescent="0.25">
      <c r="A50">
        <f t="shared" si="7"/>
        <v>16</v>
      </c>
      <c r="B50">
        <f>'Linear distribution and flux'!F23</f>
        <v>94.722386665197106</v>
      </c>
      <c r="D50">
        <f>IF($D$33=$L$2,'Point source estimation'!F24,'Lambertian dist and flux'!F22)</f>
        <v>36.999100655615514</v>
      </c>
      <c r="E50">
        <f>'Linear distribution and flux'!G23</f>
        <v>3133.6993040396023</v>
      </c>
      <c r="F50">
        <f>IF($D$33=$L$2,'Point source estimation'!G24,'Lambertian dist and flux'!G22)</f>
        <v>1224.0406946713231</v>
      </c>
      <c r="G50">
        <f t="shared" si="0"/>
        <v>1909.6586093682793</v>
      </c>
      <c r="H50">
        <f t="shared" si="8"/>
        <v>1.1914837029291176</v>
      </c>
      <c r="I50">
        <f t="shared" si="1"/>
        <v>68.266987536457606</v>
      </c>
      <c r="J50">
        <f t="shared" si="9"/>
        <v>17</v>
      </c>
      <c r="K50">
        <f t="shared" si="10"/>
        <v>1.4430821502395386E-2</v>
      </c>
      <c r="L50">
        <f t="shared" si="11"/>
        <v>57.723286009581514</v>
      </c>
      <c r="M50">
        <f t="shared" si="2"/>
        <v>57.723286009581592</v>
      </c>
      <c r="N50" t="b">
        <f t="shared" si="3"/>
        <v>1</v>
      </c>
      <c r="O50">
        <f t="shared" si="12"/>
        <v>94.722386665197035</v>
      </c>
      <c r="P50" s="7">
        <f t="shared" si="4"/>
        <v>1.223138706767088</v>
      </c>
      <c r="Q50">
        <f t="shared" si="5"/>
        <v>2.1347797641671135E-2</v>
      </c>
      <c r="R50">
        <f t="shared" si="6"/>
        <v>0.12808678585002681</v>
      </c>
    </row>
    <row r="51" spans="1:18" x14ac:dyDescent="0.25">
      <c r="A51">
        <f t="shared" si="7"/>
        <v>17</v>
      </c>
      <c r="B51">
        <f>'Linear distribution and flux'!F24</f>
        <v>99.090663185880757</v>
      </c>
      <c r="D51">
        <f>IF($D$33=$L$2,'Point source estimation'!F25,'Lambertian dist and flux'!F23)</f>
        <v>39.042993749921564</v>
      </c>
      <c r="E51">
        <f>'Linear distribution and flux'!G24</f>
        <v>3090.5812045926064</v>
      </c>
      <c r="F51">
        <f>IF($D$33=$L$2,'Point source estimation'!G25,'Lambertian dist and flux'!G23)</f>
        <v>1217.728681744534</v>
      </c>
      <c r="G51">
        <f t="shared" si="0"/>
        <v>1872.8525228480723</v>
      </c>
      <c r="H51">
        <f t="shared" si="8"/>
        <v>1.1701359052874465</v>
      </c>
      <c r="I51">
        <f t="shared" si="1"/>
        <v>67.043848829690518</v>
      </c>
      <c r="J51">
        <f t="shared" si="9"/>
        <v>18</v>
      </c>
      <c r="K51">
        <f t="shared" si="10"/>
        <v>1.5011917358989879E-2</v>
      </c>
      <c r="L51">
        <f t="shared" si="11"/>
        <v>60.047669435959492</v>
      </c>
      <c r="M51">
        <f t="shared" si="2"/>
        <v>60.047669435959193</v>
      </c>
      <c r="N51" t="b">
        <f t="shared" si="3"/>
        <v>1</v>
      </c>
      <c r="O51">
        <f t="shared" si="12"/>
        <v>99.090663185881056</v>
      </c>
      <c r="P51" s="7">
        <f t="shared" si="4"/>
        <v>1.216337735395129</v>
      </c>
      <c r="Q51">
        <f t="shared" si="5"/>
        <v>2.1229098298896572E-2</v>
      </c>
      <c r="R51">
        <f t="shared" si="6"/>
        <v>0.12737458979337943</v>
      </c>
    </row>
    <row r="52" spans="1:18" x14ac:dyDescent="0.25">
      <c r="A52">
        <f t="shared" si="7"/>
        <v>18</v>
      </c>
      <c r="B52">
        <f>'Linear distribution and flux'!F25</f>
        <v>103.26843189530499</v>
      </c>
      <c r="D52">
        <f>IF($D$33=$L$2,'Point source estimation'!F26,'Lambertian dist and flux'!F24)</f>
        <v>41.039318970455469</v>
      </c>
      <c r="E52">
        <f>'Linear distribution and flux'!G25</f>
        <v>3047.3896092078016</v>
      </c>
      <c r="F52">
        <f>IF($D$33=$L$2,'Point source estimation'!G26,'Lambertian dist and flux'!G24)</f>
        <v>1211.0457368648829</v>
      </c>
      <c r="G52">
        <f t="shared" si="0"/>
        <v>1836.3438723429188</v>
      </c>
      <c r="H52">
        <f t="shared" si="8"/>
        <v>1.14890680698855</v>
      </c>
      <c r="I52">
        <f t="shared" si="1"/>
        <v>65.827511094295389</v>
      </c>
      <c r="J52">
        <f t="shared" si="9"/>
        <v>19</v>
      </c>
      <c r="K52">
        <f t="shared" si="10"/>
        <v>1.5557278231212335E-2</v>
      </c>
      <c r="L52">
        <f t="shared" si="11"/>
        <v>62.229112924849311</v>
      </c>
      <c r="M52">
        <f t="shared" si="2"/>
        <v>62.229112924849517</v>
      </c>
      <c r="N52" t="b">
        <f t="shared" si="3"/>
        <v>1</v>
      </c>
      <c r="O52">
        <f t="shared" si="12"/>
        <v>103.26843189530479</v>
      </c>
      <c r="P52" s="7">
        <f t="shared" si="4"/>
        <v>1.2095700245215539</v>
      </c>
      <c r="Q52">
        <f t="shared" si="5"/>
        <v>2.1110979461329667E-2</v>
      </c>
      <c r="R52">
        <f t="shared" si="6"/>
        <v>0.126665876767978</v>
      </c>
    </row>
    <row r="53" spans="1:18" x14ac:dyDescent="0.25">
      <c r="A53">
        <f t="shared" si="7"/>
        <v>19</v>
      </c>
      <c r="B53">
        <f>'Linear distribution and flux'!F26</f>
        <v>107.24471222301206</v>
      </c>
      <c r="D53">
        <f>IF($D$33=$L$2,'Point source estimation'!F27,'Lambertian dist and flux'!F25)</f>
        <v>42.985644102446358</v>
      </c>
      <c r="E53">
        <f>'Linear distribution and flux'!G26</f>
        <v>3003.8395739109887</v>
      </c>
      <c r="F53">
        <f>IF($D$33=$L$2,'Point source estimation'!G27,'Lambertian dist and flux'!G25)</f>
        <v>1203.9938957221193</v>
      </c>
      <c r="G53">
        <f t="shared" si="0"/>
        <v>1799.8456781888694</v>
      </c>
      <c r="H53">
        <f t="shared" si="8"/>
        <v>1.1277958275272204</v>
      </c>
      <c r="I53">
        <f t="shared" si="1"/>
        <v>64.617941069773835</v>
      </c>
      <c r="J53">
        <f t="shared" si="9"/>
        <v>20</v>
      </c>
      <c r="K53">
        <f t="shared" si="10"/>
        <v>1.6064767030141258E-2</v>
      </c>
      <c r="L53">
        <f t="shared" si="11"/>
        <v>64.259068120565004</v>
      </c>
      <c r="M53">
        <f t="shared" si="2"/>
        <v>64.259068120565701</v>
      </c>
      <c r="N53" t="b">
        <f t="shared" si="3"/>
        <v>1</v>
      </c>
      <c r="O53">
        <f t="shared" si="12"/>
        <v>107.24471222301136</v>
      </c>
      <c r="P53" s="7">
        <f t="shared" si="4"/>
        <v>1.2026312452998553</v>
      </c>
      <c r="Q53">
        <f t="shared" si="5"/>
        <v>2.0989874917842054E-2</v>
      </c>
      <c r="R53">
        <f t="shared" si="6"/>
        <v>0.12593924950705232</v>
      </c>
    </row>
    <row r="54" spans="1:18" x14ac:dyDescent="0.25">
      <c r="A54">
        <f t="shared" si="7"/>
        <v>20</v>
      </c>
      <c r="B54">
        <f>'Linear distribution and flux'!F27</f>
        <v>111.00572146838286</v>
      </c>
      <c r="D54">
        <f>IF($D$33=$L$2,'Point source estimation'!F28,'Lambertian dist and flux'!F26)</f>
        <v>44.879597848529286</v>
      </c>
      <c r="E54">
        <f>'Linear distribution and flux'!G27</f>
        <v>2959.6233376186929</v>
      </c>
      <c r="F54">
        <f>IF($D$33=$L$2,'Point source estimation'!G28,'Lambertian dist and flux'!G26)</f>
        <v>1196.5753063753677</v>
      </c>
      <c r="G54">
        <f t="shared" si="0"/>
        <v>1763.0480312433251</v>
      </c>
      <c r="H54">
        <f t="shared" si="8"/>
        <v>1.1068059526093783</v>
      </c>
      <c r="I54">
        <f t="shared" si="1"/>
        <v>63.415309824473979</v>
      </c>
      <c r="J54">
        <f t="shared" si="9"/>
        <v>21</v>
      </c>
      <c r="K54">
        <f t="shared" si="10"/>
        <v>1.6531530904963287E-2</v>
      </c>
      <c r="L54">
        <f t="shared" si="11"/>
        <v>66.126123619853118</v>
      </c>
      <c r="M54">
        <f t="shared" si="2"/>
        <v>66.126123619853573</v>
      </c>
      <c r="N54" t="b">
        <f t="shared" si="3"/>
        <v>1</v>
      </c>
      <c r="O54">
        <f t="shared" si="12"/>
        <v>111.0057214683824</v>
      </c>
      <c r="P54" s="7">
        <f t="shared" si="4"/>
        <v>1.1952857868730504</v>
      </c>
      <c r="Q54">
        <f t="shared" si="5"/>
        <v>2.0861672483225947E-2</v>
      </c>
      <c r="R54">
        <f t="shared" si="6"/>
        <v>0.12517003489935569</v>
      </c>
    </row>
    <row r="55" spans="1:18" x14ac:dyDescent="0.25">
      <c r="A55">
        <f t="shared" si="7"/>
        <v>21</v>
      </c>
      <c r="B55">
        <f>'Linear distribution and flux'!F28</f>
        <v>114.53455106920933</v>
      </c>
      <c r="D55">
        <f>IF($D$33=$L$2,'Point source estimation'!F29,'Lambertian dist and flux'!F27)</f>
        <v>46.718872717805866</v>
      </c>
      <c r="E55">
        <f>'Linear distribution and flux'!G28</f>
        <v>2914.4064549578907</v>
      </c>
      <c r="F55">
        <f>IF($D$33=$L$2,'Point source estimation'!G29,'Lambertian dist and flux'!G27)</f>
        <v>1188.7922285988091</v>
      </c>
      <c r="G55">
        <f t="shared" si="0"/>
        <v>1725.6142263590816</v>
      </c>
      <c r="H55">
        <f t="shared" si="8"/>
        <v>1.0859442801261523</v>
      </c>
      <c r="I55">
        <f t="shared" si="1"/>
        <v>62.220024037600929</v>
      </c>
      <c r="J55">
        <f t="shared" si="9"/>
        <v>22</v>
      </c>
      <c r="K55">
        <f t="shared" si="10"/>
        <v>1.6953919587850974E-2</v>
      </c>
      <c r="L55">
        <f t="shared" si="11"/>
        <v>67.815678351403861</v>
      </c>
      <c r="M55">
        <f t="shared" si="2"/>
        <v>67.815678351403463</v>
      </c>
      <c r="N55" t="b">
        <f t="shared" si="3"/>
        <v>1</v>
      </c>
      <c r="O55">
        <f t="shared" si="12"/>
        <v>114.53455106920973</v>
      </c>
      <c r="P55" s="7">
        <f t="shared" si="4"/>
        <v>1.1872599328666809</v>
      </c>
      <c r="Q55">
        <f t="shared" si="5"/>
        <v>2.0721594905530421E-2</v>
      </c>
      <c r="R55">
        <f t="shared" si="6"/>
        <v>0.12432956943318252</v>
      </c>
    </row>
    <row r="56" spans="1:18" x14ac:dyDescent="0.25">
      <c r="A56">
        <f t="shared" si="7"/>
        <v>22</v>
      </c>
      <c r="B56">
        <f>'Linear distribution and flux'!F29</f>
        <v>117.81078771064308</v>
      </c>
      <c r="D56">
        <f>IF($D$33=$L$2,'Point source estimation'!F30,'Lambertian dist and flux'!F28)</f>
        <v>48.501227837166468</v>
      </c>
      <c r="E56">
        <f>'Linear distribution and flux'!G29</f>
        <v>2867.8234179084675</v>
      </c>
      <c r="F56">
        <f>IF($D$33=$L$2,'Point source estimation'!G30,'Lambertian dist and flux'!G28)</f>
        <v>1180.6470331933306</v>
      </c>
      <c r="G56">
        <f t="shared" si="0"/>
        <v>1687.1763847151369</v>
      </c>
      <c r="H56">
        <f t="shared" si="8"/>
        <v>1.0652226852206219</v>
      </c>
      <c r="I56">
        <f t="shared" si="1"/>
        <v>61.032764104734248</v>
      </c>
      <c r="J56">
        <f t="shared" si="9"/>
        <v>23</v>
      </c>
      <c r="K56">
        <f t="shared" si="10"/>
        <v>1.7327389968369133E-2</v>
      </c>
      <c r="L56">
        <f t="shared" si="11"/>
        <v>69.309559873476502</v>
      </c>
      <c r="M56">
        <f t="shared" si="2"/>
        <v>69.309559873476616</v>
      </c>
      <c r="N56" t="b">
        <f t="shared" si="3"/>
        <v>1</v>
      </c>
      <c r="O56">
        <f t="shared" si="12"/>
        <v>117.81078771064297</v>
      </c>
      <c r="P56" s="7">
        <f t="shared" si="4"/>
        <v>1.1782337746434592</v>
      </c>
      <c r="Q56">
        <f t="shared" si="5"/>
        <v>2.056405872572924E-2</v>
      </c>
      <c r="R56">
        <f t="shared" si="6"/>
        <v>0.12338435235437545</v>
      </c>
    </row>
    <row r="57" spans="1:18" x14ac:dyDescent="0.25">
      <c r="A57">
        <f t="shared" si="7"/>
        <v>23</v>
      </c>
      <c r="B57">
        <f>'Linear distribution and flux'!F30</f>
        <v>120.81007059353763</v>
      </c>
      <c r="D57">
        <f>IF($D$33=$L$2,'Point source estimation'!F31,'Lambertian dist and flux'!F29)</f>
        <v>50.224491681448896</v>
      </c>
      <c r="E57">
        <f>'Linear distribution and flux'!G30</f>
        <v>2819.4726783609412</v>
      </c>
      <c r="F57">
        <f>IF($D$33=$L$2,'Point source estimation'!G31,'Lambertian dist and flux'!G29)</f>
        <v>1172.1422012643566</v>
      </c>
      <c r="G57">
        <f t="shared" si="0"/>
        <v>1647.3304770965847</v>
      </c>
      <c r="H57">
        <f t="shared" si="8"/>
        <v>1.0446586264948927</v>
      </c>
      <c r="I57">
        <f t="shared" si="1"/>
        <v>59.854530330090789</v>
      </c>
      <c r="J57">
        <f t="shared" si="9"/>
        <v>24</v>
      </c>
      <c r="K57">
        <f t="shared" si="10"/>
        <v>1.7646394728022097E-2</v>
      </c>
      <c r="L57">
        <f t="shared" si="11"/>
        <v>70.585578912088351</v>
      </c>
      <c r="M57">
        <f t="shared" si="2"/>
        <v>70.585578912088735</v>
      </c>
      <c r="N57" t="b">
        <f t="shared" si="3"/>
        <v>1</v>
      </c>
      <c r="O57">
        <f t="shared" si="12"/>
        <v>120.81007059353725</v>
      </c>
      <c r="P57" s="7">
        <f t="shared" si="4"/>
        <v>1.1678315852680754</v>
      </c>
      <c r="Q57">
        <f t="shared" si="5"/>
        <v>2.0382506271712821E-2</v>
      </c>
      <c r="R57">
        <f t="shared" si="6"/>
        <v>0.12229503763027692</v>
      </c>
    </row>
    <row r="58" spans="1:18" x14ac:dyDescent="0.25">
      <c r="A58">
        <f t="shared" si="7"/>
        <v>24</v>
      </c>
      <c r="B58">
        <f>'Linear distribution and flux'!F31</f>
        <v>123.50357456006584</v>
      </c>
      <c r="D58">
        <f>IF($D$33=$L$2,'Point source estimation'!F32,'Lambertian dist and flux'!F30)</f>
        <v>51.886564719107341</v>
      </c>
      <c r="E58">
        <f>'Linear distribution and flux'!G31</f>
        <v>2768.9109684022706</v>
      </c>
      <c r="F58">
        <f>IF($D$33=$L$2,'Point source estimation'!G32,'Lambertian dist and flux'!G30)</f>
        <v>1163.2803234660807</v>
      </c>
      <c r="G58">
        <f t="shared" si="0"/>
        <v>1605.6306449361898</v>
      </c>
      <c r="H58">
        <f t="shared" si="8"/>
        <v>1.0242761202231798</v>
      </c>
      <c r="I58">
        <f t="shared" si="1"/>
        <v>58.686698744822714</v>
      </c>
      <c r="J58">
        <f t="shared" si="9"/>
        <v>25</v>
      </c>
      <c r="K58">
        <f t="shared" si="10"/>
        <v>1.7904252460239523E-2</v>
      </c>
      <c r="L58">
        <f t="shared" si="11"/>
        <v>71.617009840958062</v>
      </c>
      <c r="M58">
        <f t="shared" si="2"/>
        <v>71.617009840958502</v>
      </c>
      <c r="N58" t="b">
        <f t="shared" si="3"/>
        <v>1</v>
      </c>
      <c r="O58">
        <f t="shared" si="12"/>
        <v>123.5035745600654</v>
      </c>
      <c r="P58" s="7">
        <f t="shared" si="4"/>
        <v>1.1556103416476873</v>
      </c>
      <c r="Q58">
        <f t="shared" si="5"/>
        <v>2.0169205331848697E-2</v>
      </c>
      <c r="R58">
        <f t="shared" si="6"/>
        <v>0.12101523199109218</v>
      </c>
    </row>
    <row r="59" spans="1:18" x14ac:dyDescent="0.25">
      <c r="A59">
        <f t="shared" si="7"/>
        <v>25</v>
      </c>
      <c r="B59">
        <f>'Linear distribution and flux'!F32</f>
        <v>125.85740683639067</v>
      </c>
      <c r="D59">
        <f>IF($D$33=$L$2,'Point source estimation'!F33,'Lambertian dist and flux'!F31)</f>
        <v>53.48542197016814</v>
      </c>
      <c r="E59">
        <f>'Linear distribution and flux'!G32</f>
        <v>2715.6467968197285</v>
      </c>
      <c r="F59">
        <f>IF($D$33=$L$2,'Point source estimation'!G33,'Lambertian dist and flux'!G31)</f>
        <v>1154.0640992123278</v>
      </c>
      <c r="G59">
        <f t="shared" si="0"/>
        <v>1561.5826976074006</v>
      </c>
      <c r="H59">
        <f t="shared" si="8"/>
        <v>1.0041069148913311</v>
      </c>
      <c r="I59">
        <f t="shared" si="1"/>
        <v>57.531088403175026</v>
      </c>
      <c r="J59">
        <f t="shared" si="9"/>
        <v>26</v>
      </c>
      <c r="K59">
        <f t="shared" si="10"/>
        <v>1.8092996216555801E-2</v>
      </c>
      <c r="L59">
        <f t="shared" si="11"/>
        <v>72.371984866223173</v>
      </c>
      <c r="M59">
        <f t="shared" si="2"/>
        <v>72.371984866222533</v>
      </c>
      <c r="N59" t="b">
        <f t="shared" si="3"/>
        <v>1</v>
      </c>
      <c r="O59">
        <f t="shared" si="12"/>
        <v>125.85740683639131</v>
      </c>
      <c r="P59" s="7">
        <f t="shared" si="4"/>
        <v>1.1410460446794275</v>
      </c>
      <c r="Q59">
        <f t="shared" si="5"/>
        <v>1.9915010396514336E-2</v>
      </c>
      <c r="R59">
        <f t="shared" si="6"/>
        <v>0.11949006237908602</v>
      </c>
    </row>
    <row r="60" spans="1:18" x14ac:dyDescent="0.25">
      <c r="A60">
        <f t="shared" si="7"/>
        <v>26</v>
      </c>
      <c r="B60">
        <f>'Linear distribution and flux'!F33</f>
        <v>127.83190282809545</v>
      </c>
      <c r="D60">
        <f>IF($D$33=$L$2,'Point source estimation'!F34,'Lambertian dist and flux'!F32)</f>
        <v>55.019115473355981</v>
      </c>
      <c r="E60">
        <f>'Linear distribution and flux'!G33</f>
        <v>2659.1329782989014</v>
      </c>
      <c r="F60">
        <f>IF($D$33=$L$2,'Point source estimation'!G34,'Lambertian dist and flux'!G32)</f>
        <v>1144.496335854285</v>
      </c>
      <c r="G60">
        <f t="shared" si="0"/>
        <v>1514.6366424446164</v>
      </c>
      <c r="H60">
        <f t="shared" si="8"/>
        <v>0.98419190449481675</v>
      </c>
      <c r="I60">
        <f t="shared" si="1"/>
        <v>56.390042358495599</v>
      </c>
      <c r="J60">
        <f t="shared" si="9"/>
        <v>27</v>
      </c>
      <c r="K60">
        <f t="shared" si="10"/>
        <v>1.8203196838684654E-2</v>
      </c>
      <c r="L60">
        <f t="shared" si="11"/>
        <v>72.812787354738589</v>
      </c>
      <c r="M60">
        <f t="shared" si="2"/>
        <v>72.81278735473947</v>
      </c>
      <c r="N60" t="b">
        <f t="shared" si="3"/>
        <v>1</v>
      </c>
      <c r="O60">
        <f t="shared" si="12"/>
        <v>127.83190282809457</v>
      </c>
      <c r="P60" s="7">
        <f t="shared" si="4"/>
        <v>1.1235174543103099</v>
      </c>
      <c r="Q60">
        <f t="shared" si="5"/>
        <v>1.9609078781339866E-2</v>
      </c>
      <c r="R60">
        <f t="shared" si="6"/>
        <v>0.11765447268803919</v>
      </c>
    </row>
    <row r="61" spans="1:18" x14ac:dyDescent="0.25">
      <c r="A61">
        <f t="shared" si="7"/>
        <v>27</v>
      </c>
      <c r="B61">
        <f>'Linear distribution and flux'!F34</f>
        <v>129.38080360888273</v>
      </c>
      <c r="D61">
        <f>IF($D$33=$L$2,'Point source estimation'!F35,'Lambertian dist and flux'!F33)</f>
        <v>56.485776659384555</v>
      </c>
      <c r="E61">
        <f>'Linear distribution and flux'!G34</f>
        <v>2598.7580252874259</v>
      </c>
      <c r="F61">
        <f>IF($D$33=$L$2,'Point source estimation'!G35,'Lambertian dist and flux'!G33)</f>
        <v>1134.5799478253559</v>
      </c>
      <c r="G61">
        <f t="shared" si="0"/>
        <v>1464.17807746207</v>
      </c>
      <c r="H61">
        <f t="shared" si="8"/>
        <v>0.96458282571347698</v>
      </c>
      <c r="I61">
        <f t="shared" si="1"/>
        <v>55.266524904185289</v>
      </c>
      <c r="J61">
        <f t="shared" si="9"/>
        <v>28</v>
      </c>
      <c r="K61">
        <f t="shared" si="10"/>
        <v>1.8223756737374419E-2</v>
      </c>
      <c r="L61">
        <f t="shared" si="11"/>
        <v>72.895026949497648</v>
      </c>
      <c r="M61">
        <f t="shared" si="2"/>
        <v>72.895026949498174</v>
      </c>
      <c r="N61" t="b">
        <f t="shared" si="3"/>
        <v>1</v>
      </c>
      <c r="O61">
        <f t="shared" si="12"/>
        <v>129.38080360888222</v>
      </c>
      <c r="P61" s="7">
        <f t="shared" si="4"/>
        <v>1.1022868370392089</v>
      </c>
      <c r="Q61">
        <f t="shared" si="5"/>
        <v>1.923853460772838E-2</v>
      </c>
      <c r="R61">
        <f t="shared" si="6"/>
        <v>0.11543120764637027</v>
      </c>
    </row>
    <row r="62" spans="1:18" x14ac:dyDescent="0.25">
      <c r="A62">
        <f t="shared" si="7"/>
        <v>28</v>
      </c>
      <c r="B62">
        <f>'Linear distribution and flux'!F35</f>
        <v>130.45029437132138</v>
      </c>
      <c r="D62">
        <f>IF($D$33=$L$2,'Point source estimation'!F36,'Lambertian dist and flux'!F34)</f>
        <v>57.883618627520576</v>
      </c>
      <c r="E62">
        <f>'Linear distribution and flux'!G35</f>
        <v>2533.8362005111444</v>
      </c>
      <c r="F62">
        <f>IF($D$33=$L$2,'Point source estimation'!G36,'Lambertian dist and flux'!G34)</f>
        <v>1124.3179557533965</v>
      </c>
      <c r="G62">
        <f t="shared" si="0"/>
        <v>1409.5182447577479</v>
      </c>
      <c r="H62">
        <f t="shared" si="8"/>
        <v>0.94534429110574858</v>
      </c>
      <c r="I62">
        <f t="shared" si="1"/>
        <v>54.16423806714608</v>
      </c>
      <c r="J62">
        <f t="shared" si="9"/>
        <v>29</v>
      </c>
      <c r="K62">
        <f t="shared" si="10"/>
        <v>1.8141668935950372E-2</v>
      </c>
      <c r="L62">
        <f t="shared" si="11"/>
        <v>72.566675743801454</v>
      </c>
      <c r="M62">
        <f t="shared" si="2"/>
        <v>72.566675743800801</v>
      </c>
      <c r="N62" t="b">
        <f t="shared" si="3"/>
        <v>1</v>
      </c>
      <c r="O62">
        <f t="shared" si="12"/>
        <v>130.45029437132203</v>
      </c>
      <c r="P62" s="7">
        <f t="shared" si="4"/>
        <v>1.0764773306326489</v>
      </c>
      <c r="Q62">
        <f t="shared" si="5"/>
        <v>1.8788073742619336E-2</v>
      </c>
      <c r="R62">
        <f t="shared" si="6"/>
        <v>0.11272844245571602</v>
      </c>
    </row>
    <row r="63" spans="1:18" x14ac:dyDescent="0.25">
      <c r="A63">
        <f t="shared" si="7"/>
        <v>29</v>
      </c>
      <c r="B63">
        <f>'Linear distribution and flux'!F36</f>
        <v>130.97787902923298</v>
      </c>
      <c r="D63">
        <f>IF($D$33=$L$2,'Point source estimation'!F37,'Lambertian dist and flux'!F35)</f>
        <v>59.210938322646868</v>
      </c>
      <c r="E63">
        <f>'Linear distribution and flux'!G36</f>
        <v>2463.5959894351076</v>
      </c>
      <c r="F63">
        <f>IF($D$33=$L$2,'Point source estimation'!G37,'Lambertian dist and flux'!G35)</f>
        <v>1113.7134855406016</v>
      </c>
      <c r="G63">
        <f t="shared" si="0"/>
        <v>1349.882503894506</v>
      </c>
      <c r="H63">
        <f t="shared" si="8"/>
        <v>0.92655621736312921</v>
      </c>
      <c r="I63">
        <f t="shared" si="1"/>
        <v>53.087760736513431</v>
      </c>
      <c r="J63">
        <f t="shared" si="9"/>
        <v>30</v>
      </c>
      <c r="K63">
        <f t="shared" si="10"/>
        <v>1.7941735176646545E-2</v>
      </c>
      <c r="L63">
        <f t="shared" si="11"/>
        <v>71.766940706586141</v>
      </c>
      <c r="M63">
        <f t="shared" si="2"/>
        <v>71.766940706586112</v>
      </c>
      <c r="N63" t="b">
        <f t="shared" si="3"/>
        <v>1</v>
      </c>
      <c r="O63">
        <f t="shared" si="12"/>
        <v>130.97787902923301</v>
      </c>
      <c r="P63" s="7">
        <f t="shared" si="4"/>
        <v>1.0450465829560969</v>
      </c>
      <c r="Q63">
        <f t="shared" si="5"/>
        <v>1.8239503709299946E-2</v>
      </c>
      <c r="R63">
        <f t="shared" si="6"/>
        <v>0.10943702225579968</v>
      </c>
    </row>
    <row r="64" spans="1:18" x14ac:dyDescent="0.25">
      <c r="A64">
        <f t="shared" si="7"/>
        <v>30</v>
      </c>
      <c r="B64">
        <f>'Linear distribution and flux'!F37</f>
        <v>130.89106121153279</v>
      </c>
      <c r="D64">
        <f>IF($D$33=$L$2,'Point source estimation'!F38,'Lambertian dist and flux'!F36)</f>
        <v>60.46611861017287</v>
      </c>
      <c r="E64">
        <f>'Linear distribution and flux'!G37</f>
        <v>2387.1667050277542</v>
      </c>
      <c r="F64">
        <f>IF($D$33=$L$2,'Point source estimation'!G38,'Lambertian dist and flux'!G36)</f>
        <v>1102.7697674113269</v>
      </c>
      <c r="G64">
        <f t="shared" si="0"/>
        <v>1284.3969376164273</v>
      </c>
      <c r="H64">
        <f t="shared" si="8"/>
        <v>0.90831671365382927</v>
      </c>
      <c r="I64">
        <f t="shared" si="1"/>
        <v>52.042714153557334</v>
      </c>
      <c r="J64">
        <f t="shared" si="9"/>
        <v>31</v>
      </c>
      <c r="K64">
        <f t="shared" si="10"/>
        <v>1.7606235650340141E-2</v>
      </c>
      <c r="L64">
        <f t="shared" si="11"/>
        <v>70.424942601360527</v>
      </c>
      <c r="M64">
        <f t="shared" si="2"/>
        <v>70.424942601359916</v>
      </c>
      <c r="N64" t="b">
        <f t="shared" si="3"/>
        <v>1</v>
      </c>
      <c r="O64">
        <f t="shared" si="12"/>
        <v>130.89106121153338</v>
      </c>
      <c r="P64" s="7">
        <f t="shared" si="4"/>
        <v>1.0067564421693902</v>
      </c>
      <c r="Q64">
        <f t="shared" si="5"/>
        <v>1.7571214681519742E-2</v>
      </c>
      <c r="R64">
        <f t="shared" si="6"/>
        <v>0.10542728808911844</v>
      </c>
    </row>
    <row r="65" spans="1:21" x14ac:dyDescent="0.25">
      <c r="A65">
        <f t="shared" si="7"/>
        <v>31</v>
      </c>
      <c r="B65">
        <f>'Linear distribution and flux'!F38</f>
        <v>130.105795863011</v>
      </c>
      <c r="D65">
        <f>IF($D$33=$L$2,'Point source estimation'!F39,'Lambertian dist and flux'!F37)</f>
        <v>61.647630246263944</v>
      </c>
      <c r="E65">
        <f>'Linear distribution and flux'!G38</f>
        <v>2303.5628801004164</v>
      </c>
      <c r="F65">
        <f>IF($D$33=$L$2,'Point source estimation'!G39,'Lambertian dist and flux'!G37)</f>
        <v>1091.4901349281276</v>
      </c>
      <c r="G65">
        <f t="shared" si="0"/>
        <v>1212.0727451722887</v>
      </c>
      <c r="H65">
        <f t="shared" si="8"/>
        <v>0.89074549897230948</v>
      </c>
      <c r="I65">
        <f t="shared" si="1"/>
        <v>51.035957711387944</v>
      </c>
      <c r="J65">
        <f t="shared" si="9"/>
        <v>32</v>
      </c>
      <c r="K65">
        <f t="shared" si="10"/>
        <v>1.7114541404186667E-2</v>
      </c>
      <c r="L65">
        <f t="shared" si="11"/>
        <v>68.458165616746641</v>
      </c>
      <c r="M65">
        <f t="shared" si="2"/>
        <v>68.458165616747053</v>
      </c>
      <c r="N65" t="b">
        <f t="shared" si="3"/>
        <v>1</v>
      </c>
      <c r="O65">
        <f t="shared" si="12"/>
        <v>130.1057958630106</v>
      </c>
      <c r="P65" s="7">
        <f t="shared" si="4"/>
        <v>0.96013868940509184</v>
      </c>
      <c r="Q65">
        <f t="shared" si="5"/>
        <v>1.6757581405902049E-2</v>
      </c>
      <c r="R65">
        <f t="shared" si="6"/>
        <v>0.10054548843541229</v>
      </c>
    </row>
    <row r="66" spans="1:21" x14ac:dyDescent="0.25">
      <c r="A66">
        <f t="shared" si="7"/>
        <v>32</v>
      </c>
      <c r="B66">
        <f>'Linear distribution and flux'!F39</f>
        <v>128.52466831276641</v>
      </c>
      <c r="D66">
        <f>IF($D$33=$L$2,'Point source estimation'!F40,'Lambertian dist and flux'!F38)</f>
        <v>62.754033740989406</v>
      </c>
      <c r="E66">
        <f>'Linear distribution and flux'!G39</f>
        <v>2211.6660328585085</v>
      </c>
      <c r="F66">
        <f>IF($D$33=$L$2,'Point source estimation'!G40,'Lambertian dist and flux'!G38)</f>
        <v>1079.8780239763271</v>
      </c>
      <c r="G66">
        <f t="shared" ref="G66:G97" si="13">IF(E66-F66&gt;0,E66-F66,ABS(E66-F66))</f>
        <v>1131.7880088821814</v>
      </c>
      <c r="H66">
        <f t="shared" si="8"/>
        <v>0.87398791756640748</v>
      </c>
      <c r="I66">
        <f t="shared" si="1"/>
        <v>50.075819021982852</v>
      </c>
      <c r="J66">
        <f t="shared" si="9"/>
        <v>33</v>
      </c>
      <c r="K66">
        <f t="shared" si="10"/>
        <v>1.6442658642944141E-2</v>
      </c>
      <c r="L66">
        <f t="shared" si="11"/>
        <v>65.77063457177654</v>
      </c>
      <c r="M66">
        <f t="shared" ref="M66:M97" si="14">IF(B66&gt;D66,ABS(D66-B66), D66-B66)</f>
        <v>65.770634571777009</v>
      </c>
      <c r="N66" t="b">
        <f t="shared" ref="N66:N97" si="15">IF(L66 &lt;&gt; "", ROUND(L66,5)=ROUND(M66,5),"")</f>
        <v>1</v>
      </c>
      <c r="O66">
        <f t="shared" si="12"/>
        <v>128.52466831276595</v>
      </c>
      <c r="P66" s="7">
        <f t="shared" si="4"/>
        <v>0.90345713016218809</v>
      </c>
      <c r="Q66">
        <f t="shared" si="5"/>
        <v>1.5768301571949153E-2</v>
      </c>
      <c r="R66">
        <f t="shared" si="6"/>
        <v>9.4609809431694919E-2</v>
      </c>
    </row>
    <row r="67" spans="1:21" x14ac:dyDescent="0.25">
      <c r="A67">
        <f t="shared" ref="A67:A98" si="16">A66+1</f>
        <v>33</v>
      </c>
      <c r="B67">
        <f>'Linear distribution and flux'!F40</f>
        <v>126.03474866360133</v>
      </c>
      <c r="D67">
        <f>IF($D$33=$L$2,'Point source estimation'!F41,'Lambertian dist and flux'!F39)</f>
        <v>63.783981112119349</v>
      </c>
      <c r="E67">
        <f>'Linear distribution and flux'!G40</f>
        <v>2110.2033060993272</v>
      </c>
      <c r="F67">
        <f>IF($D$33=$L$2,'Point source estimation'!G41,'Lambertian dist and flux'!G39)</f>
        <v>1067.93697171741</v>
      </c>
      <c r="G67">
        <f t="shared" si="13"/>
        <v>1042.2663343819172</v>
      </c>
      <c r="H67">
        <f t="shared" si="8"/>
        <v>0.85821961599445828</v>
      </c>
      <c r="I67">
        <f t="shared" si="1"/>
        <v>49.172361891820664</v>
      </c>
      <c r="J67">
        <f t="shared" si="9"/>
        <v>34</v>
      </c>
      <c r="K67">
        <f t="shared" si="10"/>
        <v>1.5562691887870517E-2</v>
      </c>
      <c r="L67">
        <f t="shared" si="11"/>
        <v>62.250767551482042</v>
      </c>
      <c r="M67">
        <f t="shared" si="14"/>
        <v>62.250767551481985</v>
      </c>
      <c r="N67" t="b">
        <f t="shared" si="15"/>
        <v>1</v>
      </c>
      <c r="O67">
        <f t="shared" si="12"/>
        <v>126.03474866360139</v>
      </c>
      <c r="P67" s="7">
        <f t="shared" si="4"/>
        <v>0.83466678481834577</v>
      </c>
      <c r="Q67">
        <f t="shared" si="5"/>
        <v>1.4567683552115155E-2</v>
      </c>
      <c r="R67">
        <f t="shared" si="6"/>
        <v>8.7406101312690929E-2</v>
      </c>
    </row>
    <row r="68" spans="1:21" x14ac:dyDescent="0.25">
      <c r="A68">
        <f t="shared" si="16"/>
        <v>34</v>
      </c>
      <c r="B68">
        <f>'Linear distribution and flux'!F41</f>
        <v>122.50505828850686</v>
      </c>
      <c r="D68">
        <f>IF($D$33=$L$2,'Point source estimation'!F42,'Lambertian dist and flux'!F40)</f>
        <v>64.736217527433269</v>
      </c>
      <c r="E68">
        <f>'Linear distribution and flux'!G41</f>
        <v>1997.7223759158423</v>
      </c>
      <c r="F68">
        <f>IF($D$33=$L$2,'Point source estimation'!G42,'Lambertian dist and flux'!G40)</f>
        <v>1055.6706155115698</v>
      </c>
      <c r="G68">
        <f t="shared" si="13"/>
        <v>942.0517604042725</v>
      </c>
      <c r="H68">
        <f t="shared" si="8"/>
        <v>0.84365193244234316</v>
      </c>
      <c r="I68">
        <f t="shared" si="1"/>
        <v>48.337695107002318</v>
      </c>
      <c r="J68">
        <f t="shared" si="9"/>
        <v>35</v>
      </c>
      <c r="K68">
        <f t="shared" si="10"/>
        <v>1.4442210190268367E-2</v>
      </c>
      <c r="L68">
        <f t="shared" si="11"/>
        <v>57.768840761073442</v>
      </c>
      <c r="M68">
        <f t="shared" si="14"/>
        <v>57.768840761073591</v>
      </c>
      <c r="N68" t="b">
        <f t="shared" si="15"/>
        <v>1</v>
      </c>
      <c r="O68">
        <f t="shared" si="12"/>
        <v>122.50505828850672</v>
      </c>
      <c r="P68" s="7">
        <f t="shared" si="4"/>
        <v>0.75137135460831672</v>
      </c>
      <c r="Q68">
        <f t="shared" si="5"/>
        <v>1.3113904043084995E-2</v>
      </c>
      <c r="R68">
        <f t="shared" si="6"/>
        <v>7.8683424258509965E-2</v>
      </c>
    </row>
    <row r="69" spans="1:21" x14ac:dyDescent="0.25">
      <c r="A69">
        <f t="shared" si="16"/>
        <v>35</v>
      </c>
      <c r="B69">
        <f>'Linear distribution and flux'!F42</f>
        <v>117.78357157695558</v>
      </c>
      <c r="D69">
        <f>IF($D$33=$L$2,'Point source estimation'!F43,'Lambertian dist and flux'!F41)</f>
        <v>65.609582833539875</v>
      </c>
      <c r="E69">
        <f>'Linear distribution and flux'!G42</f>
        <v>1872.5618969893808</v>
      </c>
      <c r="F69">
        <f>IF($D$33=$L$2,'Point source estimation'!G43,'Lambertian dist and flux'!G41)</f>
        <v>1043.0826918097343</v>
      </c>
      <c r="G69">
        <f t="shared" si="13"/>
        <v>829.47920517964644</v>
      </c>
      <c r="H69">
        <f t="shared" si="8"/>
        <v>0.83053802839925817</v>
      </c>
      <c r="I69">
        <f t="shared" si="1"/>
        <v>47.586323752394001</v>
      </c>
      <c r="J69">
        <f t="shared" si="9"/>
        <v>36</v>
      </c>
      <c r="K69">
        <f t="shared" si="10"/>
        <v>1.3043497185853958E-2</v>
      </c>
      <c r="L69">
        <f t="shared" si="11"/>
        <v>52.173988743415812</v>
      </c>
      <c r="M69">
        <f t="shared" si="14"/>
        <v>52.173988743415705</v>
      </c>
      <c r="N69" t="b">
        <f t="shared" si="15"/>
        <v>1</v>
      </c>
      <c r="O69">
        <f t="shared" si="12"/>
        <v>117.78357157695569</v>
      </c>
      <c r="P69" s="7">
        <f t="shared" si="4"/>
        <v>0.65078034225307846</v>
      </c>
      <c r="Q69">
        <f t="shared" si="5"/>
        <v>1.1358259679571792E-2</v>
      </c>
      <c r="R69">
        <f t="shared" si="6"/>
        <v>6.8149558077430755E-2</v>
      </c>
    </row>
    <row r="70" spans="1:21" x14ac:dyDescent="0.25">
      <c r="A70">
        <f t="shared" si="16"/>
        <v>36</v>
      </c>
      <c r="B70">
        <f>'Linear distribution and flux'!F43</f>
        <v>111.6936591964114</v>
      </c>
      <c r="D70">
        <f>IF($D$33=$L$2,'Point source estimation'!F44,'Lambertian dist and flux'!F42)</f>
        <v>66.403012969345298</v>
      </c>
      <c r="E70">
        <f>'Linear distribution and flux'!G43</f>
        <v>1732.8165924353339</v>
      </c>
      <c r="F70">
        <f>IF($D$33=$L$2,'Point source estimation'!G44,'Lambertian dist and flux'!G42)</f>
        <v>1030.1770350154045</v>
      </c>
      <c r="G70">
        <f t="shared" si="13"/>
        <v>702.63955741992936</v>
      </c>
      <c r="H70">
        <f t="shared" si="8"/>
        <v>0.81917976871968645</v>
      </c>
      <c r="I70">
        <f t="shared" si="1"/>
        <v>46.935543410140923</v>
      </c>
      <c r="J70">
        <f t="shared" si="9"/>
        <v>37</v>
      </c>
      <c r="K70">
        <f t="shared" si="10"/>
        <v>1.1322661556766644E-2</v>
      </c>
      <c r="L70">
        <f t="shared" si="11"/>
        <v>45.29064622706656</v>
      </c>
      <c r="M70">
        <f t="shared" si="14"/>
        <v>45.290646227066105</v>
      </c>
      <c r="N70" t="b">
        <f t="shared" si="15"/>
        <v>1</v>
      </c>
      <c r="O70">
        <f t="shared" si="12"/>
        <v>111.69365919641186</v>
      </c>
      <c r="P70" s="7">
        <f t="shared" si="4"/>
        <v>0.52966663628281907</v>
      </c>
      <c r="Q70">
        <f t="shared" si="5"/>
        <v>9.2444267410984517E-3</v>
      </c>
      <c r="R70">
        <f t="shared" si="6"/>
        <v>5.5466560446590707E-2</v>
      </c>
    </row>
    <row r="71" spans="1:21" x14ac:dyDescent="0.25">
      <c r="A71">
        <f t="shared" si="16"/>
        <v>37</v>
      </c>
      <c r="B71">
        <f>'Linear distribution and flux'!F44</f>
        <v>104.02985818236168</v>
      </c>
      <c r="D71">
        <f>IF($D$33=$L$2,'Point source estimation'!F45,'Lambertian dist and flux'!F43)</f>
        <v>67.115541262447579</v>
      </c>
      <c r="E71">
        <f>'Linear distribution and flux'!G44</f>
        <v>1576.2958988590335</v>
      </c>
      <c r="F71">
        <f>IF($D$33=$L$2,'Point source estimation'!G45,'Lambertian dist and flux'!G43)</f>
        <v>1016.9575763166598</v>
      </c>
      <c r="G71">
        <f t="shared" si="13"/>
        <v>559.3383225423737</v>
      </c>
      <c r="H71">
        <f t="shared" si="8"/>
        <v>0.80993534197858796</v>
      </c>
      <c r="I71">
        <f t="shared" si="1"/>
        <v>46.405876773858104</v>
      </c>
      <c r="J71">
        <f t="shared" si="9"/>
        <v>38</v>
      </c>
      <c r="K71">
        <f t="shared" si="10"/>
        <v>9.2285792299786618E-3</v>
      </c>
      <c r="L71">
        <f t="shared" si="11"/>
        <v>36.914316919914633</v>
      </c>
      <c r="M71">
        <f t="shared" si="14"/>
        <v>36.9143169199141</v>
      </c>
      <c r="N71" t="b">
        <f t="shared" si="15"/>
        <v>1</v>
      </c>
      <c r="O71">
        <f t="shared" si="12"/>
        <v>104.0298581823622</v>
      </c>
      <c r="P71" s="7">
        <f t="shared" si="4"/>
        <v>0.38432298090192774</v>
      </c>
      <c r="Q71">
        <f t="shared" si="5"/>
        <v>6.7077014078179252E-3</v>
      </c>
      <c r="R71">
        <f t="shared" si="6"/>
        <v>4.0246208446907551E-2</v>
      </c>
    </row>
    <row r="72" spans="1:21" x14ac:dyDescent="0.25">
      <c r="A72">
        <f t="shared" si="16"/>
        <v>38</v>
      </c>
      <c r="B72">
        <f>'Linear distribution and flux'!F45</f>
        <v>94.552828063638401</v>
      </c>
      <c r="D72">
        <f>IF($D$33=$L$2,'Point source estimation'!F46,'Lambertian dist and flux'!F44)</f>
        <v>67.746299606878196</v>
      </c>
      <c r="E72">
        <f>'Linear distribution and flux'!G45</f>
        <v>1400.4748317187953</v>
      </c>
      <c r="F72">
        <f>IF($D$33=$L$2,'Point source estimation'!G46,'Lambertian dist and flux'!G44)</f>
        <v>1003.42834248868</v>
      </c>
      <c r="G72">
        <f t="shared" si="13"/>
        <v>397.0464892301153</v>
      </c>
      <c r="H72">
        <f t="shared" si="8"/>
        <v>0.80322764057077001</v>
      </c>
      <c r="I72">
        <f t="shared" si="1"/>
        <v>46.021553792956176</v>
      </c>
      <c r="J72">
        <f t="shared" si="9"/>
        <v>39</v>
      </c>
      <c r="K72">
        <f t="shared" si="10"/>
        <v>6.7016321141899482E-3</v>
      </c>
      <c r="L72">
        <f t="shared" si="11"/>
        <v>26.806528456759782</v>
      </c>
      <c r="M72">
        <f t="shared" si="14"/>
        <v>26.806528456760205</v>
      </c>
      <c r="N72" t="b">
        <f t="shared" si="15"/>
        <v>1</v>
      </c>
      <c r="O72">
        <f t="shared" si="12"/>
        <v>94.552828063637975</v>
      </c>
      <c r="P72" s="7">
        <f t="shared" si="4"/>
        <v>0.21050970556675708</v>
      </c>
      <c r="Q72">
        <f t="shared" si="5"/>
        <v>3.6740874695437467E-3</v>
      </c>
      <c r="R72">
        <f t="shared" si="6"/>
        <v>2.2044524817262479E-2</v>
      </c>
    </row>
    <row r="73" spans="1:21" x14ac:dyDescent="0.25">
      <c r="A73">
        <f t="shared" si="16"/>
        <v>39</v>
      </c>
      <c r="B73">
        <f>'Linear distribution and flux'!F46</f>
        <v>82.98331957661614</v>
      </c>
      <c r="D73">
        <f>IF($D$33=$L$2,'Point source estimation'!F47,'Lambertian dist and flux'!F45)</f>
        <v>68.294519520755273</v>
      </c>
      <c r="E73">
        <f>'Linear distribution and flux'!G46</f>
        <v>1202.4354293116417</v>
      </c>
      <c r="F73">
        <f>IF($D$33=$L$2,'Point source estimation'!G47,'Lambertian dist and flux'!G45)</f>
        <v>989.59345466714944</v>
      </c>
      <c r="G73">
        <f t="shared" si="13"/>
        <v>212.84197464449221</v>
      </c>
      <c r="H73">
        <f t="shared" si="8"/>
        <v>0.79955355310122622</v>
      </c>
      <c r="I73">
        <f t="shared" si="1"/>
        <v>45.811044087389419</v>
      </c>
      <c r="J73">
        <f t="shared" si="9"/>
        <v>40</v>
      </c>
      <c r="K73">
        <f t="shared" si="10"/>
        <v>3.6722000139650657E-3</v>
      </c>
      <c r="L73">
        <f t="shared" si="11"/>
        <v>14.688800055860256</v>
      </c>
      <c r="M73">
        <f t="shared" si="14"/>
        <v>14.688800055860867</v>
      </c>
      <c r="N73" t="b">
        <f t="shared" si="15"/>
        <v>1</v>
      </c>
      <c r="O73">
        <f t="shared" si="12"/>
        <v>82.983319576615528</v>
      </c>
      <c r="P73" s="7">
        <f t="shared" si="4"/>
        <v>3.3733236189590343E-3</v>
      </c>
      <c r="Q73">
        <f t="shared" si="5"/>
        <v>5.8875603886125758E-5</v>
      </c>
      <c r="R73">
        <f t="shared" si="6"/>
        <v>3.5325362331675454E-4</v>
      </c>
    </row>
    <row r="74" spans="1:21" x14ac:dyDescent="0.25">
      <c r="A74">
        <f t="shared" si="16"/>
        <v>40</v>
      </c>
      <c r="B74">
        <f>'Linear distribution and flux'!F47</f>
        <v>68.994941518730869</v>
      </c>
      <c r="D74">
        <f>IF($D$33=$L$2,'Point source estimation'!F48,'Lambertian dist and flux'!F46)</f>
        <v>68.759533082560594</v>
      </c>
      <c r="E74">
        <f>'Linear distribution and flux'!G47</f>
        <v>978.79674891036893</v>
      </c>
      <c r="F74">
        <f>IF($D$33=$L$2,'Point source estimation'!G48,'Lambertian dist and flux'!G46)</f>
        <v>975.45712709292025</v>
      </c>
      <c r="G74">
        <f t="shared" si="13"/>
        <v>3.3396218174486876</v>
      </c>
      <c r="H74">
        <f t="shared" si="8"/>
        <v>0.79949467749734016</v>
      </c>
      <c r="I74">
        <f t="shared" si="1"/>
        <v>45.80767076377046</v>
      </c>
      <c r="J74">
        <f t="shared" si="9"/>
        <v>41</v>
      </c>
      <c r="K74">
        <f t="shared" si="10"/>
        <v>5.8852109042550893E-5</v>
      </c>
      <c r="L74">
        <f t="shared" si="11"/>
        <v>0.23540843617020346</v>
      </c>
      <c r="M74">
        <f t="shared" si="14"/>
        <v>0.23540843617027463</v>
      </c>
      <c r="N74" t="b">
        <f t="shared" si="15"/>
        <v>1</v>
      </c>
      <c r="O74">
        <f t="shared" si="12"/>
        <v>68.994941518730798</v>
      </c>
      <c r="P74" s="7">
        <f t="shared" si="4"/>
        <v>0.2426508671424088</v>
      </c>
      <c r="Q74">
        <f t="shared" si="5"/>
        <v>4.2350565644543575E-3</v>
      </c>
      <c r="R74">
        <f t="shared" si="6"/>
        <v>2.5410339386726145E-2</v>
      </c>
    </row>
    <row r="75" spans="1:21" x14ac:dyDescent="0.25">
      <c r="A75">
        <f t="shared" si="16"/>
        <v>41</v>
      </c>
      <c r="B75">
        <f>'Linear distribution and flux'!F48</f>
        <v>52.205459591953584</v>
      </c>
      <c r="D75">
        <f>IF($D$33=$L$2,'Point source estimation'!F49,'Lambertian dist and flux'!F47)</f>
        <v>69.140773744898951</v>
      </c>
      <c r="E75">
        <f>'Linear distribution and flux'!G48</f>
        <v>725.63090396442942</v>
      </c>
      <c r="F75">
        <f>IF($D$33=$L$2,'Point source estimation'!G49,'Lambertian dist and flux'!G47)</f>
        <v>961.02366582831314</v>
      </c>
      <c r="G75">
        <f t="shared" si="13"/>
        <v>235.39276186388372</v>
      </c>
      <c r="H75">
        <f t="shared" si="8"/>
        <v>0.79525962093288582</v>
      </c>
      <c r="I75">
        <f t="shared" si="1"/>
        <v>45.565019896628051</v>
      </c>
      <c r="J75">
        <f t="shared" si="9"/>
        <v>42</v>
      </c>
      <c r="K75">
        <f t="shared" si="10"/>
        <v>4.2338285382362839E-3</v>
      </c>
      <c r="L75">
        <f t="shared" si="11"/>
        <v>16.935314152945129</v>
      </c>
      <c r="M75">
        <f t="shared" si="14"/>
        <v>16.935314152945367</v>
      </c>
      <c r="N75" t="b">
        <f t="shared" si="15"/>
        <v>1</v>
      </c>
      <c r="O75" s="7">
        <f>D75</f>
        <v>69.140773744898951</v>
      </c>
      <c r="P75" s="7">
        <f t="shared" si="4"/>
        <v>0.53391126982182868</v>
      </c>
      <c r="Q75">
        <f t="shared" si="5"/>
        <v>9.3185095718947494E-3</v>
      </c>
      <c r="R75">
        <f t="shared" si="6"/>
        <v>5.5911057431368497E-2</v>
      </c>
    </row>
    <row r="76" spans="1:21" x14ac:dyDescent="0.25">
      <c r="A76">
        <f t="shared" si="16"/>
        <v>42</v>
      </c>
      <c r="B76">
        <f>'Linear distribution and flux'!F49</f>
        <v>32.166295621736644</v>
      </c>
      <c r="D76">
        <f>IF($D$33=$L$2,'Point source estimation'!F50,'Lambertian dist and flux'!F48)</f>
        <v>69.437777024748883</v>
      </c>
      <c r="E76">
        <f>'Linear distribution and flux'!G49</f>
        <v>438.36201831608275</v>
      </c>
      <c r="F76">
        <f>IF($D$33=$L$2,'Point source estimation'!G50,'Lambertian dist and flux'!G48)</f>
        <v>946.29746744544946</v>
      </c>
      <c r="G76">
        <f t="shared" si="13"/>
        <v>507.9354491293667</v>
      </c>
      <c r="H76">
        <f t="shared" si="8"/>
        <v>0.78594111136099098</v>
      </c>
      <c r="I76">
        <f t="shared" si="1"/>
        <v>45.031108626806223</v>
      </c>
      <c r="J76">
        <f t="shared" si="9"/>
        <v>43</v>
      </c>
      <c r="K76">
        <f t="shared" si="10"/>
        <v>9.3178703507529326E-3</v>
      </c>
      <c r="L76">
        <f t="shared" si="11"/>
        <v>37.271481403011713</v>
      </c>
      <c r="M76">
        <f t="shared" si="14"/>
        <v>37.271481403012238</v>
      </c>
      <c r="N76" t="b">
        <f t="shared" si="15"/>
        <v>1</v>
      </c>
      <c r="O76" s="7">
        <v>0</v>
      </c>
      <c r="P76" s="7">
        <f t="shared" si="4"/>
        <v>0.87818653800754021</v>
      </c>
      <c r="Q76">
        <f t="shared" si="5"/>
        <v>1.5327246534921899E-2</v>
      </c>
      <c r="R76">
        <f t="shared" si="6"/>
        <v>9.1963479209531393E-2</v>
      </c>
    </row>
    <row r="77" spans="1:21" x14ac:dyDescent="0.25">
      <c r="A77">
        <f t="shared" si="16"/>
        <v>43</v>
      </c>
      <c r="B77">
        <f>'Linear distribution and flux'!F50</f>
        <v>8.3498122737154379</v>
      </c>
      <c r="D77">
        <f>IF($D$33=$L$2,'Point source estimation'!F51,'Lambertian dist and flux'!F49)</f>
        <v>69.650181069363725</v>
      </c>
      <c r="E77">
        <f>'Linear distribution and flux'!G50</f>
        <v>111.64419463090427</v>
      </c>
      <c r="F77">
        <f>IF($D$33=$L$2,'Point source estimation'!G51,'Lambertian dist and flux'!G49)</f>
        <v>931.28301768701249</v>
      </c>
      <c r="G77">
        <f t="shared" si="13"/>
        <v>819.63882305610821</v>
      </c>
      <c r="H77">
        <f t="shared" si="8"/>
        <v>0.77061386482606919</v>
      </c>
      <c r="I77">
        <f t="shared" si="1"/>
        <v>44.152922088798682</v>
      </c>
      <c r="J77">
        <f t="shared" si="9"/>
        <v>44</v>
      </c>
      <c r="K77">
        <f t="shared" si="10"/>
        <v>1.5325092198912149E-2</v>
      </c>
      <c r="L77">
        <f t="shared" si="11"/>
        <v>61.300368795648566</v>
      </c>
      <c r="M77">
        <f t="shared" si="14"/>
        <v>61.300368795648289</v>
      </c>
      <c r="N77" t="b">
        <f t="shared" si="15"/>
        <v>1</v>
      </c>
      <c r="O77" s="7">
        <v>0</v>
      </c>
      <c r="P77" s="7"/>
      <c r="U77" s="8"/>
    </row>
    <row r="78" spans="1:21" x14ac:dyDescent="0.25">
      <c r="A78">
        <f t="shared" si="16"/>
        <v>44</v>
      </c>
      <c r="B78">
        <f>'Linear distribution and flux'!F51</f>
        <v>0</v>
      </c>
      <c r="D78">
        <f>IF($D$33=$L$2,'Point source estimation'!F52,'Lambertian dist and flux'!F50)</f>
        <v>69.777727097133507</v>
      </c>
      <c r="E78">
        <f>'Linear distribution and flux'!G51</f>
        <v>0</v>
      </c>
      <c r="F78">
        <f>IF($D$33=$L$2,'Point source estimation'!G52,'Lambertian dist and flux'!G50)</f>
        <v>915.98489009984689</v>
      </c>
      <c r="G78">
        <f t="shared" si="13"/>
        <v>915.98489009984689</v>
      </c>
      <c r="M78">
        <f t="shared" si="14"/>
        <v>69.777727097133507</v>
      </c>
      <c r="N78" t="str">
        <f t="shared" si="15"/>
        <v/>
      </c>
      <c r="O78" s="7">
        <v>0</v>
      </c>
      <c r="P78" s="7"/>
      <c r="U78" s="8"/>
    </row>
    <row r="79" spans="1:21" x14ac:dyDescent="0.25">
      <c r="A79">
        <f t="shared" si="16"/>
        <v>45</v>
      </c>
      <c r="B79">
        <f>'Linear distribution and flux'!F52</f>
        <v>0</v>
      </c>
      <c r="D79">
        <f>IF($D$33=$L$2,'Point source estimation'!F53,'Lambertian dist and flux'!F51)</f>
        <v>69.82025971287031</v>
      </c>
      <c r="E79">
        <f>'Linear distribution and flux'!G52</f>
        <v>0</v>
      </c>
      <c r="F79">
        <f>IF($D$33=$L$2,'Point source estimation'!G53,'Lambertian dist and flux'!G51)</f>
        <v>900.40774464181209</v>
      </c>
      <c r="G79">
        <f t="shared" si="13"/>
        <v>900.40774464181209</v>
      </c>
      <c r="M79">
        <f t="shared" si="14"/>
        <v>69.82025971287031</v>
      </c>
      <c r="N79" t="str">
        <f t="shared" si="15"/>
        <v/>
      </c>
      <c r="O79" s="7">
        <v>0</v>
      </c>
      <c r="P79" s="7"/>
      <c r="U79" s="8"/>
    </row>
    <row r="80" spans="1:21" x14ac:dyDescent="0.25">
      <c r="A80">
        <f t="shared" si="16"/>
        <v>46</v>
      </c>
      <c r="B80">
        <f>'Linear distribution and flux'!F53</f>
        <v>0</v>
      </c>
      <c r="D80">
        <f>IF($D$33=$L$2,'Point source estimation'!F54,'Lambertian dist and flux'!F52)</f>
        <v>69.777727097133507</v>
      </c>
      <c r="E80">
        <f>'Linear distribution and flux'!G53</f>
        <v>0</v>
      </c>
      <c r="F80">
        <f>IF($D$33=$L$2,'Point source estimation'!G54,'Lambertian dist and flux'!G52)</f>
        <v>884.55632626231341</v>
      </c>
      <c r="G80">
        <f t="shared" si="13"/>
        <v>884.55632626231341</v>
      </c>
      <c r="M80">
        <f t="shared" si="14"/>
        <v>69.777727097133507</v>
      </c>
      <c r="N80" t="str">
        <f t="shared" si="15"/>
        <v/>
      </c>
      <c r="O80" s="7">
        <v>0</v>
      </c>
      <c r="P80" s="7"/>
      <c r="U80" s="8"/>
    </row>
    <row r="81" spans="1:21" x14ac:dyDescent="0.25">
      <c r="A81">
        <f t="shared" si="16"/>
        <v>47</v>
      </c>
      <c r="B81">
        <f>'Linear distribution and flux'!F54</f>
        <v>0</v>
      </c>
      <c r="D81">
        <f>IF($D$33=$L$2,'Point source estimation'!F55,'Lambertian dist and flux'!F53)</f>
        <v>69.650181069363725</v>
      </c>
      <c r="E81">
        <f>'Linear distribution and flux'!G54</f>
        <v>0</v>
      </c>
      <c r="F81">
        <f>IF($D$33=$L$2,'Point source estimation'!G55,'Lambertian dist and flux'!G53)</f>
        <v>868.43546345694597</v>
      </c>
      <c r="G81">
        <f t="shared" si="13"/>
        <v>868.43546345694597</v>
      </c>
      <c r="M81">
        <f t="shared" si="14"/>
        <v>69.650181069363725</v>
      </c>
      <c r="N81" t="str">
        <f t="shared" si="15"/>
        <v/>
      </c>
      <c r="O81" s="7">
        <v>0</v>
      </c>
      <c r="P81" s="7"/>
      <c r="U81" s="8"/>
    </row>
    <row r="82" spans="1:21" x14ac:dyDescent="0.25">
      <c r="A82">
        <f t="shared" si="16"/>
        <v>48</v>
      </c>
      <c r="B82">
        <f>'Linear distribution and flux'!F55</f>
        <v>0</v>
      </c>
      <c r="D82">
        <f>IF($D$33=$L$2,'Point source estimation'!F56,'Lambertian dist and flux'!F54)</f>
        <v>69.437777024748883</v>
      </c>
      <c r="E82">
        <f>'Linear distribution and flux'!G55</f>
        <v>0</v>
      </c>
      <c r="F82">
        <f>IF($D$33=$L$2,'Point source estimation'!G56,'Lambertian dist and flux'!G54)</f>
        <v>852.05006679668622</v>
      </c>
      <c r="G82">
        <f t="shared" si="13"/>
        <v>852.05006679668622</v>
      </c>
      <c r="M82">
        <f t="shared" si="14"/>
        <v>69.437777024748883</v>
      </c>
      <c r="N82" t="str">
        <f t="shared" si="15"/>
        <v/>
      </c>
      <c r="O82" s="7">
        <v>0</v>
      </c>
      <c r="P82" s="7"/>
      <c r="U82" s="8"/>
    </row>
    <row r="83" spans="1:21" x14ac:dyDescent="0.25">
      <c r="A83">
        <f t="shared" si="16"/>
        <v>49</v>
      </c>
      <c r="B83">
        <f>'Linear distribution and flux'!F56</f>
        <v>0</v>
      </c>
      <c r="D83">
        <f>IF($D$33=$L$2,'Point source estimation'!F57,'Lambertian dist and flux'!F55)</f>
        <v>69.140773744898951</v>
      </c>
      <c r="E83">
        <f>'Linear distribution and flux'!G56</f>
        <v>0</v>
      </c>
      <c r="F83">
        <f>IF($D$33=$L$2,'Point source estimation'!G57,'Lambertian dist and flux'!G55)</f>
        <v>835.40512743208592</v>
      </c>
      <c r="G83">
        <f t="shared" si="13"/>
        <v>835.40512743208592</v>
      </c>
      <c r="M83">
        <f t="shared" si="14"/>
        <v>69.140773744898951</v>
      </c>
      <c r="N83" t="str">
        <f t="shared" si="15"/>
        <v/>
      </c>
      <c r="O83" s="7">
        <v>0</v>
      </c>
      <c r="P83" s="7"/>
      <c r="U83" s="8"/>
    </row>
    <row r="84" spans="1:21" x14ac:dyDescent="0.25">
      <c r="A84">
        <f t="shared" si="16"/>
        <v>50</v>
      </c>
      <c r="B84">
        <f>'Linear distribution and flux'!F57</f>
        <v>0</v>
      </c>
      <c r="D84">
        <f>IF($D$33=$L$2,'Point source estimation'!F58,'Lambertian dist and flux'!F56)</f>
        <v>68.759533082560594</v>
      </c>
      <c r="E84">
        <f>'Linear distribution and flux'!G57</f>
        <v>0</v>
      </c>
      <c r="F84">
        <f>IF($D$33=$L$2,'Point source estimation'!G58,'Lambertian dist and flux'!G56)</f>
        <v>818.50571557291858</v>
      </c>
      <c r="G84">
        <f t="shared" si="13"/>
        <v>818.50571557291858</v>
      </c>
      <c r="M84">
        <f t="shared" si="14"/>
        <v>68.759533082560594</v>
      </c>
      <c r="N84" t="str">
        <f t="shared" si="15"/>
        <v/>
      </c>
      <c r="O84" s="7">
        <v>0</v>
      </c>
      <c r="P84" s="7"/>
      <c r="U84" s="8"/>
    </row>
    <row r="85" spans="1:21" x14ac:dyDescent="0.25">
      <c r="A85">
        <f t="shared" si="16"/>
        <v>51</v>
      </c>
      <c r="B85">
        <f>'Linear distribution and flux'!F58</f>
        <v>0</v>
      </c>
      <c r="D85">
        <f>IF($D$33=$L$2,'Point source estimation'!F59,'Lambertian dist and flux'!F57)</f>
        <v>68.294519520755287</v>
      </c>
      <c r="E85">
        <f>'Linear distribution and flux'!G58</f>
        <v>0</v>
      </c>
      <c r="F85">
        <f>IF($D$33=$L$2,'Point source estimation'!G59,'Lambertian dist and flux'!G57)</f>
        <v>801.35697894374482</v>
      </c>
      <c r="G85">
        <f t="shared" si="13"/>
        <v>801.35697894374482</v>
      </c>
      <c r="M85">
        <f t="shared" si="14"/>
        <v>68.294519520755287</v>
      </c>
      <c r="N85" t="str">
        <f t="shared" si="15"/>
        <v/>
      </c>
      <c r="O85" s="7">
        <v>0</v>
      </c>
      <c r="P85" s="7"/>
      <c r="U85" s="8"/>
    </row>
    <row r="86" spans="1:21" x14ac:dyDescent="0.25">
      <c r="A86">
        <f t="shared" si="16"/>
        <v>52</v>
      </c>
      <c r="B86">
        <f>'Linear distribution and flux'!F59</f>
        <v>0</v>
      </c>
      <c r="D86">
        <f>IF($D$33=$L$2,'Point source estimation'!F60,'Lambertian dist and flux'!F58)</f>
        <v>67.746299606878196</v>
      </c>
      <c r="E86">
        <f>'Linear distribution and flux'!G59</f>
        <v>0</v>
      </c>
      <c r="F86">
        <f>IF($D$33=$L$2,'Point source estimation'!G60,'Lambertian dist and flux'!G58)</f>
        <v>783.96414121586531</v>
      </c>
      <c r="G86">
        <f t="shared" si="13"/>
        <v>783.96414121586531</v>
      </c>
      <c r="M86">
        <f t="shared" si="14"/>
        <v>67.746299606878196</v>
      </c>
      <c r="N86" t="str">
        <f t="shared" si="15"/>
        <v/>
      </c>
      <c r="O86" s="7">
        <v>0</v>
      </c>
      <c r="P86" s="7"/>
      <c r="U86" s="8"/>
    </row>
    <row r="87" spans="1:21" x14ac:dyDescent="0.25">
      <c r="A87">
        <f t="shared" si="16"/>
        <v>53</v>
      </c>
      <c r="B87">
        <f>'Linear distribution and flux'!F60</f>
        <v>0</v>
      </c>
      <c r="D87">
        <f>IF($D$33=$L$2,'Point source estimation'!F61,'Lambertian dist and flux'!F59)</f>
        <v>67.115541262447593</v>
      </c>
      <c r="E87">
        <f>'Linear distribution and flux'!G60</f>
        <v>0</v>
      </c>
      <c r="F87">
        <f>IF($D$33=$L$2,'Point source estimation'!G61,'Lambertian dist and flux'!G59)</f>
        <v>766.33250041614053</v>
      </c>
      <c r="G87">
        <f t="shared" si="13"/>
        <v>766.33250041614053</v>
      </c>
      <c r="M87">
        <f t="shared" si="14"/>
        <v>67.115541262447593</v>
      </c>
      <c r="N87" t="str">
        <f t="shared" si="15"/>
        <v/>
      </c>
      <c r="O87" s="7">
        <v>0</v>
      </c>
      <c r="P87" s="7"/>
      <c r="U87" s="8"/>
    </row>
    <row r="88" spans="1:21" x14ac:dyDescent="0.25">
      <c r="A88">
        <f t="shared" si="16"/>
        <v>54</v>
      </c>
      <c r="B88">
        <f>'Linear distribution and flux'!F61</f>
        <v>0</v>
      </c>
      <c r="D88">
        <f>IF($D$33=$L$2,'Point source estimation'!F62,'Lambertian dist and flux'!F60)</f>
        <v>66.403012969345298</v>
      </c>
      <c r="E88">
        <f>'Linear distribution and flux'!G61</f>
        <v>0</v>
      </c>
      <c r="F88">
        <f>IF($D$33=$L$2,'Point source estimation'!G62,'Lambertian dist and flux'!G60)</f>
        <v>748.46742731315908</v>
      </c>
      <c r="G88">
        <f t="shared" si="13"/>
        <v>748.46742731315908</v>
      </c>
      <c r="M88">
        <f t="shared" si="14"/>
        <v>66.403012969345298</v>
      </c>
      <c r="N88" t="str">
        <f t="shared" si="15"/>
        <v/>
      </c>
      <c r="O88" s="7">
        <v>0</v>
      </c>
      <c r="P88" s="7"/>
      <c r="U88" s="8"/>
    </row>
    <row r="89" spans="1:21" x14ac:dyDescent="0.25">
      <c r="A89">
        <f t="shared" si="16"/>
        <v>55</v>
      </c>
      <c r="B89">
        <f>'Linear distribution and flux'!F62</f>
        <v>0</v>
      </c>
      <c r="D89">
        <f>IF($D$33=$L$2,'Point source estimation'!F63,'Lambertian dist and flux'!F61)</f>
        <v>65.609582833539889</v>
      </c>
      <c r="E89">
        <f>'Linear distribution and flux'!G62</f>
        <v>0</v>
      </c>
      <c r="F89">
        <f>IF($D$33=$L$2,'Point source estimation'!G63,'Lambertian dist and flux'!G61)</f>
        <v>730.37436378125153</v>
      </c>
      <c r="G89">
        <f t="shared" si="13"/>
        <v>730.37436378125153</v>
      </c>
      <c r="M89">
        <f t="shared" si="14"/>
        <v>65.609582833539889</v>
      </c>
      <c r="N89" t="str">
        <f t="shared" si="15"/>
        <v/>
      </c>
      <c r="O89" s="7">
        <v>0</v>
      </c>
      <c r="P89" s="7"/>
      <c r="U89" s="8"/>
    </row>
    <row r="90" spans="1:21" x14ac:dyDescent="0.25">
      <c r="A90">
        <f t="shared" si="16"/>
        <v>56</v>
      </c>
      <c r="B90">
        <f>'Linear distribution and flux'!F63</f>
        <v>0</v>
      </c>
      <c r="D90">
        <f>IF($D$33=$L$2,'Point source estimation'!F64,'Lambertian dist and flux'!F62)</f>
        <v>64.736217527433269</v>
      </c>
      <c r="E90">
        <f>'Linear distribution and flux'!G63</f>
        <v>0</v>
      </c>
      <c r="F90">
        <f>IF($D$33=$L$2,'Point source estimation'!G64,'Lambertian dist and flux'!G62)</f>
        <v>712.05882114284066</v>
      </c>
      <c r="G90">
        <f t="shared" si="13"/>
        <v>712.05882114284066</v>
      </c>
      <c r="M90">
        <f t="shared" si="14"/>
        <v>64.736217527433269</v>
      </c>
      <c r="N90" t="str">
        <f t="shared" si="15"/>
        <v/>
      </c>
      <c r="O90" s="7">
        <v>0</v>
      </c>
      <c r="P90" s="7"/>
      <c r="U90" s="8"/>
    </row>
    <row r="91" spans="1:21" x14ac:dyDescent="0.25">
      <c r="A91">
        <f t="shared" si="16"/>
        <v>57</v>
      </c>
      <c r="B91">
        <f>'Linear distribution and flux'!F64</f>
        <v>0</v>
      </c>
      <c r="D91">
        <f>IF($D$33=$L$2,'Point source estimation'!F65,'Lambertian dist and flux'!F63)</f>
        <v>63.783981112119349</v>
      </c>
      <c r="E91">
        <f>'Linear distribution and flux'!G64</f>
        <v>0</v>
      </c>
      <c r="F91">
        <f>IF($D$33=$L$2,'Point source estimation'!G65,'Lambertian dist and flux'!G63)</f>
        <v>693.52637848964116</v>
      </c>
      <c r="G91">
        <f t="shared" si="13"/>
        <v>693.52637848964116</v>
      </c>
      <c r="M91">
        <f t="shared" si="14"/>
        <v>63.783981112119349</v>
      </c>
      <c r="N91" t="str">
        <f t="shared" si="15"/>
        <v/>
      </c>
      <c r="O91" s="7">
        <v>0</v>
      </c>
      <c r="P91" s="7"/>
      <c r="U91" s="8"/>
    </row>
    <row r="92" spans="1:21" x14ac:dyDescent="0.25">
      <c r="A92">
        <f t="shared" si="16"/>
        <v>58</v>
      </c>
      <c r="B92">
        <f>'Linear distribution and flux'!F65</f>
        <v>0</v>
      </c>
      <c r="D92">
        <f>IF($D$33=$L$2,'Point source estimation'!F66,'Lambertian dist and flux'!F64)</f>
        <v>62.754033740989406</v>
      </c>
      <c r="E92">
        <f>'Linear distribution and flux'!G65</f>
        <v>0</v>
      </c>
      <c r="F92">
        <f>IF($D$33=$L$2,'Point source estimation'!G66,'Lambertian dist and flux'!G64)</f>
        <v>674.78268098321269</v>
      </c>
      <c r="G92">
        <f t="shared" si="13"/>
        <v>674.78268098321269</v>
      </c>
      <c r="M92">
        <f t="shared" si="14"/>
        <v>62.754033740989406</v>
      </c>
      <c r="N92" t="str">
        <f t="shared" si="15"/>
        <v/>
      </c>
      <c r="O92" s="7">
        <v>0</v>
      </c>
      <c r="P92" s="7"/>
      <c r="U92" s="8"/>
    </row>
    <row r="93" spans="1:21" x14ac:dyDescent="0.25">
      <c r="A93">
        <f t="shared" si="16"/>
        <v>59</v>
      </c>
      <c r="B93">
        <f>'Linear distribution and flux'!F66</f>
        <v>0</v>
      </c>
      <c r="D93">
        <f>IF($D$33=$L$2,'Point source estimation'!F67,'Lambertian dist and flux'!F65)</f>
        <v>61.647630246263944</v>
      </c>
      <c r="E93">
        <f>'Linear distribution and flux'!G66</f>
        <v>0</v>
      </c>
      <c r="F93">
        <f>IF($D$33=$L$2,'Point source estimation'!G67,'Lambertian dist and flux'!G65)</f>
        <v>655.83343813539011</v>
      </c>
      <c r="G93">
        <f t="shared" si="13"/>
        <v>655.83343813539011</v>
      </c>
      <c r="M93">
        <f t="shared" si="14"/>
        <v>61.647630246263944</v>
      </c>
      <c r="N93" t="str">
        <f t="shared" si="15"/>
        <v/>
      </c>
      <c r="O93" s="7">
        <v>0</v>
      </c>
      <c r="P93" s="7"/>
      <c r="U93" s="8"/>
    </row>
    <row r="94" spans="1:21" x14ac:dyDescent="0.25">
      <c r="A94">
        <f t="shared" si="16"/>
        <v>60</v>
      </c>
      <c r="B94">
        <f>'Linear distribution and flux'!F67</f>
        <v>0</v>
      </c>
      <c r="D94">
        <f>IF($D$33=$L$2,'Point source estimation'!F68,'Lambertian dist and flux'!F66)</f>
        <v>60.466118610172892</v>
      </c>
      <c r="E94">
        <f>'Linear distribution and flux'!G67</f>
        <v>0</v>
      </c>
      <c r="F94">
        <f>IF($D$33=$L$2,'Point source estimation'!G68,'Lambertian dist and flux'!G66)</f>
        <v>636.68442206911061</v>
      </c>
      <c r="G94">
        <f t="shared" si="13"/>
        <v>636.68442206911061</v>
      </c>
      <c r="M94">
        <f t="shared" si="14"/>
        <v>60.466118610172892</v>
      </c>
      <c r="N94" t="str">
        <f t="shared" si="15"/>
        <v/>
      </c>
      <c r="O94" s="7">
        <v>0</v>
      </c>
      <c r="P94" s="7"/>
      <c r="U94" s="8"/>
    </row>
    <row r="95" spans="1:21" x14ac:dyDescent="0.25">
      <c r="A95">
        <f t="shared" si="16"/>
        <v>61</v>
      </c>
      <c r="B95">
        <f>'Linear distribution and flux'!F68</f>
        <v>0</v>
      </c>
      <c r="D95">
        <f>IF($D$33=$L$2,'Point source estimation'!F69,'Lambertian dist and flux'!F67)</f>
        <v>59.210938322646875</v>
      </c>
      <c r="E95">
        <f>'Linear distribution and flux'!G68</f>
        <v>0</v>
      </c>
      <c r="F95">
        <f>IF($D$33=$L$2,'Point source estimation'!G69,'Lambertian dist and flux'!G67)</f>
        <v>617.34146576016815</v>
      </c>
      <c r="G95">
        <f t="shared" si="13"/>
        <v>617.34146576016815</v>
      </c>
      <c r="M95">
        <f t="shared" si="14"/>
        <v>59.210938322646875</v>
      </c>
      <c r="N95" t="str">
        <f t="shared" si="15"/>
        <v/>
      </c>
      <c r="O95" s="7">
        <v>0</v>
      </c>
      <c r="P95" s="7"/>
    </row>
    <row r="96" spans="1:21" x14ac:dyDescent="0.25">
      <c r="A96">
        <f t="shared" si="16"/>
        <v>62</v>
      </c>
      <c r="B96">
        <f>'Linear distribution and flux'!F69</f>
        <v>0</v>
      </c>
      <c r="D96">
        <f>IF($D$33=$L$2,'Point source estimation'!F70,'Lambertian dist and flux'!F68)</f>
        <v>57.883618627520576</v>
      </c>
      <c r="E96">
        <f>'Linear distribution and flux'!G69</f>
        <v>0</v>
      </c>
      <c r="F96">
        <f>IF($D$33=$L$2,'Point source estimation'!G70,'Lambertian dist and flux'!G68)</f>
        <v>597.81046126043407</v>
      </c>
      <c r="G96">
        <f t="shared" si="13"/>
        <v>597.81046126043407</v>
      </c>
      <c r="M96">
        <f t="shared" si="14"/>
        <v>57.883618627520576</v>
      </c>
      <c r="N96" t="str">
        <f t="shared" si="15"/>
        <v/>
      </c>
      <c r="O96" s="7">
        <v>0</v>
      </c>
      <c r="P96" s="7"/>
    </row>
    <row r="97" spans="1:16" x14ac:dyDescent="0.25">
      <c r="A97">
        <f t="shared" si="16"/>
        <v>63</v>
      </c>
      <c r="B97">
        <f>'Linear distribution and flux'!F70</f>
        <v>0</v>
      </c>
      <c r="D97">
        <f>IF($D$33=$L$2,'Point source estimation'!F71,'Lambertian dist and flux'!F69)</f>
        <v>56.485776659384555</v>
      </c>
      <c r="E97">
        <f>'Linear distribution and flux'!G70</f>
        <v>0</v>
      </c>
      <c r="F97">
        <f>IF($D$33=$L$2,'Point source estimation'!G71,'Lambertian dist and flux'!G69)</f>
        <v>578.09735790308002</v>
      </c>
      <c r="G97">
        <f t="shared" si="13"/>
        <v>578.09735790308002</v>
      </c>
      <c r="M97">
        <f t="shared" si="14"/>
        <v>56.485776659384555</v>
      </c>
      <c r="N97" t="str">
        <f t="shared" si="15"/>
        <v/>
      </c>
      <c r="O97" s="7">
        <v>0</v>
      </c>
      <c r="P97" s="7"/>
    </row>
    <row r="98" spans="1:16" x14ac:dyDescent="0.25">
      <c r="A98">
        <f t="shared" si="16"/>
        <v>64</v>
      </c>
      <c r="B98">
        <f>'Linear distribution and flux'!F71</f>
        <v>0</v>
      </c>
      <c r="D98">
        <f>IF($D$33=$L$2,'Point source estimation'!F72,'Lambertian dist and flux'!F70)</f>
        <v>55.019115473355988</v>
      </c>
      <c r="E98">
        <f>'Linear distribution and flux'!G71</f>
        <v>0</v>
      </c>
      <c r="F98">
        <f>IF($D$33=$L$2,'Point source estimation'!G72,'Lambertian dist and flux'!G70)</f>
        <v>558.20816049035398</v>
      </c>
      <c r="G98">
        <f t="shared" ref="G98:G129" si="17">IF(E98-F98&gt;0,E98-F98,ABS(E98-F98))</f>
        <v>558.20816049035398</v>
      </c>
      <c r="M98">
        <f t="shared" ref="M98:M124" si="18">IF(B98&gt;D98,ABS(D98-B98), D98-B98)</f>
        <v>55.019115473355988</v>
      </c>
      <c r="N98" t="str">
        <f t="shared" ref="N98:N129" si="19">IF(L98 &lt;&gt; "", ROUND(L98,5)=ROUND(M98,5),"")</f>
        <v/>
      </c>
      <c r="O98" s="7">
        <v>0</v>
      </c>
      <c r="P98" s="7"/>
    </row>
    <row r="99" spans="1:16" x14ac:dyDescent="0.25">
      <c r="A99">
        <f t="shared" ref="A99:A124" si="20">A98+1</f>
        <v>65</v>
      </c>
      <c r="B99">
        <f>'Linear distribution and flux'!F72</f>
        <v>0</v>
      </c>
      <c r="D99">
        <f>IF($D$33=$L$2,'Point source estimation'!F73,'Lambertian dist and flux'!F71)</f>
        <v>53.48542197016814</v>
      </c>
      <c r="E99">
        <f>'Linear distribution and flux'!G72</f>
        <v>0</v>
      </c>
      <c r="F99">
        <f>IF($D$33=$L$2,'Point source estimation'!G73,'Lambertian dist and flux'!G71)</f>
        <v>538.14892746445855</v>
      </c>
      <c r="G99">
        <f t="shared" si="17"/>
        <v>538.14892746445855</v>
      </c>
      <c r="M99">
        <f t="shared" si="18"/>
        <v>53.48542197016814</v>
      </c>
      <c r="N99" t="str">
        <f t="shared" si="19"/>
        <v/>
      </c>
      <c r="O99" s="7">
        <v>0</v>
      </c>
      <c r="P99" s="7"/>
    </row>
    <row r="100" spans="1:16" x14ac:dyDescent="0.25">
      <c r="A100">
        <f t="shared" si="20"/>
        <v>66</v>
      </c>
      <c r="B100">
        <f>'Linear distribution and flux'!F73</f>
        <v>0</v>
      </c>
      <c r="D100">
        <f>IF($D$33=$L$2,'Point source estimation'!F74,'Lambertian dist and flux'!F72)</f>
        <v>51.886564719107341</v>
      </c>
      <c r="E100">
        <f>'Linear distribution and flux'!G73</f>
        <v>0</v>
      </c>
      <c r="F100">
        <f>IF($D$33=$L$2,'Point source estimation'!G74,'Lambertian dist and flux'!G72)</f>
        <v>517.92576906209183</v>
      </c>
      <c r="G100">
        <f t="shared" si="17"/>
        <v>517.92576906209183</v>
      </c>
      <c r="M100">
        <f t="shared" si="18"/>
        <v>51.886564719107341</v>
      </c>
      <c r="N100" t="str">
        <f t="shared" si="19"/>
        <v/>
      </c>
      <c r="O100" s="7">
        <v>0</v>
      </c>
      <c r="P100" s="7"/>
    </row>
    <row r="101" spans="1:16" x14ac:dyDescent="0.25">
      <c r="A101">
        <f t="shared" si="20"/>
        <v>67</v>
      </c>
      <c r="B101">
        <f>'Linear distribution and flux'!F74</f>
        <v>0</v>
      </c>
      <c r="D101">
        <f>IF($D$33=$L$2,'Point source estimation'!F75,'Lambertian dist and flux'!F73)</f>
        <v>50.224491681448889</v>
      </c>
      <c r="E101">
        <f>'Linear distribution and flux'!G74</f>
        <v>0</v>
      </c>
      <c r="F101">
        <f>IF($D$33=$L$2,'Point source estimation'!G75,'Lambertian dist and flux'!G73)</f>
        <v>497.54484545320918</v>
      </c>
      <c r="G101">
        <f t="shared" si="17"/>
        <v>497.54484545320918</v>
      </c>
      <c r="M101">
        <f t="shared" si="18"/>
        <v>50.224491681448889</v>
      </c>
      <c r="N101" t="str">
        <f t="shared" si="19"/>
        <v/>
      </c>
      <c r="O101" s="7">
        <v>0</v>
      </c>
      <c r="P101" s="7"/>
    </row>
    <row r="102" spans="1:16" x14ac:dyDescent="0.25">
      <c r="A102">
        <f t="shared" si="20"/>
        <v>68</v>
      </c>
      <c r="B102">
        <f>'Linear distribution and flux'!F75</f>
        <v>0</v>
      </c>
      <c r="D102">
        <f>IF($D$33=$L$2,'Point source estimation'!F76,'Lambertian dist and flux'!F74)</f>
        <v>48.501227837166446</v>
      </c>
      <c r="E102">
        <f>'Linear distribution and flux'!G75</f>
        <v>0</v>
      </c>
      <c r="F102">
        <f>IF($D$33=$L$2,'Point source estimation'!G76,'Lambertian dist and flux'!G74)</f>
        <v>477.01236486457634</v>
      </c>
      <c r="G102">
        <f t="shared" si="17"/>
        <v>477.01236486457634</v>
      </c>
      <c r="M102">
        <f t="shared" si="18"/>
        <v>48.501227837166446</v>
      </c>
      <c r="N102" t="str">
        <f t="shared" si="19"/>
        <v/>
      </c>
      <c r="O102" s="7">
        <v>0</v>
      </c>
      <c r="P102" s="7"/>
    </row>
    <row r="103" spans="1:16" x14ac:dyDescent="0.25">
      <c r="A103">
        <f t="shared" si="20"/>
        <v>69</v>
      </c>
      <c r="B103">
        <f>'Linear distribution and flux'!F76</f>
        <v>0</v>
      </c>
      <c r="D103">
        <f>IF($D$33=$L$2,'Point source estimation'!F77,'Lambertian dist and flux'!F75)</f>
        <v>46.718872717805887</v>
      </c>
      <c r="E103">
        <f>'Linear distribution and flux'!G76</f>
        <v>0</v>
      </c>
      <c r="F103">
        <f>IF($D$33=$L$2,'Point source estimation'!G77,'Lambertian dist and flux'!G75)</f>
        <v>456.33458168868344</v>
      </c>
      <c r="G103">
        <f t="shared" si="17"/>
        <v>456.33458168868344</v>
      </c>
      <c r="M103">
        <f t="shared" si="18"/>
        <v>46.718872717805887</v>
      </c>
      <c r="N103" t="str">
        <f t="shared" si="19"/>
        <v/>
      </c>
      <c r="O103" s="7">
        <v>0</v>
      </c>
      <c r="P103" s="7"/>
    </row>
    <row r="104" spans="1:16" x14ac:dyDescent="0.25">
      <c r="A104">
        <f t="shared" si="20"/>
        <v>70</v>
      </c>
      <c r="B104">
        <f>'Linear distribution and flux'!F77</f>
        <v>0</v>
      </c>
      <c r="D104">
        <f>IF($D$33=$L$2,'Point source estimation'!F78,'Lambertian dist and flux'!F76)</f>
        <v>44.879597848529293</v>
      </c>
      <c r="E104">
        <f>'Linear distribution and flux'!G77</f>
        <v>0</v>
      </c>
      <c r="F104">
        <f>IF($D$33=$L$2,'Point source estimation'!G78,'Lambertian dist and flux'!G76)</f>
        <v>435.51779457859561</v>
      </c>
      <c r="G104">
        <f t="shared" si="17"/>
        <v>435.51779457859561</v>
      </c>
      <c r="M104">
        <f t="shared" si="18"/>
        <v>44.879597848529293</v>
      </c>
      <c r="N104" t="str">
        <f t="shared" si="19"/>
        <v/>
      </c>
      <c r="O104" s="7">
        <v>0</v>
      </c>
      <c r="P104" s="7"/>
    </row>
    <row r="105" spans="1:16" x14ac:dyDescent="0.25">
      <c r="A105">
        <f t="shared" si="20"/>
        <v>71</v>
      </c>
      <c r="B105">
        <f>'Linear distribution and flux'!F78</f>
        <v>0</v>
      </c>
      <c r="D105">
        <f>IF($D$33=$L$2,'Point source estimation'!F79,'Lambertian dist and flux'!F77)</f>
        <v>42.985644102446358</v>
      </c>
      <c r="E105">
        <f>'Linear distribution and flux'!G78</f>
        <v>0</v>
      </c>
      <c r="F105">
        <f>IF($D$33=$L$2,'Point source estimation'!G79,'Lambertian dist and flux'!G77)</f>
        <v>414.5683445293235</v>
      </c>
      <c r="G105">
        <f t="shared" si="17"/>
        <v>414.5683445293235</v>
      </c>
      <c r="M105">
        <f t="shared" si="18"/>
        <v>42.985644102446358</v>
      </c>
      <c r="N105" t="str">
        <f t="shared" si="19"/>
        <v/>
      </c>
      <c r="O105" s="7">
        <v>0</v>
      </c>
      <c r="P105" s="7"/>
    </row>
    <row r="106" spans="1:16" x14ac:dyDescent="0.25">
      <c r="A106">
        <f t="shared" si="20"/>
        <v>72</v>
      </c>
      <c r="B106">
        <f>'Linear distribution and flux'!F79</f>
        <v>0</v>
      </c>
      <c r="D106">
        <f>IF($D$33=$L$2,'Point source estimation'!F80,'Lambertian dist and flux'!F78)</f>
        <v>41.039318970455469</v>
      </c>
      <c r="E106">
        <f>'Linear distribution and flux'!G79</f>
        <v>0</v>
      </c>
      <c r="F106">
        <f>IF($D$33=$L$2,'Point source estimation'!G80,'Lambertian dist and flux'!G78)</f>
        <v>393.492612946294</v>
      </c>
      <c r="G106">
        <f t="shared" si="17"/>
        <v>393.492612946294</v>
      </c>
      <c r="M106">
        <f t="shared" si="18"/>
        <v>41.039318970455469</v>
      </c>
      <c r="N106" t="str">
        <f t="shared" si="19"/>
        <v/>
      </c>
      <c r="O106" s="7">
        <v>0</v>
      </c>
      <c r="P106" s="7"/>
    </row>
    <row r="107" spans="1:16" x14ac:dyDescent="0.25">
      <c r="A107">
        <f t="shared" si="20"/>
        <v>73</v>
      </c>
      <c r="B107">
        <f>'Linear distribution and flux'!F80</f>
        <v>0</v>
      </c>
      <c r="D107">
        <f>IF($D$33=$L$2,'Point source estimation'!F81,'Lambertian dist and flux'!F79)</f>
        <v>39.042993749921564</v>
      </c>
      <c r="E107">
        <f>'Linear distribution and flux'!G80</f>
        <v>0</v>
      </c>
      <c r="F107">
        <f>IF($D$33=$L$2,'Point source estimation'!G81,'Lambertian dist and flux'!G79)</f>
        <v>372.29701970151257</v>
      </c>
      <c r="G107">
        <f t="shared" si="17"/>
        <v>372.29701970151257</v>
      </c>
      <c r="M107">
        <f t="shared" si="18"/>
        <v>39.042993749921564</v>
      </c>
      <c r="N107" t="str">
        <f t="shared" si="19"/>
        <v/>
      </c>
      <c r="O107" s="7">
        <v>0</v>
      </c>
      <c r="P107" s="7"/>
    </row>
    <row r="108" spans="1:16" x14ac:dyDescent="0.25">
      <c r="A108">
        <f t="shared" si="20"/>
        <v>74</v>
      </c>
      <c r="B108">
        <f>'Linear distribution and flux'!F81</f>
        <v>0</v>
      </c>
      <c r="D108">
        <f>IF($D$33=$L$2,'Point source estimation'!F82,'Lambertian dist and flux'!F80)</f>
        <v>36.999100655615514</v>
      </c>
      <c r="E108">
        <f>'Linear distribution and flux'!G81</f>
        <v>0</v>
      </c>
      <c r="F108">
        <f>IF($D$33=$L$2,'Point source estimation'!G82,'Lambertian dist and flux'!G80)</f>
        <v>350.98802117800778</v>
      </c>
      <c r="G108">
        <f t="shared" si="17"/>
        <v>350.98802117800778</v>
      </c>
      <c r="M108">
        <f t="shared" si="18"/>
        <v>36.999100655615514</v>
      </c>
      <c r="N108" t="str">
        <f t="shared" si="19"/>
        <v/>
      </c>
      <c r="O108" s="7">
        <v>0</v>
      </c>
      <c r="P108" s="7"/>
    </row>
    <row r="109" spans="1:16" x14ac:dyDescent="0.25">
      <c r="A109">
        <f t="shared" si="20"/>
        <v>75</v>
      </c>
      <c r="B109">
        <f>'Linear distribution and flux'!F82</f>
        <v>0</v>
      </c>
      <c r="D109">
        <f>IF($D$33=$L$2,'Point source estimation'!F83,'Lambertian dist and flux'!F81)</f>
        <v>34.910129856435148</v>
      </c>
      <c r="E109">
        <f>'Linear distribution and flux'!G82</f>
        <v>0</v>
      </c>
      <c r="F109">
        <f>IF($D$33=$L$2,'Point source estimation'!G83,'Lambertian dist and flux'!G81)</f>
        <v>329.57210830315495</v>
      </c>
      <c r="G109">
        <f t="shared" si="17"/>
        <v>329.57210830315495</v>
      </c>
      <c r="M109">
        <f t="shared" si="18"/>
        <v>34.910129856435148</v>
      </c>
      <c r="N109" t="str">
        <f t="shared" si="19"/>
        <v/>
      </c>
      <c r="O109" s="7">
        <v>0</v>
      </c>
      <c r="P109" s="7"/>
    </row>
    <row r="110" spans="1:16" x14ac:dyDescent="0.25">
      <c r="A110">
        <f t="shared" si="20"/>
        <v>76</v>
      </c>
      <c r="B110">
        <f>'Linear distribution and flux'!F83</f>
        <v>0</v>
      </c>
      <c r="D110">
        <f>IF($D$33=$L$2,'Point source estimation'!F84,'Lambertian dist and flux'!F82)</f>
        <v>32.778626441517986</v>
      </c>
      <c r="E110">
        <f>'Linear distribution and flux'!G83</f>
        <v>0</v>
      </c>
      <c r="F110">
        <f>IF($D$33=$L$2,'Point source estimation'!G84,'Lambertian dist and flux'!G82)</f>
        <v>308.05580457147619</v>
      </c>
      <c r="G110">
        <f t="shared" si="17"/>
        <v>308.05580457147619</v>
      </c>
      <c r="M110">
        <f t="shared" si="18"/>
        <v>32.778626441517986</v>
      </c>
      <c r="N110" t="str">
        <f t="shared" si="19"/>
        <v/>
      </c>
      <c r="O110" s="7">
        <v>0</v>
      </c>
      <c r="P110" s="7"/>
    </row>
    <row r="111" spans="1:16" x14ac:dyDescent="0.25">
      <c r="A111">
        <f t="shared" si="20"/>
        <v>77</v>
      </c>
      <c r="B111">
        <f>'Linear distribution and flux'!F84</f>
        <v>0</v>
      </c>
      <c r="D111">
        <f>IF($D$33=$L$2,'Point source estimation'!F85,'Lambertian dist and flux'!F83)</f>
        <v>30.607187319442168</v>
      </c>
      <c r="E111">
        <f>'Linear distribution and flux'!G84</f>
        <v>0</v>
      </c>
      <c r="F111">
        <f>IF($D$33=$L$2,'Point source estimation'!G85,'Lambertian dist and flux'!G83)</f>
        <v>286.44566405752141</v>
      </c>
      <c r="G111">
        <f t="shared" si="17"/>
        <v>286.44566405752141</v>
      </c>
      <c r="M111">
        <f t="shared" si="18"/>
        <v>30.607187319442168</v>
      </c>
      <c r="N111" t="str">
        <f t="shared" si="19"/>
        <v/>
      </c>
      <c r="O111" s="7">
        <v>0</v>
      </c>
      <c r="P111" s="7"/>
    </row>
    <row r="112" spans="1:16" x14ac:dyDescent="0.25">
      <c r="A112">
        <f t="shared" si="20"/>
        <v>78</v>
      </c>
      <c r="B112">
        <f>'Linear distribution and flux'!F85</f>
        <v>0</v>
      </c>
      <c r="D112">
        <f>IF($D$33=$L$2,'Point source estimation'!F86,'Lambertian dist and flux'!F84)</f>
        <v>28.398458054293418</v>
      </c>
      <c r="E112">
        <f>'Linear distribution and flux'!G85</f>
        <v>0</v>
      </c>
      <c r="F112">
        <f>IF($D$33=$L$2,'Point source estimation'!G86,'Lambertian dist and flux'!G84)</f>
        <v>264.74826941943354</v>
      </c>
      <c r="G112">
        <f t="shared" si="17"/>
        <v>264.74826941943354</v>
      </c>
      <c r="M112">
        <f t="shared" si="18"/>
        <v>28.398458054293418</v>
      </c>
      <c r="N112" t="str">
        <f t="shared" si="19"/>
        <v/>
      </c>
      <c r="O112" s="7">
        <v>0</v>
      </c>
      <c r="P112" s="7"/>
    </row>
    <row r="113" spans="1:16" x14ac:dyDescent="0.25">
      <c r="A113">
        <f t="shared" si="20"/>
        <v>79</v>
      </c>
      <c r="B113">
        <f>'Linear distribution and flux'!F86</f>
        <v>0</v>
      </c>
      <c r="D113">
        <f>IF($D$33=$L$2,'Point source estimation'!F87,'Lambertian dist and flux'!F85)</f>
        <v>26.155129642452604</v>
      </c>
      <c r="E113">
        <f>'Linear distribution and flux'!G86</f>
        <v>0</v>
      </c>
      <c r="F113">
        <f>IF($D$33=$L$2,'Point source estimation'!G87,'Lambertian dist and flux'!G85)</f>
        <v>242.97022989380616</v>
      </c>
      <c r="G113">
        <f t="shared" si="17"/>
        <v>242.97022989380616</v>
      </c>
      <c r="M113">
        <f t="shared" si="18"/>
        <v>26.155129642452604</v>
      </c>
      <c r="N113" t="str">
        <f t="shared" si="19"/>
        <v/>
      </c>
      <c r="O113" s="7">
        <v>0</v>
      </c>
      <c r="P113" s="7"/>
    </row>
    <row r="114" spans="1:16" x14ac:dyDescent="0.25">
      <c r="A114">
        <f t="shared" si="20"/>
        <v>80</v>
      </c>
      <c r="B114">
        <f>'Linear distribution and flux'!F87</f>
        <v>0</v>
      </c>
      <c r="D114">
        <f>IF($D$33=$L$2,'Point source estimation'!F88,'Lambertian dist and flux'!F86)</f>
        <v>23.879935234031322</v>
      </c>
      <c r="E114">
        <f>'Linear distribution and flux'!G87</f>
        <v>0</v>
      </c>
      <c r="F114">
        <f>IF($D$33=$L$2,'Point source estimation'!G88,'Lambertian dist and flux'!G86)</f>
        <v>221.11817928244761</v>
      </c>
      <c r="G114">
        <f t="shared" si="17"/>
        <v>221.11817928244761</v>
      </c>
      <c r="M114">
        <f t="shared" si="18"/>
        <v>23.879935234031322</v>
      </c>
      <c r="N114" t="str">
        <f t="shared" si="19"/>
        <v/>
      </c>
      <c r="O114" s="7">
        <v>0</v>
      </c>
      <c r="P114" s="7"/>
    </row>
    <row r="115" spans="1:16" x14ac:dyDescent="0.25">
      <c r="A115">
        <f t="shared" si="20"/>
        <v>81</v>
      </c>
      <c r="B115">
        <f>'Linear distribution and flux'!F88</f>
        <v>0</v>
      </c>
      <c r="D115">
        <f>IF($D$33=$L$2,'Point source estimation'!F89,'Lambertian dist and flux'!F87)</f>
        <v>21.575646802949421</v>
      </c>
      <c r="E115">
        <f>'Linear distribution and flux'!G88</f>
        <v>0</v>
      </c>
      <c r="F115">
        <f>IF($D$33=$L$2,'Point source estimation'!G89,'Lambertian dist and flux'!G87)</f>
        <v>199.19877393165979</v>
      </c>
      <c r="G115">
        <f t="shared" si="17"/>
        <v>199.19877393165979</v>
      </c>
      <c r="M115">
        <f t="shared" si="18"/>
        <v>21.575646802949421</v>
      </c>
      <c r="N115" t="str">
        <f t="shared" si="19"/>
        <v/>
      </c>
      <c r="O115" s="7">
        <v>0</v>
      </c>
      <c r="P115" s="7"/>
    </row>
    <row r="116" spans="1:16" x14ac:dyDescent="0.25">
      <c r="A116">
        <f t="shared" si="20"/>
        <v>82</v>
      </c>
      <c r="B116">
        <f>'Linear distribution and flux'!F89</f>
        <v>0</v>
      </c>
      <c r="D116">
        <f>IF($D$33=$L$2,'Point source estimation'!F90,'Lambertian dist and flux'!F88)</f>
        <v>19.245071769711728</v>
      </c>
      <c r="E116">
        <f>'Linear distribution and flux'!G89</f>
        <v>0</v>
      </c>
      <c r="F116">
        <f>IF($D$33=$L$2,'Point source estimation'!G90,'Lambertian dist and flux'!G88)</f>
        <v>177.2186907046505</v>
      </c>
      <c r="G116">
        <f t="shared" si="17"/>
        <v>177.2186907046505</v>
      </c>
      <c r="M116">
        <f t="shared" si="18"/>
        <v>19.245071769711728</v>
      </c>
      <c r="N116" t="str">
        <f t="shared" si="19"/>
        <v/>
      </c>
      <c r="O116" s="7">
        <v>0</v>
      </c>
      <c r="P116" s="7"/>
    </row>
    <row r="117" spans="1:16" x14ac:dyDescent="0.25">
      <c r="A117">
        <f t="shared" si="20"/>
        <v>83</v>
      </c>
      <c r="B117">
        <f>'Linear distribution and flux'!F90</f>
        <v>0</v>
      </c>
      <c r="D117">
        <f>IF($D$33=$L$2,'Point source estimation'!F91,'Lambertian dist and flux'!F89)</f>
        <v>16.891049580998693</v>
      </c>
      <c r="E117">
        <f>'Linear distribution and flux'!G90</f>
        <v>0</v>
      </c>
      <c r="F117">
        <f>IF($D$33=$L$2,'Point source estimation'!G91,'Lambertian dist and flux'!G89)</f>
        <v>155.18462494769659</v>
      </c>
      <c r="G117">
        <f t="shared" si="17"/>
        <v>155.18462494769659</v>
      </c>
      <c r="M117">
        <f t="shared" si="18"/>
        <v>16.891049580998693</v>
      </c>
      <c r="N117" t="str">
        <f t="shared" si="19"/>
        <v/>
      </c>
      <c r="O117" s="7">
        <v>0</v>
      </c>
      <c r="P117" s="7"/>
    </row>
    <row r="118" spans="1:16" x14ac:dyDescent="0.25">
      <c r="A118">
        <f t="shared" si="20"/>
        <v>84</v>
      </c>
      <c r="B118">
        <f>'Linear distribution and flux'!F91</f>
        <v>0</v>
      </c>
      <c r="D118">
        <f>IF($D$33=$L$2,'Point source estimation'!F92,'Lambertian dist and flux'!F90)</f>
        <v>14.516448250237946</v>
      </c>
      <c r="E118">
        <f>'Linear distribution and flux'!G91</f>
        <v>0</v>
      </c>
      <c r="F118">
        <f>IF($D$33=$L$2,'Point source estimation'!G92,'Lambertian dist and flux'!G90)</f>
        <v>133.10328845067636</v>
      </c>
      <c r="G118">
        <f t="shared" si="17"/>
        <v>133.10328845067636</v>
      </c>
      <c r="M118">
        <f t="shared" si="18"/>
        <v>14.516448250237946</v>
      </c>
      <c r="N118" t="str">
        <f t="shared" si="19"/>
        <v/>
      </c>
      <c r="O118" s="7">
        <v>0</v>
      </c>
      <c r="P118" s="7"/>
    </row>
    <row r="119" spans="1:16" x14ac:dyDescent="0.25">
      <c r="A119">
        <f t="shared" si="20"/>
        <v>85</v>
      </c>
      <c r="B119">
        <f>'Linear distribution and flux'!F92</f>
        <v>0</v>
      </c>
      <c r="D119">
        <f>IF($D$33=$L$2,'Point source estimation'!F93,'Lambertian dist and flux'!F91)</f>
        <v>12.124160863371715</v>
      </c>
      <c r="E119">
        <f>'Linear distribution and flux'!G92</f>
        <v>0</v>
      </c>
      <c r="F119">
        <f>IF($D$33=$L$2,'Point source estimation'!G93,'Lambertian dist and flux'!G91)</f>
        <v>110.98140740259358</v>
      </c>
      <c r="G119">
        <f t="shared" si="17"/>
        <v>110.98140740259358</v>
      </c>
      <c r="M119">
        <f t="shared" si="18"/>
        <v>12.124160863371715</v>
      </c>
      <c r="N119" t="str">
        <f t="shared" si="19"/>
        <v/>
      </c>
      <c r="O119" s="7">
        <v>0</v>
      </c>
      <c r="P119" s="7"/>
    </row>
    <row r="120" spans="1:16" ht="13.9" customHeight="1" x14ac:dyDescent="0.25">
      <c r="A120">
        <f t="shared" si="20"/>
        <v>86</v>
      </c>
      <c r="B120">
        <f>'Linear distribution and flux'!F93</f>
        <v>0</v>
      </c>
      <c r="D120">
        <f>IF($D$33=$L$2,'Point source estimation'!F94,'Lambertian dist and flux'!F92)</f>
        <v>9.7171020540772801</v>
      </c>
      <c r="E120">
        <f>'Linear distribution and flux'!G93</f>
        <v>0</v>
      </c>
      <c r="F120">
        <f>IF($D$33=$L$2,'Point source estimation'!G94,'Lambertian dist and flux'!G92)</f>
        <v>88.825720342714902</v>
      </c>
      <c r="G120">
        <f t="shared" si="17"/>
        <v>88.825720342714902</v>
      </c>
      <c r="M120">
        <f t="shared" si="18"/>
        <v>9.7171020540772801</v>
      </c>
      <c r="N120" t="str">
        <f t="shared" si="19"/>
        <v/>
      </c>
      <c r="O120" s="7">
        <v>0</v>
      </c>
      <c r="P120" s="7"/>
    </row>
    <row r="121" spans="1:16" x14ac:dyDescent="0.25">
      <c r="A121">
        <f t="shared" si="20"/>
        <v>87</v>
      </c>
      <c r="B121">
        <f>'Linear distribution and flux'!F94</f>
        <v>0</v>
      </c>
      <c r="D121">
        <f>IF($D$33=$L$2,'Point source estimation'!F95,'Lambertian dist and flux'!F93)</f>
        <v>7.298204452734808</v>
      </c>
      <c r="E121">
        <f>'Linear distribution and flux'!G94</f>
        <v>0</v>
      </c>
      <c r="F121">
        <f>IF($D$33=$L$2,'Point source estimation'!G95,'Lambertian dist and flux'!G93)</f>
        <v>66.642976107946069</v>
      </c>
      <c r="G121">
        <f t="shared" si="17"/>
        <v>66.642976107946069</v>
      </c>
      <c r="M121">
        <f t="shared" si="18"/>
        <v>7.298204452734808</v>
      </c>
      <c r="N121" t="str">
        <f t="shared" si="19"/>
        <v/>
      </c>
      <c r="O121" s="7">
        <v>0</v>
      </c>
      <c r="P121" s="7"/>
    </row>
    <row r="122" spans="1:16" x14ac:dyDescent="0.25">
      <c r="A122">
        <f t="shared" si="20"/>
        <v>88</v>
      </c>
      <c r="B122">
        <f>'Linear distribution and flux'!F95</f>
        <v>0</v>
      </c>
      <c r="D122">
        <f>IF($D$33=$L$2,'Point source estimation'!F96,'Lambertian dist and flux'!F94)</f>
        <v>4.8704151134688631</v>
      </c>
      <c r="E122">
        <f>'Linear distribution and flux'!G95</f>
        <v>0</v>
      </c>
      <c r="F122">
        <f>IF($D$33=$L$2,'Point source estimation'!G96,'Lambertian dist and flux'!G94)</f>
        <v>44.439931777069454</v>
      </c>
      <c r="G122">
        <f t="shared" si="17"/>
        <v>44.439931777069454</v>
      </c>
      <c r="M122">
        <f t="shared" si="18"/>
        <v>4.8704151134688631</v>
      </c>
      <c r="N122" t="str">
        <f t="shared" si="19"/>
        <v/>
      </c>
      <c r="O122" s="7">
        <v>0</v>
      </c>
      <c r="P122" s="7"/>
    </row>
    <row r="123" spans="1:16" x14ac:dyDescent="0.25">
      <c r="A123">
        <f t="shared" si="20"/>
        <v>89</v>
      </c>
      <c r="B123">
        <f>'Linear distribution and flux'!F96</f>
        <v>0</v>
      </c>
      <c r="D123">
        <f>IF($D$33=$L$2,'Point source estimation'!F97,'Lambertian dist and flux'!F95)</f>
        <v>2.4366919236170905</v>
      </c>
      <c r="E123">
        <f>'Linear distribution and flux'!G96</f>
        <v>0</v>
      </c>
      <c r="F123">
        <f>IF($D$33=$L$2,'Point source estimation'!G97,'Lambertian dist and flux'!G95)</f>
        <v>22.223350612474263</v>
      </c>
      <c r="G123">
        <f t="shared" si="17"/>
        <v>22.223350612474263</v>
      </c>
      <c r="M123">
        <f t="shared" si="18"/>
        <v>2.4366919236170905</v>
      </c>
      <c r="N123" t="str">
        <f t="shared" si="19"/>
        <v/>
      </c>
      <c r="O123" s="7">
        <v>0</v>
      </c>
      <c r="P123" s="7"/>
    </row>
    <row r="124" spans="1:16" x14ac:dyDescent="0.25">
      <c r="A124">
        <f t="shared" si="20"/>
        <v>90</v>
      </c>
      <c r="B124">
        <f>'Linear distribution and flux'!F97</f>
        <v>0</v>
      </c>
      <c r="D124">
        <f>IF($D$33=$L$2,'Point source estimation'!F98,'Lambertian dist and flux'!F96)</f>
        <v>0</v>
      </c>
      <c r="E124">
        <f>'Linear distribution and flux'!G97</f>
        <v>0</v>
      </c>
      <c r="F124">
        <f>IF($D$33=$L$2,'Point source estimation'!G98,'Lambertian dist and flux'!G96)</f>
        <v>0</v>
      </c>
      <c r="G124">
        <f t="shared" si="17"/>
        <v>0</v>
      </c>
      <c r="M124">
        <f t="shared" si="18"/>
        <v>0</v>
      </c>
      <c r="N124" t="str">
        <f t="shared" si="19"/>
        <v/>
      </c>
      <c r="O124" s="7">
        <v>0</v>
      </c>
      <c r="P124" s="7"/>
    </row>
    <row r="127" spans="1:16" x14ac:dyDescent="0.25">
      <c r="B127">
        <f>SUM(B34:B124)</f>
        <v>3723.4263917115186</v>
      </c>
      <c r="D127">
        <f>SUM(D34:D124)</f>
        <v>3999.9999999999977</v>
      </c>
    </row>
  </sheetData>
  <conditionalFormatting sqref="M34:M124">
    <cfRule type="expression" dxfId="11" priority="13">
      <formula>#REF! &lt; 0</formula>
    </cfRule>
    <cfRule type="expression" dxfId="10" priority="14">
      <formula>#REF!&gt;0</formula>
    </cfRule>
  </conditionalFormatting>
  <conditionalFormatting sqref="G34:G124">
    <cfRule type="expression" dxfId="9" priority="5">
      <formula>E34-F34&lt;0</formula>
    </cfRule>
    <cfRule type="expression" dxfId="8" priority="6">
      <formula>E34-F34 &gt; 0</formula>
    </cfRule>
  </conditionalFormatting>
  <dataValidations count="1">
    <dataValidation type="list" showInputMessage="1" showErrorMessage="1" sqref="D33" xr:uid="{00000000-0002-0000-0500-000000000000}">
      <formula1>$L$2:$L$3</formula1>
    </dataValidation>
  </dataValidations>
  <pageMargins left="0.7" right="0.7" top="0.75" bottom="0.75" header="0.3" footer="0.3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2:AK145"/>
  <sheetViews>
    <sheetView tabSelected="1" topLeftCell="F28" zoomScale="85" zoomScaleNormal="85" workbookViewId="0">
      <selection activeCell="J43" sqref="J43"/>
    </sheetView>
  </sheetViews>
  <sheetFormatPr defaultRowHeight="15" x14ac:dyDescent="0.25"/>
  <cols>
    <col min="1" max="1" width="14.28515625" customWidth="1"/>
    <col min="2" max="2" width="17.140625" customWidth="1"/>
    <col min="3" max="3" width="21.140625" customWidth="1"/>
    <col min="4" max="4" width="26.140625" customWidth="1"/>
    <col min="5" max="5" width="19.5703125" customWidth="1"/>
    <col min="6" max="6" width="27.7109375" customWidth="1"/>
    <col min="7" max="7" width="28.28515625" customWidth="1"/>
    <col min="8" max="8" width="20.5703125" customWidth="1"/>
    <col min="9" max="9" width="24.28515625" customWidth="1"/>
    <col min="10" max="10" width="19.7109375" customWidth="1"/>
    <col min="11" max="11" width="17.5703125" customWidth="1"/>
    <col min="12" max="12" width="9.7109375" customWidth="1"/>
    <col min="13" max="13" width="10.140625" customWidth="1"/>
    <col min="14" max="14" width="10.42578125" customWidth="1"/>
    <col min="15" max="15" width="9.5703125" customWidth="1"/>
    <col min="16" max="16" width="9.7109375" customWidth="1"/>
    <col min="17" max="17" width="10.28515625" customWidth="1"/>
    <col min="18" max="18" width="9.85546875" customWidth="1"/>
    <col min="19" max="19" width="10.140625" customWidth="1"/>
    <col min="20" max="20" width="9.5703125" customWidth="1"/>
    <col min="21" max="21" width="15.28515625" customWidth="1"/>
    <col min="22" max="22" width="12.140625" customWidth="1"/>
    <col min="23" max="23" width="12" customWidth="1"/>
    <col min="28" max="28" width="12.28515625" bestFit="1" customWidth="1"/>
    <col min="32" max="32" width="17.28515625" customWidth="1"/>
    <col min="33" max="33" width="16" customWidth="1"/>
    <col min="34" max="34" width="17" customWidth="1"/>
    <col min="35" max="35" width="15.7109375" customWidth="1"/>
    <col min="36" max="37" width="11.28515625" customWidth="1"/>
  </cols>
  <sheetData>
    <row r="2" spans="1:11" ht="14.45" customHeight="1" x14ac:dyDescent="0.25">
      <c r="A2" t="s">
        <v>81</v>
      </c>
      <c r="B2" s="12">
        <f>'Flux maps Refractor final'!R32</f>
        <v>6</v>
      </c>
      <c r="C2" s="13"/>
    </row>
    <row r="3" spans="1:11" ht="14.45" customHeight="1" x14ac:dyDescent="0.25">
      <c r="A3" t="s">
        <v>82</v>
      </c>
      <c r="B3" t="s">
        <v>83</v>
      </c>
      <c r="C3" s="2" t="s">
        <v>84</v>
      </c>
      <c r="D3" s="2" t="s">
        <v>85</v>
      </c>
      <c r="E3" s="2" t="s">
        <v>86</v>
      </c>
      <c r="F3" s="2" t="s">
        <v>87</v>
      </c>
      <c r="G3" s="2" t="s">
        <v>88</v>
      </c>
      <c r="H3" s="2" t="s">
        <v>89</v>
      </c>
      <c r="I3" s="2" t="s">
        <v>90</v>
      </c>
      <c r="J3" s="2" t="s">
        <v>91</v>
      </c>
      <c r="K3" s="2" t="s">
        <v>92</v>
      </c>
    </row>
    <row r="4" spans="1:11" ht="14.45" customHeight="1" x14ac:dyDescent="0.25">
      <c r="A4">
        <f>'Flux maps Refractor final'!P34</f>
        <v>2.042384392183294</v>
      </c>
      <c r="B4">
        <f>'Flux maps Refractor final'!R34</f>
        <v>0.21387799340964969</v>
      </c>
      <c r="C4">
        <f>'Flux maps Refractor final'!I34</f>
        <v>90</v>
      </c>
      <c r="D4">
        <f t="shared" ref="D4:D43" si="0">C4-A4</f>
        <v>87.957615607816706</v>
      </c>
      <c r="E4">
        <v>1</v>
      </c>
      <c r="F4">
        <f t="shared" ref="F4:F43" si="1">(C4-E4)/2</f>
        <v>44.5</v>
      </c>
      <c r="G4">
        <f t="shared" ref="G4:G42" si="2">(C5-E4)/2</f>
        <v>43.478807803908353</v>
      </c>
      <c r="H4">
        <f>TAN(RADIANS(90 - Table1[[#This Row],[Orientation of Reflector start]]))</f>
        <v>1.0176073929721252</v>
      </c>
      <c r="I4">
        <f>Table1[[#This Row],[Angle Theta]]*Table1[[#This Row],[Fudge points]]</f>
        <v>2.042384392183294</v>
      </c>
      <c r="J4">
        <f>Table1[[#This Row],[Angle Start (degrees)]]-Table1[[#This Row],[Fudged da]]</f>
        <v>87.957615607816706</v>
      </c>
      <c r="K4">
        <v>1</v>
      </c>
    </row>
    <row r="5" spans="1:11" x14ac:dyDescent="0.25">
      <c r="A5">
        <f>'Flux maps Refractor final'!P35</f>
        <v>1.4659469824652831</v>
      </c>
      <c r="B5">
        <f>'Flux maps Refractor final'!R35</f>
        <v>0.15351360902216862</v>
      </c>
      <c r="C5">
        <f>'Flux maps Refractor final'!I35</f>
        <v>87.957615607816706</v>
      </c>
      <c r="D5">
        <f t="shared" si="0"/>
        <v>86.491668625351423</v>
      </c>
      <c r="E5">
        <f t="shared" ref="E5:E43" si="3">E4+1</f>
        <v>2</v>
      </c>
      <c r="F5">
        <f t="shared" si="1"/>
        <v>42.978807803908353</v>
      </c>
      <c r="G5">
        <f t="shared" si="2"/>
        <v>42.245834312675711</v>
      </c>
      <c r="H5">
        <f>TAN(RADIANS(90 - Table1[[#This Row],[Orientation of Reflector start]]))</f>
        <v>1.0731642444609109</v>
      </c>
      <c r="I5">
        <f>Table1[[#This Row],[Angle Theta]]*Table1[[#This Row],[Fudge points]]</f>
        <v>1.4659469824652831</v>
      </c>
      <c r="J5">
        <f>J4-Table1[[#This Row],[Fudged da]]</f>
        <v>86.491668625351423</v>
      </c>
      <c r="K5">
        <v>1</v>
      </c>
    </row>
    <row r="6" spans="1:11" x14ac:dyDescent="0.25">
      <c r="A6">
        <f>'Flux maps Refractor final'!P36</f>
        <v>1.4140575818258867</v>
      </c>
      <c r="B6">
        <f>'Flux maps Refractor final'!R36</f>
        <v>0.14807976369390513</v>
      </c>
      <c r="C6">
        <f>'Flux maps Refractor final'!I36</f>
        <v>86.491668625351423</v>
      </c>
      <c r="D6">
        <f t="shared" si="0"/>
        <v>85.077611043525536</v>
      </c>
      <c r="E6">
        <f t="shared" si="3"/>
        <v>3</v>
      </c>
      <c r="F6">
        <f t="shared" si="1"/>
        <v>41.745834312675711</v>
      </c>
      <c r="G6">
        <f t="shared" si="2"/>
        <v>41.038805521762768</v>
      </c>
      <c r="H6">
        <f>TAN(RADIANS(90 - Table1[[#This Row],[Orientation of Reflector start]]))</f>
        <v>1.1205693264448944</v>
      </c>
      <c r="I6">
        <f>Table1[[#This Row],[Angle Theta]]*Table1[[#This Row],[Fudge points]]</f>
        <v>1.4140575818258867</v>
      </c>
      <c r="J6">
        <f>J5-Table1[[#This Row],[Fudged da]]</f>
        <v>85.077611043525536</v>
      </c>
      <c r="K6">
        <v>1</v>
      </c>
    </row>
    <row r="7" spans="1:11" x14ac:dyDescent="0.25">
      <c r="A7">
        <f>'Flux maps Refractor final'!P37</f>
        <v>1.3844669972684756</v>
      </c>
      <c r="B7">
        <f>'Flux maps Refractor final'!R37</f>
        <v>0.14498104492520544</v>
      </c>
      <c r="C7">
        <f>'Flux maps Refractor final'!I37</f>
        <v>85.077611043525536</v>
      </c>
      <c r="D7">
        <f t="shared" si="0"/>
        <v>83.693144046257061</v>
      </c>
      <c r="E7">
        <f t="shared" si="3"/>
        <v>4</v>
      </c>
      <c r="F7">
        <f t="shared" si="1"/>
        <v>40.538805521762768</v>
      </c>
      <c r="G7">
        <f t="shared" si="2"/>
        <v>39.84657202312853</v>
      </c>
      <c r="H7">
        <f>TAN(RADIANS(90 - Table1[[#This Row],[Orientation of Reflector start]]))</f>
        <v>1.1692450729491748</v>
      </c>
      <c r="I7">
        <f>Table1[[#This Row],[Angle Theta]]*Table1[[#This Row],[Fudge points]]</f>
        <v>1.3844669972684756</v>
      </c>
      <c r="J7">
        <f>J6-Table1[[#This Row],[Fudged da]]</f>
        <v>83.693144046257061</v>
      </c>
      <c r="K7">
        <v>1</v>
      </c>
    </row>
    <row r="8" spans="1:11" x14ac:dyDescent="0.25">
      <c r="A8">
        <f>'Flux maps Refractor final'!P38</f>
        <v>1.3617804079302687</v>
      </c>
      <c r="B8">
        <f>'Flux maps Refractor final'!R38</f>
        <v>0.14260531084520811</v>
      </c>
      <c r="C8">
        <f>'Flux maps Refractor final'!I38</f>
        <v>83.693144046257061</v>
      </c>
      <c r="D8">
        <f t="shared" si="0"/>
        <v>82.331363638326792</v>
      </c>
      <c r="E8">
        <f t="shared" si="3"/>
        <v>5</v>
      </c>
      <c r="F8">
        <f t="shared" si="1"/>
        <v>39.34657202312853</v>
      </c>
      <c r="G8">
        <f t="shared" si="2"/>
        <v>38.665681819163396</v>
      </c>
      <c r="H8">
        <f>TAN(RADIANS(90 - Table1[[#This Row],[Orientation of Reflector start]]))</f>
        <v>1.2197371099238599</v>
      </c>
      <c r="I8">
        <f>Table1[[#This Row],[Angle Theta]]*Table1[[#This Row],[Fudge points]]</f>
        <v>1.3617804079302687</v>
      </c>
      <c r="J8">
        <f>J7-Table1[[#This Row],[Fudged da]]</f>
        <v>82.331363638326792</v>
      </c>
      <c r="K8">
        <v>1</v>
      </c>
    </row>
    <row r="9" spans="1:11" x14ac:dyDescent="0.25">
      <c r="A9">
        <f>'Flux maps Refractor final'!P39</f>
        <v>1.3425846072066605</v>
      </c>
      <c r="B9">
        <f>'Flux maps Refractor final'!R39</f>
        <v>0.14059513129410611</v>
      </c>
      <c r="C9">
        <f>'Flux maps Refractor final'!I39</f>
        <v>82.331363638326792</v>
      </c>
      <c r="D9">
        <f t="shared" si="0"/>
        <v>80.988779031120131</v>
      </c>
      <c r="E9">
        <f t="shared" si="3"/>
        <v>6</v>
      </c>
      <c r="F9">
        <f t="shared" si="1"/>
        <v>38.165681819163396</v>
      </c>
      <c r="G9">
        <f t="shared" si="2"/>
        <v>37.494389515560066</v>
      </c>
      <c r="H9">
        <f>TAN(RADIANS(90 - Table1[[#This Row],[Orientation of Reflector start]]))</f>
        <v>1.2723407320353075</v>
      </c>
      <c r="I9">
        <f>Table1[[#This Row],[Angle Theta]]*Table1[[#This Row],[Fudge points]]</f>
        <v>1.3425846072066605</v>
      </c>
      <c r="J9">
        <f>J8-Table1[[#This Row],[Fudged da]]</f>
        <v>80.988779031120131</v>
      </c>
      <c r="K9">
        <v>1</v>
      </c>
    </row>
    <row r="10" spans="1:11" x14ac:dyDescent="0.25">
      <c r="A10">
        <f>'Flux maps Refractor final'!P40</f>
        <v>1.3257035339527334</v>
      </c>
      <c r="B10">
        <f>'Flux maps Refractor final'!R40</f>
        <v>0.13882734943679781</v>
      </c>
      <c r="C10">
        <f>'Flux maps Refractor final'!I40</f>
        <v>80.988779031120131</v>
      </c>
      <c r="D10">
        <f t="shared" si="0"/>
        <v>79.663075497167398</v>
      </c>
      <c r="E10">
        <f t="shared" si="3"/>
        <v>7</v>
      </c>
      <c r="F10">
        <f t="shared" si="1"/>
        <v>36.994389515560066</v>
      </c>
      <c r="G10">
        <f t="shared" si="2"/>
        <v>36.331537748583699</v>
      </c>
      <c r="H10">
        <f>TAN(RADIANS(90 - Table1[[#This Row],[Orientation of Reflector start]]))</f>
        <v>1.3273152225124811</v>
      </c>
      <c r="I10">
        <f>Table1[[#This Row],[Angle Theta]]*Table1[[#This Row],[Fudge points]]</f>
        <v>1.3257035339527334</v>
      </c>
      <c r="J10">
        <f>J9-Table1[[#This Row],[Fudged da]]</f>
        <v>79.663075497167398</v>
      </c>
      <c r="K10">
        <v>1</v>
      </c>
    </row>
    <row r="11" spans="1:11" x14ac:dyDescent="0.25">
      <c r="A11">
        <f>'Flux maps Refractor final'!P41</f>
        <v>1.3106044362966287</v>
      </c>
      <c r="B11">
        <f>'Flux maps Refractor final'!R41</f>
        <v>0.13724617562772271</v>
      </c>
      <c r="C11">
        <f>'Flux maps Refractor final'!I41</f>
        <v>79.663075497167398</v>
      </c>
      <c r="D11">
        <f t="shared" si="0"/>
        <v>78.352471060870769</v>
      </c>
      <c r="E11">
        <f t="shared" si="3"/>
        <v>8</v>
      </c>
      <c r="F11">
        <f t="shared" si="1"/>
        <v>35.831537748583699</v>
      </c>
      <c r="G11">
        <f t="shared" si="2"/>
        <v>35.176235530435385</v>
      </c>
      <c r="H11">
        <f>TAN(RADIANS(90 - Table1[[#This Row],[Orientation of Reflector start]]))</f>
        <v>1.3849267804785621</v>
      </c>
      <c r="I11">
        <f>Table1[[#This Row],[Angle Theta]]*Table1[[#This Row],[Fudge points]]</f>
        <v>1.3106044362966287</v>
      </c>
      <c r="J11">
        <f>J10-Table1[[#This Row],[Fudged da]]</f>
        <v>78.352471060870769</v>
      </c>
      <c r="K11">
        <v>1</v>
      </c>
    </row>
    <row r="12" spans="1:11" x14ac:dyDescent="0.25">
      <c r="A12">
        <f>'Flux maps Refractor final'!P42</f>
        <v>1.2969894930543262</v>
      </c>
      <c r="B12">
        <f>'Flux maps Refractor final'!R42</f>
        <v>0.13582042210542072</v>
      </c>
      <c r="C12">
        <f>'Flux maps Refractor final'!I42</f>
        <v>78.352471060870769</v>
      </c>
      <c r="D12">
        <f t="shared" si="0"/>
        <v>77.055481567816443</v>
      </c>
      <c r="E12">
        <f t="shared" si="3"/>
        <v>9</v>
      </c>
      <c r="F12">
        <f t="shared" si="1"/>
        <v>34.676235530435385</v>
      </c>
      <c r="G12">
        <f t="shared" si="2"/>
        <v>34.027740783908222</v>
      </c>
      <c r="H12">
        <f>TAN(RADIANS(90 - Table1[[#This Row],[Orientation of Reflector start]]))</f>
        <v>1.4454640091418629</v>
      </c>
      <c r="I12">
        <f>Table1[[#This Row],[Angle Theta]]*Table1[[#This Row],[Fudge points]]</f>
        <v>1.2969894930543262</v>
      </c>
      <c r="J12">
        <f>J11-Table1[[#This Row],[Fudged da]]</f>
        <v>77.055481567816443</v>
      </c>
      <c r="K12">
        <v>1</v>
      </c>
    </row>
    <row r="13" spans="1:11" x14ac:dyDescent="0.25">
      <c r="A13">
        <f>'Flux maps Refractor final'!P43</f>
        <v>1.2846606703436265</v>
      </c>
      <c r="B13">
        <f>'Flux maps Refractor final'!R43</f>
        <v>0.13452935081024253</v>
      </c>
      <c r="C13">
        <f>'Flux maps Refractor final'!I43</f>
        <v>77.055481567816443</v>
      </c>
      <c r="D13">
        <f t="shared" si="0"/>
        <v>75.770820897472817</v>
      </c>
      <c r="E13">
        <f t="shared" si="3"/>
        <v>10</v>
      </c>
      <c r="F13">
        <f t="shared" si="1"/>
        <v>33.527740783908222</v>
      </c>
      <c r="G13">
        <f t="shared" si="2"/>
        <v>32.885410448736408</v>
      </c>
      <c r="H13">
        <f>TAN(RADIANS(90 - Table1[[#This Row],[Orientation of Reflector start]]))</f>
        <v>1.5092470141834762</v>
      </c>
      <c r="I13">
        <f>Table1[[#This Row],[Angle Theta]]*Table1[[#This Row],[Fudge points]]</f>
        <v>1.2846606703436265</v>
      </c>
      <c r="J13">
        <f>J12-Table1[[#This Row],[Fudged da]]</f>
        <v>75.770820897472817</v>
      </c>
      <c r="K13">
        <v>1</v>
      </c>
    </row>
    <row r="14" spans="1:11" x14ac:dyDescent="0.25">
      <c r="A14">
        <f>'Flux maps Refractor final'!P44</f>
        <v>1.2734662951433933</v>
      </c>
      <c r="B14">
        <f>'Flux maps Refractor final'!R44</f>
        <v>0.13335707858055654</v>
      </c>
      <c r="C14">
        <f>'Flux maps Refractor final'!I44</f>
        <v>75.770820897472817</v>
      </c>
      <c r="D14">
        <f t="shared" si="0"/>
        <v>74.497354602329423</v>
      </c>
      <c r="E14">
        <f t="shared" si="3"/>
        <v>11</v>
      </c>
      <c r="F14">
        <f t="shared" si="1"/>
        <v>32.385410448736408</v>
      </c>
      <c r="G14">
        <f t="shared" si="2"/>
        <v>31.748677301164712</v>
      </c>
      <c r="H14">
        <f>TAN(RADIANS(90 - Table1[[#This Row],[Orientation of Reflector start]]))</f>
        <v>1.5766351073951934</v>
      </c>
      <c r="I14">
        <f>Table1[[#This Row],[Angle Theta]]*Table1[[#This Row],[Fudge points]]</f>
        <v>1.2734662951433933</v>
      </c>
      <c r="J14">
        <f>J13-Table1[[#This Row],[Fudged da]]</f>
        <v>74.497354602329423</v>
      </c>
      <c r="K14">
        <v>1</v>
      </c>
    </row>
    <row r="15" spans="1:11" x14ac:dyDescent="0.25">
      <c r="A15">
        <f>'Flux maps Refractor final'!P45</f>
        <v>1.263276682581747</v>
      </c>
      <c r="B15">
        <f>'Flux maps Refractor final'!R45</f>
        <v>0.13229002484833671</v>
      </c>
      <c r="C15">
        <f>'Flux maps Refractor final'!I45</f>
        <v>74.497354602329423</v>
      </c>
      <c r="D15">
        <f t="shared" si="0"/>
        <v>73.234077919747676</v>
      </c>
      <c r="E15">
        <f t="shared" si="3"/>
        <v>12</v>
      </c>
      <c r="F15">
        <f t="shared" si="1"/>
        <v>31.248677301164712</v>
      </c>
      <c r="G15">
        <f t="shared" si="2"/>
        <v>30.617038959873838</v>
      </c>
      <c r="H15">
        <f>TAN(RADIANS(90 - Table1[[#This Row],[Orientation of Reflector start]]))</f>
        <v>1.6480347801157196</v>
      </c>
      <c r="I15">
        <f>Table1[[#This Row],[Angle Theta]]*Table1[[#This Row],[Fudge points]]</f>
        <v>1.263276682581747</v>
      </c>
      <c r="J15">
        <f>J14-Table1[[#This Row],[Fudged da]]</f>
        <v>73.234077919747676</v>
      </c>
      <c r="K15">
        <v>1</v>
      </c>
    </row>
    <row r="16" spans="1:11" x14ac:dyDescent="0.25">
      <c r="A16">
        <f>'Flux maps Refractor final'!P46</f>
        <v>1.253971429269086</v>
      </c>
      <c r="B16">
        <f>'Flux maps Refractor final'!R46</f>
        <v>0.13131558100010843</v>
      </c>
      <c r="C16">
        <f>'Flux maps Refractor final'!I46</f>
        <v>73.234077919747676</v>
      </c>
      <c r="D16">
        <f t="shared" si="0"/>
        <v>71.98010649047859</v>
      </c>
      <c r="E16">
        <f t="shared" si="3"/>
        <v>13</v>
      </c>
      <c r="F16">
        <f t="shared" si="1"/>
        <v>30.117038959873838</v>
      </c>
      <c r="G16">
        <f t="shared" si="2"/>
        <v>29.490053245239295</v>
      </c>
      <c r="H16">
        <f>TAN(RADIANS(90 - Table1[[#This Row],[Orientation of Reflector start]]))</f>
        <v>1.7239087427621955</v>
      </c>
      <c r="I16">
        <f>Table1[[#This Row],[Angle Theta]]*Table1[[#This Row],[Fudge points]]</f>
        <v>1.253971429269086</v>
      </c>
      <c r="J16">
        <f>J15-Table1[[#This Row],[Fudged da]]</f>
        <v>71.98010649047859</v>
      </c>
      <c r="K16">
        <v>1</v>
      </c>
    </row>
    <row r="17" spans="1:11" x14ac:dyDescent="0.25">
      <c r="A17">
        <f>'Flux maps Refractor final'!P47</f>
        <v>1.2454317922949514</v>
      </c>
      <c r="B17">
        <f>'Flux maps Refractor final'!R47</f>
        <v>0.13042131230736628</v>
      </c>
      <c r="C17">
        <f>'Flux maps Refractor final'!I47</f>
        <v>71.98010649047859</v>
      </c>
      <c r="D17">
        <f t="shared" si="0"/>
        <v>70.734674698183639</v>
      </c>
      <c r="E17">
        <f t="shared" si="3"/>
        <v>14</v>
      </c>
      <c r="F17">
        <f t="shared" si="1"/>
        <v>28.990053245239295</v>
      </c>
      <c r="G17">
        <f t="shared" si="2"/>
        <v>28.367337349091819</v>
      </c>
      <c r="H17">
        <f>TAN(RADIANS(90 - Table1[[#This Row],[Orientation of Reflector start]]))</f>
        <v>1.8047865986096472</v>
      </c>
      <c r="I17">
        <f>Table1[[#This Row],[Angle Theta]]*Table1[[#This Row],[Fudge points]]</f>
        <v>1.2454317922949514</v>
      </c>
      <c r="J17">
        <f>J16-Table1[[#This Row],[Fudged da]]</f>
        <v>70.734674698183639</v>
      </c>
      <c r="K17">
        <v>1</v>
      </c>
    </row>
    <row r="18" spans="1:11" x14ac:dyDescent="0.25">
      <c r="A18">
        <f>'Flux maps Refractor final'!P48</f>
        <v>1.2375353711427692</v>
      </c>
      <c r="B18">
        <f>'Flux maps Refractor final'!R48</f>
        <v>0.12959440101798808</v>
      </c>
      <c r="C18">
        <f>'Flux maps Refractor final'!I48</f>
        <v>70.734674698183639</v>
      </c>
      <c r="D18">
        <f t="shared" si="0"/>
        <v>69.49713932704087</v>
      </c>
      <c r="E18">
        <f t="shared" si="3"/>
        <v>15</v>
      </c>
      <c r="F18">
        <f t="shared" si="1"/>
        <v>27.867337349091819</v>
      </c>
      <c r="G18">
        <f t="shared" si="2"/>
        <v>27.248569663520435</v>
      </c>
      <c r="H18">
        <f>TAN(RADIANS(90 - Table1[[#This Row],[Orientation of Reflector start]]))</f>
        <v>1.8912777067568785</v>
      </c>
      <c r="I18">
        <f>Table1[[#This Row],[Angle Theta]]*Table1[[#This Row],[Fudge points]]</f>
        <v>1.2375353711427692</v>
      </c>
      <c r="J18">
        <f>J17-Table1[[#This Row],[Fudged da]]</f>
        <v>69.49713932704087</v>
      </c>
      <c r="K18">
        <v>1</v>
      </c>
    </row>
    <row r="19" spans="1:11" x14ac:dyDescent="0.25">
      <c r="A19">
        <f>'Flux maps Refractor final'!P49</f>
        <v>1.230151790583264</v>
      </c>
      <c r="B19">
        <f>'Flux maps Refractor final'!R49</f>
        <v>0.12882119426989039</v>
      </c>
      <c r="C19">
        <f>'Flux maps Refractor final'!I49</f>
        <v>69.49713932704087</v>
      </c>
      <c r="D19">
        <f t="shared" si="0"/>
        <v>68.266987536457606</v>
      </c>
      <c r="E19">
        <f t="shared" si="3"/>
        <v>16</v>
      </c>
      <c r="F19">
        <f t="shared" si="1"/>
        <v>26.748569663520435</v>
      </c>
      <c r="G19">
        <f t="shared" si="2"/>
        <v>26.133493768228803</v>
      </c>
      <c r="H19">
        <f>TAN(RADIANS(90 - Table1[[#This Row],[Orientation of Reflector start]]))</f>
        <v>1.9840868759783461</v>
      </c>
      <c r="I19">
        <f>Table1[[#This Row],[Angle Theta]]*Table1[[#This Row],[Fudge points]]</f>
        <v>1.230151790583264</v>
      </c>
      <c r="J19">
        <f>J18-Table1[[#This Row],[Fudged da]]</f>
        <v>68.266987536457606</v>
      </c>
      <c r="K19">
        <v>1</v>
      </c>
    </row>
    <row r="20" spans="1:11" x14ac:dyDescent="0.25">
      <c r="A20">
        <f>'Flux maps Refractor final'!P50</f>
        <v>1.223138706767088</v>
      </c>
      <c r="B20">
        <f>'Flux maps Refractor final'!R50</f>
        <v>0.12808678585002681</v>
      </c>
      <c r="C20">
        <f>'Flux maps Refractor final'!I50</f>
        <v>68.266987536457606</v>
      </c>
      <c r="D20">
        <f t="shared" si="0"/>
        <v>67.043848829690518</v>
      </c>
      <c r="E20">
        <f t="shared" si="3"/>
        <v>17</v>
      </c>
      <c r="F20">
        <f t="shared" si="1"/>
        <v>25.633493768228803</v>
      </c>
      <c r="G20">
        <f t="shared" si="2"/>
        <v>25.021924414845259</v>
      </c>
      <c r="H20">
        <f>TAN(RADIANS(90 - Table1[[#This Row],[Orientation of Reflector start]]))</f>
        <v>2.0840336890550017</v>
      </c>
      <c r="I20">
        <f>Table1[[#This Row],[Angle Theta]]*Table1[[#This Row],[Fudge points]]</f>
        <v>1.223138706767088</v>
      </c>
      <c r="J20">
        <f>J19-Table1[[#This Row],[Fudged da]]</f>
        <v>67.043848829690518</v>
      </c>
      <c r="K20">
        <v>1</v>
      </c>
    </row>
    <row r="21" spans="1:11" x14ac:dyDescent="0.25">
      <c r="A21">
        <f>'Flux maps Refractor final'!P51</f>
        <v>1.216337735395129</v>
      </c>
      <c r="B21">
        <f>'Flux maps Refractor final'!R51</f>
        <v>0.12737458979337943</v>
      </c>
      <c r="C21">
        <f>'Flux maps Refractor final'!I51</f>
        <v>67.043848829690518</v>
      </c>
      <c r="D21">
        <f t="shared" si="0"/>
        <v>65.827511094295389</v>
      </c>
      <c r="E21">
        <f t="shared" si="3"/>
        <v>18</v>
      </c>
      <c r="F21">
        <f t="shared" si="1"/>
        <v>24.521924414845259</v>
      </c>
      <c r="G21">
        <f t="shared" si="2"/>
        <v>23.913755547147694</v>
      </c>
      <c r="H21">
        <f>TAN(RADIANS(90 - Table1[[#This Row],[Orientation of Reflector start]]))</f>
        <v>2.1920764879400663</v>
      </c>
      <c r="I21">
        <f>Table1[[#This Row],[Angle Theta]]*Table1[[#This Row],[Fudge points]]</f>
        <v>1.216337735395129</v>
      </c>
      <c r="J21">
        <f>J20-Table1[[#This Row],[Fudged da]]</f>
        <v>65.827511094295389</v>
      </c>
      <c r="K21">
        <v>1</v>
      </c>
    </row>
    <row r="22" spans="1:11" x14ac:dyDescent="0.25">
      <c r="A22">
        <f>'Flux maps Refractor final'!P52</f>
        <v>1.2095700245215539</v>
      </c>
      <c r="B22">
        <f>'Flux maps Refractor final'!R52</f>
        <v>0.126665876767978</v>
      </c>
      <c r="C22">
        <f>'Flux maps Refractor final'!I52</f>
        <v>65.827511094295389</v>
      </c>
      <c r="D22">
        <f t="shared" si="0"/>
        <v>64.617941069773835</v>
      </c>
      <c r="E22">
        <f t="shared" si="3"/>
        <v>19</v>
      </c>
      <c r="F22">
        <f t="shared" si="1"/>
        <v>23.413755547147694</v>
      </c>
      <c r="G22">
        <f t="shared" si="2"/>
        <v>22.808970534886917</v>
      </c>
      <c r="H22">
        <f>TAN(RADIANS(90 - Table1[[#This Row],[Orientation of Reflector start]]))</f>
        <v>2.3093423714527974</v>
      </c>
      <c r="I22">
        <f>Table1[[#This Row],[Angle Theta]]*Table1[[#This Row],[Fudge points]]</f>
        <v>1.2095700245215539</v>
      </c>
      <c r="J22">
        <f>J21-Table1[[#This Row],[Fudged da]]</f>
        <v>64.617941069773835</v>
      </c>
      <c r="K22">
        <v>1</v>
      </c>
    </row>
    <row r="23" spans="1:11" x14ac:dyDescent="0.25">
      <c r="A23">
        <f>'Flux maps Refractor final'!P53</f>
        <v>1.2026312452998553</v>
      </c>
      <c r="B23">
        <f>'Flux maps Refractor final'!R53</f>
        <v>0.12593924950705232</v>
      </c>
      <c r="C23">
        <f>'Flux maps Refractor final'!I53</f>
        <v>64.617941069773835</v>
      </c>
      <c r="D23">
        <f t="shared" si="0"/>
        <v>63.415309824473979</v>
      </c>
      <c r="E23">
        <f t="shared" si="3"/>
        <v>20</v>
      </c>
      <c r="F23">
        <f t="shared" si="1"/>
        <v>22.308970534886917</v>
      </c>
      <c r="G23">
        <f t="shared" si="2"/>
        <v>21.70765491223699</v>
      </c>
      <c r="H23">
        <f>TAN(RADIANS(90 - Table1[[#This Row],[Orientation of Reflector start]]))</f>
        <v>2.4371650004240091</v>
      </c>
      <c r="I23">
        <f>Table1[[#This Row],[Angle Theta]]*Table1[[#This Row],[Fudge points]]</f>
        <v>1.2026312452998553</v>
      </c>
      <c r="J23">
        <f>J22-Table1[[#This Row],[Fudged da]]</f>
        <v>63.415309824473979</v>
      </c>
      <c r="K23">
        <v>1</v>
      </c>
    </row>
    <row r="24" spans="1:11" x14ac:dyDescent="0.25">
      <c r="A24">
        <f>'Flux maps Refractor final'!P54</f>
        <v>1.1952857868730504</v>
      </c>
      <c r="B24">
        <f>'Flux maps Refractor final'!R54</f>
        <v>0.12517003489935569</v>
      </c>
      <c r="C24">
        <f>'Flux maps Refractor final'!I54</f>
        <v>63.415309824473979</v>
      </c>
      <c r="D24">
        <f t="shared" si="0"/>
        <v>62.220024037600929</v>
      </c>
      <c r="E24">
        <f t="shared" si="3"/>
        <v>21</v>
      </c>
      <c r="F24">
        <f t="shared" si="1"/>
        <v>21.20765491223699</v>
      </c>
      <c r="G24">
        <f t="shared" si="2"/>
        <v>20.610012018800465</v>
      </c>
      <c r="H24">
        <f>TAN(RADIANS(90 - Table1[[#This Row],[Orientation of Reflector start]]))</f>
        <v>2.577132618031285</v>
      </c>
      <c r="I24">
        <f>Table1[[#This Row],[Angle Theta]]*Table1[[#This Row],[Fudge points]]</f>
        <v>1.1952857868730504</v>
      </c>
      <c r="J24">
        <f>J23-Table1[[#This Row],[Fudged da]]</f>
        <v>62.220024037600929</v>
      </c>
      <c r="K24">
        <v>1</v>
      </c>
    </row>
    <row r="25" spans="1:11" x14ac:dyDescent="0.25">
      <c r="A25">
        <f>'Flux maps Refractor final'!P55</f>
        <v>1.1872599328666809</v>
      </c>
      <c r="B25">
        <f>'Flux maps Refractor final'!R55</f>
        <v>0.12432956943318252</v>
      </c>
      <c r="C25">
        <f>'Flux maps Refractor final'!I55</f>
        <v>62.220024037600929</v>
      </c>
      <c r="D25">
        <f t="shared" si="0"/>
        <v>61.032764104734248</v>
      </c>
      <c r="E25">
        <f t="shared" si="3"/>
        <v>22</v>
      </c>
      <c r="F25">
        <f t="shared" si="1"/>
        <v>20.110012018800465</v>
      </c>
      <c r="G25">
        <f t="shared" si="2"/>
        <v>19.516382052367124</v>
      </c>
      <c r="H25">
        <f>TAN(RADIANS(90 - Table1[[#This Row],[Orientation of Reflector start]]))</f>
        <v>2.731149545910418</v>
      </c>
      <c r="I25">
        <f>Table1[[#This Row],[Angle Theta]]*Table1[[#This Row],[Fudge points]]</f>
        <v>1.1872599328666809</v>
      </c>
      <c r="J25">
        <f>J24-Table1[[#This Row],[Fudged da]]</f>
        <v>61.032764104734248</v>
      </c>
      <c r="K25">
        <v>1</v>
      </c>
    </row>
    <row r="26" spans="1:11" x14ac:dyDescent="0.25">
      <c r="A26">
        <f>'Flux maps Refractor final'!P56</f>
        <v>1.1782337746434592</v>
      </c>
      <c r="B26">
        <f>'Flux maps Refractor final'!R56</f>
        <v>0.12338435235437545</v>
      </c>
      <c r="C26">
        <f>'Flux maps Refractor final'!I56</f>
        <v>61.032764104734248</v>
      </c>
      <c r="D26">
        <f t="shared" si="0"/>
        <v>59.854530330090789</v>
      </c>
      <c r="E26">
        <f t="shared" si="3"/>
        <v>23</v>
      </c>
      <c r="F26">
        <f t="shared" si="1"/>
        <v>19.016382052367124</v>
      </c>
      <c r="G26">
        <f t="shared" si="2"/>
        <v>18.427265165045394</v>
      </c>
      <c r="H26">
        <f>TAN(RADIANS(90 - Table1[[#This Row],[Orientation of Reflector start]]))</f>
        <v>2.9015156132653832</v>
      </c>
      <c r="I26">
        <f>Table1[[#This Row],[Angle Theta]]*Table1[[#This Row],[Fudge points]]</f>
        <v>1.1782337746434592</v>
      </c>
      <c r="J26">
        <f>J25-Table1[[#This Row],[Fudged da]]</f>
        <v>59.854530330090789</v>
      </c>
      <c r="K26">
        <v>1</v>
      </c>
    </row>
    <row r="27" spans="1:11" x14ac:dyDescent="0.25">
      <c r="A27">
        <f>'Flux maps Refractor final'!P57</f>
        <v>1.1678315852680754</v>
      </c>
      <c r="B27">
        <f>'Flux maps Refractor final'!R57</f>
        <v>0.12229503763027692</v>
      </c>
      <c r="C27">
        <f>'Flux maps Refractor final'!I57</f>
        <v>59.854530330090789</v>
      </c>
      <c r="D27">
        <f t="shared" si="0"/>
        <v>58.686698744822714</v>
      </c>
      <c r="E27">
        <f t="shared" si="3"/>
        <v>24</v>
      </c>
      <c r="F27">
        <f t="shared" si="1"/>
        <v>17.927265165045394</v>
      </c>
      <c r="G27">
        <f t="shared" si="2"/>
        <v>17.343349372411357</v>
      </c>
      <c r="H27">
        <f>TAN(RADIANS(90 - Table1[[#This Row],[Orientation of Reflector start]]))</f>
        <v>3.0910296700586484</v>
      </c>
      <c r="I27">
        <f>Table1[[#This Row],[Angle Theta]]*Table1[[#This Row],[Fudge points]]</f>
        <v>1.1678315852680754</v>
      </c>
      <c r="J27">
        <f>J26-Table1[[#This Row],[Fudged da]]</f>
        <v>58.686698744822714</v>
      </c>
      <c r="K27">
        <v>1</v>
      </c>
    </row>
    <row r="28" spans="1:11" x14ac:dyDescent="0.25">
      <c r="A28">
        <f>'Flux maps Refractor final'!P58</f>
        <v>1.1556103416476873</v>
      </c>
      <c r="B28">
        <f>'Flux maps Refractor final'!R58</f>
        <v>0.12101523199109218</v>
      </c>
      <c r="C28">
        <f>'Flux maps Refractor final'!I58</f>
        <v>58.686698744822714</v>
      </c>
      <c r="D28">
        <f t="shared" si="0"/>
        <v>57.531088403175026</v>
      </c>
      <c r="E28">
        <f t="shared" si="3"/>
        <v>25</v>
      </c>
      <c r="F28">
        <f t="shared" si="1"/>
        <v>16.843349372411357</v>
      </c>
      <c r="G28">
        <f t="shared" si="2"/>
        <v>16.265544201587513</v>
      </c>
      <c r="H28">
        <f>TAN(RADIANS(90 - Table1[[#This Row],[Orientation of Reflector start]]))</f>
        <v>3.3031257546444932</v>
      </c>
      <c r="I28">
        <f>Table1[[#This Row],[Angle Theta]]*Table1[[#This Row],[Fudge points]]</f>
        <v>1.1556103416476873</v>
      </c>
      <c r="J28">
        <f>J27-Table1[[#This Row],[Fudged da]]</f>
        <v>57.531088403175026</v>
      </c>
      <c r="K28">
        <v>1</v>
      </c>
    </row>
    <row r="29" spans="1:11" x14ac:dyDescent="0.25">
      <c r="A29">
        <f>'Flux maps Refractor final'!P59</f>
        <v>1.1410460446794275</v>
      </c>
      <c r="B29">
        <f>'Flux maps Refractor final'!R59</f>
        <v>0.11949006237908602</v>
      </c>
      <c r="C29">
        <f>'Flux maps Refractor final'!I59</f>
        <v>57.531088403175026</v>
      </c>
      <c r="D29">
        <f t="shared" si="0"/>
        <v>56.390042358495599</v>
      </c>
      <c r="E29">
        <f t="shared" si="3"/>
        <v>26</v>
      </c>
      <c r="F29">
        <f t="shared" si="1"/>
        <v>15.765544201587513</v>
      </c>
      <c r="G29">
        <f t="shared" si="2"/>
        <v>15.195021179247799</v>
      </c>
      <c r="H29">
        <f>TAN(RADIANS(90 - Table1[[#This Row],[Orientation of Reflector start]]))</f>
        <v>3.5420539719455668</v>
      </c>
      <c r="I29">
        <f>Table1[[#This Row],[Angle Theta]]*Table1[[#This Row],[Fudge points]]</f>
        <v>1.1410460446794275</v>
      </c>
      <c r="J29">
        <f>J28-Table1[[#This Row],[Fudged da]]</f>
        <v>56.390042358495599</v>
      </c>
      <c r="K29">
        <v>1</v>
      </c>
    </row>
    <row r="30" spans="1:11" x14ac:dyDescent="0.25">
      <c r="A30">
        <f>'Flux maps Refractor final'!P60</f>
        <v>1.1235174543103099</v>
      </c>
      <c r="B30">
        <f>'Flux maps Refractor final'!R60</f>
        <v>0.11765447268803919</v>
      </c>
      <c r="C30">
        <f>'Flux maps Refractor final'!I60</f>
        <v>56.390042358495599</v>
      </c>
      <c r="D30">
        <f t="shared" si="0"/>
        <v>55.266524904185289</v>
      </c>
      <c r="E30">
        <f t="shared" si="3"/>
        <v>27</v>
      </c>
      <c r="F30">
        <f t="shared" si="1"/>
        <v>14.695021179247799</v>
      </c>
      <c r="G30">
        <f t="shared" si="2"/>
        <v>14.133262452092644</v>
      </c>
      <c r="H30">
        <f>TAN(RADIANS(90 - Table1[[#This Row],[Orientation of Reflector start]]))</f>
        <v>3.813123201345487</v>
      </c>
      <c r="I30">
        <f>Table1[[#This Row],[Angle Theta]]*Table1[[#This Row],[Fudge points]]</f>
        <v>1.1235174543103099</v>
      </c>
      <c r="J30">
        <f>J29-Table1[[#This Row],[Fudged da]]</f>
        <v>55.266524904185289</v>
      </c>
      <c r="K30">
        <v>1</v>
      </c>
    </row>
    <row r="31" spans="1:11" x14ac:dyDescent="0.25">
      <c r="A31">
        <f>'Flux maps Refractor final'!P61</f>
        <v>1.1022868370392089</v>
      </c>
      <c r="B31">
        <f>'Flux maps Refractor final'!R61</f>
        <v>0.11543120764637027</v>
      </c>
      <c r="C31">
        <f>'Flux maps Refractor final'!I61</f>
        <v>55.266524904185289</v>
      </c>
      <c r="D31">
        <f t="shared" si="0"/>
        <v>54.16423806714608</v>
      </c>
      <c r="E31">
        <f t="shared" si="3"/>
        <v>28</v>
      </c>
      <c r="F31">
        <f t="shared" si="1"/>
        <v>13.633262452092644</v>
      </c>
      <c r="G31">
        <f t="shared" si="2"/>
        <v>13.08211903357304</v>
      </c>
      <c r="H31">
        <f>TAN(RADIANS(90 - Table1[[#This Row],[Orientation of Reflector start]]))</f>
        <v>4.1230301574704544</v>
      </c>
      <c r="I31">
        <f>Table1[[#This Row],[Angle Theta]]*Table1[[#This Row],[Fudge points]]</f>
        <v>1.1022868370392089</v>
      </c>
      <c r="J31">
        <f>J30-Table1[[#This Row],[Fudged da]]</f>
        <v>54.16423806714608</v>
      </c>
      <c r="K31">
        <v>1</v>
      </c>
    </row>
    <row r="32" spans="1:11" x14ac:dyDescent="0.25">
      <c r="A32">
        <f>'Flux maps Refractor final'!P62</f>
        <v>1.0764773306326489</v>
      </c>
      <c r="B32">
        <f>'Flux maps Refractor final'!R62</f>
        <v>0.11272844245571602</v>
      </c>
      <c r="C32">
        <f>'Flux maps Refractor final'!I62</f>
        <v>54.16423806714608</v>
      </c>
      <c r="D32">
        <f t="shared" si="0"/>
        <v>53.087760736513431</v>
      </c>
      <c r="E32">
        <f t="shared" si="3"/>
        <v>29</v>
      </c>
      <c r="F32">
        <f t="shared" si="1"/>
        <v>12.58211903357304</v>
      </c>
      <c r="G32">
        <f t="shared" si="2"/>
        <v>12.043880368256715</v>
      </c>
      <c r="H32">
        <f>TAN(RADIANS(90 - Table1[[#This Row],[Orientation of Reflector start]]))</f>
        <v>4.4803102012488853</v>
      </c>
      <c r="I32">
        <f>Table1[[#This Row],[Angle Theta]]*Table1[[#This Row],[Fudge points]]</f>
        <v>1.0764773306326489</v>
      </c>
      <c r="J32">
        <f>J31-Table1[[#This Row],[Fudged da]]</f>
        <v>53.087760736513431</v>
      </c>
      <c r="K32">
        <v>1</v>
      </c>
    </row>
    <row r="33" spans="1:11" x14ac:dyDescent="0.25">
      <c r="A33">
        <f>'Flux maps Refractor final'!P63</f>
        <v>1.0450465829560969</v>
      </c>
      <c r="B33">
        <f>'Flux maps Refractor final'!R63</f>
        <v>0.10943702225579968</v>
      </c>
      <c r="C33">
        <f>'Flux maps Refractor final'!I63</f>
        <v>53.087760736513431</v>
      </c>
      <c r="D33">
        <f t="shared" si="0"/>
        <v>52.042714153557334</v>
      </c>
      <c r="E33">
        <f t="shared" si="3"/>
        <v>30</v>
      </c>
      <c r="F33">
        <f t="shared" si="1"/>
        <v>11.543880368256715</v>
      </c>
      <c r="G33">
        <f t="shared" si="2"/>
        <v>11.021357076778667</v>
      </c>
      <c r="H33">
        <f>TAN(RADIANS(90 - Table1[[#This Row],[Orientation of Reflector start]]))</f>
        <v>4.8959612694213526</v>
      </c>
      <c r="I33">
        <f>Table1[[#This Row],[Angle Theta]]*Table1[[#This Row],[Fudge points]]</f>
        <v>1.0450465829560969</v>
      </c>
      <c r="J33">
        <f>J32-Table1[[#This Row],[Fudged da]]</f>
        <v>52.042714153557334</v>
      </c>
      <c r="K33">
        <v>1</v>
      </c>
    </row>
    <row r="34" spans="1:11" x14ac:dyDescent="0.25">
      <c r="A34">
        <f>'Flux maps Refractor final'!P64</f>
        <v>1.0067564421693902</v>
      </c>
      <c r="B34">
        <f>'Flux maps Refractor final'!R64</f>
        <v>0.10542728808911844</v>
      </c>
      <c r="C34">
        <f>'Flux maps Refractor final'!I64</f>
        <v>52.042714153557334</v>
      </c>
      <c r="D34">
        <f t="shared" si="0"/>
        <v>51.035957711387944</v>
      </c>
      <c r="E34">
        <f t="shared" si="3"/>
        <v>31</v>
      </c>
      <c r="F34">
        <f t="shared" si="1"/>
        <v>10.521357076778667</v>
      </c>
      <c r="G34">
        <f t="shared" si="2"/>
        <v>10.017978855693972</v>
      </c>
      <c r="H34">
        <f>TAN(RADIANS(90 - Table1[[#This Row],[Orientation of Reflector start]]))</f>
        <v>5.3843155619502445</v>
      </c>
      <c r="I34">
        <f>Table1[[#This Row],[Angle Theta]]*Table1[[#This Row],[Fudge points]]</f>
        <v>1.0067564421693902</v>
      </c>
      <c r="J34">
        <f>J33-Table1[[#This Row],[Fudged da]]</f>
        <v>51.035957711387944</v>
      </c>
      <c r="K34">
        <v>1</v>
      </c>
    </row>
    <row r="35" spans="1:11" x14ac:dyDescent="0.25">
      <c r="A35">
        <f>'Flux maps Refractor final'!P65</f>
        <v>0.96013868940509184</v>
      </c>
      <c r="B35">
        <f>'Flux maps Refractor final'!R65</f>
        <v>0.10054548843541229</v>
      </c>
      <c r="C35">
        <f>'Flux maps Refractor final'!I65</f>
        <v>51.035957711387944</v>
      </c>
      <c r="D35">
        <f t="shared" si="0"/>
        <v>50.075819021982852</v>
      </c>
      <c r="E35">
        <f t="shared" si="3"/>
        <v>32</v>
      </c>
      <c r="F35">
        <f t="shared" si="1"/>
        <v>9.517978855693972</v>
      </c>
      <c r="G35">
        <f t="shared" si="2"/>
        <v>9.037909510991426</v>
      </c>
      <c r="H35">
        <f>TAN(RADIANS(90 - Table1[[#This Row],[Orientation of Reflector start]]))</f>
        <v>5.964266759769667</v>
      </c>
      <c r="I35">
        <f>Table1[[#This Row],[Angle Theta]]*Table1[[#This Row],[Fudge points]]</f>
        <v>0.96013868940509184</v>
      </c>
      <c r="J35">
        <f>J34-Table1[[#This Row],[Fudged da]]</f>
        <v>50.075819021982852</v>
      </c>
      <c r="K35">
        <v>1</v>
      </c>
    </row>
    <row r="36" spans="1:11" x14ac:dyDescent="0.25">
      <c r="A36">
        <f>'Flux maps Refractor final'!P66</f>
        <v>0.90345713016218809</v>
      </c>
      <c r="B36">
        <f>'Flux maps Refractor final'!R66</f>
        <v>9.4609809431694919E-2</v>
      </c>
      <c r="C36">
        <f>'Flux maps Refractor final'!I66</f>
        <v>50.075819021982852</v>
      </c>
      <c r="D36">
        <f t="shared" si="0"/>
        <v>49.172361891820664</v>
      </c>
      <c r="E36">
        <f t="shared" si="3"/>
        <v>33</v>
      </c>
      <c r="F36">
        <f t="shared" si="1"/>
        <v>8.537909510991426</v>
      </c>
      <c r="G36">
        <f t="shared" si="2"/>
        <v>8.086180945910332</v>
      </c>
      <c r="H36">
        <f>TAN(RADIANS(90 - Table1[[#This Row],[Orientation of Reflector start]]))</f>
        <v>6.6610051505286707</v>
      </c>
      <c r="I36">
        <f>Table1[[#This Row],[Angle Theta]]*Table1[[#This Row],[Fudge points]]</f>
        <v>0.90345713016218809</v>
      </c>
      <c r="J36">
        <f>J35-Table1[[#This Row],[Fudged da]]</f>
        <v>49.172361891820664</v>
      </c>
      <c r="K36">
        <v>1</v>
      </c>
    </row>
    <row r="37" spans="1:11" x14ac:dyDescent="0.25">
      <c r="A37">
        <f>'Flux maps Refractor final'!P67</f>
        <v>0.83466678481834577</v>
      </c>
      <c r="B37">
        <f>'Flux maps Refractor final'!R67</f>
        <v>8.7406101312690929E-2</v>
      </c>
      <c r="C37">
        <f>'Flux maps Refractor final'!I67</f>
        <v>49.172361891820664</v>
      </c>
      <c r="D37">
        <f t="shared" si="0"/>
        <v>48.337695107002318</v>
      </c>
      <c r="E37">
        <f t="shared" si="3"/>
        <v>34</v>
      </c>
      <c r="F37">
        <f t="shared" si="1"/>
        <v>7.586180945910332</v>
      </c>
      <c r="G37">
        <f t="shared" si="2"/>
        <v>7.1688475535011591</v>
      </c>
      <c r="H37">
        <f>TAN(RADIANS(90 - Table1[[#This Row],[Orientation of Reflector start]]))</f>
        <v>7.5084650382039815</v>
      </c>
      <c r="I37">
        <f>Table1[[#This Row],[Angle Theta]]*Table1[[#This Row],[Fudge points]]</f>
        <v>0.83466678481834577</v>
      </c>
      <c r="J37">
        <f>J36-Table1[[#This Row],[Fudged da]]</f>
        <v>48.337695107002318</v>
      </c>
      <c r="K37">
        <v>1</v>
      </c>
    </row>
    <row r="38" spans="1:11" x14ac:dyDescent="0.25">
      <c r="A38">
        <f>'Flux maps Refractor final'!P68</f>
        <v>0.75137135460831672</v>
      </c>
      <c r="B38">
        <f>'Flux maps Refractor final'!R68</f>
        <v>7.8683424258509965E-2</v>
      </c>
      <c r="C38">
        <f>'Flux maps Refractor final'!I68</f>
        <v>48.337695107002318</v>
      </c>
      <c r="D38">
        <f t="shared" si="0"/>
        <v>47.586323752394001</v>
      </c>
      <c r="E38">
        <f t="shared" si="3"/>
        <v>35</v>
      </c>
      <c r="F38">
        <f t="shared" si="1"/>
        <v>6.6688475535011591</v>
      </c>
      <c r="G38">
        <f t="shared" si="2"/>
        <v>6.2931618761970007</v>
      </c>
      <c r="H38">
        <f>TAN(RADIANS(90 - Table1[[#This Row],[Orientation of Reflector start]]))</f>
        <v>8.5527234768641023</v>
      </c>
      <c r="I38">
        <f>Table1[[#This Row],[Angle Theta]]*Table1[[#This Row],[Fudge points]]</f>
        <v>0.75137135460831672</v>
      </c>
      <c r="J38">
        <f>J37-Table1[[#This Row],[Fudged da]]</f>
        <v>47.586323752394001</v>
      </c>
      <c r="K38">
        <v>1</v>
      </c>
    </row>
    <row r="39" spans="1:11" x14ac:dyDescent="0.25">
      <c r="A39">
        <f>'Flux maps Refractor final'!P69</f>
        <v>0.65078034225307846</v>
      </c>
      <c r="B39">
        <f>'Flux maps Refractor final'!R69</f>
        <v>6.8149558077430755E-2</v>
      </c>
      <c r="C39">
        <f>'Flux maps Refractor final'!I69</f>
        <v>47.586323752394001</v>
      </c>
      <c r="D39">
        <f t="shared" si="0"/>
        <v>46.935543410140923</v>
      </c>
      <c r="E39">
        <f t="shared" si="3"/>
        <v>36</v>
      </c>
      <c r="F39">
        <f t="shared" si="1"/>
        <v>5.7931618761970007</v>
      </c>
      <c r="G39">
        <f t="shared" si="2"/>
        <v>5.4677717050704615</v>
      </c>
      <c r="H39">
        <f>TAN(RADIANS(90 - Table1[[#This Row],[Orientation of Reflector start]]))</f>
        <v>9.8565168991042604</v>
      </c>
      <c r="I39">
        <f>Table1[[#This Row],[Angle Theta]]*Table1[[#This Row],[Fudge points]]</f>
        <v>0.65078034225307846</v>
      </c>
      <c r="J39">
        <f>J38-Table1[[#This Row],[Fudged da]]</f>
        <v>46.935543410140923</v>
      </c>
      <c r="K39">
        <v>1</v>
      </c>
    </row>
    <row r="40" spans="1:11" x14ac:dyDescent="0.25">
      <c r="A40">
        <f>'Flux maps Refractor final'!P70</f>
        <v>0.52966663628281907</v>
      </c>
      <c r="B40">
        <f>'Flux maps Refractor final'!R70</f>
        <v>5.5466560446590707E-2</v>
      </c>
      <c r="C40">
        <f>'Flux maps Refractor final'!I70</f>
        <v>46.935543410140923</v>
      </c>
      <c r="D40">
        <f t="shared" si="0"/>
        <v>46.405876773858104</v>
      </c>
      <c r="E40">
        <f t="shared" si="3"/>
        <v>37</v>
      </c>
      <c r="F40">
        <f t="shared" si="1"/>
        <v>4.9677717050704615</v>
      </c>
      <c r="G40">
        <f t="shared" si="2"/>
        <v>4.702938386929052</v>
      </c>
      <c r="H40">
        <f>TAN(RADIANS(90 - Table1[[#This Row],[Orientation of Reflector start]]))</f>
        <v>11.504581071330119</v>
      </c>
      <c r="I40">
        <f>Table1[[#This Row],[Angle Theta]]*Table1[[#This Row],[Fudge points]]</f>
        <v>0.52966663628281907</v>
      </c>
      <c r="J40">
        <f>J39-Table1[[#This Row],[Fudged da]]</f>
        <v>46.405876773858104</v>
      </c>
      <c r="K40">
        <v>1</v>
      </c>
    </row>
    <row r="41" spans="1:11" x14ac:dyDescent="0.25">
      <c r="A41">
        <f>'Flux maps Refractor final'!P71</f>
        <v>0.38432298090192774</v>
      </c>
      <c r="B41">
        <f>'Flux maps Refractor final'!R71</f>
        <v>4.0246208446907551E-2</v>
      </c>
      <c r="C41">
        <f>'Flux maps Refractor final'!I71</f>
        <v>46.405876773858104</v>
      </c>
      <c r="D41">
        <f t="shared" si="0"/>
        <v>46.021553792956176</v>
      </c>
      <c r="E41">
        <f t="shared" si="3"/>
        <v>38</v>
      </c>
      <c r="F41">
        <f t="shared" si="1"/>
        <v>4.202938386929052</v>
      </c>
      <c r="G41">
        <f t="shared" si="2"/>
        <v>4.0107768964780881</v>
      </c>
      <c r="H41">
        <f>TAN(RADIANS(90 - Table1[[#This Row],[Orientation of Reflector start]]))</f>
        <v>13.607854399827206</v>
      </c>
      <c r="I41">
        <f>Table1[[#This Row],[Angle Theta]]*Table1[[#This Row],[Fudge points]]</f>
        <v>0.38432298090192774</v>
      </c>
      <c r="J41">
        <f>J40-Table1[[#This Row],[Fudged da]]</f>
        <v>46.021553792956176</v>
      </c>
      <c r="K41">
        <v>1</v>
      </c>
    </row>
    <row r="42" spans="1:11" x14ac:dyDescent="0.25">
      <c r="A42">
        <f>'Flux maps Refractor final'!P72</f>
        <v>0.21050970556675708</v>
      </c>
      <c r="B42">
        <f>'Flux maps Refractor final'!R72</f>
        <v>2.2044524817262479E-2</v>
      </c>
      <c r="C42">
        <f>'Flux maps Refractor final'!I72</f>
        <v>46.021553792956176</v>
      </c>
      <c r="D42">
        <f t="shared" si="0"/>
        <v>45.811044087389419</v>
      </c>
      <c r="E42">
        <f t="shared" si="3"/>
        <v>39</v>
      </c>
      <c r="F42">
        <f t="shared" si="1"/>
        <v>3.5107768964780881</v>
      </c>
      <c r="G42">
        <f t="shared" si="2"/>
        <v>3.4055220436947096</v>
      </c>
      <c r="H42">
        <f>TAN(RADIANS(90 - Table1[[#This Row],[Orientation of Reflector start]]))</f>
        <v>16.299541690183936</v>
      </c>
      <c r="I42">
        <f>Table1[[#This Row],[Angle Theta]]*Table1[[#This Row],[Fudge points]]</f>
        <v>0.21050970556675708</v>
      </c>
      <c r="J42">
        <f>J41-Table1[[#This Row],[Fudged da]]</f>
        <v>45.811044087389419</v>
      </c>
      <c r="K42">
        <v>1</v>
      </c>
    </row>
    <row r="43" spans="1:11" x14ac:dyDescent="0.25">
      <c r="A43">
        <f>'Flux maps Refractor final'!P73</f>
        <v>3.3733236189590343E-3</v>
      </c>
      <c r="B43">
        <f>'Flux maps Refractor final'!R73</f>
        <v>3.5325362331675454E-4</v>
      </c>
      <c r="C43">
        <f>'Flux maps Refractor final'!I73</f>
        <v>45.811044087389419</v>
      </c>
      <c r="D43">
        <f t="shared" si="0"/>
        <v>45.80767076377046</v>
      </c>
      <c r="E43">
        <f t="shared" si="3"/>
        <v>40</v>
      </c>
      <c r="F43">
        <f t="shared" si="1"/>
        <v>2.9055220436947096</v>
      </c>
      <c r="G43">
        <f>(D43-E43)/2</f>
        <v>2.90383538188523</v>
      </c>
      <c r="H43">
        <f>TAN(RADIANS(90 - Table1[[#This Row],[Orientation of Reflector start]]))</f>
        <v>19.702709642342217</v>
      </c>
      <c r="I43">
        <f>Table1[[#This Row],[Angle Theta]]*Table1[[#This Row],[Fudge points]]</f>
        <v>3.3733236189590343E-3</v>
      </c>
      <c r="J43">
        <f>J42-Table1[[#This Row],[Fudged da]]</f>
        <v>45.80767076377046</v>
      </c>
      <c r="K43">
        <v>1</v>
      </c>
    </row>
    <row r="45" spans="1:11" x14ac:dyDescent="0.25">
      <c r="I45" t="s">
        <v>93</v>
      </c>
      <c r="J45" t="s">
        <v>94</v>
      </c>
    </row>
    <row r="46" spans="1:11" x14ac:dyDescent="0.25">
      <c r="F46" t="s">
        <v>95</v>
      </c>
      <c r="I46">
        <v>1.4910000000000001</v>
      </c>
      <c r="J46">
        <f>DEGREES(ASIN(1/I46))</f>
        <v>42.120404378350827</v>
      </c>
    </row>
    <row r="47" spans="1:11" x14ac:dyDescent="0.25">
      <c r="F47">
        <v>-3</v>
      </c>
      <c r="G47">
        <v>0</v>
      </c>
    </row>
    <row r="48" spans="1:11" x14ac:dyDescent="0.25">
      <c r="C48" t="s">
        <v>96</v>
      </c>
      <c r="F48" t="s">
        <v>97</v>
      </c>
    </row>
    <row r="49" spans="1:37" x14ac:dyDescent="0.25">
      <c r="F49">
        <f>-B2</f>
        <v>-6</v>
      </c>
      <c r="G49">
        <v>0</v>
      </c>
      <c r="K49" t="s">
        <v>98</v>
      </c>
      <c r="L49" t="s">
        <v>99</v>
      </c>
    </row>
    <row r="50" spans="1:37" x14ac:dyDescent="0.25">
      <c r="A50" t="s">
        <v>100</v>
      </c>
      <c r="B50" t="s">
        <v>101</v>
      </c>
      <c r="C50" t="s">
        <v>102</v>
      </c>
      <c r="D50" t="s">
        <v>103</v>
      </c>
      <c r="E50" t="s">
        <v>104</v>
      </c>
      <c r="F50" t="s">
        <v>105</v>
      </c>
      <c r="G50" t="s">
        <v>106</v>
      </c>
      <c r="H50" t="s">
        <v>107</v>
      </c>
      <c r="I50" t="s">
        <v>108</v>
      </c>
      <c r="K50">
        <f>F49</f>
        <v>-6</v>
      </c>
      <c r="L50">
        <f>G49</f>
        <v>0</v>
      </c>
    </row>
    <row r="51" spans="1:37" x14ac:dyDescent="0.25">
      <c r="A51">
        <f t="shared" ref="A51:A90" si="4">DEGREES(O59)</f>
        <v>1</v>
      </c>
      <c r="B51">
        <f>DEGREES(N59)</f>
        <v>90</v>
      </c>
      <c r="C51">
        <f t="shared" ref="C51:C90" si="5">I4</f>
        <v>2.042384392183294</v>
      </c>
      <c r="D51">
        <f t="shared" ref="D51:D90" si="6">B51-C51</f>
        <v>87.957615607816706</v>
      </c>
      <c r="E51">
        <f>F49</f>
        <v>-6</v>
      </c>
      <c r="F51">
        <f t="shared" ref="F51:F90" si="7">E51*RADIANS(C51)*TAN( (RADIANS(B51)-RADIANS(A51))/2)</f>
        <v>-0.21017731876433832</v>
      </c>
      <c r="G51">
        <f t="shared" ref="G51:G90" si="8">E51*RADIANS(C51)/F51</f>
        <v>1.0176073929721254</v>
      </c>
      <c r="H51">
        <f t="shared" ref="H51:H90" si="9">TAN(RADIANS(90) - RADIANS(D51))</f>
        <v>3.5661438047477602E-2</v>
      </c>
      <c r="I51">
        <f>G49 - (E51*G51)</f>
        <v>6.1056443578327526</v>
      </c>
      <c r="K51">
        <f t="shared" ref="K51:K90" si="10">I51/(H51-G51)</f>
        <v>-6.2179026525968881</v>
      </c>
      <c r="L51">
        <f t="shared" ref="L51:L90" si="11">H51*K51</f>
        <v>-0.22173935023083058</v>
      </c>
    </row>
    <row r="52" spans="1:37" x14ac:dyDescent="0.25">
      <c r="A52">
        <f t="shared" si="4"/>
        <v>2</v>
      </c>
      <c r="B52">
        <f t="shared" ref="B52:B90" si="12">D51</f>
        <v>87.957615607816706</v>
      </c>
      <c r="C52">
        <f t="shared" si="5"/>
        <v>1.4659469824652831</v>
      </c>
      <c r="D52">
        <f t="shared" si="6"/>
        <v>86.491668625351423</v>
      </c>
      <c r="E52">
        <f t="shared" ref="E52:E90" si="13">K51</f>
        <v>-6.2179026525968881</v>
      </c>
      <c r="F52">
        <f t="shared" si="7"/>
        <v>-0.1482427133397709</v>
      </c>
      <c r="G52">
        <f t="shared" si="8"/>
        <v>1.0731642444609109</v>
      </c>
      <c r="H52">
        <f t="shared" si="9"/>
        <v>6.1308575327458918E-2</v>
      </c>
      <c r="I52">
        <f t="shared" ref="I52:I90" si="14">L51 - G52*E52</f>
        <v>6.4510914520748024</v>
      </c>
      <c r="K52">
        <f t="shared" si="10"/>
        <v>-6.3755055675079477</v>
      </c>
      <c r="L52">
        <f t="shared" si="11"/>
        <v>-0.39087316333619471</v>
      </c>
      <c r="AJ52" t="s">
        <v>109</v>
      </c>
    </row>
    <row r="53" spans="1:37" x14ac:dyDescent="0.25">
      <c r="A53">
        <f t="shared" si="4"/>
        <v>3.0000000000000004</v>
      </c>
      <c r="B53">
        <f t="shared" si="12"/>
        <v>86.491668625351423</v>
      </c>
      <c r="C53">
        <f t="shared" si="5"/>
        <v>1.4140575818258867</v>
      </c>
      <c r="D53">
        <f t="shared" si="6"/>
        <v>85.077611043525536</v>
      </c>
      <c r="E53">
        <f t="shared" si="13"/>
        <v>-6.3755055675079477</v>
      </c>
      <c r="F53">
        <f t="shared" si="7"/>
        <v>-0.14041721703212859</v>
      </c>
      <c r="G53">
        <f t="shared" si="8"/>
        <v>1.1205693264448946</v>
      </c>
      <c r="H53">
        <f t="shared" si="9"/>
        <v>8.6123887958460946E-2</v>
      </c>
      <c r="I53">
        <f t="shared" si="14"/>
        <v>6.7533228161918624</v>
      </c>
      <c r="K53">
        <f t="shared" si="10"/>
        <v>-6.5284475767741803</v>
      </c>
      <c r="L53">
        <f t="shared" si="11"/>
        <v>-0.56225528764478538</v>
      </c>
      <c r="AC53" t="s">
        <v>110</v>
      </c>
      <c r="AG53" s="2" t="s">
        <v>111</v>
      </c>
      <c r="AJ53" t="s">
        <v>112</v>
      </c>
      <c r="AK53" t="s">
        <v>113</v>
      </c>
    </row>
    <row r="54" spans="1:37" x14ac:dyDescent="0.25">
      <c r="A54">
        <f t="shared" si="4"/>
        <v>4</v>
      </c>
      <c r="B54">
        <f t="shared" si="12"/>
        <v>85.077611043525536</v>
      </c>
      <c r="C54">
        <f t="shared" si="5"/>
        <v>1.3844669972684756</v>
      </c>
      <c r="D54">
        <f t="shared" si="6"/>
        <v>83.693144046257061</v>
      </c>
      <c r="E54">
        <f t="shared" si="13"/>
        <v>-6.5284475767741803</v>
      </c>
      <c r="F54">
        <f t="shared" si="7"/>
        <v>-0.13491627679513415</v>
      </c>
      <c r="G54">
        <f t="shared" si="8"/>
        <v>1.1692450729491748</v>
      </c>
      <c r="H54">
        <f t="shared" si="9"/>
        <v>0.11052214683239621</v>
      </c>
      <c r="I54">
        <f t="shared" si="14"/>
        <v>7.0710998755054044</v>
      </c>
      <c r="K54">
        <f t="shared" si="10"/>
        <v>-6.6788955836075408</v>
      </c>
      <c r="L54">
        <f t="shared" si="11"/>
        <v>-0.73816587836971514</v>
      </c>
      <c r="R54" t="s">
        <v>97</v>
      </c>
      <c r="AC54" s="1">
        <f t="shared" ref="AC54:AC93" si="15">P59</f>
        <v>-5</v>
      </c>
      <c r="AD54" s="1">
        <v>0</v>
      </c>
      <c r="AF54" t="e">
        <f t="shared" ref="AF54:AF94" si="16">DEGREES(ATAN(AC54/AD54))</f>
        <v>#DIV/0!</v>
      </c>
      <c r="AG54">
        <v>90</v>
      </c>
      <c r="AJ54">
        <f>R55</f>
        <v>-5</v>
      </c>
      <c r="AK54">
        <v>0</v>
      </c>
    </row>
    <row r="55" spans="1:37" x14ac:dyDescent="0.25">
      <c r="A55">
        <f t="shared" si="4"/>
        <v>5</v>
      </c>
      <c r="B55">
        <f t="shared" si="12"/>
        <v>83.693144046257061</v>
      </c>
      <c r="C55">
        <f t="shared" si="5"/>
        <v>1.3617804079302687</v>
      </c>
      <c r="D55">
        <f t="shared" si="6"/>
        <v>82.331363638326792</v>
      </c>
      <c r="E55">
        <f t="shared" si="13"/>
        <v>-6.6788955836075408</v>
      </c>
      <c r="F55">
        <f t="shared" si="7"/>
        <v>-0.13014361497160318</v>
      </c>
      <c r="G55">
        <f t="shared" si="8"/>
        <v>1.2197371099238599</v>
      </c>
      <c r="H55">
        <f t="shared" si="9"/>
        <v>0.13464794038020947</v>
      </c>
      <c r="I55">
        <f t="shared" si="14"/>
        <v>7.408330918262978</v>
      </c>
      <c r="J55" s="1"/>
      <c r="K55">
        <f t="shared" si="10"/>
        <v>-6.8273936614616257</v>
      </c>
      <c r="L55">
        <f t="shared" si="11"/>
        <v>-0.91929449468070501</v>
      </c>
      <c r="R55">
        <v>-5</v>
      </c>
      <c r="S55">
        <v>0</v>
      </c>
      <c r="AC55" s="1">
        <f t="shared" si="15"/>
        <v>-5.1815855438307405</v>
      </c>
      <c r="AD55" s="1">
        <f t="shared" ref="AD55:AD94" si="17">AD54+T59</f>
        <v>-0.17823166117470809</v>
      </c>
      <c r="AF55">
        <f t="shared" si="16"/>
        <v>88.029966450007848</v>
      </c>
      <c r="AG55" s="14">
        <f t="shared" ref="AG55:AG94" si="18">D4</f>
        <v>87.957615607816706</v>
      </c>
      <c r="AH55">
        <f t="shared" ref="AH55:AH94" si="19">DEGREES(ATAN(X59/Y59))</f>
        <v>87.957615607816706</v>
      </c>
      <c r="AJ55">
        <f t="shared" ref="AJ55:AJ94" si="20">X59</f>
        <v>-5.1815855438307405</v>
      </c>
      <c r="AK55">
        <f t="shared" ref="AK55:AK94" si="21">Y59</f>
        <v>-0.18478279185902549</v>
      </c>
    </row>
    <row r="56" spans="1:37" x14ac:dyDescent="0.25">
      <c r="A56">
        <f t="shared" si="4"/>
        <v>6.0000000000000009</v>
      </c>
      <c r="B56">
        <f t="shared" si="12"/>
        <v>82.331363638326792</v>
      </c>
      <c r="C56">
        <f t="shared" si="5"/>
        <v>1.3425846072066605</v>
      </c>
      <c r="D56">
        <f t="shared" si="6"/>
        <v>80.988779031120131</v>
      </c>
      <c r="E56">
        <f t="shared" si="13"/>
        <v>-6.8273936614616257</v>
      </c>
      <c r="F56">
        <f t="shared" si="7"/>
        <v>-0.12573915724265647</v>
      </c>
      <c r="G56">
        <f t="shared" si="8"/>
        <v>1.2723407320353075</v>
      </c>
      <c r="H56">
        <f t="shared" si="9"/>
        <v>0.15858520224815867</v>
      </c>
      <c r="I56">
        <f t="shared" si="14"/>
        <v>7.7674765544365973</v>
      </c>
      <c r="J56" s="1"/>
      <c r="K56">
        <f t="shared" si="10"/>
        <v>-6.9741306298349413</v>
      </c>
      <c r="L56">
        <f t="shared" si="11"/>
        <v>-1.1059939164374524</v>
      </c>
      <c r="AC56" s="1">
        <f t="shared" si="15"/>
        <v>-5.312921306256623</v>
      </c>
      <c r="AD56" s="1">
        <f t="shared" si="17"/>
        <v>-0.31080564405646693</v>
      </c>
      <c r="AF56">
        <f t="shared" si="16"/>
        <v>86.652015348109558</v>
      </c>
      <c r="AG56" s="14">
        <f t="shared" si="18"/>
        <v>86.491668625351423</v>
      </c>
      <c r="AH56">
        <f t="shared" si="19"/>
        <v>86.491668625351423</v>
      </c>
      <c r="AJ56">
        <f t="shared" si="20"/>
        <v>-5.312921306256623</v>
      </c>
      <c r="AK56">
        <f t="shared" si="21"/>
        <v>-0.32572763611349559</v>
      </c>
    </row>
    <row r="57" spans="1:37" ht="28.9" customHeight="1" x14ac:dyDescent="0.25">
      <c r="A57">
        <f t="shared" si="4"/>
        <v>7</v>
      </c>
      <c r="B57">
        <f t="shared" si="12"/>
        <v>80.988779031120131</v>
      </c>
      <c r="C57">
        <f t="shared" si="5"/>
        <v>1.3257035339527334</v>
      </c>
      <c r="D57">
        <f t="shared" si="6"/>
        <v>79.663075497167398</v>
      </c>
      <c r="E57">
        <f t="shared" si="13"/>
        <v>-6.9741306298349413</v>
      </c>
      <c r="F57">
        <f t="shared" si="7"/>
        <v>-0.12157374193464755</v>
      </c>
      <c r="G57">
        <f t="shared" si="8"/>
        <v>1.3273152225124814</v>
      </c>
      <c r="H57">
        <f t="shared" si="9"/>
        <v>0.18239661608213256</v>
      </c>
      <c r="I57">
        <f t="shared" si="14"/>
        <v>8.1508758323330248</v>
      </c>
      <c r="J57" s="1"/>
      <c r="K57">
        <f t="shared" si="10"/>
        <v>-7.1191749234873534</v>
      </c>
      <c r="L57">
        <f t="shared" si="11"/>
        <v>-1.2985134153408682</v>
      </c>
      <c r="N57" s="16" t="s">
        <v>114</v>
      </c>
      <c r="O57" s="1" t="s">
        <v>115</v>
      </c>
      <c r="P57" s="1"/>
      <c r="Q57" s="1"/>
      <c r="R57" s="1"/>
      <c r="S57" s="1"/>
      <c r="T57" s="1"/>
      <c r="AC57" s="1">
        <f t="shared" si="15"/>
        <v>-5.44037298064515</v>
      </c>
      <c r="AD57" s="1">
        <f t="shared" si="17"/>
        <v>-0.44192833264893266</v>
      </c>
      <c r="AF57">
        <f t="shared" si="16"/>
        <v>85.355988460247374</v>
      </c>
      <c r="AG57" s="14">
        <f t="shared" si="18"/>
        <v>85.077611043525536</v>
      </c>
      <c r="AH57">
        <f t="shared" si="19"/>
        <v>85.077611043525536</v>
      </c>
      <c r="AJ57">
        <f t="shared" si="20"/>
        <v>-5.44037298064515</v>
      </c>
      <c r="AK57">
        <f t="shared" si="21"/>
        <v>-0.4685460730373211</v>
      </c>
    </row>
    <row r="58" spans="1:37" x14ac:dyDescent="0.25">
      <c r="A58">
        <f t="shared" si="4"/>
        <v>8</v>
      </c>
      <c r="B58">
        <f t="shared" si="12"/>
        <v>79.663075497167398</v>
      </c>
      <c r="C58">
        <f t="shared" si="5"/>
        <v>1.3106044362966287</v>
      </c>
      <c r="D58">
        <f t="shared" si="6"/>
        <v>78.352471060870769</v>
      </c>
      <c r="E58">
        <f t="shared" si="13"/>
        <v>-7.1191749234873534</v>
      </c>
      <c r="F58">
        <f t="shared" si="7"/>
        <v>-0.11758498062207959</v>
      </c>
      <c r="G58">
        <f t="shared" si="8"/>
        <v>1.3849267804785619</v>
      </c>
      <c r="H58">
        <f t="shared" si="9"/>
        <v>0.20613515753128758</v>
      </c>
      <c r="I58">
        <f t="shared" si="14"/>
        <v>8.5610225911081841</v>
      </c>
      <c r="J58" s="1"/>
      <c r="K58">
        <f t="shared" si="10"/>
        <v>-7.2625410839818176</v>
      </c>
      <c r="L58">
        <f t="shared" si="11"/>
        <v>-1.4970650504240401</v>
      </c>
      <c r="N58" s="1" t="s">
        <v>116</v>
      </c>
      <c r="O58" s="1" t="s">
        <v>117</v>
      </c>
      <c r="P58" s="1" t="s">
        <v>104</v>
      </c>
      <c r="Q58" s="1" t="s">
        <v>118</v>
      </c>
      <c r="R58" s="1" t="s">
        <v>105</v>
      </c>
      <c r="S58" s="1" t="s">
        <v>119</v>
      </c>
      <c r="T58" s="1" t="s">
        <v>120</v>
      </c>
      <c r="U58" s="1" t="s">
        <v>121</v>
      </c>
      <c r="V58" s="1" t="s">
        <v>122</v>
      </c>
      <c r="W58" s="1" t="s">
        <v>108</v>
      </c>
      <c r="X58" s="1" t="s">
        <v>123</v>
      </c>
      <c r="Y58" s="1" t="s">
        <v>124</v>
      </c>
      <c r="Z58" s="1"/>
      <c r="AA58" s="1"/>
      <c r="AC58" s="1">
        <f t="shared" si="15"/>
        <v>-5.5657463196729502</v>
      </c>
      <c r="AD58" s="1">
        <f t="shared" si="17"/>
        <v>-0.57338682590173073</v>
      </c>
      <c r="AF58">
        <f t="shared" si="16"/>
        <v>84.118101451655647</v>
      </c>
      <c r="AG58" s="14">
        <f t="shared" si="18"/>
        <v>83.693144046257061</v>
      </c>
      <c r="AH58">
        <f t="shared" si="19"/>
        <v>83.693144046257061</v>
      </c>
      <c r="AJ58">
        <f t="shared" si="20"/>
        <v>-5.5657463196729502</v>
      </c>
      <c r="AK58">
        <f t="shared" si="21"/>
        <v>-0.61513823197476258</v>
      </c>
    </row>
    <row r="59" spans="1:37" x14ac:dyDescent="0.25">
      <c r="A59">
        <f t="shared" si="4"/>
        <v>9</v>
      </c>
      <c r="B59">
        <f t="shared" si="12"/>
        <v>78.352471060870769</v>
      </c>
      <c r="C59">
        <f t="shared" si="5"/>
        <v>1.2969894930543262</v>
      </c>
      <c r="D59">
        <f t="shared" si="6"/>
        <v>77.055481567816443</v>
      </c>
      <c r="E59">
        <f t="shared" si="13"/>
        <v>-7.2625410839818176</v>
      </c>
      <c r="F59">
        <f t="shared" si="7"/>
        <v>-0.11373526532493568</v>
      </c>
      <c r="G59">
        <f t="shared" si="8"/>
        <v>1.4454640091418629</v>
      </c>
      <c r="H59">
        <f t="shared" si="9"/>
        <v>0.22984847031265226</v>
      </c>
      <c r="I59">
        <f t="shared" si="14"/>
        <v>9.0006767013858102</v>
      </c>
      <c r="J59" s="1"/>
      <c r="K59">
        <f t="shared" si="10"/>
        <v>-7.4042132679996699</v>
      </c>
      <c r="L59">
        <f t="shared" si="11"/>
        <v>-1.701847093518368</v>
      </c>
      <c r="N59" s="1">
        <f t="shared" ref="N59:N98" si="22">RADIANS(C4)</f>
        <v>1.5707963267948966</v>
      </c>
      <c r="O59" s="1">
        <f t="shared" ref="O59:O98" si="23">RADIANS(E4)</f>
        <v>1.7453292519943295E-2</v>
      </c>
      <c r="P59" s="1">
        <f>R55</f>
        <v>-5</v>
      </c>
      <c r="Q59" s="1">
        <f t="shared" ref="Q59:Q98" si="24">RADIANS(A4)</f>
        <v>3.5646332234941618E-2</v>
      </c>
      <c r="R59" s="1">
        <f t="shared" ref="R59:R98" si="25">P59*Q59*TAN( (N59-O59)/2)</f>
        <v>-0.17514776563694862</v>
      </c>
      <c r="S59" s="1">
        <f t="shared" ref="S59:S98" si="26">P59+R59</f>
        <v>-5.1751477656369484</v>
      </c>
      <c r="T59" s="1">
        <f t="shared" ref="T59:T98" si="27">P59*Q59</f>
        <v>-0.17823166117470809</v>
      </c>
      <c r="U59">
        <f t="shared" ref="U59:U98" si="28">T59/R59</f>
        <v>1.0176073929721254</v>
      </c>
      <c r="V59">
        <f t="shared" ref="V59:V98" si="29">TAN(RADIANS(90)-RADIANS(AG55))</f>
        <v>3.5661438047477602E-2</v>
      </c>
      <c r="W59">
        <f>S55 - P59*U59</f>
        <v>5.0880369648606276</v>
      </c>
      <c r="X59">
        <f t="shared" ref="X59:X98" si="30">W59/(V59-U59)</f>
        <v>-5.1815855438307405</v>
      </c>
      <c r="Y59">
        <f t="shared" ref="Y59:Y98" si="31">X59*V59</f>
        <v>-0.18478279185902549</v>
      </c>
      <c r="AC59" s="1">
        <f t="shared" si="15"/>
        <v>-5.6894947178846866</v>
      </c>
      <c r="AD59" s="1">
        <f t="shared" si="17"/>
        <v>-0.70567098990215316</v>
      </c>
      <c r="AF59">
        <f t="shared" si="16"/>
        <v>82.929682687637452</v>
      </c>
      <c r="AG59" s="14">
        <f t="shared" si="18"/>
        <v>82.331363638326792</v>
      </c>
      <c r="AH59">
        <f t="shared" si="19"/>
        <v>82.331363638326792</v>
      </c>
      <c r="AJ59">
        <f t="shared" si="20"/>
        <v>-5.6894947178846866</v>
      </c>
      <c r="AK59">
        <f t="shared" si="21"/>
        <v>-0.76607874556725397</v>
      </c>
    </row>
    <row r="60" spans="1:37" x14ac:dyDescent="0.25">
      <c r="A60">
        <f t="shared" si="4"/>
        <v>10</v>
      </c>
      <c r="B60">
        <f t="shared" si="12"/>
        <v>77.055481567816443</v>
      </c>
      <c r="C60">
        <f t="shared" si="5"/>
        <v>1.2846606703436265</v>
      </c>
      <c r="D60">
        <f t="shared" si="6"/>
        <v>75.770820897472817</v>
      </c>
      <c r="E60">
        <f t="shared" si="13"/>
        <v>-7.4042132679996699</v>
      </c>
      <c r="F60">
        <f t="shared" si="7"/>
        <v>-0.1099978990454251</v>
      </c>
      <c r="G60">
        <f t="shared" si="8"/>
        <v>1.5092470141834766</v>
      </c>
      <c r="H60">
        <f t="shared" si="9"/>
        <v>0.25358085023686722</v>
      </c>
      <c r="I60">
        <f t="shared" si="14"/>
        <v>9.4729396735878169</v>
      </c>
      <c r="J60" s="1"/>
      <c r="K60">
        <f t="shared" si="10"/>
        <v>-7.5441546054040236</v>
      </c>
      <c r="L60">
        <f t="shared" si="11"/>
        <v>-1.9130531391567298</v>
      </c>
      <c r="N60" s="1">
        <f t="shared" si="22"/>
        <v>1.5351499945599549</v>
      </c>
      <c r="O60" s="1">
        <f t="shared" si="23"/>
        <v>3.4906585039886591E-2</v>
      </c>
      <c r="P60" s="1">
        <f t="shared" ref="P60:P98" si="32">X59</f>
        <v>-5.1815855438307405</v>
      </c>
      <c r="Q60" s="1">
        <f t="shared" si="24"/>
        <v>2.5585601503694769E-2</v>
      </c>
      <c r="R60" s="1">
        <f t="shared" si="25"/>
        <v>-0.12353559444980908</v>
      </c>
      <c r="S60" s="1">
        <f t="shared" si="26"/>
        <v>-5.3051211382805494</v>
      </c>
      <c r="T60" s="1">
        <f t="shared" si="27"/>
        <v>-0.13257398288175887</v>
      </c>
      <c r="U60">
        <f t="shared" si="28"/>
        <v>1.0731642444609111</v>
      </c>
      <c r="V60">
        <f t="shared" si="29"/>
        <v>6.1308575327458918E-2</v>
      </c>
      <c r="W60">
        <f t="shared" ref="W60:W98" si="33">Y59- U60*P60</f>
        <v>5.3759095433956698</v>
      </c>
      <c r="X60">
        <f t="shared" si="30"/>
        <v>-5.312921306256623</v>
      </c>
      <c r="Y60">
        <f t="shared" si="31"/>
        <v>-0.32572763611349559</v>
      </c>
      <c r="AC60" s="1">
        <f t="shared" si="15"/>
        <v>-5.8117755248624494</v>
      </c>
      <c r="AD60" s="1">
        <f t="shared" si="17"/>
        <v>-0.83899019937850661</v>
      </c>
      <c r="AF60">
        <f t="shared" si="16"/>
        <v>81.785508170488214</v>
      </c>
      <c r="AG60" s="14">
        <f t="shared" si="18"/>
        <v>80.988779031120131</v>
      </c>
      <c r="AH60">
        <f t="shared" si="19"/>
        <v>80.988779031120131</v>
      </c>
      <c r="AJ60">
        <f t="shared" si="20"/>
        <v>-5.8117755248624494</v>
      </c>
      <c r="AK60">
        <f t="shared" si="21"/>
        <v>-0.92166159703121009</v>
      </c>
    </row>
    <row r="61" spans="1:37" x14ac:dyDescent="0.25">
      <c r="A61">
        <f t="shared" si="4"/>
        <v>11</v>
      </c>
      <c r="B61">
        <f t="shared" si="12"/>
        <v>75.770820897472817</v>
      </c>
      <c r="C61">
        <f t="shared" si="5"/>
        <v>1.2734662951433933</v>
      </c>
      <c r="D61">
        <f t="shared" si="6"/>
        <v>74.497354602329423</v>
      </c>
      <c r="E61">
        <f t="shared" si="13"/>
        <v>-7.5441546054040236</v>
      </c>
      <c r="F61">
        <f t="shared" si="7"/>
        <v>-0.1063516444840646</v>
      </c>
      <c r="G61">
        <f t="shared" si="8"/>
        <v>1.5766351073951934</v>
      </c>
      <c r="H61">
        <f t="shared" si="9"/>
        <v>0.27737426654912212</v>
      </c>
      <c r="I61">
        <f t="shared" si="14"/>
        <v>9.9813258673403862</v>
      </c>
      <c r="J61" s="1"/>
      <c r="K61">
        <f t="shared" si="10"/>
        <v>-7.682311013730394</v>
      </c>
      <c r="L61">
        <f t="shared" si="11"/>
        <v>-2.1308753828357108</v>
      </c>
      <c r="N61" s="1">
        <f t="shared" si="22"/>
        <v>1.5095643930562601</v>
      </c>
      <c r="O61" s="1">
        <f t="shared" si="23"/>
        <v>5.235987755982989E-2</v>
      </c>
      <c r="P61" s="1">
        <f t="shared" si="32"/>
        <v>-5.312921306256623</v>
      </c>
      <c r="Q61" s="1">
        <f t="shared" si="24"/>
        <v>2.4679960615650854E-2</v>
      </c>
      <c r="R61" s="1">
        <f t="shared" si="25"/>
        <v>-0.1170143475267738</v>
      </c>
      <c r="S61" s="1">
        <f t="shared" si="26"/>
        <v>-5.4299356537833967</v>
      </c>
      <c r="T61" s="1">
        <f t="shared" si="27"/>
        <v>-0.13112268859246573</v>
      </c>
      <c r="U61">
        <f t="shared" si="28"/>
        <v>1.1205693264448946</v>
      </c>
      <c r="V61">
        <f t="shared" si="29"/>
        <v>8.6123887958460946E-2</v>
      </c>
      <c r="W61">
        <f t="shared" si="33"/>
        <v>5.6277690134932179</v>
      </c>
      <c r="X61">
        <f t="shared" si="30"/>
        <v>-5.44037298064515</v>
      </c>
      <c r="Y61">
        <f t="shared" si="31"/>
        <v>-0.4685460730373211</v>
      </c>
      <c r="AC61" s="1">
        <f t="shared" si="15"/>
        <v>-5.932645769572793</v>
      </c>
      <c r="AD61" s="1">
        <f t="shared" si="17"/>
        <v>-0.97346243131822463</v>
      </c>
      <c r="AF61">
        <f t="shared" si="16"/>
        <v>80.681618599192305</v>
      </c>
      <c r="AG61" s="14">
        <f t="shared" si="18"/>
        <v>79.663075497167398</v>
      </c>
      <c r="AH61">
        <f t="shared" si="19"/>
        <v>79.663075497167398</v>
      </c>
      <c r="AJ61">
        <f t="shared" si="20"/>
        <v>-5.932645769572793</v>
      </c>
      <c r="AK61">
        <f t="shared" si="21"/>
        <v>-1.0820945127840567</v>
      </c>
    </row>
    <row r="62" spans="1:37" x14ac:dyDescent="0.25">
      <c r="A62">
        <f t="shared" si="4"/>
        <v>12.000000000000002</v>
      </c>
      <c r="B62">
        <f t="shared" si="12"/>
        <v>74.497354602329423</v>
      </c>
      <c r="C62">
        <f t="shared" si="5"/>
        <v>1.263276682581747</v>
      </c>
      <c r="D62">
        <f t="shared" si="6"/>
        <v>73.234077919747676</v>
      </c>
      <c r="E62">
        <f t="shared" si="13"/>
        <v>-7.682311013730394</v>
      </c>
      <c r="F62">
        <f t="shared" si="7"/>
        <v>-0.10277828348053065</v>
      </c>
      <c r="G62">
        <f t="shared" si="8"/>
        <v>1.6480347801157196</v>
      </c>
      <c r="H62">
        <f t="shared" si="9"/>
        <v>0.30126892885818468</v>
      </c>
      <c r="I62">
        <f t="shared" si="14"/>
        <v>10.52984035945803</v>
      </c>
      <c r="J62" s="1"/>
      <c r="K62">
        <f t="shared" si="10"/>
        <v>-7.8186125298810119</v>
      </c>
      <c r="L62">
        <f t="shared" si="11"/>
        <v>-2.3555050220344338</v>
      </c>
      <c r="N62" s="1">
        <f t="shared" si="22"/>
        <v>1.4848844324406094</v>
      </c>
      <c r="O62" s="1">
        <f t="shared" si="23"/>
        <v>6.9813170079773182E-2</v>
      </c>
      <c r="P62" s="1">
        <f t="shared" si="32"/>
        <v>-5.44037298064515</v>
      </c>
      <c r="Q62" s="1">
        <f t="shared" si="24"/>
        <v>2.4163507487534239E-2</v>
      </c>
      <c r="R62" s="1">
        <f t="shared" si="25"/>
        <v>-0.11243023066261176</v>
      </c>
      <c r="S62" s="1">
        <f t="shared" si="26"/>
        <v>-5.5528032113077614</v>
      </c>
      <c r="T62" s="1">
        <f t="shared" si="27"/>
        <v>-0.13145849325279804</v>
      </c>
      <c r="U62">
        <f t="shared" si="28"/>
        <v>1.1692450729491748</v>
      </c>
      <c r="V62">
        <f t="shared" si="29"/>
        <v>0.11052214683239621</v>
      </c>
      <c r="W62">
        <f t="shared" si="33"/>
        <v>5.8925832295878369</v>
      </c>
      <c r="X62">
        <f t="shared" si="30"/>
        <v>-5.5657463196729502</v>
      </c>
      <c r="Y62">
        <f t="shared" si="31"/>
        <v>-0.61513823197476258</v>
      </c>
      <c r="AC62" s="1">
        <f t="shared" si="15"/>
        <v>-6.0521175699848468</v>
      </c>
      <c r="AD62" s="1">
        <f t="shared" si="17"/>
        <v>-1.1091679218562003</v>
      </c>
      <c r="AF62">
        <f t="shared" si="16"/>
        <v>79.614686528082515</v>
      </c>
      <c r="AG62" s="14">
        <f t="shared" si="18"/>
        <v>78.352471060870769</v>
      </c>
      <c r="AH62">
        <f t="shared" si="19"/>
        <v>78.352471060870769</v>
      </c>
      <c r="AJ62">
        <f t="shared" si="20"/>
        <v>-6.0521175699848468</v>
      </c>
      <c r="AK62">
        <f t="shared" si="21"/>
        <v>-1.2475542086866998</v>
      </c>
    </row>
    <row r="63" spans="1:37" x14ac:dyDescent="0.25">
      <c r="A63">
        <f t="shared" si="4"/>
        <v>13</v>
      </c>
      <c r="B63">
        <f t="shared" si="12"/>
        <v>73.234077919747676</v>
      </c>
      <c r="C63">
        <f t="shared" si="5"/>
        <v>1.253971429269086</v>
      </c>
      <c r="D63">
        <f t="shared" si="6"/>
        <v>71.98010649047859</v>
      </c>
      <c r="E63">
        <f t="shared" si="13"/>
        <v>-7.8186125298810119</v>
      </c>
      <c r="F63">
        <f t="shared" si="7"/>
        <v>-9.9261407280273259E-2</v>
      </c>
      <c r="G63">
        <f t="shared" si="8"/>
        <v>1.7239087427621957</v>
      </c>
      <c r="H63">
        <f t="shared" si="9"/>
        <v>0.32530360244316447</v>
      </c>
      <c r="I63">
        <f t="shared" si="14"/>
        <v>11.123069474497491</v>
      </c>
      <c r="J63" s="1"/>
      <c r="K63">
        <f t="shared" si="10"/>
        <v>-7.9529733974524381</v>
      </c>
      <c r="L63">
        <f t="shared" si="11"/>
        <v>-2.587130896325931</v>
      </c>
      <c r="N63" s="1">
        <f t="shared" si="22"/>
        <v>1.460720924953075</v>
      </c>
      <c r="O63" s="1">
        <f t="shared" si="23"/>
        <v>8.7266462599716474E-2</v>
      </c>
      <c r="P63" s="1">
        <f t="shared" si="32"/>
        <v>-5.5657463196729502</v>
      </c>
      <c r="Q63" s="1">
        <f t="shared" si="24"/>
        <v>2.3767551807534686E-2</v>
      </c>
      <c r="R63" s="1">
        <f t="shared" si="25"/>
        <v>-0.10845301247633597</v>
      </c>
      <c r="S63" s="1">
        <f t="shared" si="26"/>
        <v>-5.6741993321492865</v>
      </c>
      <c r="T63" s="1">
        <f t="shared" si="27"/>
        <v>-0.13228416400042237</v>
      </c>
      <c r="U63">
        <f t="shared" si="28"/>
        <v>1.2197371099238599</v>
      </c>
      <c r="V63">
        <f t="shared" si="29"/>
        <v>0.13464794038020947</v>
      </c>
      <c r="W63">
        <f t="shared" si="33"/>
        <v>6.1736090985524807</v>
      </c>
      <c r="X63">
        <f t="shared" si="30"/>
        <v>-5.6894947178846866</v>
      </c>
      <c r="Y63">
        <f t="shared" si="31"/>
        <v>-0.76607874556725397</v>
      </c>
      <c r="AC63" s="1">
        <f t="shared" si="15"/>
        <v>-6.1701777233330573</v>
      </c>
      <c r="AD63" s="1">
        <f t="shared" si="17"/>
        <v>-1.2461681156873627</v>
      </c>
      <c r="AF63">
        <f t="shared" si="16"/>
        <v>78.58177967076665</v>
      </c>
      <c r="AG63" s="14">
        <f t="shared" si="18"/>
        <v>77.055481567816443</v>
      </c>
      <c r="AH63">
        <f t="shared" si="19"/>
        <v>77.055481567816443</v>
      </c>
      <c r="AJ63">
        <f t="shared" si="20"/>
        <v>-6.1701777233330573</v>
      </c>
      <c r="AK63">
        <f t="shared" si="21"/>
        <v>-1.4182059112653065</v>
      </c>
    </row>
    <row r="64" spans="1:37" x14ac:dyDescent="0.25">
      <c r="A64">
        <f t="shared" si="4"/>
        <v>14</v>
      </c>
      <c r="B64">
        <f t="shared" si="12"/>
        <v>71.98010649047859</v>
      </c>
      <c r="C64">
        <f t="shared" si="5"/>
        <v>1.2454317922949514</v>
      </c>
      <c r="D64">
        <f t="shared" si="6"/>
        <v>70.734674698183639</v>
      </c>
      <c r="E64">
        <f t="shared" si="13"/>
        <v>-7.9529733974524381</v>
      </c>
      <c r="F64">
        <f t="shared" si="7"/>
        <v>-9.5785768433820764E-2</v>
      </c>
      <c r="G64">
        <f t="shared" si="8"/>
        <v>1.8047865986096474</v>
      </c>
      <c r="H64">
        <f t="shared" si="9"/>
        <v>0.34951575767206866</v>
      </c>
      <c r="I64">
        <f t="shared" si="14"/>
        <v>11.766288910495266</v>
      </c>
      <c r="J64" s="1"/>
      <c r="K64">
        <f t="shared" si="10"/>
        <v>-8.0852914656866677</v>
      </c>
      <c r="L64">
        <f t="shared" si="11"/>
        <v>-2.8259367726289861</v>
      </c>
      <c r="N64" s="1">
        <f t="shared" si="22"/>
        <v>1.4369533731455404</v>
      </c>
      <c r="O64" s="1">
        <f t="shared" si="23"/>
        <v>0.10471975511965978</v>
      </c>
      <c r="P64" s="1">
        <f t="shared" si="32"/>
        <v>-5.6894947178846866</v>
      </c>
      <c r="Q64" s="1">
        <f t="shared" si="24"/>
        <v>2.3432521882351016E-2</v>
      </c>
      <c r="R64" s="1">
        <f t="shared" si="25"/>
        <v>-0.10478263103554704</v>
      </c>
      <c r="S64" s="1">
        <f t="shared" si="26"/>
        <v>-5.7942773489202333</v>
      </c>
      <c r="T64" s="1">
        <f t="shared" si="27"/>
        <v>-0.13331920947635345</v>
      </c>
      <c r="U64">
        <f t="shared" si="28"/>
        <v>1.2723407320353075</v>
      </c>
      <c r="V64">
        <f t="shared" si="29"/>
        <v>0.15858520224815867</v>
      </c>
      <c r="W64">
        <f t="shared" si="33"/>
        <v>6.4728971286971628</v>
      </c>
      <c r="X64">
        <f t="shared" si="30"/>
        <v>-5.8117755248624494</v>
      </c>
      <c r="Y64">
        <f t="shared" si="31"/>
        <v>-0.92166159703121009</v>
      </c>
      <c r="AC64" s="1">
        <f t="shared" si="15"/>
        <v>-6.2867955045033508</v>
      </c>
      <c r="AD64" s="1">
        <f t="shared" si="17"/>
        <v>-1.3845131162713322</v>
      </c>
      <c r="AF64">
        <f t="shared" si="16"/>
        <v>77.5802545633927</v>
      </c>
      <c r="AG64" s="14">
        <f t="shared" si="18"/>
        <v>75.770820897472817</v>
      </c>
      <c r="AH64">
        <f t="shared" si="19"/>
        <v>75.770820897472817</v>
      </c>
      <c r="AJ64">
        <f t="shared" si="20"/>
        <v>-6.2867955045033508</v>
      </c>
      <c r="AK64">
        <f t="shared" si="21"/>
        <v>-1.5942109492972742</v>
      </c>
    </row>
    <row r="65" spans="1:37" x14ac:dyDescent="0.25">
      <c r="A65">
        <f t="shared" si="4"/>
        <v>14.999999999999998</v>
      </c>
      <c r="B65">
        <f t="shared" si="12"/>
        <v>70.734674698183639</v>
      </c>
      <c r="C65">
        <f t="shared" si="5"/>
        <v>1.2375353711427692</v>
      </c>
      <c r="D65">
        <f t="shared" si="6"/>
        <v>69.49713932704087</v>
      </c>
      <c r="E65">
        <f t="shared" si="13"/>
        <v>-8.0852914656866677</v>
      </c>
      <c r="F65">
        <f t="shared" si="7"/>
        <v>-9.2336916009043229E-2</v>
      </c>
      <c r="G65">
        <f t="shared" si="8"/>
        <v>1.8912777067568782</v>
      </c>
      <c r="H65">
        <f t="shared" si="9"/>
        <v>0.37394158815460282</v>
      </c>
      <c r="I65">
        <f t="shared" si="14"/>
        <v>12.465594729055855</v>
      </c>
      <c r="J65" s="1"/>
      <c r="K65">
        <f t="shared" si="10"/>
        <v>-8.2154471749731943</v>
      </c>
      <c r="L65">
        <f t="shared" si="11"/>
        <v>-3.0720973640097213</v>
      </c>
      <c r="N65" s="1">
        <f t="shared" si="22"/>
        <v>1.4135208512631894</v>
      </c>
      <c r="O65" s="1">
        <f t="shared" si="23"/>
        <v>0.12217304763960307</v>
      </c>
      <c r="P65" s="1">
        <f t="shared" si="32"/>
        <v>-5.8117755248624494</v>
      </c>
      <c r="Q65" s="1">
        <f t="shared" si="24"/>
        <v>2.3137891572799635E-2</v>
      </c>
      <c r="R65" s="1">
        <f t="shared" si="25"/>
        <v>-0.10131145161220628</v>
      </c>
      <c r="S65" s="1">
        <f t="shared" si="26"/>
        <v>-5.9130869764746556</v>
      </c>
      <c r="T65" s="1">
        <f t="shared" si="27"/>
        <v>-0.13447223193971805</v>
      </c>
      <c r="U65">
        <f t="shared" si="28"/>
        <v>1.3273152225124811</v>
      </c>
      <c r="V65">
        <f t="shared" si="29"/>
        <v>0.18239661608213256</v>
      </c>
      <c r="W65">
        <f t="shared" si="33"/>
        <v>6.7923965269441844</v>
      </c>
      <c r="X65">
        <f t="shared" si="30"/>
        <v>-5.932645769572793</v>
      </c>
      <c r="Y65">
        <f t="shared" si="31"/>
        <v>-1.0820945127840567</v>
      </c>
      <c r="AC65" s="1">
        <f t="shared" si="15"/>
        <v>-6.4019258447753264</v>
      </c>
      <c r="AD65" s="1">
        <f t="shared" si="17"/>
        <v>-1.5242445632903228</v>
      </c>
      <c r="AF65">
        <f t="shared" si="16"/>
        <v>76.607701240385779</v>
      </c>
      <c r="AG65" s="14">
        <f t="shared" si="18"/>
        <v>74.497354602329423</v>
      </c>
      <c r="AH65">
        <f t="shared" si="19"/>
        <v>74.497354602329423</v>
      </c>
      <c r="AJ65">
        <f t="shared" si="20"/>
        <v>-6.4019258447753264</v>
      </c>
      <c r="AK65">
        <f t="shared" si="21"/>
        <v>-1.7757294856964252</v>
      </c>
    </row>
    <row r="66" spans="1:37" x14ac:dyDescent="0.25">
      <c r="A66">
        <f t="shared" si="4"/>
        <v>16</v>
      </c>
      <c r="B66">
        <f t="shared" si="12"/>
        <v>69.49713932704087</v>
      </c>
      <c r="C66">
        <f t="shared" si="5"/>
        <v>1.230151790583264</v>
      </c>
      <c r="D66">
        <f t="shared" si="6"/>
        <v>68.266987536457606</v>
      </c>
      <c r="E66">
        <f t="shared" si="13"/>
        <v>-8.2154471749731943</v>
      </c>
      <c r="F66">
        <f t="shared" si="7"/>
        <v>-8.8900989279126916E-2</v>
      </c>
      <c r="G66">
        <f t="shared" si="8"/>
        <v>1.9840868759783459</v>
      </c>
      <c r="H66">
        <f t="shared" si="9"/>
        <v>0.39861590648294604</v>
      </c>
      <c r="I66">
        <f t="shared" si="14"/>
        <v>13.228063556147969</v>
      </c>
      <c r="J66" s="1"/>
      <c r="K66">
        <f t="shared" si="10"/>
        <v>-8.3433022809354878</v>
      </c>
      <c r="L66">
        <f t="shared" si="11"/>
        <v>-3.325773001776331</v>
      </c>
      <c r="N66" s="1">
        <f t="shared" si="22"/>
        <v>1.3903829596903898</v>
      </c>
      <c r="O66" s="1">
        <f t="shared" si="23"/>
        <v>0.13962634015954636</v>
      </c>
      <c r="P66" s="1">
        <f t="shared" si="32"/>
        <v>-5.932645769572793</v>
      </c>
      <c r="Q66" s="1">
        <f t="shared" si="24"/>
        <v>2.287436260462045E-2</v>
      </c>
      <c r="R66" s="1">
        <f t="shared" si="25"/>
        <v>-9.7987483851732948E-2</v>
      </c>
      <c r="S66" s="1">
        <f t="shared" si="26"/>
        <v>-6.0306332534245257</v>
      </c>
      <c r="T66" s="1">
        <f t="shared" si="27"/>
        <v>-0.13570549053797559</v>
      </c>
      <c r="U66">
        <f t="shared" si="28"/>
        <v>1.3849267804785619</v>
      </c>
      <c r="V66">
        <f t="shared" si="29"/>
        <v>0.20613515753128758</v>
      </c>
      <c r="W66">
        <f t="shared" si="33"/>
        <v>7.1341854925901522</v>
      </c>
      <c r="X66">
        <f t="shared" si="30"/>
        <v>-6.0521175699848468</v>
      </c>
      <c r="Y66">
        <f t="shared" si="31"/>
        <v>-1.2475542086866998</v>
      </c>
      <c r="AC66" s="1">
        <f t="shared" si="15"/>
        <v>-6.5155104415675078</v>
      </c>
      <c r="AD66" s="1">
        <f t="shared" si="17"/>
        <v>-1.6653963848040789</v>
      </c>
      <c r="AF66">
        <f t="shared" si="16"/>
        <v>75.661910789502031</v>
      </c>
      <c r="AG66" s="14">
        <f t="shared" si="18"/>
        <v>73.234077919747676</v>
      </c>
      <c r="AH66">
        <f t="shared" si="19"/>
        <v>73.234077919747676</v>
      </c>
      <c r="AJ66">
        <f t="shared" si="20"/>
        <v>-6.5155104415675078</v>
      </c>
      <c r="AK66">
        <f t="shared" si="21"/>
        <v>-1.9629208516953609</v>
      </c>
    </row>
    <row r="67" spans="1:37" x14ac:dyDescent="0.25">
      <c r="A67">
        <f t="shared" si="4"/>
        <v>17</v>
      </c>
      <c r="B67">
        <f t="shared" si="12"/>
        <v>68.266987536457606</v>
      </c>
      <c r="C67">
        <f t="shared" si="5"/>
        <v>1.223138706767088</v>
      </c>
      <c r="D67">
        <f t="shared" si="6"/>
        <v>67.043848829690518</v>
      </c>
      <c r="E67">
        <f t="shared" si="13"/>
        <v>-8.3433022809354878</v>
      </c>
      <c r="F67">
        <f t="shared" si="7"/>
        <v>-8.5464611101113197E-2</v>
      </c>
      <c r="G67">
        <f t="shared" si="8"/>
        <v>2.0840336890550022</v>
      </c>
      <c r="H67">
        <f t="shared" si="9"/>
        <v>0.42357191084260531</v>
      </c>
      <c r="I67">
        <f t="shared" si="14"/>
        <v>14.061950029662668</v>
      </c>
      <c r="J67" s="1"/>
      <c r="K67">
        <f t="shared" si="10"/>
        <v>-8.4686984152091345</v>
      </c>
      <c r="L67">
        <f t="shared" si="11"/>
        <v>-3.5871027700798765</v>
      </c>
      <c r="N67" s="1">
        <f t="shared" si="22"/>
        <v>1.3675085970857692</v>
      </c>
      <c r="O67" s="1">
        <f t="shared" si="23"/>
        <v>0.15707963267948966</v>
      </c>
      <c r="P67" s="1">
        <f t="shared" si="32"/>
        <v>-6.0521175699848468</v>
      </c>
      <c r="Q67" s="1">
        <f t="shared" si="24"/>
        <v>2.2636737017570119E-2</v>
      </c>
      <c r="R67" s="1">
        <f t="shared" si="25"/>
        <v>-9.4779387770779711E-2</v>
      </c>
      <c r="S67" s="1">
        <f t="shared" si="26"/>
        <v>-6.1468969577556267</v>
      </c>
      <c r="T67" s="1">
        <f t="shared" si="27"/>
        <v>-0.13700019383116249</v>
      </c>
      <c r="U67">
        <f t="shared" si="28"/>
        <v>1.4454640091418629</v>
      </c>
      <c r="V67">
        <f t="shared" si="29"/>
        <v>0.22984847031265226</v>
      </c>
      <c r="W67">
        <f t="shared" si="33"/>
        <v>7.5005639178215064</v>
      </c>
      <c r="X67">
        <f t="shared" si="30"/>
        <v>-6.1701777233330573</v>
      </c>
      <c r="Y67">
        <f t="shared" si="31"/>
        <v>-1.4182059112653065</v>
      </c>
      <c r="AC67" s="1">
        <f t="shared" si="15"/>
        <v>-6.6274778312103644</v>
      </c>
      <c r="AD67" s="1">
        <f t="shared" si="17"/>
        <v>-1.8079943913285306</v>
      </c>
      <c r="AF67">
        <f t="shared" si="16"/>
        <v>74.740854518195306</v>
      </c>
      <c r="AG67" s="14">
        <f t="shared" si="18"/>
        <v>71.98010649047859</v>
      </c>
      <c r="AH67">
        <f t="shared" si="19"/>
        <v>71.98010649047859</v>
      </c>
      <c r="AJ67">
        <f t="shared" si="20"/>
        <v>-6.6274778312103644</v>
      </c>
      <c r="AK67">
        <f t="shared" si="21"/>
        <v>-2.1559424136049423</v>
      </c>
    </row>
    <row r="68" spans="1:37" x14ac:dyDescent="0.25">
      <c r="A68">
        <f t="shared" si="4"/>
        <v>18</v>
      </c>
      <c r="B68">
        <f t="shared" si="12"/>
        <v>67.043848829690518</v>
      </c>
      <c r="C68">
        <f t="shared" si="5"/>
        <v>1.216337735395129</v>
      </c>
      <c r="D68">
        <f t="shared" si="6"/>
        <v>65.827511094295389</v>
      </c>
      <c r="E68">
        <f t="shared" si="13"/>
        <v>-8.4686984152091345</v>
      </c>
      <c r="F68">
        <f t="shared" si="7"/>
        <v>-8.2014853089879852E-2</v>
      </c>
      <c r="G68">
        <f t="shared" si="8"/>
        <v>2.1920764879400667</v>
      </c>
      <c r="H68">
        <f t="shared" si="9"/>
        <v>0.44884080410402422</v>
      </c>
      <c r="I68">
        <f t="shared" si="14"/>
        <v>14.976931909355372</v>
      </c>
      <c r="J68" s="1"/>
      <c r="K68">
        <f t="shared" si="10"/>
        <v>-8.5914555606148344</v>
      </c>
      <c r="L68">
        <f t="shared" si="11"/>
        <v>-3.8561958222503523</v>
      </c>
      <c r="N68" s="1">
        <f t="shared" si="22"/>
        <v>1.3448718600681993</v>
      </c>
      <c r="O68" s="1">
        <f t="shared" si="23"/>
        <v>0.17453292519943295</v>
      </c>
      <c r="P68" s="1">
        <f t="shared" si="32"/>
        <v>-6.1701777233330573</v>
      </c>
      <c r="Q68" s="1">
        <f t="shared" si="24"/>
        <v>2.2421558468373758E-2</v>
      </c>
      <c r="R68" s="1">
        <f t="shared" si="25"/>
        <v>-9.166491587118758E-2</v>
      </c>
      <c r="S68" s="1">
        <f t="shared" si="26"/>
        <v>-6.2618426392042448</v>
      </c>
      <c r="T68" s="1">
        <f t="shared" si="27"/>
        <v>-0.13834500058396942</v>
      </c>
      <c r="U68">
        <f t="shared" si="28"/>
        <v>1.5092470141834766</v>
      </c>
      <c r="V68">
        <f t="shared" si="29"/>
        <v>0.25358085023686722</v>
      </c>
      <c r="W68">
        <f t="shared" si="33"/>
        <v>7.8941163946565114</v>
      </c>
      <c r="X68">
        <f t="shared" si="30"/>
        <v>-6.2867955045033508</v>
      </c>
      <c r="Y68">
        <f t="shared" si="31"/>
        <v>-1.5942109492972742</v>
      </c>
      <c r="AC68" s="1">
        <f t="shared" si="15"/>
        <v>-6.7377428880722228</v>
      </c>
      <c r="AD68" s="1">
        <f t="shared" si="17"/>
        <v>-1.9520551173342695</v>
      </c>
      <c r="AF68">
        <f t="shared" si="16"/>
        <v>73.842669811803759</v>
      </c>
      <c r="AG68" s="14">
        <f t="shared" si="18"/>
        <v>70.734674698183639</v>
      </c>
      <c r="AH68">
        <f t="shared" si="19"/>
        <v>70.734674698183639</v>
      </c>
      <c r="AJ68">
        <f t="shared" si="20"/>
        <v>-6.7377428880722228</v>
      </c>
      <c r="AK68">
        <f t="shared" si="21"/>
        <v>-2.354947310524155</v>
      </c>
    </row>
    <row r="69" spans="1:37" x14ac:dyDescent="0.25">
      <c r="A69">
        <f t="shared" si="4"/>
        <v>19</v>
      </c>
      <c r="B69">
        <f t="shared" si="12"/>
        <v>65.827511094295389</v>
      </c>
      <c r="C69">
        <f t="shared" si="5"/>
        <v>1.2095700245215539</v>
      </c>
      <c r="D69">
        <f t="shared" si="6"/>
        <v>64.617941069773835</v>
      </c>
      <c r="E69">
        <f t="shared" si="13"/>
        <v>-8.5914555606148344</v>
      </c>
      <c r="F69">
        <f t="shared" si="7"/>
        <v>-7.8539260408132819E-2</v>
      </c>
      <c r="G69">
        <f t="shared" si="8"/>
        <v>2.3093423714527983</v>
      </c>
      <c r="H69">
        <f t="shared" si="9"/>
        <v>0.47445123628828706</v>
      </c>
      <c r="I69">
        <f t="shared" si="14"/>
        <v>15.984416536331238</v>
      </c>
      <c r="J69" s="1"/>
      <c r="K69">
        <f t="shared" si="10"/>
        <v>-8.7113705167571815</v>
      </c>
      <c r="L69">
        <f t="shared" si="11"/>
        <v>-4.1331205114407785</v>
      </c>
      <c r="N69" s="1">
        <f t="shared" si="22"/>
        <v>1.3224503015998255</v>
      </c>
      <c r="O69" s="1">
        <f t="shared" si="23"/>
        <v>0.19198621771937624</v>
      </c>
      <c r="P69" s="1">
        <f t="shared" si="32"/>
        <v>-6.2867955045033508</v>
      </c>
      <c r="Q69" s="1">
        <f t="shared" si="24"/>
        <v>2.2226179763426088E-2</v>
      </c>
      <c r="R69" s="1">
        <f t="shared" si="25"/>
        <v>-8.8626370403387139E-2</v>
      </c>
      <c r="S69" s="1">
        <f t="shared" si="26"/>
        <v>-6.3754218749067375</v>
      </c>
      <c r="T69" s="1">
        <f t="shared" si="27"/>
        <v>-0.13973144701899048</v>
      </c>
      <c r="U69">
        <f t="shared" si="28"/>
        <v>1.5766351073951936</v>
      </c>
      <c r="V69">
        <f t="shared" si="29"/>
        <v>0.27737426654912212</v>
      </c>
      <c r="W69">
        <f t="shared" si="33"/>
        <v>8.3177715561169876</v>
      </c>
      <c r="X69">
        <f t="shared" si="30"/>
        <v>-6.4019258447753264</v>
      </c>
      <c r="Y69">
        <f t="shared" si="31"/>
        <v>-1.7757294856964252</v>
      </c>
      <c r="AC69" s="1">
        <f t="shared" si="15"/>
        <v>-6.8462059791443286</v>
      </c>
      <c r="AD69" s="1">
        <f t="shared" si="17"/>
        <v>-2.0975840762997575</v>
      </c>
      <c r="AF69">
        <f t="shared" si="16"/>
        <v>72.965650422387256</v>
      </c>
      <c r="AG69" s="14">
        <f t="shared" si="18"/>
        <v>69.49713932704087</v>
      </c>
      <c r="AH69">
        <f t="shared" si="19"/>
        <v>69.49713932704087</v>
      </c>
      <c r="AJ69">
        <f t="shared" si="20"/>
        <v>-6.8462059791443286</v>
      </c>
      <c r="AK69">
        <f t="shared" si="21"/>
        <v>-2.5600811366747678</v>
      </c>
    </row>
    <row r="70" spans="1:37" x14ac:dyDescent="0.25">
      <c r="A70">
        <f t="shared" si="4"/>
        <v>20</v>
      </c>
      <c r="B70">
        <f t="shared" si="12"/>
        <v>64.617941069773835</v>
      </c>
      <c r="C70">
        <f t="shared" si="5"/>
        <v>1.2026312452998553</v>
      </c>
      <c r="D70">
        <f t="shared" si="6"/>
        <v>63.415309824473979</v>
      </c>
      <c r="E70">
        <f t="shared" si="13"/>
        <v>-8.7113705167571815</v>
      </c>
      <c r="F70">
        <f t="shared" si="7"/>
        <v>-7.502593278579768E-2</v>
      </c>
      <c r="G70">
        <f t="shared" si="8"/>
        <v>2.43716500042401</v>
      </c>
      <c r="H70">
        <f t="shared" si="9"/>
        <v>0.50042852994024456</v>
      </c>
      <c r="I70">
        <f t="shared" si="14"/>
        <v>17.097926817725444</v>
      </c>
      <c r="J70" s="1"/>
      <c r="K70">
        <f t="shared" si="10"/>
        <v>-8.8282154429893378</v>
      </c>
      <c r="L70">
        <f t="shared" si="11"/>
        <v>-4.4178908761309188</v>
      </c>
      <c r="N70" s="1">
        <f t="shared" si="22"/>
        <v>1.3002241218363995</v>
      </c>
      <c r="O70" s="1">
        <f t="shared" si="23"/>
        <v>0.20943951023931956</v>
      </c>
      <c r="P70" s="1">
        <f t="shared" si="32"/>
        <v>-6.4019258447753264</v>
      </c>
      <c r="Q70" s="1">
        <f t="shared" si="24"/>
        <v>2.2048337474722787E-2</v>
      </c>
      <c r="R70" s="1">
        <f t="shared" si="25"/>
        <v>-8.5648569567108854E-2</v>
      </c>
      <c r="S70" s="1">
        <f t="shared" si="26"/>
        <v>-6.4875744143424354</v>
      </c>
      <c r="T70" s="1">
        <f t="shared" si="27"/>
        <v>-0.14115182151375616</v>
      </c>
      <c r="U70">
        <f t="shared" si="28"/>
        <v>1.6480347801157196</v>
      </c>
      <c r="V70">
        <f t="shared" si="29"/>
        <v>0.30126892885818468</v>
      </c>
      <c r="W70">
        <f t="shared" si="33"/>
        <v>8.774866966215022</v>
      </c>
      <c r="X70">
        <f t="shared" si="30"/>
        <v>-6.5155104415675078</v>
      </c>
      <c r="Y70">
        <f t="shared" si="31"/>
        <v>-1.9629208516953609</v>
      </c>
      <c r="AC70" s="1">
        <f t="shared" si="15"/>
        <v>-6.9527519007795746</v>
      </c>
      <c r="AD70" s="1">
        <f t="shared" si="17"/>
        <v>-2.2445734813749305</v>
      </c>
      <c r="AF70">
        <f t="shared" si="16"/>
        <v>72.108240150389136</v>
      </c>
      <c r="AG70" s="14">
        <f t="shared" si="18"/>
        <v>68.266987536457606</v>
      </c>
      <c r="AH70">
        <f t="shared" si="19"/>
        <v>68.266987536457606</v>
      </c>
      <c r="AJ70">
        <f t="shared" si="20"/>
        <v>-6.9527519007795746</v>
      </c>
      <c r="AK70">
        <f t="shared" si="21"/>
        <v>-2.7714775014802764</v>
      </c>
    </row>
    <row r="71" spans="1:37" x14ac:dyDescent="0.25">
      <c r="A71">
        <f t="shared" si="4"/>
        <v>21</v>
      </c>
      <c r="B71">
        <f t="shared" si="12"/>
        <v>63.415309824473979</v>
      </c>
      <c r="C71">
        <f t="shared" si="5"/>
        <v>1.1952857868730504</v>
      </c>
      <c r="D71">
        <f t="shared" si="6"/>
        <v>62.220024037600929</v>
      </c>
      <c r="E71">
        <f t="shared" si="13"/>
        <v>-8.8282154429893378</v>
      </c>
      <c r="F71">
        <f t="shared" si="7"/>
        <v>-7.1463663877605402E-2</v>
      </c>
      <c r="G71">
        <f t="shared" si="8"/>
        <v>2.5771326180312855</v>
      </c>
      <c r="H71">
        <f t="shared" si="9"/>
        <v>0.52679363491038234</v>
      </c>
      <c r="I71">
        <f t="shared" si="14"/>
        <v>18.333591101004419</v>
      </c>
      <c r="J71" s="1"/>
      <c r="K71">
        <f t="shared" si="10"/>
        <v>-8.941736586941408</v>
      </c>
      <c r="L71">
        <f t="shared" si="11"/>
        <v>-4.7104499190460203</v>
      </c>
      <c r="N71" s="1">
        <f t="shared" si="22"/>
        <v>1.2781757843616766</v>
      </c>
      <c r="O71" s="1">
        <f t="shared" si="23"/>
        <v>0.22689280275926285</v>
      </c>
      <c r="P71" s="1">
        <f t="shared" si="32"/>
        <v>-6.5155104415675078</v>
      </c>
      <c r="Q71" s="1">
        <f t="shared" si="24"/>
        <v>2.188593016668474E-2</v>
      </c>
      <c r="R71" s="1">
        <f t="shared" si="25"/>
        <v>-8.2717839400227686E-2</v>
      </c>
      <c r="S71" s="1">
        <f t="shared" si="26"/>
        <v>-6.5982282809677351</v>
      </c>
      <c r="T71" s="1">
        <f t="shared" si="27"/>
        <v>-0.14259800652445173</v>
      </c>
      <c r="U71">
        <f t="shared" si="28"/>
        <v>1.7239087427621957</v>
      </c>
      <c r="V71">
        <f t="shared" si="29"/>
        <v>0.32530360244316447</v>
      </c>
      <c r="W71">
        <f t="shared" si="33"/>
        <v>9.2692245620812415</v>
      </c>
      <c r="X71">
        <f t="shared" si="30"/>
        <v>-6.6274778312103644</v>
      </c>
      <c r="Y71">
        <f t="shared" si="31"/>
        <v>-2.1559424136049423</v>
      </c>
      <c r="AC71" s="1">
        <f t="shared" si="15"/>
        <v>-7.0572486793409475</v>
      </c>
      <c r="AD71" s="1">
        <f t="shared" si="17"/>
        <v>-2.3929994220055173</v>
      </c>
      <c r="AF71">
        <f t="shared" si="16"/>
        <v>71.269029502781322</v>
      </c>
      <c r="AG71" s="14">
        <f t="shared" si="18"/>
        <v>67.043848829690518</v>
      </c>
      <c r="AH71">
        <f t="shared" si="19"/>
        <v>67.043848829690518</v>
      </c>
      <c r="AJ71">
        <f t="shared" si="20"/>
        <v>-7.0572486793409475</v>
      </c>
      <c r="AK71">
        <f t="shared" si="21"/>
        <v>-2.9892523083998981</v>
      </c>
    </row>
    <row r="72" spans="1:37" x14ac:dyDescent="0.25">
      <c r="A72">
        <f t="shared" si="4"/>
        <v>22</v>
      </c>
      <c r="B72">
        <f t="shared" si="12"/>
        <v>62.220024037600929</v>
      </c>
      <c r="C72">
        <f t="shared" si="5"/>
        <v>1.1872599328666809</v>
      </c>
      <c r="D72">
        <f t="shared" si="6"/>
        <v>61.032764104734248</v>
      </c>
      <c r="E72">
        <f t="shared" si="13"/>
        <v>-8.941736586941408</v>
      </c>
      <c r="F72">
        <f t="shared" si="7"/>
        <v>-6.7842144925387246E-2</v>
      </c>
      <c r="G72">
        <f t="shared" si="8"/>
        <v>2.7311495459104167</v>
      </c>
      <c r="H72">
        <f t="shared" si="9"/>
        <v>0.5535617435697785</v>
      </c>
      <c r="I72">
        <f t="shared" si="14"/>
        <v>19.710769900029565</v>
      </c>
      <c r="J72" s="1"/>
      <c r="K72">
        <f t="shared" si="10"/>
        <v>-9.0516533380848845</v>
      </c>
      <c r="L72">
        <f t="shared" si="11"/>
        <v>-5.0106490040194744</v>
      </c>
      <c r="N72" s="1">
        <f t="shared" si="22"/>
        <v>1.2562898541949918</v>
      </c>
      <c r="O72" s="1">
        <f t="shared" si="23"/>
        <v>0.24434609527920614</v>
      </c>
      <c r="P72" s="1">
        <f t="shared" si="32"/>
        <v>-6.6274778312103644</v>
      </c>
      <c r="Q72" s="1">
        <f t="shared" si="24"/>
        <v>2.1736885384561047E-2</v>
      </c>
      <c r="R72" s="1">
        <f t="shared" si="25"/>
        <v>-7.9821473694850625E-2</v>
      </c>
      <c r="S72" s="1">
        <f t="shared" si="26"/>
        <v>-6.7072993049052148</v>
      </c>
      <c r="T72" s="1">
        <f t="shared" si="27"/>
        <v>-0.14406072600573891</v>
      </c>
      <c r="U72">
        <f t="shared" si="28"/>
        <v>1.8047865986096474</v>
      </c>
      <c r="V72">
        <f t="shared" si="29"/>
        <v>0.34951575767206866</v>
      </c>
      <c r="W72">
        <f t="shared" si="33"/>
        <v>9.8052407587460539</v>
      </c>
      <c r="X72">
        <f t="shared" si="30"/>
        <v>-6.7377428880722228</v>
      </c>
      <c r="Y72">
        <f t="shared" si="31"/>
        <v>-2.354947310524155</v>
      </c>
      <c r="AC72" s="1">
        <f t="shared" si="15"/>
        <v>-7.1595463005123641</v>
      </c>
      <c r="AD72" s="1">
        <f t="shared" si="17"/>
        <v>-2.5428184479390041</v>
      </c>
      <c r="AF72">
        <f t="shared" si="16"/>
        <v>70.446755268602431</v>
      </c>
      <c r="AG72" s="14">
        <f t="shared" si="18"/>
        <v>65.827511094295389</v>
      </c>
      <c r="AH72">
        <f t="shared" si="19"/>
        <v>65.827511094295389</v>
      </c>
      <c r="AJ72">
        <f t="shared" si="20"/>
        <v>-7.1595463005123641</v>
      </c>
      <c r="AK72">
        <f t="shared" si="21"/>
        <v>-3.2134965185419615</v>
      </c>
    </row>
    <row r="73" spans="1:37" x14ac:dyDescent="0.25">
      <c r="A73">
        <f t="shared" si="4"/>
        <v>23</v>
      </c>
      <c r="B73">
        <f t="shared" si="12"/>
        <v>61.032764104734248</v>
      </c>
      <c r="C73">
        <f t="shared" si="5"/>
        <v>1.1782337746434592</v>
      </c>
      <c r="D73">
        <f t="shared" si="6"/>
        <v>59.854530330090789</v>
      </c>
      <c r="E73">
        <f t="shared" si="13"/>
        <v>-9.0516533380848845</v>
      </c>
      <c r="F73">
        <f t="shared" si="7"/>
        <v>-6.4152241662363163E-2</v>
      </c>
      <c r="G73">
        <f t="shared" si="8"/>
        <v>2.9015156132653823</v>
      </c>
      <c r="H73">
        <f t="shared" si="9"/>
        <v>0.58074047894492775</v>
      </c>
      <c r="I73">
        <f t="shared" si="14"/>
        <v>21.252864482299536</v>
      </c>
      <c r="J73" s="1"/>
      <c r="K73">
        <f t="shared" si="10"/>
        <v>-9.1576577876953937</v>
      </c>
      <c r="L73">
        <f t="shared" si="11"/>
        <v>-5.3182225696399703</v>
      </c>
      <c r="N73" s="1">
        <f t="shared" si="22"/>
        <v>1.2345529688104309</v>
      </c>
      <c r="O73" s="1">
        <f t="shared" si="23"/>
        <v>0.26179938779914941</v>
      </c>
      <c r="P73" s="1">
        <f t="shared" si="32"/>
        <v>-6.7377428880722228</v>
      </c>
      <c r="Q73" s="1">
        <f t="shared" si="24"/>
        <v>2.1599066836331345E-2</v>
      </c>
      <c r="R73" s="1">
        <f t="shared" si="25"/>
        <v>-7.6947430007536011E-2</v>
      </c>
      <c r="S73" s="1">
        <f t="shared" si="26"/>
        <v>-6.8146903180797587</v>
      </c>
      <c r="T73" s="1">
        <f t="shared" si="27"/>
        <v>-0.14552895896548812</v>
      </c>
      <c r="U73">
        <f t="shared" si="28"/>
        <v>1.8912777067568785</v>
      </c>
      <c r="V73">
        <f t="shared" si="29"/>
        <v>0.37394158815460282</v>
      </c>
      <c r="W73">
        <f t="shared" si="33"/>
        <v>10.387995607546546</v>
      </c>
      <c r="X73">
        <f t="shared" si="30"/>
        <v>-6.8462059791443286</v>
      </c>
      <c r="Y73">
        <f t="shared" si="31"/>
        <v>-2.5600811366747678</v>
      </c>
      <c r="AC73" s="1">
        <f t="shared" si="15"/>
        <v>-7.2594754306309861</v>
      </c>
      <c r="AD73" s="1">
        <f t="shared" si="17"/>
        <v>-2.6939634828415593</v>
      </c>
      <c r="AF73">
        <f t="shared" si="16"/>
        <v>69.640303194537424</v>
      </c>
      <c r="AG73" s="14">
        <f t="shared" si="18"/>
        <v>64.617941069773835</v>
      </c>
      <c r="AH73">
        <f t="shared" si="19"/>
        <v>64.617941069773835</v>
      </c>
      <c r="AJ73">
        <f t="shared" si="20"/>
        <v>-7.2594754306309861</v>
      </c>
      <c r="AK73">
        <f t="shared" si="21"/>
        <v>-3.4442670928673165</v>
      </c>
    </row>
    <row r="74" spans="1:37" x14ac:dyDescent="0.25">
      <c r="A74">
        <f t="shared" si="4"/>
        <v>24.000000000000004</v>
      </c>
      <c r="B74">
        <f t="shared" si="12"/>
        <v>59.854530330090789</v>
      </c>
      <c r="C74">
        <f t="shared" si="5"/>
        <v>1.1678315852680754</v>
      </c>
      <c r="D74">
        <f t="shared" si="6"/>
        <v>58.686698744822714</v>
      </c>
      <c r="E74">
        <f t="shared" si="13"/>
        <v>-9.1576577876953937</v>
      </c>
      <c r="F74">
        <f t="shared" si="7"/>
        <v>-6.03863557506258E-2</v>
      </c>
      <c r="G74">
        <f t="shared" si="8"/>
        <v>3.0910296700586497</v>
      </c>
      <c r="H74">
        <f t="shared" si="9"/>
        <v>0.60832754623130869</v>
      </c>
      <c r="I74">
        <f t="shared" si="14"/>
        <v>22.988369360370147</v>
      </c>
      <c r="J74" s="1"/>
      <c r="K74">
        <f t="shared" si="10"/>
        <v>-9.2594150299961111</v>
      </c>
      <c r="L74">
        <f t="shared" si="11"/>
        <v>-5.6327572247348341</v>
      </c>
      <c r="N74" s="1">
        <f t="shared" si="22"/>
        <v>1.2129539019740994</v>
      </c>
      <c r="O74" s="1">
        <f t="shared" si="23"/>
        <v>0.27925268031909273</v>
      </c>
      <c r="P74" s="1">
        <f t="shared" si="32"/>
        <v>-6.8462059791443286</v>
      </c>
      <c r="Q74" s="1">
        <f t="shared" si="24"/>
        <v>2.1470199044981732E-2</v>
      </c>
      <c r="R74" s="1">
        <f t="shared" si="25"/>
        <v>-7.4084157732605765E-2</v>
      </c>
      <c r="S74" s="1">
        <f t="shared" si="26"/>
        <v>-6.9202901368769343</v>
      </c>
      <c r="T74" s="1">
        <f t="shared" si="27"/>
        <v>-0.1469894050751728</v>
      </c>
      <c r="U74">
        <f t="shared" si="28"/>
        <v>1.9840868759783461</v>
      </c>
      <c r="V74">
        <f t="shared" si="29"/>
        <v>0.39861590648294604</v>
      </c>
      <c r="W74">
        <f t="shared" si="33"/>
        <v>11.023386296789978</v>
      </c>
      <c r="X74">
        <f t="shared" si="30"/>
        <v>-6.9527519007795746</v>
      </c>
      <c r="Y74">
        <f t="shared" si="31"/>
        <v>-2.7714775014802764</v>
      </c>
      <c r="AC74" s="1">
        <f t="shared" si="15"/>
        <v>-7.3568462024911163</v>
      </c>
      <c r="AD74" s="1">
        <f t="shared" si="17"/>
        <v>-2.846338964099651</v>
      </c>
      <c r="AF74">
        <f t="shared" si="16"/>
        <v>68.848714140851868</v>
      </c>
      <c r="AG74" s="14">
        <f t="shared" si="18"/>
        <v>63.415309824473979</v>
      </c>
      <c r="AH74">
        <f t="shared" si="19"/>
        <v>63.415309824473979</v>
      </c>
      <c r="AJ74">
        <f t="shared" si="20"/>
        <v>-7.3568462024911163</v>
      </c>
      <c r="AK74">
        <f t="shared" si="21"/>
        <v>-3.6815757301090999</v>
      </c>
    </row>
    <row r="75" spans="1:37" x14ac:dyDescent="0.25">
      <c r="A75">
        <f t="shared" si="4"/>
        <v>25</v>
      </c>
      <c r="B75">
        <f t="shared" si="12"/>
        <v>58.686698744822714</v>
      </c>
      <c r="C75">
        <f t="shared" si="5"/>
        <v>1.1556103416476873</v>
      </c>
      <c r="D75">
        <f t="shared" si="6"/>
        <v>57.531088403175026</v>
      </c>
      <c r="E75">
        <f t="shared" si="13"/>
        <v>-9.2594150299961111</v>
      </c>
      <c r="F75">
        <f t="shared" si="7"/>
        <v>-5.6538883731629963E-2</v>
      </c>
      <c r="G75">
        <f t="shared" si="8"/>
        <v>3.3031257546444941</v>
      </c>
      <c r="H75">
        <f t="shared" si="9"/>
        <v>0.6363077125290485</v>
      </c>
      <c r="I75">
        <f t="shared" si="14"/>
        <v>24.95225503378764</v>
      </c>
      <c r="J75" s="1"/>
      <c r="K75">
        <f t="shared" si="10"/>
        <v>-9.3565645048637585</v>
      </c>
      <c r="L75">
        <f t="shared" si="11"/>
        <v>-5.9536541572203472</v>
      </c>
      <c r="N75" s="1">
        <f t="shared" si="22"/>
        <v>1.1914837029291176</v>
      </c>
      <c r="O75" s="1">
        <f t="shared" si="23"/>
        <v>0.29670597283903605</v>
      </c>
      <c r="P75" s="1">
        <f t="shared" si="32"/>
        <v>-6.9527519007795746</v>
      </c>
      <c r="Q75" s="1">
        <f t="shared" si="24"/>
        <v>2.1347797641671135E-2</v>
      </c>
      <c r="R75" s="1">
        <f t="shared" si="25"/>
        <v>-7.1220509250927683E-2</v>
      </c>
      <c r="S75" s="1">
        <f t="shared" si="26"/>
        <v>-7.0239724100305025</v>
      </c>
      <c r="T75" s="1">
        <f t="shared" si="27"/>
        <v>-0.1484259406305867</v>
      </c>
      <c r="U75">
        <f t="shared" si="28"/>
        <v>2.0840336890550017</v>
      </c>
      <c r="V75">
        <f t="shared" si="29"/>
        <v>0.42357191084260531</v>
      </c>
      <c r="W75">
        <f t="shared" si="33"/>
        <v>11.718291691385556</v>
      </c>
      <c r="X75">
        <f t="shared" si="30"/>
        <v>-7.0572486793409475</v>
      </c>
      <c r="Y75">
        <f t="shared" si="31"/>
        <v>-2.9892523083998981</v>
      </c>
      <c r="AC75" s="1">
        <f t="shared" si="15"/>
        <v>-7.4514471557845061</v>
      </c>
      <c r="AD75" s="1">
        <f t="shared" si="17"/>
        <v>-2.9998150800854853</v>
      </c>
      <c r="AF75">
        <f t="shared" si="16"/>
        <v>68.071194289733398</v>
      </c>
      <c r="AG75" s="14">
        <f t="shared" si="18"/>
        <v>62.220024037600929</v>
      </c>
      <c r="AH75">
        <f t="shared" si="19"/>
        <v>62.220024037600929</v>
      </c>
      <c r="AJ75">
        <f t="shared" si="20"/>
        <v>-7.4514471557845061</v>
      </c>
      <c r="AK75">
        <f t="shared" si="21"/>
        <v>-3.9253749325383498</v>
      </c>
    </row>
    <row r="76" spans="1:37" x14ac:dyDescent="0.25">
      <c r="A76">
        <f t="shared" si="4"/>
        <v>26</v>
      </c>
      <c r="B76">
        <f t="shared" si="12"/>
        <v>57.531088403175026</v>
      </c>
      <c r="C76">
        <f t="shared" si="5"/>
        <v>1.1410460446794275</v>
      </c>
      <c r="D76">
        <f t="shared" si="6"/>
        <v>56.390042358495599</v>
      </c>
      <c r="E76">
        <f t="shared" si="13"/>
        <v>-9.3565645048637585</v>
      </c>
      <c r="F76">
        <f t="shared" si="7"/>
        <v>-5.2606787153971199E-2</v>
      </c>
      <c r="G76">
        <f t="shared" si="8"/>
        <v>3.5420539719455677</v>
      </c>
      <c r="H76">
        <f t="shared" si="9"/>
        <v>0.66464895097142007</v>
      </c>
      <c r="I76">
        <f t="shared" si="14"/>
        <v>27.187802310997242</v>
      </c>
      <c r="J76" s="1"/>
      <c r="K76">
        <f t="shared" si="10"/>
        <v>-9.4487227598542205</v>
      </c>
      <c r="L76">
        <f t="shared" si="11"/>
        <v>-6.2800836703568885</v>
      </c>
      <c r="N76" s="1">
        <f t="shared" si="22"/>
        <v>1.1701359052874465</v>
      </c>
      <c r="O76" s="1">
        <f t="shared" si="23"/>
        <v>0.31415926535897931</v>
      </c>
      <c r="P76" s="1">
        <f t="shared" si="32"/>
        <v>-7.0572486793409475</v>
      </c>
      <c r="Q76" s="1">
        <f t="shared" si="24"/>
        <v>2.1229098298896572E-2</v>
      </c>
      <c r="R76" s="1">
        <f t="shared" si="25"/>
        <v>-6.8345710908233229E-2</v>
      </c>
      <c r="S76" s="1">
        <f t="shared" si="26"/>
        <v>-7.125594390249181</v>
      </c>
      <c r="T76" s="1">
        <f t="shared" si="27"/>
        <v>-0.14981902593348698</v>
      </c>
      <c r="U76">
        <f t="shared" si="28"/>
        <v>2.1920764879400663</v>
      </c>
      <c r="V76">
        <f t="shared" si="29"/>
        <v>0.44884080410402422</v>
      </c>
      <c r="W76">
        <f t="shared" si="33"/>
        <v>12.480776591129477</v>
      </c>
      <c r="X76">
        <f t="shared" si="30"/>
        <v>-7.1595463005123641</v>
      </c>
      <c r="Y76">
        <f t="shared" si="31"/>
        <v>-3.2134965185419615</v>
      </c>
      <c r="AC76" s="1">
        <f t="shared" si="15"/>
        <v>-7.5430444484040686</v>
      </c>
      <c r="AD76" s="1">
        <f t="shared" si="17"/>
        <v>-3.1542209495076188</v>
      </c>
      <c r="AF76">
        <f t="shared" si="16"/>
        <v>67.307130187291463</v>
      </c>
      <c r="AG76" s="14">
        <f t="shared" si="18"/>
        <v>61.032764104734248</v>
      </c>
      <c r="AH76">
        <f t="shared" si="19"/>
        <v>61.032764104734248</v>
      </c>
      <c r="AJ76">
        <f t="shared" si="20"/>
        <v>-7.5430444484040686</v>
      </c>
      <c r="AK76">
        <f t="shared" si="21"/>
        <v>-4.1755408366828943</v>
      </c>
    </row>
    <row r="77" spans="1:37" x14ac:dyDescent="0.25">
      <c r="A77">
        <f t="shared" si="4"/>
        <v>27</v>
      </c>
      <c r="B77">
        <f t="shared" si="12"/>
        <v>56.390042358495599</v>
      </c>
      <c r="C77">
        <f t="shared" si="5"/>
        <v>1.1235174543103099</v>
      </c>
      <c r="D77">
        <f t="shared" si="6"/>
        <v>55.266524904185289</v>
      </c>
      <c r="E77">
        <f t="shared" si="13"/>
        <v>-9.4487227598542205</v>
      </c>
      <c r="F77">
        <f t="shared" si="7"/>
        <v>-4.8590286544017987E-2</v>
      </c>
      <c r="G77">
        <f t="shared" si="8"/>
        <v>3.8131232013454879</v>
      </c>
      <c r="H77">
        <f t="shared" si="9"/>
        <v>0.69329755535375737</v>
      </c>
      <c r="I77">
        <f t="shared" si="14"/>
        <v>29.74906030832441</v>
      </c>
      <c r="J77" s="1"/>
      <c r="K77">
        <f t="shared" si="10"/>
        <v>-9.5354880957995896</v>
      </c>
      <c r="L77">
        <f t="shared" si="11"/>
        <v>-6.6109305859227101</v>
      </c>
      <c r="N77" s="1">
        <f t="shared" si="22"/>
        <v>1.14890680698855</v>
      </c>
      <c r="O77" s="1">
        <f t="shared" si="23"/>
        <v>0.33161255787892263</v>
      </c>
      <c r="P77" s="1">
        <f t="shared" si="32"/>
        <v>-7.1595463005123641</v>
      </c>
      <c r="Q77" s="1">
        <f t="shared" si="24"/>
        <v>2.1110979461329667E-2</v>
      </c>
      <c r="R77" s="1">
        <f t="shared" si="25"/>
        <v>-6.5449383673444037E-2</v>
      </c>
      <c r="S77" s="1">
        <f t="shared" si="26"/>
        <v>-7.2249956841858083</v>
      </c>
      <c r="T77" s="1">
        <f t="shared" si="27"/>
        <v>-0.15114503490255532</v>
      </c>
      <c r="U77">
        <f t="shared" si="28"/>
        <v>2.3093423714527983</v>
      </c>
      <c r="V77">
        <f t="shared" si="29"/>
        <v>0.47445123628828706</v>
      </c>
      <c r="W77">
        <f t="shared" si="33"/>
        <v>13.320347113609369</v>
      </c>
      <c r="X77">
        <f t="shared" si="30"/>
        <v>-7.2594754306309861</v>
      </c>
      <c r="Y77">
        <f t="shared" si="31"/>
        <v>-3.4442670928673165</v>
      </c>
      <c r="AC77" s="1">
        <f t="shared" si="15"/>
        <v>-7.6313814897461594</v>
      </c>
      <c r="AD77" s="1">
        <f t="shared" si="17"/>
        <v>-3.309336558515386</v>
      </c>
      <c r="AF77">
        <f t="shared" si="16"/>
        <v>66.55610964393945</v>
      </c>
      <c r="AG77" s="14">
        <f t="shared" si="18"/>
        <v>59.854530330090789</v>
      </c>
      <c r="AH77">
        <f t="shared" si="19"/>
        <v>59.854530330090789</v>
      </c>
      <c r="AJ77">
        <f t="shared" si="20"/>
        <v>-7.6313814897461594</v>
      </c>
      <c r="AK77">
        <f t="shared" si="21"/>
        <v>-4.4318521413666412</v>
      </c>
    </row>
    <row r="78" spans="1:37" x14ac:dyDescent="0.25">
      <c r="A78">
        <f t="shared" si="4"/>
        <v>28</v>
      </c>
      <c r="B78">
        <f t="shared" si="12"/>
        <v>55.266524904185289</v>
      </c>
      <c r="C78">
        <f t="shared" si="5"/>
        <v>1.1022868370392089</v>
      </c>
      <c r="D78">
        <f t="shared" si="6"/>
        <v>54.16423806714608</v>
      </c>
      <c r="E78">
        <f t="shared" si="13"/>
        <v>-9.5354880957995896</v>
      </c>
      <c r="F78">
        <f t="shared" si="7"/>
        <v>-4.4493688070710399E-2</v>
      </c>
      <c r="G78">
        <f t="shared" si="8"/>
        <v>4.1230301574704544</v>
      </c>
      <c r="H78">
        <f t="shared" si="9"/>
        <v>0.72217200353285904</v>
      </c>
      <c r="I78">
        <f t="shared" si="14"/>
        <v>32.704174399259514</v>
      </c>
      <c r="J78" s="1"/>
      <c r="K78">
        <f t="shared" si="10"/>
        <v>-9.6164476490717004</v>
      </c>
      <c r="L78">
        <f t="shared" si="11"/>
        <v>-6.9447292655989621</v>
      </c>
      <c r="N78" s="1">
        <f t="shared" si="22"/>
        <v>1.1277958275272204</v>
      </c>
      <c r="O78" s="1">
        <f t="shared" si="23"/>
        <v>0.3490658503988659</v>
      </c>
      <c r="P78" s="1">
        <f t="shared" si="32"/>
        <v>-7.2594754306309861</v>
      </c>
      <c r="Q78" s="1">
        <f t="shared" si="24"/>
        <v>2.0989874917842054E-2</v>
      </c>
      <c r="R78" s="1">
        <f t="shared" si="25"/>
        <v>-6.2521610654831417E-2</v>
      </c>
      <c r="S78" s="1">
        <f t="shared" si="26"/>
        <v>-7.3219970412858171</v>
      </c>
      <c r="T78" s="1">
        <f t="shared" si="27"/>
        <v>-0.15237548125809197</v>
      </c>
      <c r="U78">
        <f t="shared" si="28"/>
        <v>2.4371650004240095</v>
      </c>
      <c r="V78">
        <f t="shared" si="29"/>
        <v>0.50042852994024456</v>
      </c>
      <c r="W78">
        <f t="shared" si="33"/>
        <v>14.248272348104535</v>
      </c>
      <c r="X78">
        <f t="shared" si="30"/>
        <v>-7.3568462024911163</v>
      </c>
      <c r="Y78">
        <f t="shared" si="31"/>
        <v>-3.6815757301090999</v>
      </c>
      <c r="AC78" s="1">
        <f t="shared" si="15"/>
        <v>-7.7161791916634241</v>
      </c>
      <c r="AD78" s="1">
        <f t="shared" si="17"/>
        <v>-3.4648832395919702</v>
      </c>
      <c r="AF78">
        <f t="shared" si="16"/>
        <v>65.817949809474186</v>
      </c>
      <c r="AG78" s="14">
        <f t="shared" si="18"/>
        <v>58.686698744822714</v>
      </c>
      <c r="AH78">
        <f t="shared" si="19"/>
        <v>58.686698744822714</v>
      </c>
      <c r="AJ78">
        <f t="shared" si="20"/>
        <v>-7.7161791916634241</v>
      </c>
      <c r="AK78">
        <f t="shared" si="21"/>
        <v>-4.6939643539456934</v>
      </c>
    </row>
    <row r="79" spans="1:37" x14ac:dyDescent="0.25">
      <c r="A79">
        <f t="shared" si="4"/>
        <v>29.000000000000004</v>
      </c>
      <c r="B79">
        <f t="shared" si="12"/>
        <v>54.16423806714608</v>
      </c>
      <c r="C79">
        <f t="shared" si="5"/>
        <v>1.0764773306326489</v>
      </c>
      <c r="D79">
        <f t="shared" si="6"/>
        <v>53.087760736513431</v>
      </c>
      <c r="E79">
        <f t="shared" si="13"/>
        <v>-9.6164476490717004</v>
      </c>
      <c r="F79">
        <f t="shared" si="7"/>
        <v>-4.0326343368464648E-2</v>
      </c>
      <c r="G79">
        <f t="shared" si="8"/>
        <v>4.4803102012488845</v>
      </c>
      <c r="H79">
        <f t="shared" si="9"/>
        <v>0.75115532904962545</v>
      </c>
      <c r="I79">
        <f t="shared" si="14"/>
        <v>36.139939236312827</v>
      </c>
      <c r="J79" s="1"/>
      <c r="K79">
        <f t="shared" si="10"/>
        <v>-9.691187541106169</v>
      </c>
      <c r="L79">
        <f t="shared" si="11"/>
        <v>-7.2795871663212353</v>
      </c>
      <c r="N79" s="1">
        <f t="shared" si="22"/>
        <v>1.1068059526093783</v>
      </c>
      <c r="O79" s="1">
        <f t="shared" si="23"/>
        <v>0.36651914291880922</v>
      </c>
      <c r="P79" s="1">
        <f t="shared" si="32"/>
        <v>-7.3568462024911163</v>
      </c>
      <c r="Q79" s="1">
        <f t="shared" si="24"/>
        <v>2.0861672483225947E-2</v>
      </c>
      <c r="R79" s="1">
        <f t="shared" si="25"/>
        <v>-5.9553053231337839E-2</v>
      </c>
      <c r="S79" s="1">
        <f t="shared" si="26"/>
        <v>-7.4163992557224541</v>
      </c>
      <c r="T79" s="1">
        <f t="shared" si="27"/>
        <v>-0.15347611598583422</v>
      </c>
      <c r="U79">
        <f t="shared" si="28"/>
        <v>2.5771326180312859</v>
      </c>
      <c r="V79">
        <f t="shared" si="29"/>
        <v>0.52679363491038234</v>
      </c>
      <c r="W79">
        <f t="shared" si="33"/>
        <v>15.277992584170356</v>
      </c>
      <c r="X79">
        <f t="shared" si="30"/>
        <v>-7.4514471557845061</v>
      </c>
      <c r="Y79">
        <f t="shared" si="31"/>
        <v>-3.9253749325383498</v>
      </c>
      <c r="AC79" s="1">
        <f t="shared" si="15"/>
        <v>-7.7971370873864645</v>
      </c>
      <c r="AD79" s="1">
        <f t="shared" si="17"/>
        <v>-3.620512442085968</v>
      </c>
      <c r="AF79">
        <f t="shared" si="16"/>
        <v>65.09273409098796</v>
      </c>
      <c r="AG79" s="14">
        <f t="shared" si="18"/>
        <v>57.531088403175026</v>
      </c>
      <c r="AH79">
        <f t="shared" si="19"/>
        <v>57.531088403175026</v>
      </c>
      <c r="AJ79">
        <f t="shared" si="20"/>
        <v>-7.7971370873864645</v>
      </c>
      <c r="AK79">
        <f t="shared" si="21"/>
        <v>-4.9613784643502887</v>
      </c>
    </row>
    <row r="80" spans="1:37" x14ac:dyDescent="0.25">
      <c r="A80">
        <f t="shared" si="4"/>
        <v>29.999999999999996</v>
      </c>
      <c r="B80">
        <f t="shared" si="12"/>
        <v>53.087760736513431</v>
      </c>
      <c r="C80">
        <f t="shared" si="5"/>
        <v>1.0450465829560969</v>
      </c>
      <c r="D80">
        <f t="shared" si="6"/>
        <v>52.042714153557334</v>
      </c>
      <c r="E80">
        <f t="shared" si="13"/>
        <v>-9.691187541106169</v>
      </c>
      <c r="F80">
        <f t="shared" si="7"/>
        <v>-3.6103727414579595E-2</v>
      </c>
      <c r="G80">
        <f t="shared" si="8"/>
        <v>4.8959612694213472</v>
      </c>
      <c r="H80">
        <f t="shared" si="9"/>
        <v>0.78008576234170879</v>
      </c>
      <c r="I80">
        <f t="shared" si="14"/>
        <v>40.168091689633272</v>
      </c>
      <c r="J80" s="1"/>
      <c r="K80">
        <f t="shared" si="10"/>
        <v>-9.7593067673064713</v>
      </c>
      <c r="L80">
        <f t="shared" si="11"/>
        <v>-7.6130962595008667</v>
      </c>
      <c r="N80" s="1">
        <f t="shared" si="22"/>
        <v>1.0859442801261523</v>
      </c>
      <c r="O80" s="1">
        <f t="shared" si="23"/>
        <v>0.38397243543875248</v>
      </c>
      <c r="P80" s="1">
        <f t="shared" si="32"/>
        <v>-7.4514471557845061</v>
      </c>
      <c r="Q80" s="1">
        <f t="shared" si="24"/>
        <v>2.0721594905530421E-2</v>
      </c>
      <c r="R80" s="1">
        <f t="shared" si="25"/>
        <v>-5.6535120771156022E-2</v>
      </c>
      <c r="S80" s="1">
        <f t="shared" si="26"/>
        <v>-7.5079822765556621</v>
      </c>
      <c r="T80" s="1">
        <f t="shared" si="27"/>
        <v>-0.15440586942213336</v>
      </c>
      <c r="U80">
        <f t="shared" si="28"/>
        <v>2.7311495459104171</v>
      </c>
      <c r="V80">
        <f t="shared" si="29"/>
        <v>0.5535617435697785</v>
      </c>
      <c r="W80">
        <f t="shared" si="33"/>
        <v>16.425641583357972</v>
      </c>
      <c r="X80">
        <f t="shared" si="30"/>
        <v>-7.5430444484040686</v>
      </c>
      <c r="Y80">
        <f t="shared" si="31"/>
        <v>-4.1755408366828943</v>
      </c>
      <c r="AC80" s="1">
        <f t="shared" si="15"/>
        <v>-7.8739356332118504</v>
      </c>
      <c r="AD80" s="1">
        <f t="shared" si="17"/>
        <v>-3.7757925082443169</v>
      </c>
      <c r="AF80">
        <f t="shared" si="16"/>
        <v>64.380860003831089</v>
      </c>
      <c r="AG80" s="14">
        <f t="shared" si="18"/>
        <v>56.390042358495599</v>
      </c>
      <c r="AH80">
        <f t="shared" si="19"/>
        <v>56.390042358495606</v>
      </c>
      <c r="AJ80">
        <f t="shared" si="20"/>
        <v>-7.8739356332118504</v>
      </c>
      <c r="AK80">
        <f t="shared" si="21"/>
        <v>-5.2334030586307403</v>
      </c>
    </row>
    <row r="81" spans="1:37" x14ac:dyDescent="0.25">
      <c r="A81">
        <f t="shared" si="4"/>
        <v>31</v>
      </c>
      <c r="B81">
        <f t="shared" si="12"/>
        <v>52.042714153557334</v>
      </c>
      <c r="C81">
        <f t="shared" si="5"/>
        <v>1.0067564421693902</v>
      </c>
      <c r="D81">
        <f t="shared" si="6"/>
        <v>51.035957711387944</v>
      </c>
      <c r="E81">
        <f t="shared" si="13"/>
        <v>-9.7593067673064713</v>
      </c>
      <c r="F81">
        <f t="shared" si="7"/>
        <v>-3.184859289507129E-2</v>
      </c>
      <c r="G81">
        <f t="shared" si="8"/>
        <v>5.3843155619502481</v>
      </c>
      <c r="H81">
        <f t="shared" si="9"/>
        <v>0.80874544442235385</v>
      </c>
      <c r="I81">
        <f t="shared" si="14"/>
        <v>44.934091041553735</v>
      </c>
      <c r="J81" s="1"/>
      <c r="K81">
        <f t="shared" si="10"/>
        <v>-9.82043546211262</v>
      </c>
      <c r="L81">
        <f t="shared" si="11"/>
        <v>-7.9422324422273149</v>
      </c>
      <c r="N81" s="1">
        <f t="shared" si="22"/>
        <v>1.0652226852206219</v>
      </c>
      <c r="O81" s="1">
        <f t="shared" si="23"/>
        <v>0.4014257279586958</v>
      </c>
      <c r="P81" s="1">
        <f t="shared" si="32"/>
        <v>-7.5430444484040686</v>
      </c>
      <c r="Q81" s="1">
        <f t="shared" si="24"/>
        <v>2.056405872572924E-2</v>
      </c>
      <c r="R81" s="1">
        <f t="shared" si="25"/>
        <v>-5.3460201385302629E-2</v>
      </c>
      <c r="S81" s="1">
        <f t="shared" si="26"/>
        <v>-7.5965046497893711</v>
      </c>
      <c r="T81" s="1">
        <f t="shared" si="27"/>
        <v>-0.15511560900776719</v>
      </c>
      <c r="U81">
        <f t="shared" si="28"/>
        <v>2.9015156132653823</v>
      </c>
      <c r="V81">
        <f t="shared" si="29"/>
        <v>0.58074047894492775</v>
      </c>
      <c r="W81">
        <f t="shared" si="33"/>
        <v>17.710720401916273</v>
      </c>
      <c r="X81">
        <f t="shared" si="30"/>
        <v>-7.6313814897461594</v>
      </c>
      <c r="Y81">
        <f t="shared" si="31"/>
        <v>-4.4318521413666412</v>
      </c>
      <c r="AC81" s="1">
        <f t="shared" si="15"/>
        <v>-7.9462400798329922</v>
      </c>
      <c r="AD81" s="1">
        <f t="shared" si="17"/>
        <v>-3.9301931323951673</v>
      </c>
      <c r="AF81">
        <f t="shared" si="16"/>
        <v>63.683100544290738</v>
      </c>
      <c r="AG81" s="14">
        <f t="shared" si="18"/>
        <v>55.266524904185289</v>
      </c>
      <c r="AH81">
        <f t="shared" si="19"/>
        <v>55.266524904185289</v>
      </c>
      <c r="AJ81">
        <f t="shared" si="20"/>
        <v>-7.9462400798329922</v>
      </c>
      <c r="AK81">
        <f t="shared" si="21"/>
        <v>-5.5091088216022595</v>
      </c>
    </row>
    <row r="82" spans="1:37" x14ac:dyDescent="0.25">
      <c r="A82">
        <f t="shared" si="4"/>
        <v>32</v>
      </c>
      <c r="B82">
        <f t="shared" si="12"/>
        <v>51.035957711387944</v>
      </c>
      <c r="C82">
        <f t="shared" si="5"/>
        <v>0.96013868940509184</v>
      </c>
      <c r="D82">
        <f t="shared" si="6"/>
        <v>50.075819021982852</v>
      </c>
      <c r="E82">
        <f t="shared" si="13"/>
        <v>-9.82043546211262</v>
      </c>
      <c r="F82">
        <f t="shared" si="7"/>
        <v>-2.7592117074273021E-2</v>
      </c>
      <c r="G82">
        <f t="shared" si="8"/>
        <v>5.9642667597696626</v>
      </c>
      <c r="H82">
        <f t="shared" si="9"/>
        <v>0.83684712544863693</v>
      </c>
      <c r="I82">
        <f t="shared" si="14"/>
        <v>50.629464350914212</v>
      </c>
      <c r="J82" s="1"/>
      <c r="K82">
        <f t="shared" si="10"/>
        <v>-9.8742580014359564</v>
      </c>
      <c r="L82">
        <f t="shared" si="11"/>
        <v>-8.2632444244398826</v>
      </c>
      <c r="N82" s="1">
        <f t="shared" si="22"/>
        <v>1.0446586264948927</v>
      </c>
      <c r="O82" s="1">
        <f t="shared" si="23"/>
        <v>0.41887902047863912</v>
      </c>
      <c r="P82" s="1">
        <f t="shared" si="32"/>
        <v>-7.6313814897461594</v>
      </c>
      <c r="Q82" s="1">
        <f t="shared" si="24"/>
        <v>2.0382506271712821E-2</v>
      </c>
      <c r="R82" s="1">
        <f t="shared" si="25"/>
        <v>-5.0321963125521493E-2</v>
      </c>
      <c r="S82" s="1">
        <f t="shared" si="26"/>
        <v>-7.6817034528716812</v>
      </c>
      <c r="T82" s="1">
        <f t="shared" si="27"/>
        <v>-0.15554668107658423</v>
      </c>
      <c r="U82">
        <f t="shared" si="28"/>
        <v>3.0910296700586497</v>
      </c>
      <c r="V82">
        <f t="shared" si="29"/>
        <v>0.60832754623130869</v>
      </c>
      <c r="W82">
        <f t="shared" si="33"/>
        <v>19.156974466975118</v>
      </c>
      <c r="X82">
        <f t="shared" si="30"/>
        <v>-7.7161791916634241</v>
      </c>
      <c r="Y82">
        <f t="shared" si="31"/>
        <v>-4.6939643539456934</v>
      </c>
      <c r="AC82" s="1">
        <f t="shared" si="15"/>
        <v>-8.0137063742264179</v>
      </c>
      <c r="AD82" s="1">
        <f t="shared" si="17"/>
        <v>-4.0830671471723523</v>
      </c>
      <c r="AF82">
        <f t="shared" si="16"/>
        <v>63.000682245992699</v>
      </c>
      <c r="AG82" s="14">
        <f t="shared" si="18"/>
        <v>54.16423806714608</v>
      </c>
      <c r="AH82">
        <f t="shared" si="19"/>
        <v>54.16423806714608</v>
      </c>
      <c r="AJ82">
        <f t="shared" si="20"/>
        <v>-8.0137063742264179</v>
      </c>
      <c r="AK82">
        <f t="shared" si="21"/>
        <v>-5.787274387999136</v>
      </c>
    </row>
    <row r="83" spans="1:37" x14ac:dyDescent="0.25">
      <c r="A83">
        <f t="shared" si="4"/>
        <v>33</v>
      </c>
      <c r="B83">
        <f t="shared" si="12"/>
        <v>50.075819021982852</v>
      </c>
      <c r="C83">
        <f t="shared" si="5"/>
        <v>0.90345713016218809</v>
      </c>
      <c r="D83">
        <f t="shared" si="6"/>
        <v>49.172361891820664</v>
      </c>
      <c r="E83">
        <f t="shared" si="13"/>
        <v>-9.8742580014359564</v>
      </c>
      <c r="F83">
        <f t="shared" si="7"/>
        <v>-2.3374892294373398E-2</v>
      </c>
      <c r="G83">
        <f t="shared" si="8"/>
        <v>6.6610051505286689</v>
      </c>
      <c r="H83">
        <f t="shared" si="9"/>
        <v>0.86401897785727744</v>
      </c>
      <c r="I83">
        <f t="shared" si="14"/>
        <v>57.509238980773951</v>
      </c>
      <c r="J83" s="1"/>
      <c r="K83">
        <f t="shared" si="10"/>
        <v>-9.9205409962660482</v>
      </c>
      <c r="L83">
        <f t="shared" si="11"/>
        <v>-8.5715356913850069</v>
      </c>
      <c r="N83" s="1">
        <f t="shared" si="22"/>
        <v>1.0242761202231798</v>
      </c>
      <c r="O83" s="1">
        <f t="shared" si="23"/>
        <v>0.43633231299858238</v>
      </c>
      <c r="P83" s="1">
        <f t="shared" si="32"/>
        <v>-7.7161791916634241</v>
      </c>
      <c r="Q83" s="1">
        <f t="shared" si="24"/>
        <v>2.0169205331848697E-2</v>
      </c>
      <c r="R83" s="1">
        <f t="shared" si="25"/>
        <v>-4.7115736443024955E-2</v>
      </c>
      <c r="S83" s="1">
        <f t="shared" si="26"/>
        <v>-7.7632949281064487</v>
      </c>
      <c r="T83" s="1">
        <f t="shared" si="27"/>
        <v>-0.15562920249399789</v>
      </c>
      <c r="U83">
        <f t="shared" si="28"/>
        <v>3.3031257546444941</v>
      </c>
      <c r="V83">
        <f t="shared" si="29"/>
        <v>0.6363077125290485</v>
      </c>
      <c r="W83">
        <f t="shared" si="33"/>
        <v>20.793545861489697</v>
      </c>
      <c r="X83">
        <f t="shared" si="30"/>
        <v>-7.7971370873864645</v>
      </c>
      <c r="Y83">
        <f t="shared" si="31"/>
        <v>-4.9613784643502887</v>
      </c>
      <c r="AC83" s="1">
        <f t="shared" si="15"/>
        <v>-8.0759896175884744</v>
      </c>
      <c r="AD83" s="1">
        <f t="shared" si="17"/>
        <v>-4.2336292534830164</v>
      </c>
      <c r="AF83">
        <f t="shared" si="16"/>
        <v>62.33538371535095</v>
      </c>
      <c r="AG83" s="14">
        <f t="shared" si="18"/>
        <v>53.087760736513431</v>
      </c>
      <c r="AH83">
        <f t="shared" si="19"/>
        <v>53.087760736513438</v>
      </c>
      <c r="AJ83">
        <f t="shared" si="20"/>
        <v>-8.0759896175884744</v>
      </c>
      <c r="AK83">
        <f t="shared" si="21"/>
        <v>-6.0663226386010294</v>
      </c>
    </row>
    <row r="84" spans="1:37" x14ac:dyDescent="0.25">
      <c r="A84">
        <f t="shared" si="4"/>
        <v>34</v>
      </c>
      <c r="B84">
        <f t="shared" si="12"/>
        <v>49.172361891820664</v>
      </c>
      <c r="C84">
        <f t="shared" si="5"/>
        <v>0.83466678481834577</v>
      </c>
      <c r="D84">
        <f t="shared" si="6"/>
        <v>48.337695107002318</v>
      </c>
      <c r="E84">
        <f t="shared" si="13"/>
        <v>-9.9205409962660482</v>
      </c>
      <c r="F84">
        <f t="shared" si="7"/>
        <v>-1.9247516125340831E-2</v>
      </c>
      <c r="G84">
        <f t="shared" si="8"/>
        <v>7.5084650382039815</v>
      </c>
      <c r="H84">
        <f t="shared" si="9"/>
        <v>0.88978802827602133</v>
      </c>
      <c r="I84">
        <f t="shared" si="14"/>
        <v>65.916499539147907</v>
      </c>
      <c r="J84" s="1"/>
      <c r="K84">
        <f t="shared" si="10"/>
        <v>-9.9591654707237875</v>
      </c>
      <c r="L84">
        <f t="shared" si="11"/>
        <v>-8.8615462074699529</v>
      </c>
      <c r="N84" s="1">
        <f t="shared" si="22"/>
        <v>1.0041069148913311</v>
      </c>
      <c r="O84" s="1">
        <f t="shared" si="23"/>
        <v>0.4537856055185257</v>
      </c>
      <c r="P84" s="1">
        <f t="shared" si="32"/>
        <v>-7.7971370873864645</v>
      </c>
      <c r="Q84" s="1">
        <f t="shared" si="24"/>
        <v>1.9915010396514336E-2</v>
      </c>
      <c r="R84" s="1">
        <f t="shared" si="25"/>
        <v>-4.383898929497599E-2</v>
      </c>
      <c r="S84" s="1">
        <f t="shared" si="26"/>
        <v>-7.8409760766814403</v>
      </c>
      <c r="T84" s="1">
        <f t="shared" si="27"/>
        <v>-0.15528006615834894</v>
      </c>
      <c r="U84">
        <f t="shared" si="28"/>
        <v>3.5420539719455681</v>
      </c>
      <c r="V84">
        <f t="shared" si="29"/>
        <v>0.66464895097142007</v>
      </c>
      <c r="W84">
        <f t="shared" si="33"/>
        <v>22.656501925831037</v>
      </c>
      <c r="X84">
        <f t="shared" si="30"/>
        <v>-7.8739356332118504</v>
      </c>
      <c r="Y84">
        <f t="shared" si="31"/>
        <v>-5.2334030586307403</v>
      </c>
      <c r="AC84" s="1">
        <f t="shared" si="15"/>
        <v>-8.1327556394220597</v>
      </c>
      <c r="AD84" s="1">
        <f t="shared" si="17"/>
        <v>-4.3809312960692894</v>
      </c>
      <c r="AF84">
        <f t="shared" si="16"/>
        <v>61.68965909794899</v>
      </c>
      <c r="AG84" s="14">
        <f t="shared" si="18"/>
        <v>52.042714153557334</v>
      </c>
      <c r="AH84">
        <f t="shared" si="19"/>
        <v>52.042714153557334</v>
      </c>
      <c r="AJ84">
        <f t="shared" si="20"/>
        <v>-8.1327556394220597</v>
      </c>
      <c r="AK84">
        <f t="shared" si="21"/>
        <v>-6.344246882917389</v>
      </c>
    </row>
    <row r="85" spans="1:37" x14ac:dyDescent="0.25">
      <c r="A85">
        <f t="shared" si="4"/>
        <v>35</v>
      </c>
      <c r="B85">
        <f t="shared" si="12"/>
        <v>48.337695107002318</v>
      </c>
      <c r="C85">
        <f t="shared" si="5"/>
        <v>0.75137135460831672</v>
      </c>
      <c r="D85">
        <f t="shared" si="6"/>
        <v>47.586323752394001</v>
      </c>
      <c r="E85">
        <f t="shared" si="13"/>
        <v>-9.9591654707237875</v>
      </c>
      <c r="F85">
        <f t="shared" si="7"/>
        <v>-1.5270403712404753E-2</v>
      </c>
      <c r="G85">
        <f t="shared" si="8"/>
        <v>8.55272347686412</v>
      </c>
      <c r="H85">
        <f t="shared" si="9"/>
        <v>0.91356329518306412</v>
      </c>
      <c r="I85">
        <f t="shared" si="14"/>
        <v>76.316442123963881</v>
      </c>
      <c r="J85" s="1"/>
      <c r="K85">
        <f t="shared" si="10"/>
        <v>-9.99016126235618</v>
      </c>
      <c r="L85">
        <f t="shared" si="11"/>
        <v>-9.1266446422483121</v>
      </c>
      <c r="N85" s="1">
        <f t="shared" si="22"/>
        <v>0.98419190449481686</v>
      </c>
      <c r="O85" s="1">
        <f t="shared" si="23"/>
        <v>0.47123889803846897</v>
      </c>
      <c r="P85" s="1">
        <f t="shared" si="32"/>
        <v>-7.8739356332118504</v>
      </c>
      <c r="Q85" s="1">
        <f t="shared" si="24"/>
        <v>1.9609078781339866E-2</v>
      </c>
      <c r="R85" s="1">
        <f t="shared" si="25"/>
        <v>-4.0491905453348319E-2</v>
      </c>
      <c r="S85" s="1">
        <f t="shared" si="26"/>
        <v>-7.9144275386651985</v>
      </c>
      <c r="T85" s="1">
        <f t="shared" si="27"/>
        <v>-0.15440062415085037</v>
      </c>
      <c r="U85">
        <f t="shared" si="28"/>
        <v>3.8131232013454883</v>
      </c>
      <c r="V85">
        <f t="shared" si="29"/>
        <v>0.69329755535375737</v>
      </c>
      <c r="W85">
        <f t="shared" si="33"/>
        <v>24.790883590270347</v>
      </c>
      <c r="X85">
        <f t="shared" si="30"/>
        <v>-7.9462400798329922</v>
      </c>
      <c r="Y85">
        <f t="shared" si="31"/>
        <v>-5.5091088216022595</v>
      </c>
      <c r="AC85" s="1">
        <f t="shared" si="15"/>
        <v>-8.1836962184271833</v>
      </c>
      <c r="AD85" s="1">
        <f t="shared" si="17"/>
        <v>-4.523833691361915</v>
      </c>
      <c r="AF85">
        <f t="shared" si="16"/>
        <v>61.066791538625282</v>
      </c>
      <c r="AG85" s="14">
        <f t="shared" si="18"/>
        <v>51.035957711387944</v>
      </c>
      <c r="AH85">
        <f t="shared" si="19"/>
        <v>51.035957711387944</v>
      </c>
      <c r="AJ85">
        <f t="shared" si="20"/>
        <v>-8.1836962184271833</v>
      </c>
      <c r="AK85">
        <f t="shared" si="21"/>
        <v>-6.6185270351894294</v>
      </c>
    </row>
    <row r="86" spans="1:37" x14ac:dyDescent="0.25">
      <c r="A86">
        <f t="shared" si="4"/>
        <v>36</v>
      </c>
      <c r="B86">
        <f t="shared" si="12"/>
        <v>47.586323752394001</v>
      </c>
      <c r="C86">
        <f t="shared" si="5"/>
        <v>0.65078034225307846</v>
      </c>
      <c r="D86">
        <f t="shared" si="6"/>
        <v>46.935543410140923</v>
      </c>
      <c r="E86">
        <f t="shared" si="13"/>
        <v>-9.99016126235618</v>
      </c>
      <c r="F86">
        <f t="shared" si="7"/>
        <v>-1.1512266150423998E-2</v>
      </c>
      <c r="G86">
        <f t="shared" si="8"/>
        <v>9.8565168991042729</v>
      </c>
      <c r="H86">
        <f t="shared" si="9"/>
        <v>0.93462054028931674</v>
      </c>
      <c r="I86">
        <f t="shared" si="14"/>
        <v>89.341548664942252</v>
      </c>
      <c r="J86" s="1"/>
      <c r="K86">
        <f t="shared" si="10"/>
        <v>-10.013739800583043</v>
      </c>
      <c r="L86">
        <f t="shared" si="11"/>
        <v>-9.3590469027375587</v>
      </c>
      <c r="N86" s="1">
        <f t="shared" si="22"/>
        <v>0.96458282571347698</v>
      </c>
      <c r="O86" s="1">
        <f t="shared" si="23"/>
        <v>0.48869219055841229</v>
      </c>
      <c r="P86" s="1">
        <f t="shared" si="32"/>
        <v>-7.9462400798329922</v>
      </c>
      <c r="Q86" s="1">
        <f t="shared" si="24"/>
        <v>1.923853460772838E-2</v>
      </c>
      <c r="R86" s="1">
        <f t="shared" si="25"/>
        <v>-3.7078073392258666E-2</v>
      </c>
      <c r="S86" s="1">
        <f t="shared" si="26"/>
        <v>-7.9833181532252508</v>
      </c>
      <c r="T86" s="1">
        <f t="shared" si="27"/>
        <v>-0.15287401477718535</v>
      </c>
      <c r="U86">
        <f t="shared" si="28"/>
        <v>4.1230301574704553</v>
      </c>
      <c r="V86">
        <f t="shared" si="29"/>
        <v>0.72217200353285904</v>
      </c>
      <c r="W86">
        <f t="shared" si="33"/>
        <v>27.253478666049602</v>
      </c>
      <c r="X86">
        <f t="shared" si="30"/>
        <v>-8.0137063742264179</v>
      </c>
      <c r="Y86">
        <f t="shared" si="31"/>
        <v>-5.787274387999136</v>
      </c>
      <c r="AC86" s="1">
        <f t="shared" si="15"/>
        <v>-8.2285483345299628</v>
      </c>
      <c r="AD86" s="1">
        <f t="shared" si="17"/>
        <v>-4.6609726469433816</v>
      </c>
      <c r="AF86">
        <f t="shared" si="16"/>
        <v>60.471082152551524</v>
      </c>
      <c r="AG86" s="14">
        <f t="shared" si="18"/>
        <v>50.075819021982852</v>
      </c>
      <c r="AH86">
        <f t="shared" si="19"/>
        <v>50.075819021982852</v>
      </c>
      <c r="AJ86">
        <f t="shared" si="20"/>
        <v>-8.2285483345299628</v>
      </c>
      <c r="AK86">
        <f t="shared" si="21"/>
        <v>-6.886037020366568</v>
      </c>
    </row>
    <row r="87" spans="1:37" x14ac:dyDescent="0.25">
      <c r="A87">
        <f t="shared" si="4"/>
        <v>37</v>
      </c>
      <c r="B87">
        <f t="shared" si="12"/>
        <v>46.935543410140923</v>
      </c>
      <c r="C87">
        <f t="shared" si="5"/>
        <v>0.52966663628281907</v>
      </c>
      <c r="D87">
        <f t="shared" si="6"/>
        <v>46.405876773858104</v>
      </c>
      <c r="E87">
        <f t="shared" si="13"/>
        <v>-10.013739800583043</v>
      </c>
      <c r="F87">
        <f t="shared" si="7"/>
        <v>-8.0464715244263074E-3</v>
      </c>
      <c r="G87">
        <f t="shared" si="8"/>
        <v>11.504581071330126</v>
      </c>
      <c r="H87">
        <f t="shared" si="9"/>
        <v>0.95209156547159079</v>
      </c>
      <c r="I87">
        <f t="shared" si="14"/>
        <v>105.84483446027522</v>
      </c>
      <c r="J87" s="1"/>
      <c r="K87">
        <f t="shared" si="10"/>
        <v>-10.030318855234325</v>
      </c>
      <c r="L87">
        <f t="shared" si="11"/>
        <v>-9.5497819810592635</v>
      </c>
      <c r="N87" s="1">
        <f t="shared" si="22"/>
        <v>0.94534429110574858</v>
      </c>
      <c r="O87" s="1">
        <f t="shared" si="23"/>
        <v>0.50614548307835561</v>
      </c>
      <c r="P87" s="1">
        <f t="shared" si="32"/>
        <v>-8.0137063742264179</v>
      </c>
      <c r="Q87" s="1">
        <f t="shared" si="24"/>
        <v>1.8788073742619336E-2</v>
      </c>
      <c r="R87" s="1">
        <f t="shared" si="25"/>
        <v>-3.3605286140387214E-2</v>
      </c>
      <c r="S87" s="1">
        <f t="shared" si="26"/>
        <v>-8.0473116603668053</v>
      </c>
      <c r="T87" s="1">
        <f t="shared" si="27"/>
        <v>-0.15056210631066458</v>
      </c>
      <c r="U87">
        <f t="shared" si="28"/>
        <v>4.4803102012488845</v>
      </c>
      <c r="V87">
        <f t="shared" si="29"/>
        <v>0.75115532904962545</v>
      </c>
      <c r="W87">
        <f t="shared" si="33"/>
        <v>30.11661603026069</v>
      </c>
      <c r="X87">
        <f t="shared" si="30"/>
        <v>-8.0759896175884744</v>
      </c>
      <c r="Y87">
        <f t="shared" si="31"/>
        <v>-6.0663226386010294</v>
      </c>
      <c r="AC87" s="1">
        <f t="shared" si="15"/>
        <v>-8.2671174968883729</v>
      </c>
      <c r="AD87" s="1">
        <f t="shared" si="17"/>
        <v>-4.7907228785816098</v>
      </c>
      <c r="AF87">
        <f t="shared" si="16"/>
        <v>59.908080168855768</v>
      </c>
      <c r="AG87" s="14">
        <f t="shared" si="18"/>
        <v>49.172361891820664</v>
      </c>
      <c r="AH87">
        <f t="shared" si="19"/>
        <v>49.172361891820671</v>
      </c>
      <c r="AJ87">
        <f t="shared" si="20"/>
        <v>-8.2671174968883729</v>
      </c>
      <c r="AK87">
        <f t="shared" si="21"/>
        <v>-7.1429464094875064</v>
      </c>
    </row>
    <row r="88" spans="1:37" x14ac:dyDescent="0.25">
      <c r="A88">
        <f t="shared" si="4"/>
        <v>38</v>
      </c>
      <c r="B88">
        <f t="shared" si="12"/>
        <v>46.405876773858104</v>
      </c>
      <c r="C88">
        <f t="shared" si="5"/>
        <v>0.38432298090192774</v>
      </c>
      <c r="D88">
        <f t="shared" si="6"/>
        <v>46.021553792956176</v>
      </c>
      <c r="E88">
        <f t="shared" si="13"/>
        <v>-10.030318855234325</v>
      </c>
      <c r="F88">
        <f t="shared" si="7"/>
        <v>-4.944231612808281E-3</v>
      </c>
      <c r="G88">
        <f t="shared" si="8"/>
        <v>13.607854399827215</v>
      </c>
      <c r="H88">
        <f t="shared" si="9"/>
        <v>0.96496204131731556</v>
      </c>
      <c r="I88">
        <f t="shared" si="14"/>
        <v>126.94133658481103</v>
      </c>
      <c r="J88" s="1"/>
      <c r="K88">
        <f t="shared" si="10"/>
        <v>-10.040529728892862</v>
      </c>
      <c r="L88">
        <f t="shared" si="11"/>
        <v>-9.6887300630996496</v>
      </c>
      <c r="N88" s="1">
        <f t="shared" si="22"/>
        <v>0.92655621736312921</v>
      </c>
      <c r="O88" s="1">
        <f t="shared" si="23"/>
        <v>0.52359877559829882</v>
      </c>
      <c r="P88" s="1">
        <f t="shared" si="32"/>
        <v>-8.0759896175884744</v>
      </c>
      <c r="Q88" s="1">
        <f t="shared" si="24"/>
        <v>1.8239503709299946E-2</v>
      </c>
      <c r="R88" s="1">
        <f t="shared" si="25"/>
        <v>-3.0086439512149663E-2</v>
      </c>
      <c r="S88" s="1">
        <f t="shared" si="26"/>
        <v>-8.1060760571006245</v>
      </c>
      <c r="T88" s="1">
        <f t="shared" si="27"/>
        <v>-0.14730204258627283</v>
      </c>
      <c r="U88">
        <f t="shared" si="28"/>
        <v>4.8959612694213472</v>
      </c>
      <c r="V88">
        <f t="shared" si="29"/>
        <v>0.78008576234170879</v>
      </c>
      <c r="W88">
        <f t="shared" si="33"/>
        <v>33.47340974136106</v>
      </c>
      <c r="X88">
        <f t="shared" si="30"/>
        <v>-8.1327556394220597</v>
      </c>
      <c r="Y88">
        <f t="shared" si="31"/>
        <v>-6.344246882917389</v>
      </c>
      <c r="AC88" s="1">
        <f t="shared" si="15"/>
        <v>-8.2993045589364893</v>
      </c>
      <c r="AD88" s="1">
        <f t="shared" si="17"/>
        <v>-4.9111556301644343</v>
      </c>
      <c r="AF88">
        <f t="shared" si="16"/>
        <v>59.384859568735116</v>
      </c>
      <c r="AG88" s="14">
        <f t="shared" si="18"/>
        <v>48.337695107002318</v>
      </c>
      <c r="AH88">
        <f t="shared" si="19"/>
        <v>48.337695107002318</v>
      </c>
      <c r="AJ88">
        <f t="shared" si="20"/>
        <v>-8.2993045589364893</v>
      </c>
      <c r="AK88">
        <f t="shared" si="21"/>
        <v>-7.3846218395582941</v>
      </c>
    </row>
    <row r="89" spans="1:37" x14ac:dyDescent="0.25">
      <c r="A89">
        <f t="shared" si="4"/>
        <v>39</v>
      </c>
      <c r="B89">
        <f t="shared" si="12"/>
        <v>46.021553792956176</v>
      </c>
      <c r="C89">
        <f t="shared" si="5"/>
        <v>0.21050970556675708</v>
      </c>
      <c r="D89">
        <f t="shared" si="6"/>
        <v>45.811044087389419</v>
      </c>
      <c r="E89">
        <f t="shared" si="13"/>
        <v>-10.040529728892862</v>
      </c>
      <c r="F89">
        <f t="shared" si="7"/>
        <v>-2.2632405969256674E-3</v>
      </c>
      <c r="G89">
        <f t="shared" si="8"/>
        <v>16.299541690183954</v>
      </c>
      <c r="H89">
        <f t="shared" si="9"/>
        <v>0.97208253846083981</v>
      </c>
      <c r="I89">
        <f t="shared" si="14"/>
        <v>153.96730284452093</v>
      </c>
      <c r="J89" s="1"/>
      <c r="K89">
        <f t="shared" si="10"/>
        <v>-10.045194139513457</v>
      </c>
      <c r="L89">
        <f t="shared" si="11"/>
        <v>-9.7647578184701924</v>
      </c>
      <c r="N89" s="1">
        <f t="shared" si="22"/>
        <v>0.90831671365382927</v>
      </c>
      <c r="O89" s="1">
        <f t="shared" si="23"/>
        <v>0.54105206811824214</v>
      </c>
      <c r="P89" s="1">
        <f t="shared" si="32"/>
        <v>-8.1327556394220597</v>
      </c>
      <c r="Q89" s="1">
        <f t="shared" si="24"/>
        <v>1.7571214681519742E-2</v>
      </c>
      <c r="R89" s="1">
        <f t="shared" si="25"/>
        <v>-2.6540494079226071E-2</v>
      </c>
      <c r="S89" s="1">
        <f t="shared" si="26"/>
        <v>-8.1592961335012859</v>
      </c>
      <c r="T89" s="1">
        <f t="shared" si="27"/>
        <v>-0.14290239529262536</v>
      </c>
      <c r="U89">
        <f t="shared" si="28"/>
        <v>5.3843155619502481</v>
      </c>
      <c r="V89">
        <f t="shared" si="29"/>
        <v>0.80874544442235385</v>
      </c>
      <c r="W89">
        <f t="shared" si="33"/>
        <v>37.445075867961449</v>
      </c>
      <c r="X89">
        <f t="shared" si="30"/>
        <v>-8.1836962184271833</v>
      </c>
      <c r="Y89">
        <f t="shared" si="31"/>
        <v>-6.6185270351894294</v>
      </c>
      <c r="AC89" s="1">
        <f t="shared" si="15"/>
        <v>-8.3251343852968169</v>
      </c>
      <c r="AD89" s="1">
        <f t="shared" si="17"/>
        <v>-5.0199919137746649</v>
      </c>
      <c r="AF89">
        <f t="shared" si="16"/>
        <v>58.910346603671371</v>
      </c>
      <c r="AG89" s="14">
        <f t="shared" si="18"/>
        <v>47.586323752394001</v>
      </c>
      <c r="AH89">
        <f t="shared" si="19"/>
        <v>47.586323752394009</v>
      </c>
      <c r="AJ89">
        <f t="shared" si="20"/>
        <v>-8.3251343852968169</v>
      </c>
      <c r="AK89">
        <f t="shared" si="21"/>
        <v>-7.6055372018735934</v>
      </c>
    </row>
    <row r="90" spans="1:37" x14ac:dyDescent="0.25">
      <c r="A90">
        <f t="shared" si="4"/>
        <v>40</v>
      </c>
      <c r="B90">
        <f t="shared" si="12"/>
        <v>45.811044087389419</v>
      </c>
      <c r="C90">
        <f t="shared" si="5"/>
        <v>3.3733236189590343E-3</v>
      </c>
      <c r="D90">
        <f t="shared" si="6"/>
        <v>45.80767076377046</v>
      </c>
      <c r="E90">
        <f t="shared" si="13"/>
        <v>-10.045194139513457</v>
      </c>
      <c r="F90">
        <f t="shared" si="7"/>
        <v>-3.0017032268812392E-5</v>
      </c>
      <c r="G90">
        <f t="shared" si="8"/>
        <v>19.702709642342178</v>
      </c>
      <c r="H90">
        <f t="shared" si="9"/>
        <v>0.97219705479466545</v>
      </c>
      <c r="I90">
        <f t="shared" si="14"/>
        <v>188.15278561332073</v>
      </c>
      <c r="J90" s="1"/>
      <c r="K90">
        <f t="shared" si="10"/>
        <v>-10.045255554747026</v>
      </c>
      <c r="L90">
        <f t="shared" si="11"/>
        <v>-9.7659678649848125</v>
      </c>
      <c r="N90" s="1">
        <f t="shared" si="22"/>
        <v>0.89074549897230959</v>
      </c>
      <c r="O90" s="1">
        <f t="shared" si="23"/>
        <v>0.55850536063818546</v>
      </c>
      <c r="P90" s="1">
        <f t="shared" si="32"/>
        <v>-8.1836962184271833</v>
      </c>
      <c r="Q90" s="1">
        <f t="shared" si="24"/>
        <v>1.6757581405902049E-2</v>
      </c>
      <c r="R90" s="1">
        <f t="shared" si="25"/>
        <v>-2.2993430895227516E-2</v>
      </c>
      <c r="S90" s="1">
        <f t="shared" si="26"/>
        <v>-8.20668964932241</v>
      </c>
      <c r="T90" s="1">
        <f t="shared" si="27"/>
        <v>-0.13713895558146627</v>
      </c>
      <c r="U90">
        <f t="shared" si="28"/>
        <v>5.9642667597696626</v>
      </c>
      <c r="V90">
        <f t="shared" si="29"/>
        <v>0.83684712544863693</v>
      </c>
      <c r="W90">
        <f t="shared" si="33"/>
        <v>42.191220292428504</v>
      </c>
      <c r="X90">
        <f t="shared" si="30"/>
        <v>-8.2285483345299628</v>
      </c>
      <c r="Y90">
        <f t="shared" si="31"/>
        <v>-6.886037020366568</v>
      </c>
      <c r="AC90" s="1">
        <f t="shared" si="15"/>
        <v>-8.344783167152535</v>
      </c>
      <c r="AD90" s="1">
        <f t="shared" si="17"/>
        <v>-5.1145509519901982</v>
      </c>
      <c r="AF90">
        <f t="shared" si="16"/>
        <v>58.495701186861112</v>
      </c>
      <c r="AG90" s="14">
        <f t="shared" si="18"/>
        <v>46.935543410140923</v>
      </c>
      <c r="AH90">
        <f t="shared" si="19"/>
        <v>46.935543410140923</v>
      </c>
      <c r="AJ90">
        <f t="shared" si="20"/>
        <v>-8.344783167152535</v>
      </c>
      <c r="AK90">
        <f t="shared" si="21"/>
        <v>-7.7992057522812983</v>
      </c>
    </row>
    <row r="91" spans="1:37" x14ac:dyDescent="0.25">
      <c r="J91" s="1"/>
      <c r="N91" s="1">
        <f t="shared" si="22"/>
        <v>0.87398791756640748</v>
      </c>
      <c r="O91" s="1">
        <f t="shared" si="23"/>
        <v>0.57595865315812877</v>
      </c>
      <c r="P91" s="1">
        <f t="shared" si="32"/>
        <v>-8.2285483345299628</v>
      </c>
      <c r="Q91" s="1">
        <f t="shared" si="24"/>
        <v>1.5768301571949153E-2</v>
      </c>
      <c r="R91" s="1">
        <f t="shared" si="25"/>
        <v>-1.9479076911977831E-2</v>
      </c>
      <c r="S91" s="1">
        <f t="shared" si="26"/>
        <v>-8.2480274114419405</v>
      </c>
      <c r="T91" s="1">
        <f t="shared" si="27"/>
        <v>-0.12975023163822841</v>
      </c>
      <c r="U91">
        <f t="shared" si="28"/>
        <v>6.6610051505286689</v>
      </c>
      <c r="V91">
        <f t="shared" si="29"/>
        <v>0.86401897785727744</v>
      </c>
      <c r="W91">
        <f t="shared" si="33"/>
        <v>47.924365817311617</v>
      </c>
      <c r="X91">
        <f t="shared" si="30"/>
        <v>-8.2671174968883729</v>
      </c>
      <c r="Y91">
        <f t="shared" si="31"/>
        <v>-7.1429464094875064</v>
      </c>
      <c r="AC91" s="1">
        <f t="shared" si="15"/>
        <v>-8.3585990460286048</v>
      </c>
      <c r="AD91" s="1">
        <f t="shared" si="17"/>
        <v>-5.1916936886492913</v>
      </c>
      <c r="AF91">
        <f t="shared" si="16"/>
        <v>58.154754083336009</v>
      </c>
      <c r="AG91" s="14">
        <f t="shared" si="18"/>
        <v>46.405876773858104</v>
      </c>
      <c r="AH91">
        <f t="shared" si="19"/>
        <v>46.405876773858104</v>
      </c>
      <c r="AJ91">
        <f t="shared" si="20"/>
        <v>-8.3585990460286048</v>
      </c>
      <c r="AK91">
        <f t="shared" si="21"/>
        <v>-7.9581516508827201</v>
      </c>
    </row>
    <row r="92" spans="1:37" x14ac:dyDescent="0.25">
      <c r="J92" s="1"/>
      <c r="N92" s="1">
        <f t="shared" si="22"/>
        <v>0.8582196159944584</v>
      </c>
      <c r="O92" s="1">
        <f t="shared" si="23"/>
        <v>0.59341194567807209</v>
      </c>
      <c r="P92" s="1">
        <f t="shared" si="32"/>
        <v>-8.2671174968883729</v>
      </c>
      <c r="Q92" s="1">
        <f t="shared" si="24"/>
        <v>1.4567683552115155E-2</v>
      </c>
      <c r="R92" s="1">
        <f t="shared" si="25"/>
        <v>-1.6039596771117361E-2</v>
      </c>
      <c r="S92" s="1">
        <f t="shared" si="26"/>
        <v>-8.28315709365949</v>
      </c>
      <c r="T92" s="1">
        <f t="shared" si="27"/>
        <v>-0.12043275158282417</v>
      </c>
      <c r="U92">
        <f t="shared" si="28"/>
        <v>7.5084650382039815</v>
      </c>
      <c r="V92">
        <f t="shared" si="29"/>
        <v>0.88978802827602133</v>
      </c>
      <c r="W92">
        <f t="shared" si="33"/>
        <v>54.930416282623256</v>
      </c>
      <c r="X92">
        <f t="shared" si="30"/>
        <v>-8.2993045589364893</v>
      </c>
      <c r="Y92">
        <f t="shared" si="31"/>
        <v>-7.3846218395582941</v>
      </c>
      <c r="AC92" s="1">
        <f t="shared" si="15"/>
        <v>-8.3671081074107185</v>
      </c>
      <c r="AD92" s="1">
        <f t="shared" si="17"/>
        <v>-5.247760675237723</v>
      </c>
      <c r="AF92">
        <f t="shared" si="16"/>
        <v>57.904503187142708</v>
      </c>
      <c r="AG92" s="14">
        <f t="shared" si="18"/>
        <v>46.021553792956176</v>
      </c>
      <c r="AH92">
        <f t="shared" si="19"/>
        <v>46.021553792956176</v>
      </c>
      <c r="AJ92">
        <f t="shared" si="20"/>
        <v>-8.3671081074107185</v>
      </c>
      <c r="AK92">
        <f t="shared" si="21"/>
        <v>-8.0739417192497083</v>
      </c>
    </row>
    <row r="93" spans="1:37" x14ac:dyDescent="0.25">
      <c r="J93" s="1"/>
      <c r="N93" s="1">
        <f t="shared" si="22"/>
        <v>0.84365193244234316</v>
      </c>
      <c r="O93" s="1">
        <f t="shared" si="23"/>
        <v>0.6108652381980153</v>
      </c>
      <c r="P93" s="1">
        <f t="shared" si="32"/>
        <v>-8.2993045589364893</v>
      </c>
      <c r="Q93" s="1">
        <f t="shared" si="24"/>
        <v>1.3113904043084995E-2</v>
      </c>
      <c r="R93" s="1">
        <f t="shared" si="25"/>
        <v>-1.2725336427003962E-2</v>
      </c>
      <c r="S93" s="1">
        <f t="shared" si="26"/>
        <v>-8.3120298953634926</v>
      </c>
      <c r="T93" s="1">
        <f t="shared" si="27"/>
        <v>-0.10883628361023095</v>
      </c>
      <c r="U93">
        <f t="shared" si="28"/>
        <v>8.55272347686412</v>
      </c>
      <c r="V93">
        <f t="shared" si="29"/>
        <v>0.91356329518306412</v>
      </c>
      <c r="W93">
        <f t="shared" si="33"/>
        <v>63.597035103303241</v>
      </c>
      <c r="X93">
        <f t="shared" si="30"/>
        <v>-8.3251343852968169</v>
      </c>
      <c r="Y93">
        <f t="shared" si="31"/>
        <v>-7.6055372018735934</v>
      </c>
      <c r="AC93" s="1">
        <f t="shared" si="15"/>
        <v>-8.3709951162612146</v>
      </c>
      <c r="AD93" s="1">
        <f t="shared" si="17"/>
        <v>-5.2785021622914785</v>
      </c>
      <c r="AF93">
        <f t="shared" si="16"/>
        <v>57.765680478492889</v>
      </c>
      <c r="AG93" s="14">
        <f t="shared" si="18"/>
        <v>45.811044087389419</v>
      </c>
      <c r="AH93">
        <f t="shared" si="19"/>
        <v>45.811044087389426</v>
      </c>
      <c r="AJ93">
        <f t="shared" si="20"/>
        <v>-8.3709951162612146</v>
      </c>
      <c r="AK93">
        <f t="shared" si="21"/>
        <v>-8.137298182058494</v>
      </c>
    </row>
    <row r="94" spans="1:37" x14ac:dyDescent="0.25">
      <c r="D94" s="1"/>
      <c r="E94" s="1"/>
      <c r="F94" s="1"/>
      <c r="G94" s="1"/>
      <c r="H94" s="1"/>
      <c r="I94" s="1"/>
      <c r="J94" s="1"/>
      <c r="K94" s="1"/>
      <c r="N94" s="1">
        <f t="shared" si="22"/>
        <v>0.83053802839925817</v>
      </c>
      <c r="O94" s="1">
        <f t="shared" si="23"/>
        <v>0.62831853071795862</v>
      </c>
      <c r="P94" s="1">
        <f t="shared" si="32"/>
        <v>-8.3251343852968169</v>
      </c>
      <c r="Q94" s="1">
        <f t="shared" si="24"/>
        <v>1.1358259679571792E-2</v>
      </c>
      <c r="R94" s="1">
        <f t="shared" si="25"/>
        <v>-9.5935551253533338E-3</v>
      </c>
      <c r="S94" s="1">
        <f t="shared" si="26"/>
        <v>-8.3347279404221695</v>
      </c>
      <c r="T94" s="1">
        <f t="shared" si="27"/>
        <v>-9.4559038215533534E-2</v>
      </c>
      <c r="U94">
        <f t="shared" si="28"/>
        <v>9.8565168991042711</v>
      </c>
      <c r="V94">
        <f t="shared" si="29"/>
        <v>0.93462054028931674</v>
      </c>
      <c r="W94">
        <f t="shared" si="33"/>
        <v>74.451290554118529</v>
      </c>
      <c r="X94">
        <f t="shared" si="30"/>
        <v>-8.344783167152535</v>
      </c>
      <c r="Y94">
        <f t="shared" si="31"/>
        <v>-7.7992057522812983</v>
      </c>
      <c r="AC94" s="1">
        <f>S98</f>
        <v>-8.371020130454772</v>
      </c>
      <c r="AD94" s="1">
        <f t="shared" si="17"/>
        <v>-5.2789950096840759</v>
      </c>
      <c r="AF94">
        <f t="shared" si="16"/>
        <v>57.763344170107807</v>
      </c>
      <c r="AG94" s="14">
        <f t="shared" si="18"/>
        <v>45.80767076377046</v>
      </c>
      <c r="AH94">
        <f t="shared" si="19"/>
        <v>45.807670763770467</v>
      </c>
      <c r="AJ94">
        <f t="shared" si="20"/>
        <v>-8.3710462956225218</v>
      </c>
      <c r="AK94">
        <f t="shared" si="21"/>
        <v>-8.1383065541540098</v>
      </c>
    </row>
    <row r="95" spans="1:37" x14ac:dyDescent="0.25">
      <c r="D95" s="1"/>
      <c r="E95" s="1"/>
      <c r="F95" s="1"/>
      <c r="G95" s="1"/>
      <c r="H95" s="1" t="s">
        <v>125</v>
      </c>
      <c r="I95" s="1" t="s">
        <v>126</v>
      </c>
      <c r="J95" s="1">
        <f>L90/K90</f>
        <v>0.97219705479466545</v>
      </c>
      <c r="K95" s="1"/>
      <c r="N95" s="1">
        <f t="shared" si="22"/>
        <v>0.81917976871968645</v>
      </c>
      <c r="O95" s="1">
        <f t="shared" si="23"/>
        <v>0.64577182323790194</v>
      </c>
      <c r="P95" s="1">
        <f t="shared" si="32"/>
        <v>-8.344783167152535</v>
      </c>
      <c r="Q95" s="1">
        <f t="shared" si="24"/>
        <v>9.2444267410984517E-3</v>
      </c>
      <c r="R95" s="1">
        <f t="shared" si="25"/>
        <v>-6.7053929370219229E-3</v>
      </c>
      <c r="S95" s="1">
        <f t="shared" si="26"/>
        <v>-8.3514885600895568</v>
      </c>
      <c r="T95" s="1">
        <f t="shared" si="27"/>
        <v>-7.7142736659093131E-2</v>
      </c>
      <c r="U95">
        <f t="shared" si="28"/>
        <v>11.504581071330126</v>
      </c>
      <c r="V95">
        <f t="shared" si="29"/>
        <v>0.95209156547159079</v>
      </c>
      <c r="W95">
        <f t="shared" si="33"/>
        <v>88.204028716896019</v>
      </c>
      <c r="X95">
        <f t="shared" si="30"/>
        <v>-8.3585990460286048</v>
      </c>
      <c r="Y95">
        <f t="shared" si="31"/>
        <v>-7.9581516508827201</v>
      </c>
      <c r="AC95" s="1"/>
    </row>
    <row r="96" spans="1:37" x14ac:dyDescent="0.25">
      <c r="D96" s="1"/>
      <c r="E96" s="1"/>
      <c r="F96" s="1"/>
      <c r="G96" s="1"/>
      <c r="H96" s="1"/>
      <c r="I96" s="1" t="s">
        <v>127</v>
      </c>
      <c r="J96" s="1">
        <v>0</v>
      </c>
      <c r="K96" s="1"/>
      <c r="N96" s="1">
        <f t="shared" si="22"/>
        <v>0.80993534197858796</v>
      </c>
      <c r="O96" s="1">
        <f t="shared" si="23"/>
        <v>0.66322511575784526</v>
      </c>
      <c r="P96" s="1">
        <f t="shared" si="32"/>
        <v>-8.3585990460286048</v>
      </c>
      <c r="Q96" s="1">
        <f t="shared" si="24"/>
        <v>6.7077014078179252E-3</v>
      </c>
      <c r="R96" s="1">
        <f t="shared" si="25"/>
        <v>-4.1201930106735665E-3</v>
      </c>
      <c r="S96" s="1">
        <f t="shared" si="26"/>
        <v>-8.3627192390392775</v>
      </c>
      <c r="T96" s="1">
        <f t="shared" si="27"/>
        <v>-5.6066986588431636E-2</v>
      </c>
      <c r="U96">
        <f t="shared" si="28"/>
        <v>13.607854399827216</v>
      </c>
      <c r="V96">
        <f t="shared" si="29"/>
        <v>0.96496204131731556</v>
      </c>
      <c r="W96">
        <f t="shared" si="33"/>
        <v>105.7844471540092</v>
      </c>
      <c r="X96">
        <f t="shared" si="30"/>
        <v>-8.3671081074107185</v>
      </c>
      <c r="Y96">
        <f t="shared" si="31"/>
        <v>-8.0739417192497083</v>
      </c>
    </row>
    <row r="97" spans="4:34" x14ac:dyDescent="0.25">
      <c r="D97" s="1"/>
      <c r="E97" s="1"/>
      <c r="F97" s="1"/>
      <c r="G97" s="1"/>
      <c r="H97" s="1"/>
      <c r="I97" s="3" t="s">
        <v>128</v>
      </c>
      <c r="J97" s="1">
        <f>DEGREES(ATAN(J95))</f>
        <v>44.19232923622954</v>
      </c>
      <c r="K97" s="1"/>
      <c r="N97" s="1">
        <f t="shared" si="22"/>
        <v>0.80322764057077001</v>
      </c>
      <c r="O97" s="1">
        <f t="shared" si="23"/>
        <v>0.68067840827778847</v>
      </c>
      <c r="P97" s="1">
        <f t="shared" si="32"/>
        <v>-8.3671081074107185</v>
      </c>
      <c r="Q97" s="1">
        <f t="shared" si="24"/>
        <v>3.6740874695437467E-3</v>
      </c>
      <c r="R97" s="1">
        <f t="shared" si="25"/>
        <v>-1.8860338307713899E-3</v>
      </c>
      <c r="S97" s="1">
        <f t="shared" si="26"/>
        <v>-8.3689941412414903</v>
      </c>
      <c r="T97" s="1">
        <f t="shared" si="27"/>
        <v>-3.0741487053755616E-2</v>
      </c>
      <c r="U97">
        <f t="shared" si="28"/>
        <v>16.299541690183954</v>
      </c>
      <c r="V97">
        <f t="shared" si="29"/>
        <v>0.97208253846083981</v>
      </c>
      <c r="W97">
        <f t="shared" si="33"/>
        <v>128.30608570376745</v>
      </c>
      <c r="X97">
        <f t="shared" si="30"/>
        <v>-8.3709951162612146</v>
      </c>
      <c r="Y97">
        <f t="shared" si="31"/>
        <v>-8.137298182058494</v>
      </c>
    </row>
    <row r="98" spans="4:34" x14ac:dyDescent="0.25">
      <c r="D98" s="1"/>
      <c r="E98" s="1"/>
      <c r="F98" s="1"/>
      <c r="G98" s="1"/>
      <c r="H98" s="1"/>
      <c r="I98" s="1"/>
      <c r="J98" s="1"/>
      <c r="K98" s="1"/>
      <c r="N98" s="1">
        <f t="shared" si="22"/>
        <v>0.79955355310122633</v>
      </c>
      <c r="O98" s="1">
        <f t="shared" si="23"/>
        <v>0.69813170079773179</v>
      </c>
      <c r="P98" s="1">
        <f t="shared" si="32"/>
        <v>-8.3709951162612146</v>
      </c>
      <c r="Q98" s="1">
        <f t="shared" si="24"/>
        <v>5.8875603886125758E-5</v>
      </c>
      <c r="R98" s="1">
        <f t="shared" si="25"/>
        <v>-2.5014193557343664E-5</v>
      </c>
      <c r="S98" s="1">
        <f t="shared" si="26"/>
        <v>-8.371020130454772</v>
      </c>
      <c r="T98" s="1">
        <f t="shared" si="27"/>
        <v>-4.9284739259768855E-4</v>
      </c>
      <c r="U98">
        <f t="shared" si="28"/>
        <v>19.702709642342178</v>
      </c>
      <c r="V98">
        <f t="shared" si="29"/>
        <v>0.97219705479466545</v>
      </c>
      <c r="W98">
        <f t="shared" si="33"/>
        <v>156.79398801110062</v>
      </c>
      <c r="X98">
        <f t="shared" si="30"/>
        <v>-8.3710462956225218</v>
      </c>
      <c r="Y98">
        <f t="shared" si="31"/>
        <v>-8.1383065541540098</v>
      </c>
    </row>
    <row r="99" spans="4:34" x14ac:dyDescent="0.25">
      <c r="D99" s="1"/>
      <c r="E99" s="1"/>
      <c r="F99" s="1"/>
      <c r="G99" s="1"/>
      <c r="H99" s="1" t="s">
        <v>129</v>
      </c>
      <c r="I99" s="1" t="s">
        <v>112</v>
      </c>
      <c r="J99" s="1">
        <v>-5</v>
      </c>
      <c r="K99" s="1"/>
      <c r="N99" s="1"/>
      <c r="O99" s="1"/>
      <c r="P99" s="1"/>
      <c r="Q99" s="1"/>
      <c r="R99" s="1"/>
      <c r="S99" s="1"/>
      <c r="T99" s="1"/>
    </row>
    <row r="100" spans="4:34" x14ac:dyDescent="0.25">
      <c r="D100" s="1"/>
      <c r="E100" s="1"/>
      <c r="F100" s="1"/>
      <c r="G100" s="1"/>
      <c r="H100" s="1"/>
      <c r="I100" s="1" t="s">
        <v>113</v>
      </c>
      <c r="J100" s="1">
        <f>J99*J95</f>
        <v>-4.860985273973327</v>
      </c>
      <c r="K100" s="1"/>
      <c r="N100" s="1"/>
      <c r="O100" s="1"/>
      <c r="P100" s="1"/>
      <c r="Q100" s="1"/>
      <c r="R100" s="1"/>
      <c r="S100" s="1"/>
      <c r="T100" s="1"/>
    </row>
    <row r="101" spans="4:34" x14ac:dyDescent="0.25">
      <c r="D101" s="1"/>
      <c r="E101" s="1"/>
      <c r="F101" s="1"/>
      <c r="G101" s="1"/>
      <c r="H101" s="1"/>
      <c r="I101" s="1"/>
      <c r="J101" s="1"/>
      <c r="K101" s="1"/>
      <c r="N101" s="1"/>
      <c r="O101" s="1"/>
      <c r="P101" s="1"/>
      <c r="Q101" s="1"/>
      <c r="R101" s="1"/>
      <c r="S101" s="1"/>
      <c r="T101" s="1"/>
    </row>
    <row r="102" spans="4:34" x14ac:dyDescent="0.25">
      <c r="D102" s="1"/>
      <c r="E102" s="1"/>
      <c r="F102" s="1"/>
      <c r="G102" s="1"/>
      <c r="H102" s="1"/>
      <c r="I102" s="1"/>
      <c r="J102" s="1"/>
      <c r="K102" s="1"/>
      <c r="N102" s="1"/>
      <c r="O102" s="1"/>
      <c r="P102" s="1"/>
      <c r="Q102" s="1"/>
      <c r="R102" s="1"/>
      <c r="S102" s="1"/>
      <c r="T102" s="1"/>
    </row>
    <row r="103" spans="4:34" x14ac:dyDescent="0.25">
      <c r="D103" s="1"/>
      <c r="E103" s="1"/>
      <c r="F103" s="1"/>
      <c r="G103" s="1"/>
      <c r="H103" s="1"/>
      <c r="I103" s="1">
        <f>10.02+J100</f>
        <v>5.1590147260266725</v>
      </c>
      <c r="J103" s="1"/>
      <c r="K103" s="1"/>
      <c r="N103" s="1"/>
      <c r="O103" s="1"/>
      <c r="P103" s="1"/>
      <c r="Q103" s="1"/>
      <c r="R103" s="1"/>
      <c r="S103" s="1"/>
      <c r="T103" s="1"/>
      <c r="V103" s="1"/>
      <c r="W103" s="1"/>
      <c r="X103" s="1"/>
      <c r="Y103" s="1"/>
      <c r="Z103" s="1"/>
      <c r="AA103" s="1"/>
      <c r="AB103" s="1"/>
      <c r="AC103" s="1"/>
      <c r="AD103" s="1"/>
      <c r="AE103">
        <v>2372.6999999999998</v>
      </c>
      <c r="AG103" s="1"/>
      <c r="AH103" s="1"/>
    </row>
    <row r="104" spans="4:34" x14ac:dyDescent="0.25">
      <c r="D104" s="1"/>
      <c r="E104" s="1"/>
      <c r="F104" s="1"/>
      <c r="G104" s="1"/>
      <c r="H104" s="1"/>
      <c r="I104" s="1"/>
      <c r="J104" s="1"/>
      <c r="K104" s="1"/>
      <c r="N104" s="1"/>
      <c r="O104" s="1"/>
      <c r="P104" s="1"/>
      <c r="Q104" s="1"/>
      <c r="R104" s="1"/>
      <c r="S104" s="1"/>
      <c r="T104" s="1"/>
      <c r="AE104">
        <f>AE103*26</f>
        <v>61690.2</v>
      </c>
    </row>
    <row r="105" spans="4:34" x14ac:dyDescent="0.25">
      <c r="D105" s="1"/>
      <c r="E105" s="1"/>
      <c r="F105" s="1"/>
      <c r="G105" s="1"/>
      <c r="H105" s="1"/>
      <c r="I105" s="1"/>
      <c r="J105" s="1"/>
      <c r="K105" s="1"/>
      <c r="N105" s="1"/>
      <c r="O105" s="1"/>
      <c r="P105" s="1"/>
      <c r="Q105" s="1"/>
      <c r="R105" s="1"/>
      <c r="S105" s="1"/>
      <c r="T105" s="1"/>
      <c r="AE105">
        <f>300*26</f>
        <v>7800</v>
      </c>
    </row>
    <row r="106" spans="4:34" x14ac:dyDescent="0.25">
      <c r="D106" s="1"/>
      <c r="E106" s="1"/>
      <c r="F106" s="1"/>
      <c r="G106" s="1"/>
      <c r="H106" s="1"/>
      <c r="I106" s="1"/>
      <c r="J106" s="1"/>
      <c r="K106" s="1"/>
      <c r="N106" s="1"/>
      <c r="O106" s="1"/>
      <c r="P106" s="1"/>
      <c r="Q106" s="1"/>
      <c r="R106" s="1"/>
      <c r="S106" s="1"/>
      <c r="T106" s="1"/>
      <c r="AE106">
        <f>AE105/AE104 * 100</f>
        <v>12.643823492224049</v>
      </c>
    </row>
    <row r="107" spans="4:34" x14ac:dyDescent="0.25">
      <c r="D107" s="1"/>
      <c r="E107" s="1"/>
      <c r="F107" s="1"/>
      <c r="G107" s="1"/>
      <c r="H107" s="1"/>
      <c r="I107" s="1"/>
      <c r="J107" s="1"/>
      <c r="K107" s="1"/>
      <c r="N107" s="1"/>
      <c r="O107" s="1"/>
      <c r="P107" s="1"/>
      <c r="Q107" s="1"/>
      <c r="R107" s="1"/>
      <c r="S107" s="1"/>
      <c r="T107" s="1"/>
      <c r="AB107" s="15"/>
    </row>
    <row r="108" spans="4:34" x14ac:dyDescent="0.25">
      <c r="D108" s="1"/>
      <c r="E108" s="1"/>
      <c r="F108" s="1"/>
      <c r="G108" s="1"/>
      <c r="H108" s="1"/>
      <c r="I108" s="1"/>
      <c r="J108" s="1"/>
      <c r="K108" s="1"/>
      <c r="N108" s="1"/>
      <c r="O108" s="1"/>
      <c r="P108" s="1"/>
      <c r="Q108" s="1"/>
      <c r="R108" s="1"/>
      <c r="S108" s="1"/>
      <c r="T108" s="1"/>
      <c r="AB108" s="15"/>
    </row>
    <row r="109" spans="4:34" x14ac:dyDescent="0.25">
      <c r="D109" s="1"/>
      <c r="E109" s="1"/>
      <c r="F109" s="1"/>
      <c r="G109" s="1"/>
      <c r="H109" s="1"/>
      <c r="I109" s="1"/>
      <c r="J109" s="1"/>
      <c r="K109" s="1"/>
      <c r="N109" s="1"/>
      <c r="O109" s="1"/>
      <c r="P109" s="1"/>
      <c r="Q109" s="1"/>
      <c r="R109" s="1"/>
      <c r="S109" s="1"/>
      <c r="T109" s="1"/>
    </row>
    <row r="110" spans="4:34" x14ac:dyDescent="0.25">
      <c r="D110" s="1"/>
      <c r="E110" s="1"/>
      <c r="F110" s="1"/>
      <c r="G110" s="1"/>
      <c r="H110" s="1"/>
      <c r="I110" s="1"/>
      <c r="J110" s="1"/>
      <c r="K110" s="1"/>
      <c r="N110" s="1"/>
      <c r="O110" s="1"/>
      <c r="P110" s="1"/>
      <c r="Q110" s="1"/>
      <c r="R110" s="1"/>
      <c r="S110" s="1"/>
      <c r="T110" s="1"/>
    </row>
    <row r="111" spans="4:34" x14ac:dyDescent="0.25">
      <c r="D111" s="1"/>
      <c r="E111" s="1"/>
      <c r="F111" s="1"/>
      <c r="G111" s="1"/>
      <c r="H111" s="1"/>
      <c r="I111" s="1"/>
      <c r="J111" s="1"/>
      <c r="K111" s="1"/>
      <c r="N111" s="1"/>
      <c r="O111" s="1"/>
      <c r="P111" s="1"/>
      <c r="Q111" s="1"/>
      <c r="R111" s="1"/>
      <c r="S111" s="1"/>
      <c r="T111" s="1"/>
    </row>
    <row r="112" spans="4:34" x14ac:dyDescent="0.25">
      <c r="D112" s="1"/>
      <c r="E112" s="1"/>
      <c r="F112" s="1"/>
      <c r="G112" s="1"/>
      <c r="H112" s="1"/>
      <c r="I112" s="1"/>
      <c r="J112" s="1"/>
      <c r="K112" s="1"/>
      <c r="N112" s="1"/>
      <c r="O112" s="1"/>
      <c r="P112" s="1"/>
      <c r="Q112" s="1"/>
      <c r="R112" s="1"/>
      <c r="S112" s="1"/>
      <c r="T112" s="1"/>
    </row>
    <row r="113" spans="4:20" x14ac:dyDescent="0.25">
      <c r="D113" s="1"/>
      <c r="E113" s="1"/>
      <c r="F113" s="1"/>
      <c r="G113" s="1"/>
      <c r="H113" s="1"/>
      <c r="I113" s="1"/>
      <c r="J113" s="1"/>
      <c r="K113" s="1"/>
      <c r="N113" s="1"/>
      <c r="O113" s="1"/>
      <c r="P113" s="1"/>
      <c r="Q113" s="1"/>
      <c r="R113" s="1"/>
      <c r="S113" s="1"/>
      <c r="T113" s="1"/>
    </row>
    <row r="114" spans="4:20" x14ac:dyDescent="0.25">
      <c r="D114" s="1"/>
      <c r="E114" s="1"/>
      <c r="F114" s="1"/>
      <c r="G114" s="1"/>
      <c r="H114" s="1"/>
      <c r="I114" s="1"/>
      <c r="J114" s="1"/>
      <c r="K114" s="1"/>
      <c r="N114" s="1"/>
      <c r="O114" s="1"/>
      <c r="P114" s="1"/>
      <c r="Q114" s="1"/>
      <c r="R114" s="1"/>
      <c r="S114" s="1"/>
      <c r="T114" s="1"/>
    </row>
    <row r="115" spans="4:20" x14ac:dyDescent="0.25">
      <c r="D115" s="1"/>
      <c r="E115" s="1"/>
      <c r="F115" s="1"/>
      <c r="G115" s="1"/>
      <c r="H115" s="1"/>
      <c r="I115" s="1"/>
      <c r="J115" s="1"/>
      <c r="K115" s="1"/>
      <c r="N115" s="1"/>
      <c r="O115" s="1"/>
      <c r="P115" s="1"/>
      <c r="Q115" s="1"/>
      <c r="R115" s="1"/>
      <c r="S115" s="1"/>
      <c r="T115" s="1"/>
    </row>
    <row r="116" spans="4:20" x14ac:dyDescent="0.25">
      <c r="D116" s="1"/>
      <c r="E116" s="1"/>
      <c r="F116" s="1"/>
      <c r="G116" s="1"/>
      <c r="H116" s="1"/>
      <c r="I116" s="1"/>
      <c r="J116" s="1"/>
      <c r="K116" s="1"/>
      <c r="N116" s="1"/>
      <c r="O116" s="1"/>
      <c r="P116" s="1"/>
      <c r="Q116" s="1"/>
      <c r="R116" s="1"/>
      <c r="S116" s="1"/>
      <c r="T116" s="1"/>
    </row>
    <row r="117" spans="4:20" x14ac:dyDescent="0.25">
      <c r="D117" s="1"/>
      <c r="E117" s="1"/>
      <c r="F117" s="1"/>
      <c r="G117" s="1"/>
      <c r="H117" s="1"/>
      <c r="I117" s="1"/>
      <c r="J117" s="1"/>
      <c r="K117" s="1"/>
      <c r="N117" s="1"/>
      <c r="O117" s="1"/>
      <c r="P117" s="1"/>
      <c r="Q117" s="1"/>
      <c r="R117" s="1"/>
      <c r="S117" s="1"/>
      <c r="T117" s="1"/>
    </row>
    <row r="118" spans="4:20" x14ac:dyDescent="0.25">
      <c r="D118" s="1"/>
      <c r="E118" s="1"/>
      <c r="F118" s="1"/>
      <c r="G118" s="1"/>
      <c r="H118" s="1"/>
      <c r="I118" s="1"/>
      <c r="J118" s="1"/>
      <c r="K118" s="1"/>
      <c r="N118" s="1"/>
      <c r="O118" s="1"/>
      <c r="P118" s="1"/>
      <c r="Q118" s="1"/>
      <c r="R118" s="1"/>
      <c r="S118" s="1"/>
      <c r="T118" s="1"/>
    </row>
    <row r="119" spans="4:20" x14ac:dyDescent="0.25">
      <c r="D119" s="1"/>
      <c r="E119" s="1"/>
      <c r="F119" s="1"/>
      <c r="G119" s="1"/>
      <c r="H119" s="1"/>
      <c r="I119" s="1"/>
      <c r="J119" s="1"/>
      <c r="K119" s="1"/>
      <c r="N119" s="1"/>
      <c r="O119" s="1"/>
      <c r="P119" s="1"/>
      <c r="Q119" s="1"/>
      <c r="R119" s="1"/>
      <c r="S119" s="1"/>
      <c r="T119" s="1"/>
    </row>
    <row r="120" spans="4:20" x14ac:dyDescent="0.25">
      <c r="D120" s="1"/>
      <c r="E120" s="1"/>
      <c r="F120" s="1"/>
      <c r="G120" s="1"/>
      <c r="H120" s="1"/>
      <c r="I120" s="1"/>
      <c r="J120" s="1"/>
      <c r="K120" s="1"/>
      <c r="N120" s="1"/>
      <c r="O120" s="1"/>
      <c r="P120" s="1"/>
      <c r="Q120" s="1"/>
      <c r="R120" s="1"/>
      <c r="S120" s="1"/>
      <c r="T120" s="1"/>
    </row>
    <row r="121" spans="4:20" x14ac:dyDescent="0.25">
      <c r="D121" s="1"/>
      <c r="E121" s="1"/>
      <c r="F121" s="1"/>
      <c r="G121" s="1"/>
      <c r="H121" s="1"/>
      <c r="I121" s="1"/>
      <c r="J121" s="1"/>
      <c r="K121" s="1"/>
      <c r="N121" s="1"/>
      <c r="O121" s="1"/>
      <c r="P121" s="1"/>
      <c r="Q121" s="1"/>
      <c r="R121" s="1"/>
      <c r="S121" s="1"/>
      <c r="T121" s="1"/>
    </row>
    <row r="122" spans="4:20" x14ac:dyDescent="0.25">
      <c r="D122" s="1"/>
      <c r="E122" s="1"/>
      <c r="F122" s="1"/>
      <c r="G122" s="1"/>
      <c r="H122" s="1"/>
      <c r="I122" s="1"/>
      <c r="J122" s="1"/>
      <c r="K122" s="1"/>
      <c r="N122" s="1"/>
      <c r="O122" s="1"/>
      <c r="P122" s="1"/>
      <c r="Q122" s="1"/>
      <c r="R122" s="1"/>
      <c r="S122" s="1"/>
      <c r="T122" s="1"/>
    </row>
    <row r="123" spans="4:20" x14ac:dyDescent="0.25">
      <c r="D123" s="1"/>
      <c r="E123" s="1"/>
      <c r="F123" s="1"/>
      <c r="G123" s="1"/>
      <c r="H123" s="1"/>
      <c r="I123" s="1"/>
      <c r="J123" s="1"/>
      <c r="K123" s="1"/>
      <c r="N123" s="1"/>
      <c r="O123" s="1"/>
      <c r="P123" s="1"/>
      <c r="Q123" s="1"/>
      <c r="R123" s="1"/>
      <c r="S123" s="1"/>
      <c r="T123" s="1"/>
    </row>
    <row r="124" spans="4:20" x14ac:dyDescent="0.25">
      <c r="D124" s="1"/>
      <c r="E124" s="1"/>
      <c r="F124" s="1"/>
      <c r="G124" s="1"/>
      <c r="H124" s="1"/>
      <c r="I124" s="1"/>
      <c r="J124" s="1"/>
      <c r="K124" s="1"/>
      <c r="N124" s="1"/>
      <c r="O124" s="1"/>
      <c r="P124" s="1"/>
      <c r="Q124" s="1"/>
      <c r="R124" s="1"/>
      <c r="S124" s="1"/>
      <c r="T124" s="1"/>
    </row>
    <row r="125" spans="4:20" x14ac:dyDescent="0.25">
      <c r="D125" s="1"/>
      <c r="E125" s="1"/>
      <c r="F125" s="1"/>
      <c r="G125" s="1"/>
      <c r="H125" s="1"/>
      <c r="I125" s="1"/>
      <c r="J125" s="1"/>
      <c r="K125" s="1"/>
      <c r="N125" s="1"/>
      <c r="O125" s="1"/>
      <c r="P125" s="1"/>
      <c r="Q125" s="1"/>
      <c r="R125" s="1"/>
      <c r="S125" s="1"/>
      <c r="T125" s="1"/>
    </row>
    <row r="126" spans="4:20" x14ac:dyDescent="0.25">
      <c r="D126" s="1"/>
      <c r="E126" s="1"/>
      <c r="F126" s="1"/>
      <c r="G126" s="1"/>
      <c r="H126" s="1"/>
      <c r="I126" s="1"/>
      <c r="J126" s="1"/>
      <c r="K126" s="1"/>
      <c r="N126" s="1"/>
      <c r="O126" s="1"/>
      <c r="P126" s="1"/>
      <c r="Q126" s="1"/>
      <c r="R126" s="1"/>
      <c r="S126" s="1"/>
      <c r="T126" s="1"/>
    </row>
    <row r="127" spans="4:20" x14ac:dyDescent="0.25">
      <c r="D127" s="1"/>
      <c r="E127" s="1"/>
      <c r="F127" s="1"/>
      <c r="G127" s="1"/>
      <c r="H127" s="1"/>
      <c r="I127" s="1"/>
      <c r="J127" s="1"/>
      <c r="K127" s="1"/>
      <c r="N127" s="1"/>
      <c r="O127" s="1"/>
      <c r="P127" s="1"/>
      <c r="Q127" s="1"/>
      <c r="R127" s="1"/>
      <c r="S127" s="1"/>
      <c r="T127" s="1"/>
    </row>
    <row r="128" spans="4:20" x14ac:dyDescent="0.25">
      <c r="D128" s="1"/>
      <c r="E128" s="1"/>
      <c r="F128" s="1"/>
      <c r="G128" s="1"/>
      <c r="H128" s="1"/>
      <c r="I128" s="1"/>
      <c r="J128" s="1"/>
      <c r="K128" s="1"/>
      <c r="N128" s="1"/>
      <c r="O128" s="1"/>
      <c r="P128" s="1"/>
      <c r="Q128" s="1"/>
      <c r="R128" s="1"/>
      <c r="S128" s="1"/>
      <c r="T128" s="1"/>
    </row>
    <row r="129" spans="4:20" x14ac:dyDescent="0.25">
      <c r="D129" s="1"/>
      <c r="E129" s="1"/>
      <c r="F129" s="1"/>
      <c r="G129" s="1"/>
      <c r="H129" s="1"/>
      <c r="I129" s="1"/>
      <c r="J129" s="1"/>
      <c r="K129" s="1"/>
      <c r="N129" s="1"/>
      <c r="O129" s="1"/>
      <c r="P129" s="1"/>
      <c r="Q129" s="1"/>
      <c r="R129" s="1"/>
      <c r="S129" s="1"/>
      <c r="T129" s="1"/>
    </row>
    <row r="130" spans="4:20" x14ac:dyDescent="0.25">
      <c r="D130" s="1"/>
      <c r="E130" s="1"/>
      <c r="F130" s="1"/>
      <c r="G130" s="1"/>
      <c r="H130" s="1"/>
      <c r="I130" s="1"/>
      <c r="J130" s="1"/>
      <c r="K130" s="1"/>
      <c r="N130" s="1"/>
      <c r="O130" s="1"/>
      <c r="P130" s="1"/>
      <c r="Q130" s="1"/>
      <c r="R130" s="1"/>
      <c r="S130" s="1"/>
      <c r="T130" s="1"/>
    </row>
    <row r="131" spans="4:20" x14ac:dyDescent="0.25">
      <c r="D131" s="1"/>
      <c r="E131" s="1"/>
      <c r="F131" s="1"/>
      <c r="G131" s="1"/>
      <c r="H131" s="1"/>
      <c r="I131" s="1"/>
      <c r="J131" s="1"/>
      <c r="K131" s="1"/>
      <c r="N131" s="1"/>
      <c r="O131" s="1"/>
      <c r="P131" s="1"/>
      <c r="Q131" s="1"/>
      <c r="R131" s="1"/>
      <c r="S131" s="1"/>
      <c r="T131" s="1"/>
    </row>
    <row r="132" spans="4:20" x14ac:dyDescent="0.25">
      <c r="D132" s="1"/>
      <c r="E132" s="1"/>
      <c r="F132" s="1"/>
      <c r="G132" s="1"/>
      <c r="H132" s="1"/>
      <c r="I132" s="1"/>
      <c r="J132" s="1"/>
      <c r="K132" s="1"/>
      <c r="N132" s="1"/>
      <c r="O132" s="1"/>
      <c r="P132" s="1"/>
      <c r="Q132" s="1"/>
      <c r="R132" s="1"/>
      <c r="S132" s="1"/>
      <c r="T132" s="1"/>
    </row>
    <row r="133" spans="4:20" x14ac:dyDescent="0.25">
      <c r="D133" s="1"/>
      <c r="E133" s="1"/>
      <c r="F133" s="1"/>
      <c r="G133" s="1"/>
      <c r="H133" s="1"/>
      <c r="I133" s="1"/>
      <c r="J133" s="1"/>
      <c r="K133" s="1"/>
      <c r="N133" s="1"/>
      <c r="O133" s="1"/>
      <c r="P133" s="1"/>
      <c r="Q133" s="1"/>
      <c r="R133" s="1"/>
      <c r="S133" s="1"/>
      <c r="T133" s="1"/>
    </row>
    <row r="134" spans="4:20" x14ac:dyDescent="0.25">
      <c r="D134" s="1"/>
      <c r="E134" s="1"/>
      <c r="F134" s="1"/>
      <c r="G134" s="1"/>
      <c r="H134" s="1"/>
      <c r="I134" s="1"/>
      <c r="J134" s="1"/>
      <c r="K134" s="1"/>
      <c r="N134" s="1"/>
      <c r="O134" s="1"/>
      <c r="P134" s="1"/>
      <c r="Q134" s="1"/>
      <c r="R134" s="1"/>
      <c r="S134" s="1"/>
      <c r="T134" s="1"/>
    </row>
    <row r="135" spans="4:20" x14ac:dyDescent="0.25">
      <c r="D135" s="1"/>
      <c r="E135" s="1"/>
      <c r="F135" s="1"/>
      <c r="G135" s="1"/>
      <c r="H135" s="1"/>
      <c r="I135" s="1"/>
      <c r="J135" s="1"/>
      <c r="K135" s="1"/>
      <c r="N135" s="1"/>
      <c r="O135" s="1"/>
      <c r="P135" s="1"/>
      <c r="Q135" s="1"/>
      <c r="R135" s="1"/>
      <c r="S135" s="1"/>
      <c r="T135" s="1"/>
    </row>
    <row r="136" spans="4:20" x14ac:dyDescent="0.25">
      <c r="D136" s="1"/>
      <c r="E136" s="1"/>
      <c r="F136" s="1"/>
      <c r="G136" s="1"/>
      <c r="H136" s="1"/>
      <c r="I136" s="1"/>
      <c r="J136" s="1"/>
      <c r="K136" s="1"/>
      <c r="N136" s="1"/>
      <c r="O136" s="1"/>
      <c r="P136" s="1"/>
      <c r="Q136" s="1"/>
      <c r="R136" s="1"/>
      <c r="S136" s="1"/>
      <c r="T136" s="1"/>
    </row>
    <row r="137" spans="4:20" x14ac:dyDescent="0.25">
      <c r="D137" s="1"/>
      <c r="E137" s="1"/>
      <c r="F137" s="1"/>
      <c r="G137" s="1"/>
      <c r="H137" s="1"/>
      <c r="I137" s="1"/>
      <c r="J137" s="1"/>
      <c r="K137" s="1"/>
      <c r="N137" s="1"/>
      <c r="O137" s="1"/>
      <c r="P137" s="1"/>
      <c r="Q137" s="1"/>
      <c r="R137" s="1"/>
      <c r="S137" s="1"/>
      <c r="T137" s="1"/>
    </row>
    <row r="138" spans="4:20" x14ac:dyDescent="0.25">
      <c r="D138" s="1"/>
      <c r="E138" s="1"/>
      <c r="F138" s="1"/>
      <c r="G138" s="1"/>
      <c r="H138" s="1"/>
      <c r="I138" s="1"/>
      <c r="J138" s="1"/>
      <c r="K138" s="1"/>
      <c r="N138" s="1"/>
      <c r="O138" s="1"/>
      <c r="P138" s="1"/>
      <c r="Q138" s="1"/>
      <c r="R138" s="1"/>
      <c r="S138" s="1"/>
      <c r="T138" s="1"/>
    </row>
    <row r="139" spans="4:20" x14ac:dyDescent="0.25">
      <c r="D139" s="1"/>
      <c r="E139" s="1"/>
      <c r="F139" s="1"/>
      <c r="G139" s="1"/>
      <c r="H139" s="1"/>
      <c r="I139" s="1"/>
      <c r="J139" s="1"/>
      <c r="K139" s="1"/>
      <c r="N139" s="1"/>
      <c r="O139" s="1"/>
      <c r="P139" s="1"/>
      <c r="Q139" s="1"/>
      <c r="R139" s="1"/>
      <c r="S139" s="1"/>
      <c r="T139" s="1"/>
    </row>
    <row r="140" spans="4:20" x14ac:dyDescent="0.25">
      <c r="D140" s="1"/>
      <c r="E140" s="1"/>
      <c r="F140" s="1"/>
      <c r="G140" s="1"/>
      <c r="H140" s="1"/>
      <c r="I140" s="1"/>
      <c r="J140" s="1"/>
      <c r="K140" s="1"/>
      <c r="N140" s="1"/>
      <c r="O140" s="1"/>
      <c r="P140" s="1"/>
      <c r="Q140" s="1"/>
      <c r="R140" s="1"/>
      <c r="S140" s="1"/>
      <c r="T140" s="1"/>
    </row>
    <row r="141" spans="4:20" x14ac:dyDescent="0.25">
      <c r="D141" s="1"/>
      <c r="E141" s="1"/>
      <c r="F141" s="1"/>
      <c r="G141" s="1"/>
      <c r="H141" s="1"/>
      <c r="I141" s="1"/>
      <c r="J141" s="1"/>
      <c r="K141" s="1"/>
      <c r="N141" s="1"/>
      <c r="O141" s="1"/>
      <c r="P141" s="1"/>
      <c r="Q141" s="1"/>
      <c r="R141" s="1"/>
      <c r="S141" s="1"/>
      <c r="T141" s="1"/>
    </row>
    <row r="142" spans="4:20" x14ac:dyDescent="0.25">
      <c r="D142" s="1"/>
      <c r="E142" s="1"/>
      <c r="F142" s="1"/>
      <c r="G142" s="1"/>
      <c r="H142" s="1"/>
      <c r="I142" s="1"/>
      <c r="J142" s="1"/>
      <c r="K142" s="1"/>
      <c r="N142" s="1"/>
      <c r="O142" s="1"/>
      <c r="P142" s="1"/>
      <c r="Q142" s="1"/>
      <c r="R142" s="1"/>
      <c r="S142" s="1"/>
      <c r="T142" s="1"/>
    </row>
    <row r="143" spans="4:20" x14ac:dyDescent="0.25">
      <c r="D143" s="1"/>
      <c r="E143" s="1"/>
      <c r="F143" s="1"/>
      <c r="G143" s="1"/>
      <c r="H143" s="1"/>
      <c r="I143" s="1"/>
      <c r="J143" s="1"/>
      <c r="K143" s="1"/>
    </row>
    <row r="144" spans="4:20" x14ac:dyDescent="0.25">
      <c r="D144" s="1"/>
      <c r="E144" s="1"/>
      <c r="F144" s="1"/>
      <c r="G144" s="1"/>
      <c r="H144" s="1"/>
      <c r="I144" s="1"/>
      <c r="J144" s="1"/>
      <c r="K144" s="1"/>
    </row>
    <row r="145" spans="4:11" x14ac:dyDescent="0.25">
      <c r="D145" s="1"/>
      <c r="E145" s="1"/>
      <c r="F145" s="1"/>
      <c r="G145" s="1"/>
      <c r="H145" s="1"/>
      <c r="I145" s="1"/>
      <c r="J145" s="1"/>
      <c r="K145" s="1"/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W108"/>
  <sheetViews>
    <sheetView topLeftCell="J1" zoomScale="145" zoomScaleNormal="145" workbookViewId="0">
      <selection activeCell="P22" sqref="P22"/>
    </sheetView>
  </sheetViews>
  <sheetFormatPr defaultRowHeight="15" x14ac:dyDescent="0.25"/>
  <cols>
    <col min="1" max="1" width="12.85546875" customWidth="1"/>
    <col min="2" max="2" width="17.140625" customWidth="1"/>
    <col min="4" max="4" width="14.85546875" customWidth="1"/>
    <col min="5" max="5" width="13" customWidth="1"/>
    <col min="7" max="7" width="15.28515625" customWidth="1"/>
    <col min="8" max="8" width="9.7109375" customWidth="1"/>
    <col min="9" max="9" width="10.42578125" bestFit="1" customWidth="1"/>
    <col min="10" max="10" width="16.28515625" customWidth="1"/>
    <col min="11" max="11" width="9.7109375" customWidth="1"/>
    <col min="14" max="14" width="14.28515625" customWidth="1"/>
    <col min="15" max="15" width="9.85546875" customWidth="1"/>
    <col min="16" max="19" width="11.7109375" customWidth="1"/>
    <col min="20" max="20" width="11.5703125" customWidth="1"/>
    <col min="21" max="21" width="11.7109375" customWidth="1"/>
    <col min="22" max="22" width="20.7109375" customWidth="1"/>
  </cols>
  <sheetData>
    <row r="1" spans="1:23" x14ac:dyDescent="0.25">
      <c r="A1" t="s">
        <v>130</v>
      </c>
      <c r="B1" t="s">
        <v>131</v>
      </c>
      <c r="N1" t="s">
        <v>132</v>
      </c>
      <c r="O1" t="s">
        <v>133</v>
      </c>
      <c r="P1" t="s">
        <v>134</v>
      </c>
      <c r="R1" t="s">
        <v>135</v>
      </c>
      <c r="S1" t="s">
        <v>133</v>
      </c>
      <c r="T1" t="s">
        <v>136</v>
      </c>
    </row>
    <row r="2" spans="1:23" x14ac:dyDescent="0.25">
      <c r="A2">
        <v>0</v>
      </c>
      <c r="B2">
        <v>4000</v>
      </c>
      <c r="L2" s="22"/>
      <c r="M2">
        <v>3695</v>
      </c>
      <c r="N2">
        <v>3845</v>
      </c>
      <c r="O2">
        <f t="shared" ref="O2:O20" si="0">ABS(N2-B2)</f>
        <v>155</v>
      </c>
      <c r="P2" s="22">
        <f t="shared" ref="P2:P20" si="1">IFERROR( ROUND((O2/B2)*100, 2), "N/A")</f>
        <v>3.88</v>
      </c>
      <c r="Q2" s="22"/>
      <c r="R2" s="22">
        <v>4002</v>
      </c>
      <c r="S2" s="22">
        <f t="shared" ref="S2:S20" si="2">ABS(R2-B2)</f>
        <v>2</v>
      </c>
      <c r="T2" s="22">
        <f t="shared" ref="T2:T20" si="3">IFERROR( ROUND((S2/B2)*100, 2), "N/A")</f>
        <v>0.05</v>
      </c>
      <c r="U2" s="22"/>
      <c r="V2" s="20" t="s">
        <v>137</v>
      </c>
    </row>
    <row r="3" spans="1:23" x14ac:dyDescent="0.25">
      <c r="A3">
        <f t="shared" ref="A3:A20" si="4">A2+5</f>
        <v>5</v>
      </c>
      <c r="B3">
        <v>3671</v>
      </c>
      <c r="L3" s="22"/>
      <c r="M3">
        <v>3479</v>
      </c>
      <c r="N3">
        <v>3403</v>
      </c>
      <c r="O3">
        <f t="shared" si="0"/>
        <v>268</v>
      </c>
      <c r="P3" s="22">
        <f t="shared" si="1"/>
        <v>7.3</v>
      </c>
      <c r="Q3" s="22"/>
      <c r="R3" s="22">
        <v>3867</v>
      </c>
      <c r="S3" s="22">
        <f t="shared" si="2"/>
        <v>196</v>
      </c>
      <c r="T3" s="22">
        <f t="shared" si="3"/>
        <v>5.34</v>
      </c>
      <c r="U3" s="22"/>
      <c r="V3" s="19" t="s">
        <v>138</v>
      </c>
    </row>
    <row r="4" spans="1:23" x14ac:dyDescent="0.25">
      <c r="A4">
        <f t="shared" si="4"/>
        <v>10</v>
      </c>
      <c r="B4">
        <v>3405</v>
      </c>
      <c r="L4" s="22"/>
      <c r="M4">
        <v>3281</v>
      </c>
      <c r="N4">
        <v>3124</v>
      </c>
      <c r="O4">
        <f t="shared" si="0"/>
        <v>281</v>
      </c>
      <c r="P4" s="22">
        <f t="shared" si="1"/>
        <v>8.25</v>
      </c>
      <c r="Q4" s="22"/>
      <c r="R4" s="22">
        <v>3780</v>
      </c>
      <c r="S4" s="22">
        <f t="shared" si="2"/>
        <v>375</v>
      </c>
      <c r="T4" s="22">
        <f t="shared" si="3"/>
        <v>11.01</v>
      </c>
      <c r="U4" s="22"/>
      <c r="V4" s="18" t="s">
        <v>139</v>
      </c>
      <c r="W4">
        <v>101</v>
      </c>
    </row>
    <row r="5" spans="1:23" x14ac:dyDescent="0.25">
      <c r="A5">
        <f t="shared" si="4"/>
        <v>15</v>
      </c>
      <c r="B5">
        <v>3177</v>
      </c>
      <c r="L5" s="22"/>
      <c r="M5">
        <v>3260</v>
      </c>
      <c r="N5">
        <v>3154</v>
      </c>
      <c r="O5">
        <f t="shared" si="0"/>
        <v>23</v>
      </c>
      <c r="P5" s="22">
        <f t="shared" si="1"/>
        <v>0.72</v>
      </c>
      <c r="Q5" s="22"/>
      <c r="R5" s="22">
        <v>3277</v>
      </c>
      <c r="S5" s="22">
        <f t="shared" si="2"/>
        <v>100</v>
      </c>
      <c r="T5" s="22">
        <f t="shared" si="3"/>
        <v>3.15</v>
      </c>
      <c r="U5" s="22"/>
      <c r="V5" t="s">
        <v>140</v>
      </c>
      <c r="W5" s="21"/>
    </row>
    <row r="6" spans="1:23" x14ac:dyDescent="0.25">
      <c r="A6">
        <f t="shared" si="4"/>
        <v>20</v>
      </c>
      <c r="B6">
        <v>2960</v>
      </c>
      <c r="L6" s="22"/>
      <c r="M6">
        <v>2712</v>
      </c>
      <c r="N6">
        <v>2676</v>
      </c>
      <c r="O6">
        <f t="shared" si="0"/>
        <v>284</v>
      </c>
      <c r="P6" s="22">
        <f t="shared" si="1"/>
        <v>9.59</v>
      </c>
      <c r="Q6" s="22"/>
      <c r="R6" s="22">
        <v>2985</v>
      </c>
      <c r="S6" s="22">
        <f t="shared" si="2"/>
        <v>25</v>
      </c>
      <c r="T6" s="22">
        <f t="shared" si="3"/>
        <v>0.84</v>
      </c>
      <c r="U6" s="22"/>
    </row>
    <row r="7" spans="1:23" x14ac:dyDescent="0.25">
      <c r="A7">
        <f t="shared" si="4"/>
        <v>25</v>
      </c>
      <c r="B7">
        <v>2716</v>
      </c>
      <c r="L7" s="22"/>
      <c r="M7">
        <v>1884</v>
      </c>
      <c r="N7">
        <v>1996</v>
      </c>
      <c r="O7">
        <f t="shared" si="0"/>
        <v>720</v>
      </c>
      <c r="P7" s="22">
        <f t="shared" si="1"/>
        <v>26.51</v>
      </c>
      <c r="Q7" s="22"/>
      <c r="R7" s="22">
        <v>2682</v>
      </c>
      <c r="S7" s="22">
        <f t="shared" si="2"/>
        <v>34</v>
      </c>
      <c r="T7" s="22">
        <f t="shared" si="3"/>
        <v>1.25</v>
      </c>
      <c r="U7" s="22"/>
    </row>
    <row r="8" spans="1:23" x14ac:dyDescent="0.25">
      <c r="A8">
        <f t="shared" si="4"/>
        <v>30</v>
      </c>
      <c r="B8">
        <v>2387</v>
      </c>
      <c r="L8" s="22"/>
      <c r="M8">
        <v>1131</v>
      </c>
      <c r="N8">
        <v>1251</v>
      </c>
      <c r="O8">
        <f t="shared" si="0"/>
        <v>1136</v>
      </c>
      <c r="P8" s="22">
        <f t="shared" si="1"/>
        <v>47.59</v>
      </c>
      <c r="Q8" s="22"/>
      <c r="R8" s="22">
        <v>2404</v>
      </c>
      <c r="S8" s="22">
        <f t="shared" si="2"/>
        <v>17</v>
      </c>
      <c r="T8" s="22">
        <f t="shared" si="3"/>
        <v>0.71</v>
      </c>
      <c r="U8" s="22"/>
    </row>
    <row r="9" spans="1:23" x14ac:dyDescent="0.25">
      <c r="A9">
        <f t="shared" si="4"/>
        <v>35</v>
      </c>
      <c r="B9">
        <v>1873</v>
      </c>
      <c r="L9" s="22"/>
      <c r="M9">
        <v>789</v>
      </c>
      <c r="N9">
        <v>765</v>
      </c>
      <c r="O9">
        <f t="shared" si="0"/>
        <v>1108</v>
      </c>
      <c r="P9" s="22">
        <f t="shared" si="1"/>
        <v>59.16</v>
      </c>
      <c r="Q9" s="22"/>
      <c r="R9" s="22">
        <v>1700</v>
      </c>
      <c r="S9" s="22">
        <f t="shared" si="2"/>
        <v>173</v>
      </c>
      <c r="T9" s="22">
        <f t="shared" si="3"/>
        <v>9.24</v>
      </c>
      <c r="U9" s="22"/>
    </row>
    <row r="10" spans="1:23" x14ac:dyDescent="0.25">
      <c r="A10">
        <f t="shared" si="4"/>
        <v>40</v>
      </c>
      <c r="B10">
        <v>979</v>
      </c>
      <c r="L10" s="22"/>
      <c r="M10">
        <v>623</v>
      </c>
      <c r="N10">
        <v>635</v>
      </c>
      <c r="O10">
        <f t="shared" si="0"/>
        <v>344</v>
      </c>
      <c r="P10" s="22">
        <f t="shared" si="1"/>
        <v>35.14</v>
      </c>
      <c r="Q10" s="22"/>
      <c r="R10" s="22">
        <v>755</v>
      </c>
      <c r="S10" s="22">
        <f t="shared" si="2"/>
        <v>224</v>
      </c>
      <c r="T10" s="22">
        <f t="shared" si="3"/>
        <v>22.88</v>
      </c>
      <c r="U10" s="22"/>
    </row>
    <row r="11" spans="1:23" x14ac:dyDescent="0.25">
      <c r="A11">
        <f t="shared" si="4"/>
        <v>45</v>
      </c>
      <c r="B11">
        <v>0</v>
      </c>
      <c r="L11" s="22"/>
      <c r="M11">
        <v>505</v>
      </c>
      <c r="N11">
        <v>539</v>
      </c>
      <c r="O11">
        <f t="shared" si="0"/>
        <v>539</v>
      </c>
      <c r="P11" s="22" t="str">
        <f t="shared" si="1"/>
        <v>N/A</v>
      </c>
      <c r="Q11" s="22"/>
      <c r="R11" s="22">
        <v>80</v>
      </c>
      <c r="S11" s="22">
        <f t="shared" si="2"/>
        <v>80</v>
      </c>
      <c r="T11" s="22" t="str">
        <f t="shared" si="3"/>
        <v>N/A</v>
      </c>
      <c r="U11" s="22"/>
    </row>
    <row r="12" spans="1:23" x14ac:dyDescent="0.25">
      <c r="A12">
        <f t="shared" si="4"/>
        <v>50</v>
      </c>
      <c r="B12">
        <v>0</v>
      </c>
      <c r="L12" s="22"/>
      <c r="M12">
        <v>428</v>
      </c>
      <c r="N12">
        <v>360</v>
      </c>
      <c r="O12">
        <f t="shared" si="0"/>
        <v>360</v>
      </c>
      <c r="P12" s="22" t="str">
        <f t="shared" si="1"/>
        <v>N/A</v>
      </c>
      <c r="Q12" s="22"/>
      <c r="R12" s="22">
        <v>0</v>
      </c>
      <c r="S12" s="22">
        <f t="shared" si="2"/>
        <v>0</v>
      </c>
      <c r="T12" s="22" t="str">
        <f t="shared" si="3"/>
        <v>N/A</v>
      </c>
      <c r="U12" s="22"/>
    </row>
    <row r="13" spans="1:23" x14ac:dyDescent="0.25">
      <c r="A13">
        <f t="shared" si="4"/>
        <v>55</v>
      </c>
      <c r="B13">
        <v>0</v>
      </c>
      <c r="L13" s="22"/>
      <c r="M13">
        <v>287</v>
      </c>
      <c r="N13">
        <v>182</v>
      </c>
      <c r="O13">
        <f t="shared" si="0"/>
        <v>182</v>
      </c>
      <c r="P13" s="22" t="str">
        <f t="shared" si="1"/>
        <v>N/A</v>
      </c>
      <c r="Q13" s="22"/>
      <c r="R13" s="22">
        <v>0</v>
      </c>
      <c r="S13" s="22">
        <f t="shared" si="2"/>
        <v>0</v>
      </c>
      <c r="T13" s="22" t="str">
        <f t="shared" si="3"/>
        <v>N/A</v>
      </c>
      <c r="U13" s="22"/>
    </row>
    <row r="14" spans="1:23" x14ac:dyDescent="0.25">
      <c r="A14">
        <f t="shared" si="4"/>
        <v>60</v>
      </c>
      <c r="B14">
        <v>0</v>
      </c>
      <c r="L14" s="22"/>
      <c r="M14">
        <v>149</v>
      </c>
      <c r="N14">
        <v>125</v>
      </c>
      <c r="O14">
        <f t="shared" si="0"/>
        <v>125</v>
      </c>
      <c r="P14" s="22" t="str">
        <f t="shared" si="1"/>
        <v>N/A</v>
      </c>
      <c r="Q14" s="22"/>
      <c r="R14" s="22">
        <v>0</v>
      </c>
      <c r="S14" s="22">
        <f t="shared" si="2"/>
        <v>0</v>
      </c>
      <c r="T14" s="22" t="str">
        <f t="shared" si="3"/>
        <v>N/A</v>
      </c>
      <c r="U14" s="22"/>
    </row>
    <row r="15" spans="1:23" x14ac:dyDescent="0.25">
      <c r="A15">
        <f t="shared" si="4"/>
        <v>65</v>
      </c>
      <c r="B15">
        <v>0</v>
      </c>
      <c r="L15" s="22"/>
      <c r="M15">
        <v>81</v>
      </c>
      <c r="N15">
        <v>98</v>
      </c>
      <c r="O15">
        <f t="shared" si="0"/>
        <v>98</v>
      </c>
      <c r="P15" s="22" t="str">
        <f t="shared" si="1"/>
        <v>N/A</v>
      </c>
      <c r="Q15" s="22"/>
      <c r="R15" s="22">
        <v>0</v>
      </c>
      <c r="S15" s="22">
        <f t="shared" si="2"/>
        <v>0</v>
      </c>
      <c r="T15" s="22" t="str">
        <f t="shared" si="3"/>
        <v>N/A</v>
      </c>
      <c r="U15" s="22"/>
    </row>
    <row r="16" spans="1:23" x14ac:dyDescent="0.25">
      <c r="A16">
        <f t="shared" si="4"/>
        <v>70</v>
      </c>
      <c r="B16">
        <v>0</v>
      </c>
      <c r="L16" s="22"/>
      <c r="M16">
        <v>31</v>
      </c>
      <c r="N16">
        <v>74</v>
      </c>
      <c r="O16">
        <f t="shared" si="0"/>
        <v>74</v>
      </c>
      <c r="P16" s="22" t="str">
        <f t="shared" si="1"/>
        <v>N/A</v>
      </c>
      <c r="Q16" s="22"/>
      <c r="R16" s="22">
        <v>0</v>
      </c>
      <c r="S16" s="22">
        <f t="shared" si="2"/>
        <v>0</v>
      </c>
      <c r="T16" s="22" t="str">
        <f t="shared" si="3"/>
        <v>N/A</v>
      </c>
      <c r="U16" s="22"/>
    </row>
    <row r="17" spans="1:21" x14ac:dyDescent="0.25">
      <c r="A17">
        <f t="shared" si="4"/>
        <v>75</v>
      </c>
      <c r="B17">
        <v>0</v>
      </c>
      <c r="L17" s="22"/>
      <c r="M17">
        <v>38</v>
      </c>
      <c r="N17">
        <v>55</v>
      </c>
      <c r="O17">
        <f t="shared" si="0"/>
        <v>55</v>
      </c>
      <c r="P17" s="22" t="str">
        <f t="shared" si="1"/>
        <v>N/A</v>
      </c>
      <c r="Q17" s="22"/>
      <c r="R17" s="22">
        <v>0</v>
      </c>
      <c r="S17" s="22">
        <f t="shared" si="2"/>
        <v>0</v>
      </c>
      <c r="T17" s="22" t="str">
        <f t="shared" si="3"/>
        <v>N/A</v>
      </c>
      <c r="U17" s="22"/>
    </row>
    <row r="18" spans="1:21" x14ac:dyDescent="0.25">
      <c r="A18">
        <f t="shared" si="4"/>
        <v>80</v>
      </c>
      <c r="B18">
        <v>0</v>
      </c>
      <c r="L18" s="22"/>
      <c r="M18">
        <v>24</v>
      </c>
      <c r="N18">
        <v>30</v>
      </c>
      <c r="O18">
        <f t="shared" si="0"/>
        <v>30</v>
      </c>
      <c r="P18" s="22" t="str">
        <f t="shared" si="1"/>
        <v>N/A</v>
      </c>
      <c r="Q18" s="22"/>
      <c r="R18" s="22">
        <v>0</v>
      </c>
      <c r="S18" s="22">
        <f t="shared" si="2"/>
        <v>0</v>
      </c>
      <c r="T18" s="22" t="str">
        <f t="shared" si="3"/>
        <v>N/A</v>
      </c>
      <c r="U18" s="22"/>
    </row>
    <row r="19" spans="1:21" x14ac:dyDescent="0.25">
      <c r="A19">
        <f t="shared" si="4"/>
        <v>85</v>
      </c>
      <c r="B19">
        <v>0</v>
      </c>
      <c r="L19" s="22"/>
      <c r="M19">
        <v>10</v>
      </c>
      <c r="N19">
        <v>10</v>
      </c>
      <c r="O19">
        <f t="shared" si="0"/>
        <v>10</v>
      </c>
      <c r="P19" s="22" t="str">
        <f t="shared" si="1"/>
        <v>N/A</v>
      </c>
      <c r="Q19" s="22"/>
      <c r="R19" s="22">
        <v>0</v>
      </c>
      <c r="S19" s="22">
        <f t="shared" si="2"/>
        <v>0</v>
      </c>
      <c r="T19" s="22" t="str">
        <f t="shared" si="3"/>
        <v>N/A</v>
      </c>
      <c r="U19" s="22"/>
    </row>
    <row r="20" spans="1:21" x14ac:dyDescent="0.25">
      <c r="A20">
        <f t="shared" si="4"/>
        <v>90</v>
      </c>
      <c r="B20">
        <v>0</v>
      </c>
      <c r="L20" s="22"/>
      <c r="M20">
        <v>12</v>
      </c>
      <c r="N20">
        <v>9</v>
      </c>
      <c r="O20">
        <f t="shared" si="0"/>
        <v>9</v>
      </c>
      <c r="P20" s="22" t="str">
        <f t="shared" si="1"/>
        <v>N/A</v>
      </c>
      <c r="Q20" s="22"/>
      <c r="R20" s="22">
        <v>0</v>
      </c>
      <c r="S20" s="22">
        <f t="shared" si="2"/>
        <v>0</v>
      </c>
      <c r="T20" s="22" t="str">
        <f t="shared" si="3"/>
        <v>N/A</v>
      </c>
      <c r="U20" s="22"/>
    </row>
    <row r="23" spans="1:21" x14ac:dyDescent="0.25">
      <c r="B23" t="s">
        <v>141</v>
      </c>
      <c r="C23" t="s">
        <v>142</v>
      </c>
    </row>
    <row r="24" spans="1:21" x14ac:dyDescent="0.25">
      <c r="A24" t="s">
        <v>143</v>
      </c>
      <c r="B24" t="s">
        <v>144</v>
      </c>
      <c r="C24">
        <v>1.2</v>
      </c>
    </row>
    <row r="26" spans="1:21" x14ac:dyDescent="0.25">
      <c r="A26" t="s">
        <v>145</v>
      </c>
      <c r="B26" t="s">
        <v>144</v>
      </c>
      <c r="C26">
        <v>1.2</v>
      </c>
      <c r="I26" s="32"/>
    </row>
    <row r="27" spans="1:21" x14ac:dyDescent="0.25">
      <c r="B27" t="s">
        <v>146</v>
      </c>
      <c r="C27">
        <v>1.2</v>
      </c>
      <c r="I27" s="32"/>
    </row>
    <row r="28" spans="1:21" x14ac:dyDescent="0.25">
      <c r="I28" s="32"/>
    </row>
    <row r="29" spans="1:21" x14ac:dyDescent="0.25">
      <c r="A29" t="s">
        <v>147</v>
      </c>
      <c r="B29" t="s">
        <v>144</v>
      </c>
      <c r="C29">
        <v>1.2</v>
      </c>
      <c r="I29" s="32"/>
      <c r="S29" s="26"/>
    </row>
    <row r="30" spans="1:21" x14ac:dyDescent="0.25">
      <c r="B30" t="s">
        <v>148</v>
      </c>
      <c r="C30">
        <v>1.2</v>
      </c>
      <c r="I30" s="32"/>
    </row>
    <row r="31" spans="1:21" x14ac:dyDescent="0.25">
      <c r="B31" t="s">
        <v>149</v>
      </c>
      <c r="C31">
        <v>0.8</v>
      </c>
      <c r="I31" s="32"/>
      <c r="S31" s="26"/>
    </row>
    <row r="32" spans="1:21" x14ac:dyDescent="0.25">
      <c r="I32" s="32"/>
      <c r="S32" s="26"/>
    </row>
    <row r="33" spans="1:19" x14ac:dyDescent="0.25">
      <c r="I33" s="32"/>
      <c r="S33" s="26"/>
    </row>
    <row r="34" spans="1:19" x14ac:dyDescent="0.25">
      <c r="A34" t="s">
        <v>150</v>
      </c>
      <c r="B34" t="s">
        <v>148</v>
      </c>
      <c r="C34">
        <v>1.2</v>
      </c>
      <c r="I34" s="32"/>
      <c r="S34" s="26"/>
    </row>
    <row r="35" spans="1:19" x14ac:dyDescent="0.25">
      <c r="I35" s="32"/>
    </row>
    <row r="36" spans="1:19" x14ac:dyDescent="0.25">
      <c r="A36" t="s">
        <v>151</v>
      </c>
      <c r="B36" s="23" t="s">
        <v>152</v>
      </c>
      <c r="C36">
        <v>1.2</v>
      </c>
      <c r="I36" s="32"/>
    </row>
    <row r="37" spans="1:19" x14ac:dyDescent="0.25">
      <c r="I37" s="32"/>
    </row>
    <row r="38" spans="1:19" x14ac:dyDescent="0.25">
      <c r="A38" t="s">
        <v>153</v>
      </c>
      <c r="B38" s="23" t="s">
        <v>152</v>
      </c>
      <c r="C38">
        <v>1.2</v>
      </c>
      <c r="I38" s="32"/>
    </row>
    <row r="39" spans="1:19" x14ac:dyDescent="0.25">
      <c r="B39" s="23" t="s">
        <v>154</v>
      </c>
      <c r="C39">
        <v>1.2</v>
      </c>
    </row>
    <row r="40" spans="1:19" x14ac:dyDescent="0.25">
      <c r="B40" s="23" t="s">
        <v>155</v>
      </c>
      <c r="C40">
        <v>0.5</v>
      </c>
    </row>
    <row r="42" spans="1:19" x14ac:dyDescent="0.25">
      <c r="A42" t="s">
        <v>156</v>
      </c>
      <c r="B42" s="23" t="s">
        <v>157</v>
      </c>
      <c r="C42">
        <v>1.2</v>
      </c>
    </row>
    <row r="43" spans="1:19" x14ac:dyDescent="0.25">
      <c r="B43" s="23" t="s">
        <v>158</v>
      </c>
      <c r="C43">
        <v>1.2</v>
      </c>
    </row>
    <row r="44" spans="1:19" x14ac:dyDescent="0.25">
      <c r="B44" s="23" t="s">
        <v>159</v>
      </c>
      <c r="C44">
        <v>0.5</v>
      </c>
    </row>
    <row r="45" spans="1:19" x14ac:dyDescent="0.25">
      <c r="B45" s="27" t="s">
        <v>160</v>
      </c>
      <c r="C45">
        <v>3</v>
      </c>
    </row>
    <row r="46" spans="1:19" x14ac:dyDescent="0.25">
      <c r="A46" s="9" t="s">
        <v>161</v>
      </c>
      <c r="B46" s="9"/>
      <c r="C46" s="9"/>
      <c r="D46" s="9"/>
    </row>
    <row r="47" spans="1:19" x14ac:dyDescent="0.25">
      <c r="A47" t="s">
        <v>162</v>
      </c>
      <c r="B47" s="23" t="s">
        <v>157</v>
      </c>
      <c r="C47">
        <v>1.2</v>
      </c>
    </row>
    <row r="48" spans="1:19" x14ac:dyDescent="0.25">
      <c r="B48" s="23" t="s">
        <v>158</v>
      </c>
      <c r="C48">
        <v>1.2</v>
      </c>
    </row>
    <row r="49" spans="1:4" x14ac:dyDescent="0.25">
      <c r="B49" s="23" t="s">
        <v>159</v>
      </c>
      <c r="C49">
        <v>0.5</v>
      </c>
    </row>
    <row r="50" spans="1:4" x14ac:dyDescent="0.25">
      <c r="B50" s="27" t="s">
        <v>160</v>
      </c>
      <c r="C50">
        <v>1.8</v>
      </c>
    </row>
    <row r="51" spans="1:4" x14ac:dyDescent="0.25">
      <c r="B51" s="24"/>
    </row>
    <row r="52" spans="1:4" x14ac:dyDescent="0.25">
      <c r="A52" t="s">
        <v>163</v>
      </c>
      <c r="B52" s="23" t="s">
        <v>157</v>
      </c>
      <c r="C52">
        <v>1.2</v>
      </c>
      <c r="D52" t="s">
        <v>164</v>
      </c>
    </row>
    <row r="53" spans="1:4" x14ac:dyDescent="0.25">
      <c r="B53" s="23" t="s">
        <v>154</v>
      </c>
      <c r="C53">
        <v>1.2</v>
      </c>
    </row>
    <row r="54" spans="1:4" x14ac:dyDescent="0.25">
      <c r="B54" s="23" t="s">
        <v>159</v>
      </c>
      <c r="C54">
        <v>0.5</v>
      </c>
    </row>
    <row r="55" spans="1:4" x14ac:dyDescent="0.25">
      <c r="B55" s="27"/>
    </row>
    <row r="56" spans="1:4" ht="28.9" customHeight="1" x14ac:dyDescent="0.25">
      <c r="A56" t="s">
        <v>165</v>
      </c>
      <c r="B56" s="28" t="s">
        <v>166</v>
      </c>
    </row>
    <row r="57" spans="1:4" x14ac:dyDescent="0.25">
      <c r="B57" s="24"/>
    </row>
    <row r="58" spans="1:4" x14ac:dyDescent="0.25">
      <c r="A58" t="s">
        <v>167</v>
      </c>
      <c r="B58" s="23" t="s">
        <v>168</v>
      </c>
      <c r="C58">
        <v>1.2</v>
      </c>
    </row>
    <row r="59" spans="1:4" x14ac:dyDescent="0.25">
      <c r="B59" s="23" t="s">
        <v>160</v>
      </c>
      <c r="C59">
        <v>1.8</v>
      </c>
    </row>
    <row r="60" spans="1:4" x14ac:dyDescent="0.25">
      <c r="B60" s="23" t="s">
        <v>159</v>
      </c>
      <c r="C60">
        <v>0.5</v>
      </c>
    </row>
    <row r="61" spans="1:4" x14ac:dyDescent="0.25">
      <c r="B61" s="24"/>
    </row>
    <row r="62" spans="1:4" x14ac:dyDescent="0.25">
      <c r="A62" t="s">
        <v>169</v>
      </c>
      <c r="B62" s="23" t="s">
        <v>168</v>
      </c>
      <c r="C62">
        <v>1.2</v>
      </c>
    </row>
    <row r="63" spans="1:4" x14ac:dyDescent="0.25">
      <c r="B63" s="23" t="s">
        <v>160</v>
      </c>
      <c r="C63">
        <v>1.8</v>
      </c>
    </row>
    <row r="64" spans="1:4" x14ac:dyDescent="0.25">
      <c r="B64" s="23" t="s">
        <v>170</v>
      </c>
      <c r="C64">
        <v>0.5</v>
      </c>
    </row>
    <row r="65" spans="1:5" x14ac:dyDescent="0.25">
      <c r="B65" s="24"/>
    </row>
    <row r="66" spans="1:5" x14ac:dyDescent="0.25">
      <c r="B66" s="24"/>
    </row>
    <row r="67" spans="1:5" x14ac:dyDescent="0.25">
      <c r="A67" s="9" t="s">
        <v>171</v>
      </c>
      <c r="B67" s="23" t="s">
        <v>172</v>
      </c>
      <c r="C67">
        <v>1.2</v>
      </c>
      <c r="E67" s="9" t="s">
        <v>173</v>
      </c>
    </row>
    <row r="68" spans="1:5" x14ac:dyDescent="0.25">
      <c r="B68" s="23" t="s">
        <v>160</v>
      </c>
      <c r="C68">
        <v>1.8</v>
      </c>
    </row>
    <row r="69" spans="1:5" x14ac:dyDescent="0.25">
      <c r="B69" s="23" t="s">
        <v>170</v>
      </c>
      <c r="C69">
        <v>0.5</v>
      </c>
    </row>
    <row r="70" spans="1:5" x14ac:dyDescent="0.25">
      <c r="B70" s="24"/>
    </row>
    <row r="71" spans="1:5" x14ac:dyDescent="0.25">
      <c r="B71" s="24"/>
    </row>
    <row r="72" spans="1:5" x14ac:dyDescent="0.25">
      <c r="A72" s="9" t="s">
        <v>174</v>
      </c>
      <c r="B72" s="23" t="s">
        <v>172</v>
      </c>
      <c r="C72">
        <v>1.2</v>
      </c>
    </row>
    <row r="73" spans="1:5" x14ac:dyDescent="0.25">
      <c r="B73" s="23" t="s">
        <v>160</v>
      </c>
      <c r="C73">
        <v>1.8</v>
      </c>
    </row>
    <row r="74" spans="1:5" x14ac:dyDescent="0.25">
      <c r="B74" s="23" t="s">
        <v>175</v>
      </c>
      <c r="C74">
        <v>0.5</v>
      </c>
    </row>
    <row r="75" spans="1:5" x14ac:dyDescent="0.25">
      <c r="B75" s="24"/>
    </row>
    <row r="76" spans="1:5" x14ac:dyDescent="0.25">
      <c r="B76" s="24"/>
    </row>
    <row r="77" spans="1:5" x14ac:dyDescent="0.25">
      <c r="B77" s="24"/>
    </row>
    <row r="78" spans="1:5" x14ac:dyDescent="0.25">
      <c r="B78" s="24"/>
    </row>
    <row r="79" spans="1:5" x14ac:dyDescent="0.25">
      <c r="B79" s="24"/>
    </row>
    <row r="80" spans="1:5" x14ac:dyDescent="0.25">
      <c r="B80" s="24"/>
    </row>
    <row r="81" spans="2:3" x14ac:dyDescent="0.25">
      <c r="B81" s="23"/>
    </row>
    <row r="83" spans="2:3" x14ac:dyDescent="0.25">
      <c r="B83" s="24"/>
    </row>
    <row r="84" spans="2:3" x14ac:dyDescent="0.25">
      <c r="B84" s="24"/>
    </row>
    <row r="85" spans="2:3" x14ac:dyDescent="0.25">
      <c r="B85" s="24"/>
    </row>
    <row r="86" spans="2:3" x14ac:dyDescent="0.25">
      <c r="B86" s="24"/>
    </row>
    <row r="87" spans="2:3" x14ac:dyDescent="0.25">
      <c r="B87" s="24"/>
    </row>
    <row r="88" spans="2:3" x14ac:dyDescent="0.25">
      <c r="B88" s="24"/>
    </row>
    <row r="90" spans="2:3" x14ac:dyDescent="0.25">
      <c r="B90" s="22"/>
      <c r="C90" s="22"/>
    </row>
    <row r="91" spans="2:3" x14ac:dyDescent="0.25">
      <c r="B91" s="22"/>
      <c r="C91" s="22"/>
    </row>
    <row r="92" spans="2:3" x14ac:dyDescent="0.25">
      <c r="B92" s="24"/>
      <c r="C92" s="22"/>
    </row>
    <row r="93" spans="2:3" x14ac:dyDescent="0.25">
      <c r="B93" s="24"/>
      <c r="C93" s="22"/>
    </row>
    <row r="94" spans="2:3" x14ac:dyDescent="0.25">
      <c r="B94" s="24"/>
    </row>
    <row r="95" spans="2:3" x14ac:dyDescent="0.25">
      <c r="B95" s="24"/>
    </row>
    <row r="96" spans="2:3" x14ac:dyDescent="0.25">
      <c r="B96" s="22"/>
      <c r="C96" s="22"/>
    </row>
    <row r="97" spans="2:3" x14ac:dyDescent="0.25">
      <c r="B97" s="22"/>
      <c r="C97" s="22"/>
    </row>
    <row r="98" spans="2:3" x14ac:dyDescent="0.25">
      <c r="B98" s="22"/>
      <c r="C98" s="22"/>
    </row>
    <row r="99" spans="2:3" x14ac:dyDescent="0.25">
      <c r="B99" s="22"/>
      <c r="C99" s="22"/>
    </row>
    <row r="100" spans="2:3" x14ac:dyDescent="0.25">
      <c r="B100" s="22"/>
      <c r="C100" s="22"/>
    </row>
    <row r="101" spans="2:3" x14ac:dyDescent="0.25">
      <c r="B101" s="22"/>
      <c r="C101" s="22"/>
    </row>
    <row r="102" spans="2:3" x14ac:dyDescent="0.25">
      <c r="B102" s="24"/>
      <c r="C102" s="22"/>
    </row>
    <row r="103" spans="2:3" x14ac:dyDescent="0.25">
      <c r="B103" s="22"/>
      <c r="C103" s="22"/>
    </row>
    <row r="104" spans="2:3" x14ac:dyDescent="0.25">
      <c r="B104" s="22"/>
      <c r="C104" s="22"/>
    </row>
    <row r="105" spans="2:3" x14ac:dyDescent="0.25">
      <c r="B105" s="22"/>
      <c r="C105" s="22"/>
    </row>
    <row r="106" spans="2:3" x14ac:dyDescent="0.25">
      <c r="B106" s="22"/>
      <c r="C106" s="22"/>
    </row>
    <row r="107" spans="2:3" x14ac:dyDescent="0.25">
      <c r="B107" s="22"/>
      <c r="C107" s="22"/>
    </row>
    <row r="108" spans="2:3" x14ac:dyDescent="0.25">
      <c r="B108" s="22"/>
      <c r="C108" s="22"/>
    </row>
  </sheetData>
  <conditionalFormatting sqref="O2:O20">
    <cfRule type="expression" dxfId="5" priority="4">
      <formula>AND( ABS($N2 -$B2) &lt; $W$4, ABS($N2 - $B2) &lt;&gt; 0,1)</formula>
    </cfRule>
    <cfRule type="expression" dxfId="4" priority="5">
      <formula>AND(($N2-$B2)&lt;0, ABS($N2 -$B2) &gt; $W$4,1)</formula>
    </cfRule>
    <cfRule type="expression" dxfId="3" priority="6">
      <formula>($N2-$B2)&gt;0</formula>
    </cfRule>
  </conditionalFormatting>
  <conditionalFormatting sqref="S2:S20">
    <cfRule type="expression" dxfId="2" priority="1">
      <formula>AND(($R2-$B2)&lt;0, ABS($R2 -$B2) &gt; $W$4,1)</formula>
    </cfRule>
    <cfRule type="expression" dxfId="1" priority="2">
      <formula>AND( ABS($R2 -$B2) &lt; $W$4, ABS($R2 - $B2) &lt;&gt; 0,1)</formula>
    </cfRule>
    <cfRule type="expression" dxfId="0" priority="3">
      <formula>($R2-$B2)&gt;0</formula>
    </cfRule>
  </conditionalFormatting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7"/>
  <dimension ref="A1:J41"/>
  <sheetViews>
    <sheetView workbookViewId="0">
      <selection activeCell="G26" sqref="G26"/>
    </sheetView>
  </sheetViews>
  <sheetFormatPr defaultRowHeight="15" x14ac:dyDescent="0.25"/>
  <sheetData>
    <row r="1" spans="1:10" x14ac:dyDescent="0.25">
      <c r="A1">
        <v>-5</v>
      </c>
      <c r="B1">
        <v>0</v>
      </c>
      <c r="C1">
        <v>0</v>
      </c>
      <c r="I1" s="1"/>
      <c r="J1" s="1"/>
    </row>
    <row r="2" spans="1:10" x14ac:dyDescent="0.25">
      <c r="A2">
        <v>-5.1815855438307414</v>
      </c>
      <c r="B2">
        <v>-0.18478279185902549</v>
      </c>
      <c r="C2">
        <v>0</v>
      </c>
      <c r="I2" s="1"/>
      <c r="J2" s="1"/>
    </row>
    <row r="3" spans="1:10" x14ac:dyDescent="0.25">
      <c r="A3">
        <v>-5.312921306256623</v>
      </c>
      <c r="B3">
        <v>-0.32572763611349559</v>
      </c>
      <c r="C3">
        <v>0</v>
      </c>
      <c r="I3" s="1"/>
      <c r="J3" s="1"/>
    </row>
    <row r="4" spans="1:10" x14ac:dyDescent="0.25">
      <c r="A4">
        <v>-5.44037298064515</v>
      </c>
      <c r="B4">
        <v>-0.4685460730373211</v>
      </c>
      <c r="C4">
        <v>0</v>
      </c>
      <c r="I4" s="1"/>
      <c r="J4" s="1"/>
    </row>
    <row r="5" spans="1:10" x14ac:dyDescent="0.25">
      <c r="A5">
        <v>-5.5657463196729502</v>
      </c>
      <c r="B5">
        <v>-0.61513823197476258</v>
      </c>
      <c r="C5">
        <v>0</v>
      </c>
      <c r="I5" s="1"/>
      <c r="J5" s="1"/>
    </row>
    <row r="6" spans="1:10" x14ac:dyDescent="0.25">
      <c r="A6">
        <v>-5.6894947178846866</v>
      </c>
      <c r="B6">
        <v>-0.76607874556725397</v>
      </c>
      <c r="C6">
        <v>0</v>
      </c>
      <c r="I6" s="1"/>
      <c r="J6" s="1"/>
    </row>
    <row r="7" spans="1:10" x14ac:dyDescent="0.25">
      <c r="A7">
        <v>-5.8117755248624494</v>
      </c>
      <c r="B7">
        <v>-0.92166159703121009</v>
      </c>
      <c r="C7">
        <v>0</v>
      </c>
      <c r="I7" s="1"/>
      <c r="J7" s="1"/>
    </row>
    <row r="8" spans="1:10" x14ac:dyDescent="0.25">
      <c r="A8">
        <v>-5.932645769572793</v>
      </c>
      <c r="B8">
        <v>-1.0820945127840571</v>
      </c>
      <c r="C8">
        <v>0</v>
      </c>
      <c r="I8" s="1"/>
      <c r="J8" s="1"/>
    </row>
    <row r="9" spans="1:10" x14ac:dyDescent="0.25">
      <c r="A9">
        <v>-6.0521175699848468</v>
      </c>
      <c r="B9">
        <v>-1.2475542086867</v>
      </c>
      <c r="C9">
        <v>0</v>
      </c>
      <c r="I9" s="1"/>
      <c r="J9" s="1"/>
    </row>
    <row r="10" spans="1:10" x14ac:dyDescent="0.25">
      <c r="A10">
        <v>-6.1701777233330573</v>
      </c>
      <c r="B10">
        <v>-1.418205911265306</v>
      </c>
      <c r="C10">
        <v>0</v>
      </c>
      <c r="I10" s="1"/>
      <c r="J10" s="1"/>
    </row>
    <row r="11" spans="1:10" x14ac:dyDescent="0.25">
      <c r="A11">
        <v>-6.2867955045033508</v>
      </c>
      <c r="B11">
        <v>-1.594210949297274</v>
      </c>
      <c r="C11">
        <v>0</v>
      </c>
      <c r="I11" s="1"/>
      <c r="J11" s="1"/>
    </row>
    <row r="12" spans="1:10" x14ac:dyDescent="0.25">
      <c r="A12">
        <v>-6.4019258447753256</v>
      </c>
      <c r="B12">
        <v>-1.775729485696425</v>
      </c>
      <c r="C12">
        <v>0</v>
      </c>
      <c r="I12" s="1"/>
      <c r="J12" s="1"/>
    </row>
    <row r="13" spans="1:10" x14ac:dyDescent="0.25">
      <c r="A13">
        <v>-6.5155104415675078</v>
      </c>
      <c r="B13">
        <v>-1.9629208516953609</v>
      </c>
      <c r="C13">
        <v>0</v>
      </c>
      <c r="I13" s="1"/>
      <c r="J13" s="1"/>
    </row>
    <row r="14" spans="1:10" x14ac:dyDescent="0.25">
      <c r="A14">
        <v>-6.6274778312103644</v>
      </c>
      <c r="B14">
        <v>-2.1559424136049419</v>
      </c>
      <c r="C14">
        <v>0</v>
      </c>
      <c r="I14" s="1"/>
      <c r="J14" s="1"/>
    </row>
    <row r="15" spans="1:10" x14ac:dyDescent="0.25">
      <c r="A15">
        <v>-6.7377428880722228</v>
      </c>
      <c r="B15">
        <v>-2.354947310524155</v>
      </c>
      <c r="C15">
        <v>0</v>
      </c>
      <c r="I15" s="1"/>
      <c r="J15" s="1"/>
    </row>
    <row r="16" spans="1:10" x14ac:dyDescent="0.25">
      <c r="A16">
        <v>-6.8462059791443286</v>
      </c>
      <c r="B16">
        <v>-2.5600811366747682</v>
      </c>
      <c r="C16">
        <v>0</v>
      </c>
      <c r="I16" s="1"/>
      <c r="J16" s="1"/>
    </row>
    <row r="17" spans="1:10" x14ac:dyDescent="0.25">
      <c r="A17">
        <v>-6.9527519007795746</v>
      </c>
      <c r="B17">
        <v>-2.7714775014802759</v>
      </c>
      <c r="C17">
        <v>0</v>
      </c>
      <c r="I17" s="1"/>
      <c r="J17" s="1"/>
    </row>
    <row r="18" spans="1:10" x14ac:dyDescent="0.25">
      <c r="A18">
        <v>-7.0572486793409466</v>
      </c>
      <c r="B18">
        <v>-2.9892523083998981</v>
      </c>
      <c r="C18">
        <v>0</v>
      </c>
      <c r="I18" s="1"/>
      <c r="J18" s="1"/>
    </row>
    <row r="19" spans="1:10" x14ac:dyDescent="0.25">
      <c r="A19">
        <v>-7.1595463005123641</v>
      </c>
      <c r="B19">
        <v>-3.2134965185419611</v>
      </c>
      <c r="C19">
        <v>0</v>
      </c>
      <c r="I19" s="1"/>
      <c r="J19" s="1"/>
    </row>
    <row r="20" spans="1:10" x14ac:dyDescent="0.25">
      <c r="A20">
        <v>-7.2594754306309852</v>
      </c>
      <c r="B20">
        <v>-3.4442670928673138</v>
      </c>
      <c r="C20">
        <v>0</v>
      </c>
      <c r="I20" s="1"/>
      <c r="J20" s="1"/>
    </row>
    <row r="21" spans="1:10" x14ac:dyDescent="0.25">
      <c r="A21">
        <v>-7.3568462024911181</v>
      </c>
      <c r="B21">
        <v>-3.6815757301091012</v>
      </c>
      <c r="C21">
        <v>0</v>
      </c>
      <c r="I21" s="1"/>
      <c r="J21" s="1"/>
    </row>
    <row r="22" spans="1:10" x14ac:dyDescent="0.25">
      <c r="A22">
        <v>-7.4514471557845088</v>
      </c>
      <c r="B22">
        <v>-3.925374932538352</v>
      </c>
      <c r="C22">
        <v>0</v>
      </c>
      <c r="I22" s="1"/>
      <c r="J22" s="1"/>
    </row>
    <row r="23" spans="1:10" x14ac:dyDescent="0.25">
      <c r="A23">
        <v>-7.5430444484040722</v>
      </c>
      <c r="B23">
        <v>-4.1755408366828961</v>
      </c>
      <c r="C23">
        <v>0</v>
      </c>
      <c r="I23" s="1"/>
      <c r="J23" s="1"/>
    </row>
    <row r="24" spans="1:10" x14ac:dyDescent="0.25">
      <c r="A24">
        <v>-7.6313814897461638</v>
      </c>
      <c r="B24">
        <v>-4.4318521413666438</v>
      </c>
      <c r="C24">
        <v>0</v>
      </c>
      <c r="I24" s="1"/>
      <c r="J24" s="1"/>
    </row>
    <row r="25" spans="1:10" x14ac:dyDescent="0.25">
      <c r="A25">
        <v>-7.7161791916634286</v>
      </c>
      <c r="B25">
        <v>-4.6939643539456961</v>
      </c>
      <c r="C25">
        <v>0</v>
      </c>
      <c r="I25" s="1"/>
      <c r="J25" s="1"/>
    </row>
    <row r="26" spans="1:10" x14ac:dyDescent="0.25">
      <c r="A26">
        <v>-7.797137087386468</v>
      </c>
      <c r="B26">
        <v>-4.9613784643502887</v>
      </c>
      <c r="C26">
        <v>0</v>
      </c>
      <c r="I26" s="1"/>
      <c r="J26" s="1"/>
    </row>
    <row r="27" spans="1:10" x14ac:dyDescent="0.25">
      <c r="A27">
        <v>-7.873935633211854</v>
      </c>
      <c r="B27">
        <v>-5.233403058630743</v>
      </c>
      <c r="C27">
        <v>0</v>
      </c>
      <c r="I27" s="1"/>
      <c r="J27" s="1"/>
    </row>
    <row r="28" spans="1:10" x14ac:dyDescent="0.25">
      <c r="A28">
        <v>-7.9462400798329957</v>
      </c>
      <c r="B28">
        <v>-5.5091088216022621</v>
      </c>
      <c r="C28">
        <v>0</v>
      </c>
      <c r="I28" s="1"/>
      <c r="J28" s="1"/>
    </row>
    <row r="29" spans="1:10" x14ac:dyDescent="0.25">
      <c r="A29">
        <v>-8.0137063742264214</v>
      </c>
      <c r="B29">
        <v>-5.787274387999136</v>
      </c>
      <c r="C29">
        <v>0</v>
      </c>
      <c r="I29" s="1"/>
      <c r="J29" s="1"/>
    </row>
    <row r="30" spans="1:10" x14ac:dyDescent="0.25">
      <c r="A30">
        <v>-8.075989617588478</v>
      </c>
      <c r="B30">
        <v>-6.0663226386010267</v>
      </c>
      <c r="C30">
        <v>0</v>
      </c>
      <c r="I30" s="1"/>
      <c r="J30" s="1"/>
    </row>
    <row r="31" spans="1:10" x14ac:dyDescent="0.25">
      <c r="A31">
        <v>-8.1327556394220615</v>
      </c>
      <c r="B31">
        <v>-6.3442468829173837</v>
      </c>
      <c r="C31">
        <v>0</v>
      </c>
      <c r="I31" s="1"/>
      <c r="J31" s="1"/>
    </row>
    <row r="32" spans="1:10" x14ac:dyDescent="0.25">
      <c r="A32">
        <v>-8.1836962184271851</v>
      </c>
      <c r="B32">
        <v>-6.6185270351894276</v>
      </c>
      <c r="C32">
        <v>0</v>
      </c>
      <c r="I32" s="1"/>
      <c r="J32" s="1"/>
    </row>
    <row r="33" spans="1:10" x14ac:dyDescent="0.25">
      <c r="A33">
        <v>-8.2285483345299646</v>
      </c>
      <c r="B33">
        <v>-6.8860370203665697</v>
      </c>
      <c r="C33">
        <v>0</v>
      </c>
      <c r="I33" s="1"/>
      <c r="J33" s="1"/>
    </row>
    <row r="34" spans="1:10" x14ac:dyDescent="0.25">
      <c r="A34">
        <v>-8.2671174968883729</v>
      </c>
      <c r="B34">
        <v>-7.1429464094875064</v>
      </c>
      <c r="C34">
        <v>0</v>
      </c>
      <c r="I34" s="1"/>
      <c r="J34" s="1"/>
    </row>
    <row r="35" spans="1:10" x14ac:dyDescent="0.25">
      <c r="A35">
        <v>-8.2993045589364893</v>
      </c>
      <c r="B35">
        <v>-7.3846218395582941</v>
      </c>
      <c r="C35">
        <v>0</v>
      </c>
      <c r="I35" s="1"/>
      <c r="J35" s="1"/>
    </row>
    <row r="36" spans="1:10" x14ac:dyDescent="0.25">
      <c r="A36">
        <v>-8.3251343852968169</v>
      </c>
      <c r="B36">
        <v>-7.6055372018735934</v>
      </c>
      <c r="C36">
        <v>0</v>
      </c>
      <c r="I36" s="1"/>
      <c r="J36" s="1"/>
    </row>
    <row r="37" spans="1:10" x14ac:dyDescent="0.25">
      <c r="A37">
        <v>-8.344783167152535</v>
      </c>
      <c r="B37">
        <v>-7.7992057522812983</v>
      </c>
      <c r="C37">
        <v>0</v>
      </c>
      <c r="I37" s="1"/>
      <c r="J37" s="1"/>
    </row>
    <row r="38" spans="1:10" x14ac:dyDescent="0.25">
      <c r="A38">
        <v>-8.3585990460286048</v>
      </c>
      <c r="B38">
        <v>-7.9581516508827201</v>
      </c>
      <c r="C38">
        <v>0</v>
      </c>
      <c r="I38" s="1"/>
      <c r="J38" s="1"/>
    </row>
    <row r="39" spans="1:10" x14ac:dyDescent="0.25">
      <c r="A39">
        <v>-8.3671081074107185</v>
      </c>
      <c r="B39">
        <v>-8.0739417192497083</v>
      </c>
      <c r="C39">
        <v>0</v>
      </c>
      <c r="I39" s="1"/>
      <c r="J39" s="1"/>
    </row>
    <row r="40" spans="1:10" x14ac:dyDescent="0.25">
      <c r="A40">
        <v>-8.3709951162612146</v>
      </c>
      <c r="B40">
        <v>-8.137298182058494</v>
      </c>
      <c r="C40">
        <v>0</v>
      </c>
      <c r="I40" s="1"/>
      <c r="J40" s="1"/>
    </row>
    <row r="41" spans="1:10" x14ac:dyDescent="0.25">
      <c r="A41">
        <v>-8.3710462956225218</v>
      </c>
      <c r="B41">
        <v>-8.1383065541540098</v>
      </c>
      <c r="C41">
        <v>0</v>
      </c>
      <c r="I41" s="1"/>
      <c r="J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</vt:i4>
      </vt:variant>
    </vt:vector>
  </HeadingPairs>
  <TitlesOfParts>
    <vt:vector size="12" baseType="lpstr">
      <vt:lpstr>Instructions</vt:lpstr>
      <vt:lpstr>Point source estimation</vt:lpstr>
      <vt:lpstr>Lambertian dist and flux</vt:lpstr>
      <vt:lpstr>Linear distribution and flux</vt:lpstr>
      <vt:lpstr>Flux maps w values</vt:lpstr>
      <vt:lpstr>Flux maps Refractor final</vt:lpstr>
      <vt:lpstr>Refractor design sheet</vt:lpstr>
      <vt:lpstr>Candela Comparison</vt:lpstr>
      <vt:lpstr>RefractorTest3</vt:lpstr>
      <vt:lpstr>Flux</vt:lpstr>
      <vt:lpstr>Intensity</vt:lpstr>
      <vt:lpstr>TotalLumens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Varnau</dc:creator>
  <cp:lastModifiedBy>Grant Varnau</cp:lastModifiedBy>
  <dcterms:created xsi:type="dcterms:W3CDTF">2021-03-26T15:56:01Z</dcterms:created>
  <dcterms:modified xsi:type="dcterms:W3CDTF">2021-06-03T14:48:10Z</dcterms:modified>
</cp:coreProperties>
</file>