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ung\Documents\GitHub\beta\Projects\Backend\Automatic Report Download\Python\"/>
    </mc:Choice>
  </mc:AlternateContent>
  <bookViews>
    <workbookView xWindow="0" yWindow="0" windowWidth="28800" windowHeight="12210" activeTab="2"/>
  </bookViews>
  <sheets>
    <sheet name="DAX" sheetId="1" r:id="rId1"/>
    <sheet name="MDAX" sheetId="2" r:id="rId2"/>
    <sheet name="AllCompanie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1" i="2" l="1"/>
  <c r="G10" i="2"/>
  <c r="F33" i="2"/>
  <c r="D19" i="1"/>
  <c r="D23" i="2"/>
  <c r="C7" i="1"/>
  <c r="I41" i="2"/>
  <c r="F21" i="2"/>
  <c r="D15" i="2"/>
  <c r="H32" i="2"/>
  <c r="I39" i="2"/>
  <c r="G12" i="2"/>
  <c r="G15" i="1"/>
  <c r="F48" i="2"/>
  <c r="E53" i="2"/>
  <c r="H41" i="1"/>
  <c r="E24" i="2"/>
  <c r="F8" i="1"/>
  <c r="G13" i="2"/>
  <c r="I43" i="2"/>
  <c r="G23" i="2"/>
  <c r="C7" i="2"/>
  <c r="H18" i="1"/>
  <c r="F20" i="2"/>
  <c r="G42" i="2"/>
  <c r="F11" i="1"/>
  <c r="G44" i="2"/>
  <c r="D32" i="2"/>
  <c r="C16" i="2"/>
  <c r="E2" i="1"/>
  <c r="E5" i="2"/>
  <c r="E9" i="1"/>
  <c r="G19" i="1"/>
  <c r="H55" i="2"/>
  <c r="H17" i="2"/>
  <c r="H1" i="2"/>
  <c r="G7" i="2"/>
  <c r="D59" i="2"/>
  <c r="H17" i="1"/>
  <c r="H42" i="2"/>
  <c r="G24" i="2"/>
  <c r="G43" i="2"/>
  <c r="C35" i="1"/>
  <c r="E33" i="2"/>
  <c r="C23" i="1"/>
  <c r="I48" i="2"/>
  <c r="F5" i="1"/>
  <c r="D14" i="2"/>
  <c r="H35" i="2"/>
  <c r="C43" i="2"/>
  <c r="D10" i="2"/>
  <c r="E31" i="2"/>
  <c r="F29" i="1"/>
  <c r="G47" i="2"/>
  <c r="E11" i="2"/>
  <c r="C19" i="2"/>
  <c r="D60" i="2"/>
  <c r="E8" i="2"/>
  <c r="H23" i="2"/>
  <c r="F39" i="1"/>
  <c r="G36" i="1"/>
  <c r="H13" i="2"/>
  <c r="G2" i="2"/>
  <c r="I15" i="2"/>
  <c r="E19" i="2"/>
  <c r="G22" i="1"/>
  <c r="E22" i="2"/>
  <c r="E54" i="2"/>
  <c r="I5" i="2"/>
  <c r="E25" i="2"/>
  <c r="G13" i="1"/>
  <c r="G14" i="2"/>
  <c r="F1" i="1"/>
  <c r="F54" i="2"/>
  <c r="F27" i="2"/>
  <c r="C51" i="2"/>
  <c r="E12" i="2"/>
  <c r="C6" i="2"/>
  <c r="F25" i="1"/>
  <c r="G26" i="2"/>
  <c r="E38" i="1"/>
  <c r="G8" i="2"/>
  <c r="I56" i="2"/>
  <c r="D37" i="1"/>
  <c r="D58" i="2"/>
  <c r="E7" i="1"/>
  <c r="C29" i="1"/>
  <c r="G45" i="2"/>
  <c r="E17" i="2"/>
  <c r="F26" i="1"/>
  <c r="F14" i="1"/>
  <c r="F55" i="2"/>
  <c r="C39" i="1"/>
  <c r="E32" i="1"/>
  <c r="F7" i="2"/>
  <c r="F15" i="1"/>
  <c r="E3" i="1"/>
  <c r="E3" i="2"/>
  <c r="I7" i="2"/>
  <c r="E19" i="1"/>
  <c r="F35" i="2"/>
  <c r="C29" i="2"/>
  <c r="H5" i="1"/>
  <c r="E49" i="2"/>
  <c r="E17" i="1"/>
  <c r="C39" i="2"/>
  <c r="C15" i="2"/>
  <c r="E24" i="1"/>
  <c r="E12" i="1"/>
  <c r="G10" i="1"/>
  <c r="H24" i="2"/>
  <c r="C2" i="2"/>
  <c r="D17" i="2"/>
  <c r="E26" i="1"/>
  <c r="G26" i="1"/>
  <c r="C52" i="2"/>
  <c r="D38" i="2"/>
  <c r="F23" i="2"/>
  <c r="G61" i="2"/>
  <c r="H12" i="2"/>
  <c r="E9" i="2"/>
  <c r="H25" i="2"/>
  <c r="E20" i="1"/>
  <c r="C36" i="2"/>
  <c r="D6" i="2"/>
  <c r="H13" i="1"/>
  <c r="G57" i="2"/>
  <c r="D20" i="2"/>
  <c r="C16" i="1"/>
  <c r="I42" i="2"/>
  <c r="H10" i="1"/>
  <c r="I13" i="2"/>
  <c r="G51" i="2"/>
  <c r="D3" i="2"/>
  <c r="G29" i="1"/>
  <c r="I11" i="2"/>
  <c r="G29" i="2"/>
  <c r="D45" i="2"/>
  <c r="G32" i="2"/>
  <c r="D32" i="1"/>
  <c r="D6" i="1"/>
  <c r="C13" i="1"/>
  <c r="I52" i="2"/>
  <c r="H59" i="2"/>
  <c r="D42" i="2"/>
  <c r="D11" i="2"/>
  <c r="G59" i="2"/>
  <c r="D2" i="2"/>
  <c r="E27" i="2"/>
  <c r="I46" i="2"/>
  <c r="H51" i="2"/>
  <c r="C20" i="2"/>
  <c r="I38" i="2"/>
  <c r="F38" i="1"/>
  <c r="E40" i="2"/>
  <c r="C5" i="1"/>
  <c r="C12" i="1"/>
  <c r="I35" i="2"/>
  <c r="C38" i="2"/>
  <c r="H2" i="2"/>
  <c r="F32" i="1"/>
  <c r="C19" i="1"/>
  <c r="G30" i="2"/>
  <c r="F10" i="2"/>
  <c r="F56" i="2"/>
  <c r="I54" i="2"/>
  <c r="F25" i="2"/>
  <c r="H9" i="1"/>
  <c r="C36" i="1"/>
  <c r="I60" i="2"/>
  <c r="C24" i="1"/>
  <c r="H49" i="2"/>
  <c r="C3" i="1"/>
  <c r="E21" i="2"/>
  <c r="C57" i="2"/>
  <c r="F32" i="2"/>
  <c r="G8" i="1"/>
  <c r="F40" i="1"/>
  <c r="G39" i="1"/>
  <c r="F23" i="1"/>
  <c r="C32" i="1"/>
  <c r="D17" i="1"/>
  <c r="C22" i="2"/>
  <c r="D8" i="1"/>
  <c r="C60" i="2"/>
  <c r="F51" i="2"/>
  <c r="H19" i="2"/>
  <c r="F4" i="1"/>
  <c r="E16" i="1"/>
  <c r="I49" i="2"/>
  <c r="H11" i="2"/>
  <c r="H44" i="2"/>
  <c r="D16" i="2"/>
  <c r="E46" i="2"/>
  <c r="H3" i="1"/>
  <c r="I33" i="2"/>
  <c r="H33" i="1"/>
  <c r="C15" i="1"/>
  <c r="F49" i="2"/>
  <c r="D25" i="1"/>
  <c r="C10" i="1"/>
  <c r="I27" i="2"/>
  <c r="F21" i="1"/>
  <c r="F58" i="2"/>
  <c r="G25" i="1"/>
  <c r="D4" i="1"/>
  <c r="F12" i="2"/>
  <c r="H56" i="2"/>
  <c r="C28" i="1"/>
  <c r="F18" i="1"/>
  <c r="E35" i="1"/>
  <c r="E44" i="2"/>
  <c r="D35" i="2"/>
  <c r="C31" i="2"/>
  <c r="H39" i="1"/>
  <c r="H9" i="2"/>
  <c r="H7" i="1"/>
  <c r="I26" i="2"/>
  <c r="F13" i="2"/>
  <c r="F6" i="2"/>
  <c r="G35" i="1"/>
  <c r="D3" i="1"/>
  <c r="G17" i="1"/>
  <c r="E6" i="1"/>
  <c r="G9" i="1"/>
  <c r="H22" i="1"/>
  <c r="F34" i="2"/>
  <c r="D24" i="2"/>
  <c r="I34" i="2"/>
  <c r="C14" i="1"/>
  <c r="H34" i="1"/>
  <c r="I22" i="2"/>
  <c r="I30" i="2"/>
  <c r="E29" i="1"/>
  <c r="D13" i="1"/>
  <c r="D41" i="2"/>
  <c r="F26" i="2"/>
  <c r="D20" i="1"/>
  <c r="D1" i="1"/>
  <c r="E34" i="2"/>
  <c r="I3" i="2"/>
  <c r="C24" i="2"/>
  <c r="G30" i="1"/>
  <c r="F19" i="2"/>
  <c r="F17" i="2"/>
  <c r="E23" i="2"/>
  <c r="C31" i="1"/>
  <c r="E2" i="2"/>
  <c r="C3" i="2"/>
  <c r="E21" i="1"/>
  <c r="C32" i="2"/>
  <c r="D54" i="2"/>
  <c r="F50" i="2"/>
  <c r="D25" i="2"/>
  <c r="H23" i="1"/>
  <c r="F14" i="2"/>
  <c r="C20" i="1"/>
  <c r="C41" i="1"/>
  <c r="C22" i="1"/>
  <c r="I36" i="2"/>
  <c r="D52" i="2"/>
  <c r="H26" i="2"/>
  <c r="F30" i="1"/>
  <c r="H47" i="2"/>
  <c r="H37" i="1"/>
  <c r="D19" i="2"/>
  <c r="F16" i="1"/>
  <c r="F8" i="2"/>
  <c r="C21" i="1"/>
  <c r="H6" i="1"/>
  <c r="C8" i="2"/>
  <c r="C48" i="2"/>
  <c r="G38" i="1"/>
  <c r="E41" i="2"/>
  <c r="D43" i="2"/>
  <c r="C46" i="2"/>
  <c r="C45" i="2"/>
  <c r="I14" i="2"/>
  <c r="E43" i="2"/>
  <c r="C41" i="2"/>
  <c r="C33" i="2"/>
  <c r="E1" i="2"/>
  <c r="I40" i="2"/>
  <c r="E5" i="1"/>
  <c r="F41" i="1"/>
  <c r="G28" i="2"/>
  <c r="G14" i="1"/>
  <c r="D29" i="1"/>
  <c r="C28" i="2"/>
  <c r="H27" i="1"/>
  <c r="D31" i="2"/>
  <c r="G41" i="2"/>
  <c r="F24" i="2"/>
  <c r="F61" i="2"/>
  <c r="I28" i="2"/>
  <c r="H19" i="1"/>
  <c r="G53" i="2"/>
  <c r="C34" i="1"/>
  <c r="F53" i="2"/>
  <c r="H6" i="2"/>
  <c r="F41" i="2"/>
  <c r="G31" i="2"/>
  <c r="E6" i="2"/>
  <c r="H39" i="2"/>
  <c r="C54" i="2"/>
  <c r="I31" i="2"/>
  <c r="C25" i="2"/>
  <c r="G3" i="2"/>
  <c r="E14" i="2"/>
  <c r="G55" i="2"/>
  <c r="F3" i="2"/>
  <c r="C9" i="2"/>
  <c r="F30" i="2"/>
  <c r="E30" i="1"/>
  <c r="C6" i="1"/>
  <c r="H2" i="1"/>
  <c r="G7" i="1"/>
  <c r="I25" i="2"/>
  <c r="H45" i="2"/>
  <c r="E4" i="1"/>
  <c r="G27" i="1"/>
  <c r="E13" i="2"/>
  <c r="C37" i="2"/>
  <c r="G23" i="1"/>
  <c r="E61" i="2"/>
  <c r="I29" i="2"/>
  <c r="F19" i="1"/>
  <c r="E47" i="2"/>
  <c r="H8" i="2"/>
  <c r="D9" i="1"/>
  <c r="H52" i="2"/>
  <c r="F28" i="2"/>
  <c r="C14" i="2"/>
  <c r="D44" i="2"/>
  <c r="C17" i="1"/>
  <c r="E34" i="1"/>
  <c r="C4" i="1"/>
  <c r="D2" i="1"/>
  <c r="E51" i="2"/>
  <c r="H20" i="2"/>
  <c r="G54" i="2"/>
  <c r="I21" i="2"/>
  <c r="H27" i="2"/>
  <c r="G19" i="2"/>
  <c r="C59" i="2"/>
  <c r="G58" i="2"/>
  <c r="D22" i="2"/>
  <c r="I57" i="2"/>
  <c r="E37" i="2"/>
  <c r="E48" i="2"/>
  <c r="C27" i="2"/>
  <c r="D61" i="2"/>
  <c r="F36" i="2"/>
  <c r="C34" i="2"/>
  <c r="I10" i="2"/>
  <c r="C40" i="2"/>
  <c r="G11" i="2"/>
  <c r="B1" i="2"/>
  <c r="G41" i="1"/>
  <c r="D26" i="2"/>
  <c r="C2" i="1"/>
  <c r="H36" i="1"/>
  <c r="G25" i="2"/>
  <c r="H24" i="1"/>
  <c r="F6" i="1"/>
  <c r="H40" i="2"/>
  <c r="C47" i="2"/>
  <c r="H5" i="2"/>
  <c r="H46" i="2"/>
  <c r="D46" i="2"/>
  <c r="H58" i="2"/>
  <c r="E10" i="1"/>
  <c r="H4" i="1"/>
  <c r="C17" i="2"/>
  <c r="D16" i="1"/>
  <c r="D26" i="1"/>
  <c r="I53" i="2"/>
  <c r="D14" i="1"/>
  <c r="G56" i="2"/>
  <c r="F22" i="2"/>
  <c r="G11" i="1"/>
  <c r="C26" i="1"/>
  <c r="F16" i="2"/>
  <c r="C1" i="2"/>
  <c r="H43" i="2"/>
  <c r="D31" i="1"/>
  <c r="H14" i="2"/>
  <c r="G49" i="2"/>
  <c r="C4" i="2"/>
  <c r="F33" i="1"/>
  <c r="I4" i="2"/>
  <c r="E58" i="2"/>
  <c r="D15" i="1"/>
  <c r="D37" i="2"/>
  <c r="F2" i="2"/>
  <c r="E42" i="2"/>
  <c r="G6" i="2"/>
  <c r="F12" i="1"/>
  <c r="G38" i="2"/>
  <c r="G5" i="1"/>
  <c r="G9" i="2"/>
  <c r="E39" i="2"/>
  <c r="E39" i="1"/>
  <c r="D7" i="1"/>
  <c r="E55" i="2"/>
  <c r="C49" i="2"/>
  <c r="H29" i="2"/>
  <c r="C8" i="1"/>
  <c r="D34" i="1"/>
  <c r="F40" i="2"/>
  <c r="H50" i="2"/>
  <c r="F9" i="1"/>
  <c r="D50" i="2"/>
  <c r="D34" i="2"/>
  <c r="H22" i="2"/>
  <c r="I23" i="2"/>
  <c r="H31" i="1"/>
  <c r="G22" i="2"/>
  <c r="I44" i="2"/>
  <c r="G32" i="1"/>
  <c r="I9" i="2"/>
  <c r="E36" i="1"/>
  <c r="F31" i="2"/>
  <c r="C50" i="2"/>
  <c r="H3" i="2"/>
  <c r="D33" i="1"/>
  <c r="E20" i="2"/>
  <c r="F39" i="2"/>
  <c r="C30" i="1"/>
  <c r="E30" i="2"/>
  <c r="C18" i="1"/>
  <c r="H38" i="2"/>
  <c r="E18" i="2"/>
  <c r="C12" i="2"/>
  <c r="G31" i="1"/>
  <c r="H36" i="2"/>
  <c r="E10" i="2"/>
  <c r="F5" i="2"/>
  <c r="D11" i="1"/>
  <c r="E41" i="1"/>
  <c r="E37" i="1"/>
  <c r="D55" i="2"/>
  <c r="G34" i="2"/>
  <c r="F24" i="1"/>
  <c r="D22" i="1"/>
  <c r="F37" i="1"/>
  <c r="C35" i="2"/>
  <c r="F37" i="2"/>
  <c r="D7" i="2"/>
  <c r="D27" i="2"/>
  <c r="G20" i="2"/>
  <c r="D8" i="2"/>
  <c r="C33" i="1"/>
  <c r="F10" i="1"/>
  <c r="C13" i="2"/>
  <c r="H54" i="2"/>
  <c r="G21" i="2"/>
  <c r="C9" i="1"/>
  <c r="D9" i="2"/>
  <c r="E57" i="2"/>
  <c r="H16" i="2"/>
  <c r="E28" i="2"/>
  <c r="D27" i="1"/>
  <c r="C18" i="2"/>
  <c r="D1" i="2"/>
  <c r="E28" i="1"/>
  <c r="F36" i="1"/>
  <c r="C53" i="2"/>
  <c r="B1" i="1"/>
  <c r="H37" i="2"/>
  <c r="D5" i="1"/>
  <c r="H33" i="2"/>
  <c r="D53" i="2"/>
  <c r="H4" i="2"/>
  <c r="F42" i="2"/>
  <c r="G33" i="1"/>
  <c r="E8" i="1"/>
  <c r="C27" i="1"/>
  <c r="D10" i="1"/>
  <c r="G17" i="2"/>
  <c r="F13" i="1"/>
  <c r="H14" i="1"/>
  <c r="H26" i="1"/>
  <c r="I24" i="2"/>
  <c r="D57" i="2"/>
  <c r="C30" i="2"/>
  <c r="D28" i="2"/>
  <c r="I20" i="2"/>
  <c r="I17" i="2"/>
  <c r="C42" i="2"/>
  <c r="D18" i="2"/>
  <c r="H15" i="2"/>
  <c r="F31" i="1"/>
  <c r="H21" i="2"/>
  <c r="F2" i="1"/>
  <c r="F43" i="2"/>
  <c r="D35" i="1"/>
  <c r="F27" i="1"/>
  <c r="E7" i="2"/>
  <c r="H34" i="2"/>
  <c r="C38" i="1"/>
  <c r="D24" i="1"/>
  <c r="D21" i="1"/>
  <c r="G1" i="1"/>
  <c r="C21" i="2"/>
  <c r="H18" i="2"/>
  <c r="H8" i="1"/>
  <c r="I59" i="2"/>
  <c r="D48" i="2"/>
  <c r="G35" i="2"/>
  <c r="H35" i="1"/>
  <c r="H31" i="2"/>
  <c r="F38" i="2"/>
  <c r="H61" i="2"/>
  <c r="F9" i="2"/>
  <c r="G50" i="2"/>
  <c r="D39" i="1"/>
  <c r="C5" i="2"/>
  <c r="D18" i="1"/>
  <c r="E15" i="1"/>
  <c r="D51" i="2"/>
  <c r="E22" i="1"/>
  <c r="I2" i="2"/>
  <c r="D5" i="2"/>
  <c r="I12" i="2"/>
  <c r="C61" i="2"/>
  <c r="E32" i="2"/>
  <c r="E31" i="1"/>
  <c r="G21" i="1"/>
  <c r="C56" i="2"/>
  <c r="C11" i="1"/>
  <c r="E45" i="2"/>
  <c r="H20" i="1"/>
  <c r="C58" i="2"/>
  <c r="I19" i="2"/>
  <c r="I47" i="2"/>
  <c r="C1" i="1"/>
  <c r="D39" i="2"/>
  <c r="F47" i="2"/>
  <c r="H25" i="1"/>
  <c r="H12" i="1"/>
  <c r="G20" i="1"/>
  <c r="H60" i="2"/>
  <c r="F46" i="2"/>
  <c r="E1" i="1"/>
  <c r="D36" i="2"/>
  <c r="H1" i="1"/>
  <c r="I55" i="2"/>
  <c r="H38" i="1"/>
  <c r="E35" i="2"/>
  <c r="C44" i="2"/>
  <c r="H7" i="2"/>
  <c r="D36" i="1"/>
  <c r="H15" i="1"/>
  <c r="E33" i="1"/>
  <c r="G3" i="1"/>
  <c r="D47" i="2"/>
  <c r="H28" i="2"/>
  <c r="H48" i="2"/>
  <c r="I18" i="2"/>
  <c r="H28" i="1"/>
  <c r="D29" i="2"/>
  <c r="G18" i="2"/>
  <c r="D33" i="2"/>
  <c r="F20" i="1"/>
  <c r="G5" i="2"/>
  <c r="I1" i="2"/>
  <c r="G34" i="1"/>
  <c r="E59" i="2"/>
  <c r="G39" i="2"/>
  <c r="G33" i="2"/>
  <c r="E40" i="1"/>
  <c r="D38" i="1"/>
  <c r="G18" i="1"/>
  <c r="E26" i="2"/>
  <c r="C25" i="1"/>
  <c r="C40" i="1"/>
  <c r="I32" i="2"/>
  <c r="E27" i="1"/>
  <c r="G40" i="2"/>
  <c r="D49" i="2"/>
  <c r="F44" i="2"/>
  <c r="C10" i="2"/>
  <c r="E56" i="2"/>
  <c r="G12" i="1"/>
  <c r="C23" i="2"/>
  <c r="D12" i="1"/>
  <c r="G27" i="2"/>
  <c r="I6" i="2"/>
  <c r="H30" i="2"/>
  <c r="G6" i="1"/>
  <c r="C26" i="2"/>
  <c r="D30" i="1"/>
  <c r="F29" i="2"/>
  <c r="G28" i="1"/>
  <c r="C11" i="2"/>
  <c r="G2" i="1"/>
  <c r="E25" i="1"/>
  <c r="H57" i="2"/>
  <c r="E38" i="2"/>
  <c r="H10" i="2"/>
  <c r="H29" i="1"/>
  <c r="C37" i="1"/>
  <c r="G16" i="1"/>
  <c r="I8" i="2"/>
  <c r="D40" i="2"/>
  <c r="E50" i="2"/>
  <c r="H21" i="1"/>
  <c r="H11" i="1"/>
  <c r="I51" i="2"/>
  <c r="G37" i="1"/>
  <c r="G4" i="1"/>
  <c r="H41" i="2"/>
  <c r="F34" i="1"/>
  <c r="F11" i="2"/>
  <c r="D4" i="2"/>
  <c r="G46" i="2"/>
  <c r="H30" i="1"/>
  <c r="E11" i="1"/>
  <c r="I37" i="2"/>
  <c r="D13" i="2"/>
  <c r="F35" i="1"/>
  <c r="F18" i="2"/>
  <c r="H53" i="2"/>
  <c r="G36" i="2"/>
  <c r="E16" i="2"/>
  <c r="F22" i="1"/>
  <c r="F3" i="1"/>
  <c r="E23" i="1"/>
  <c r="G48" i="2"/>
  <c r="D41" i="1"/>
  <c r="I16" i="2"/>
  <c r="F45" i="2"/>
  <c r="D28" i="1"/>
  <c r="F57" i="2"/>
  <c r="I58" i="2"/>
  <c r="E36" i="2"/>
  <c r="I50" i="2"/>
  <c r="F17" i="1"/>
  <c r="I45" i="2"/>
  <c r="D56" i="2"/>
  <c r="H40" i="1"/>
  <c r="D12" i="2"/>
  <c r="G37" i="2"/>
  <c r="G40" i="1"/>
  <c r="E13" i="1"/>
  <c r="D23" i="1"/>
  <c r="H16" i="1"/>
  <c r="D40" i="1"/>
  <c r="C55" i="2"/>
  <c r="D30" i="2"/>
  <c r="E29" i="2"/>
  <c r="G16" i="2"/>
  <c r="D21" i="2"/>
  <c r="F28" i="1"/>
  <c r="E18" i="1"/>
  <c r="E14" i="1"/>
  <c r="F59" i="2"/>
  <c r="G24" i="1"/>
  <c r="H32" i="1"/>
</calcChain>
</file>

<file path=xl/sharedStrings.xml><?xml version="1.0" encoding="utf-8"?>
<sst xmlns="http://schemas.openxmlformats.org/spreadsheetml/2006/main" count="744" uniqueCount="460">
  <si>
    <t>TYPE</t>
  </si>
  <si>
    <t>id</t>
  </si>
  <si>
    <t>Status</t>
  </si>
  <si>
    <t>Company Name</t>
  </si>
  <si>
    <t>Link</t>
  </si>
  <si>
    <t>Page containing report</t>
  </si>
  <si>
    <t>Category</t>
  </si>
  <si>
    <t xml:space="preserve">MDAX	1	Done		Aareal Bank AG	https://www.aareal-bank.com/en/	https://www.aareal-bank.com/en/responsibility/managing-sustainability	Tabular	Bank	0,42	059.857.221	1.071,44	Wiesbaden	ARL	a.icon.pdf
</t>
  </si>
  <si>
    <t>Not finished</t>
  </si>
  <si>
    <t>Aareal Bank AG</t>
  </si>
  <si>
    <t>https://www.aareal-bank.com/en/</t>
  </si>
  <si>
    <t>Bank</t>
  </si>
  <si>
    <t>MDAX</t>
  </si>
  <si>
    <t>Done</t>
  </si>
  <si>
    <t>Airbus SE</t>
  </si>
  <si>
    <t>https://www.airbus.com/en</t>
  </si>
  <si>
    <t>https://www.airbus.com/en/sustainability/reporting-and-performance-data/gri-reporting-performance-data</t>
  </si>
  <si>
    <t>Aerospace, Defence</t>
  </si>
  <si>
    <t>Leiden (Netherlands), Toulouse (France)</t>
  </si>
  <si>
    <t>AIR</t>
  </si>
  <si>
    <t>Aixtron SE</t>
  </si>
  <si>
    <t>https://www.aixtron.com/</t>
  </si>
  <si>
    <t>https://www.aixtron.com/en/sustainability/sustainability</t>
  </si>
  <si>
    <t>Semiconductor industry</t>
  </si>
  <si>
    <t>Herzogenrath</t>
  </si>
  <si>
    <t>AIXA</t>
  </si>
  <si>
    <t>Excluded</t>
  </si>
  <si>
    <t>Alstria Office REIT-AG</t>
  </si>
  <si>
    <t>https://alstria.de/</t>
  </si>
  <si>
    <t>https://alstria.com/sustainability/#reports</t>
  </si>
  <si>
    <t>Real estate</t>
  </si>
  <si>
    <t>Hamburg</t>
  </si>
  <si>
    <t>AOX</t>
  </si>
  <si>
    <t>Aroundtown S.A.</t>
  </si>
  <si>
    <t>https://www.aroundtown.de/</t>
  </si>
  <si>
    <t>https://www.aroundtown.de/sustainability/</t>
  </si>
  <si>
    <t>Luxemburg</t>
  </si>
  <si>
    <t>AT1</t>
  </si>
  <si>
    <t>Aurubis AG</t>
  </si>
  <si>
    <t>https://www.aurubis.com/en/</t>
  </si>
  <si>
    <t>https://www.aurubis.com/en/responsibility/reporting-kpis-and-esg-ratings</t>
  </si>
  <si>
    <t>Metals</t>
  </si>
  <si>
    <t>NDA</t>
  </si>
  <si>
    <t>Bechtle AG</t>
  </si>
  <si>
    <t>https://www.bechtle.com/de-en</t>
  </si>
  <si>
    <t>https://www.bechtle.com/de-en/about-bechtle/sustainability</t>
  </si>
  <si>
    <t>IT services</t>
  </si>
  <si>
    <t>Neckarsulm</t>
  </si>
  <si>
    <t>BC8</t>
  </si>
  <si>
    <t>Brenntag AG</t>
  </si>
  <si>
    <t>https://www.brenntag.com/de-de/</t>
  </si>
  <si>
    <t>https://corporate.brenntag.com/en/sustainability/downloads-and-contact/</t>
  </si>
  <si>
    <t>Chemical distribution</t>
  </si>
  <si>
    <t>Essen</t>
  </si>
  <si>
    <t>BNR</t>
  </si>
  <si>
    <t>Cancom SE</t>
  </si>
  <si>
    <t>https://www.cancom.com/</t>
  </si>
  <si>
    <t>https://sustainability.cancom.com/</t>
  </si>
  <si>
    <t>München</t>
  </si>
  <si>
    <t>COK</t>
  </si>
  <si>
    <t>Carl Zeiss Meditec AG</t>
  </si>
  <si>
    <t>https://www.zeiss.com/corporate/int/home.html</t>
  </si>
  <si>
    <t>https://www.zeiss.com/corporate/int/about-zeiss/sustainability.html</t>
  </si>
  <si>
    <t>Medical technology</t>
  </si>
  <si>
    <t>Jena</t>
  </si>
  <si>
    <t>AFX</t>
  </si>
  <si>
    <t>Commerzbank AG</t>
  </si>
  <si>
    <t>https://www.commerzbank.de/</t>
  </si>
  <si>
    <t>https://www.commerzbank.de/en/nachhaltigkeit/daten___fakten/publikationen/nichtfinanzielle_erklaerung/nfe_1.html</t>
  </si>
  <si>
    <t>Frankfurt</t>
  </si>
  <si>
    <t>CBK</t>
  </si>
  <si>
    <t>CompuGroup Medical SE</t>
  </si>
  <si>
    <t>https://www.cgm.com/deu_de</t>
  </si>
  <si>
    <t>https://www.cgm.com/corp_en/company/ir-en/publications/esg-en.html</t>
  </si>
  <si>
    <t>Software</t>
  </si>
  <si>
    <t>Koblenz</t>
  </si>
  <si>
    <t>COP</t>
  </si>
  <si>
    <t>CTS Eventim AG &amp; Co. KGaA</t>
  </si>
  <si>
    <t>https://corporate.eventim.de/en/</t>
  </si>
  <si>
    <t>https://corporate.eventim.de/en/company/responsibility/</t>
  </si>
  <si>
    <t>Leisure-events</t>
  </si>
  <si>
    <t>EVD</t>
  </si>
  <si>
    <t>Deutsche Lufthansa AG</t>
  </si>
  <si>
    <t>https://www.lufthansagroup.com/en</t>
  </si>
  <si>
    <t>Airlines</t>
  </si>
  <si>
    <t>Köln</t>
  </si>
  <si>
    <t>LHA</t>
  </si>
  <si>
    <t>Dürr AG</t>
  </si>
  <si>
    <t>https://www.durr.com/de/</t>
  </si>
  <si>
    <t>https://www.durr-group.com/en/sustainability/documents-ratings-certificates</t>
  </si>
  <si>
    <t>Plant and machinery construction</t>
  </si>
  <si>
    <t>Bietigheim-Bissingen</t>
  </si>
  <si>
    <t>DUE</t>
  </si>
  <si>
    <t>Evonik Industries AG</t>
  </si>
  <si>
    <t>https://corporate.evonik.com/de</t>
  </si>
  <si>
    <t>https://corporate.evonik.com/en/investor-relations/reports/cr-reports</t>
  </si>
  <si>
    <t>Chemistry</t>
  </si>
  <si>
    <t>EVK</t>
  </si>
  <si>
    <t>Reported</t>
  </si>
  <si>
    <t>Evotec SE</t>
  </si>
  <si>
    <t>https://www.evotec.com/en</t>
  </si>
  <si>
    <t>https://www.evotec.com/en/invest/financial-publications/financial-reports</t>
  </si>
  <si>
    <t>Biotechnology</t>
  </si>
  <si>
    <t>EVT</t>
  </si>
  <si>
    <t>Fraport AG</t>
  </si>
  <si>
    <t>https://www.fraport.com/de.html</t>
  </si>
  <si>
    <t>https://www.fraport.com/en/newsroom/publications.html</t>
  </si>
  <si>
    <t>Airport operator</t>
  </si>
  <si>
    <t>Frankfurt am Main</t>
  </si>
  <si>
    <t>FRA</t>
  </si>
  <si>
    <t>Freenet AG</t>
  </si>
  <si>
    <t>https://www.freenet-group.de/</t>
  </si>
  <si>
    <t>https://www.freenet.ag/en/investor-relations/publications/financial-reports/index.html</t>
  </si>
  <si>
    <t>Telecommunications</t>
  </si>
  <si>
    <t>Büdelsdorf</t>
  </si>
  <si>
    <t>FNTN</t>
  </si>
  <si>
    <t>Fuchs Petrolub SE</t>
  </si>
  <si>
    <t>https://www.fuchs.com/group/</t>
  </si>
  <si>
    <t>https://www.fuchs.com/group/technology-sustainability/sustainability/sustainability-reports/</t>
  </si>
  <si>
    <t>Mannheim</t>
  </si>
  <si>
    <t>FPE3</t>
  </si>
  <si>
    <t>GEA Group AG</t>
  </si>
  <si>
    <t>https://www.gea.com/en/index.jsp</t>
  </si>
  <si>
    <t>https://www.gea.com/en/company/sustainability/index.jsp</t>
  </si>
  <si>
    <t>Machinery</t>
  </si>
  <si>
    <t>Düsseldorf</t>
  </si>
  <si>
    <t>G1A</t>
  </si>
  <si>
    <t>Gerresheimer AG</t>
  </si>
  <si>
    <t>https://www.gerresheimer.com/en/home</t>
  </si>
  <si>
    <t>https://www.gerresheimer.com/en/sustainability/downloads</t>
  </si>
  <si>
    <t>Packaging</t>
  </si>
  <si>
    <t>GXI</t>
  </si>
  <si>
    <t>Grand City Properties S.A.</t>
  </si>
  <si>
    <t>https://www.grandcityproperties.com/home/</t>
  </si>
  <si>
    <t>https://www.grandcityproperties.com/sustainability/report-archive/</t>
  </si>
  <si>
    <t>Luxemburg (Luxemburg)</t>
  </si>
  <si>
    <t>GYC</t>
  </si>
  <si>
    <t>Grenke AG</t>
  </si>
  <si>
    <t>https://www.grenke.de/</t>
  </si>
  <si>
    <t>https://www.grenke.com/investor-relations/reports-and-presentations/</t>
  </si>
  <si>
    <t>Finance</t>
  </si>
  <si>
    <t>Baden-Baden</t>
  </si>
  <si>
    <t>GLJ</t>
  </si>
  <si>
    <t>Hannover RE</t>
  </si>
  <si>
    <t>https://www.hannover-rueck.de/</t>
  </si>
  <si>
    <t>https://www.hannover-re.com/366758/media-centre</t>
  </si>
  <si>
    <t>Reinsurance</t>
  </si>
  <si>
    <t>Hannover</t>
  </si>
  <si>
    <t>HNR1</t>
  </si>
  <si>
    <t>HELLA GmbH &amp; Co. KGaA</t>
  </si>
  <si>
    <t>https://www.hella.com/hella-com/de/index.html</t>
  </si>
  <si>
    <t>https://www.hella.com/hella-com/en/Annual-report-and-consolidated-financial-statement-8740.html</t>
  </si>
  <si>
    <t>Automotive</t>
  </si>
  <si>
    <t>Lippstadt</t>
  </si>
  <si>
    <t>HLE</t>
  </si>
  <si>
    <t>HelloFresh SE</t>
  </si>
  <si>
    <t>https://www.hellofresh.de/</t>
  </si>
  <si>
    <t>https://ir.hellofreshgroup.com/websites/hellofresh/English/2000/publications.html#publication-all</t>
  </si>
  <si>
    <t>Meal kit</t>
  </si>
  <si>
    <t>Berlin</t>
  </si>
  <si>
    <t>HFG</t>
  </si>
  <si>
    <t>Hochtief AG</t>
  </si>
  <si>
    <t>https://www.hochtief.de/</t>
  </si>
  <si>
    <t>https://www.hochtief.com/sustainability/key-figures</t>
  </si>
  <si>
    <t>Construction</t>
  </si>
  <si>
    <t>HOT</t>
  </si>
  <si>
    <t>Hugo Boss AG</t>
  </si>
  <si>
    <t>https://group.hugoboss.com/de</t>
  </si>
  <si>
    <t>https://group.hugoboss.com/en/responsibility/news-and-downloads/sustainability-reports</t>
  </si>
  <si>
    <t>Clothing, Accessories</t>
  </si>
  <si>
    <t>Metzingen</t>
  </si>
  <si>
    <t>BOSS</t>
  </si>
  <si>
    <t>K+S AG</t>
  </si>
  <si>
    <t>https://www.kpluss.com/en-us/</t>
  </si>
  <si>
    <t>https://www.kpluss.com/en-us/press/media-library/publications/</t>
  </si>
  <si>
    <t>Mining (fertilizer and salt)</t>
  </si>
  <si>
    <t>Kassel</t>
  </si>
  <si>
    <t>SDF</t>
  </si>
  <si>
    <t>Kion Group AG</t>
  </si>
  <si>
    <t>https://www.kiongroup.com/en/</t>
  </si>
  <si>
    <t>https://www.kiongroup.com/en/About-us/Sustainability/</t>
  </si>
  <si>
    <t>Handling equipment</t>
  </si>
  <si>
    <t>KGX</t>
  </si>
  <si>
    <t>Knorr-Bremse AG</t>
  </si>
  <si>
    <t>https://www.knorr-bremse.com/en/</t>
  </si>
  <si>
    <t>https://ir.knorr-bremse.com/websites/Knorrbremse_ir/English/3000/financial-publications-_-presentations.html</t>
  </si>
  <si>
    <t>Manufacturing</t>
  </si>
  <si>
    <t>KBX</t>
  </si>
  <si>
    <t>Lanxess AG</t>
  </si>
  <si>
    <t>https://lanxess.com/de-DE</t>
  </si>
  <si>
    <t>https://lanxess.com/en/Investors/Reporting</t>
  </si>
  <si>
    <t>LXS</t>
  </si>
  <si>
    <t>LEG Immobilien AG</t>
  </si>
  <si>
    <t>https://www.leg-wohnen.de/</t>
  </si>
  <si>
    <t>https://www.leg-wohnen.de/unternehmen/nachhaltigkeit/nachhaltigkeitsberichte</t>
  </si>
  <si>
    <t>LEG</t>
  </si>
  <si>
    <t>Metro AG</t>
  </si>
  <si>
    <t>https://www.metroag.de/en</t>
  </si>
  <si>
    <t>https://responsibility.metroag.de/publications#down_q=Sustainability%20Report</t>
  </si>
  <si>
    <t>Wholesale</t>
  </si>
  <si>
    <t>B4B</t>
  </si>
  <si>
    <t>Morphosys AG</t>
  </si>
  <si>
    <t>https://www.morphosys.com/en/home</t>
  </si>
  <si>
    <t>https://www.morphosys.com/us/about-us/responsibility</t>
  </si>
  <si>
    <t>Martinsried</t>
  </si>
  <si>
    <t>MOR</t>
  </si>
  <si>
    <t>Nemetschek SE</t>
  </si>
  <si>
    <t>https://www.nemetschek.com/en</t>
  </si>
  <si>
    <t>https://www.nemetschek.com/en/responsibility</t>
  </si>
  <si>
    <t>NEM</t>
  </si>
  <si>
    <t>OSRAM Licht AG</t>
  </si>
  <si>
    <t>https://www.osram-group.de/</t>
  </si>
  <si>
    <t>https://ams-osram.com/about-us/sustainability/sustainability-reporting</t>
  </si>
  <si>
    <t>Lighting</t>
  </si>
  <si>
    <t>OSR</t>
  </si>
  <si>
    <t>ProSiebenSat.1 Media SE</t>
  </si>
  <si>
    <t>https://www.prosiebensat1.com/</t>
  </si>
  <si>
    <t>https://www.prosiebensat1.com/en/sustainability/information/publications</t>
  </si>
  <si>
    <t>Media</t>
  </si>
  <si>
    <t>Unterföhring</t>
  </si>
  <si>
    <t>PSM</t>
  </si>
  <si>
    <t>Puma SE</t>
  </si>
  <si>
    <t>https://about.puma.com/en/</t>
  </si>
  <si>
    <t>https://about.puma.com/en/sustainability/reporting</t>
  </si>
  <si>
    <t>Sports equipment</t>
  </si>
  <si>
    <t>Herzogenaurach</t>
  </si>
  <si>
    <t>PUM</t>
  </si>
  <si>
    <t>Qiagen N.V.</t>
  </si>
  <si>
    <t>https://www.qiagen.com/us</t>
  </si>
  <si>
    <t>https://www.qiagen.com/us/sustainability</t>
  </si>
  <si>
    <t>Venlo (Netherlands)</t>
  </si>
  <si>
    <t>QGEN</t>
  </si>
  <si>
    <t>Rational AG</t>
  </si>
  <si>
    <t>https://www.rational-online.com/de_de/home/</t>
  </si>
  <si>
    <t>https://www.rational-online.com/en_xx/company/investor-relations/publications/#882130</t>
  </si>
  <si>
    <t>Landsberg am Lech</t>
  </si>
  <si>
    <t>RAA</t>
  </si>
  <si>
    <t>Rheinmetall AG</t>
  </si>
  <si>
    <t>https://www.rheinmetall.com/en/rheinmetall_ag/home.php</t>
  </si>
  <si>
    <t>https://ir.rheinmetall.com/websites/rheinmetall/English/3031/annual-reports.html</t>
  </si>
  <si>
    <t>Defence</t>
  </si>
  <si>
    <t>RHM</t>
  </si>
  <si>
    <t>Rocket Internet SE</t>
  </si>
  <si>
    <t>https://www.rocket-internet.com/</t>
  </si>
  <si>
    <t>https://www.rocket-internet.com/investors/leadership-governance</t>
  </si>
  <si>
    <t>Venture capital</t>
  </si>
  <si>
    <t>RKET</t>
  </si>
  <si>
    <t>RTL Group SA</t>
  </si>
  <si>
    <t>https://company.rtl.com/en/</t>
  </si>
  <si>
    <t>https://company.rtl.com/en/responsibility/cr-policies-and-guidelines/</t>
  </si>
  <si>
    <t>RRTL</t>
  </si>
  <si>
    <t>Sartorius AG</t>
  </si>
  <si>
    <t>https://www.sartorius.com/en/company</t>
  </si>
  <si>
    <t>https://www.sartorius.com/en/company/investor-relations/sartorius-ag-investor-relations/news-financial-publications</t>
  </si>
  <si>
    <t>Pharmaceutical and laboratory equipment</t>
  </si>
  <si>
    <t>Göttingen</t>
  </si>
  <si>
    <t>SRT</t>
  </si>
  <si>
    <t>Scout24 AG</t>
  </si>
  <si>
    <t>https://www.scout24.com/en/</t>
  </si>
  <si>
    <t>https://www.scout24.com/en/sustainability</t>
  </si>
  <si>
    <t>Online-market</t>
  </si>
  <si>
    <t>G24</t>
  </si>
  <si>
    <t>Siemens Healthineers AG</t>
  </si>
  <si>
    <t>https://www.siemens-healthineers.com/</t>
  </si>
  <si>
    <t>https://www.siemens-healthineers.com/investor-relations/presentations-financial-publications</t>
  </si>
  <si>
    <t>Erlangen</t>
  </si>
  <si>
    <t>SHL</t>
  </si>
  <si>
    <t>Siltronic AG</t>
  </si>
  <si>
    <t>https://www.siltronic.com/en/index.html</t>
  </si>
  <si>
    <t>https://www.siltronic.com/en/our-company/sustainability/translate-to-english-archiv.html</t>
  </si>
  <si>
    <t>WAF</t>
  </si>
  <si>
    <t>Software AG</t>
  </si>
  <si>
    <t>https://www.softwareag.com/en_corporate.html</t>
  </si>
  <si>
    <t>https://investors.softwareag.com/en_en/financial-results--news--events/result-center/annual-reports-sow.html</t>
  </si>
  <si>
    <t>Darmstadt</t>
  </si>
  <si>
    <t>SOW</t>
  </si>
  <si>
    <t>Ströer SE &amp; Co. KGaA</t>
  </si>
  <si>
    <t>https://www.stroeer.de/</t>
  </si>
  <si>
    <t>https://ir.stroeer.com/investor-relations/financial-reports/</t>
  </si>
  <si>
    <t>Media, out-of-home advertising</t>
  </si>
  <si>
    <t>SAX</t>
  </si>
  <si>
    <t>Symrise AG</t>
  </si>
  <si>
    <t>https://www.symrise.com/</t>
  </si>
  <si>
    <t>https://www.symrise.com/sustainability/reports-policies-standards-audits/#our-corporate-reports</t>
  </si>
  <si>
    <t>Holzminden</t>
  </si>
  <si>
    <t>SY1</t>
  </si>
  <si>
    <t>TAG Immobilien AG</t>
  </si>
  <si>
    <t>https://www.tag-ag.com/</t>
  </si>
  <si>
    <t>https://www.tag-ag.com/nachhaltigkeit/nachhaltigkeitsberichte</t>
  </si>
  <si>
    <t>TEG</t>
  </si>
  <si>
    <t>TeamViewer AG</t>
  </si>
  <si>
    <t>https://www.teamviewer.com/</t>
  </si>
  <si>
    <t>https://www.teamviewer.com/en/company/sustainability-csr/</t>
  </si>
  <si>
    <t>Göppingen</t>
  </si>
  <si>
    <t>TMV</t>
  </si>
  <si>
    <t>Telefónica Deutschland Holding AG</t>
  </si>
  <si>
    <t>https://www.telefonica.de/</t>
  </si>
  <si>
    <t>https://www.telefonica.de/investor-relations-en/publications/financial-publications.html</t>
  </si>
  <si>
    <t>O2D</t>
  </si>
  <si>
    <t>Thyssenkrupp AG</t>
  </si>
  <si>
    <t>https://www.thyssenkrupp.com/</t>
  </si>
  <si>
    <t>https://www.thyssenkrupp.com/en/investors/reporting-and-publications/archiv</t>
  </si>
  <si>
    <t>Conglomerate</t>
  </si>
  <si>
    <t>Essen and Duisburg</t>
  </si>
  <si>
    <t>TKA</t>
  </si>
  <si>
    <t>Uniper SE</t>
  </si>
  <si>
    <t>https://www.uniper.energy/</t>
  </si>
  <si>
    <t>https://www.uniper.energy/investors/reports-and-presentations</t>
  </si>
  <si>
    <t>Electric utility</t>
  </si>
  <si>
    <t>UN01</t>
  </si>
  <si>
    <t>United Internet AG</t>
  </si>
  <si>
    <t>https://www.united-internet.de/en/</t>
  </si>
  <si>
    <t>https://www.united-internet.de/en/investor-relations/publications/reports.html</t>
  </si>
  <si>
    <t>Montabaur</t>
  </si>
  <si>
    <t>UTDI</t>
  </si>
  <si>
    <t>Varta AG</t>
  </si>
  <si>
    <t>https://www.varta-ag.com/de/</t>
  </si>
  <si>
    <t>https://www.varta-ag.com/en/investoren/publications</t>
  </si>
  <si>
    <t>Electrical equipment</t>
  </si>
  <si>
    <t>Ellwangen</t>
  </si>
  <si>
    <t>VAR1</t>
  </si>
  <si>
    <t>Zalando SE</t>
  </si>
  <si>
    <t>https://en.zalando.de/?_rfl=de</t>
  </si>
  <si>
    <t>https://corporate.zalando.com/en/our-impact/downloads-and-contact</t>
  </si>
  <si>
    <t>Online retailing</t>
  </si>
  <si>
    <t>ZAL</t>
  </si>
  <si>
    <t>DAX</t>
  </si>
  <si>
    <t>Adidas</t>
  </si>
  <si>
    <t>https://www.adidas.com/us</t>
  </si>
  <si>
    <t>https://report.adidas-group.com/2020/en/servicepages/downloads.html</t>
  </si>
  <si>
    <t>Textile</t>
  </si>
  <si>
    <t>Airbus</t>
  </si>
  <si>
    <t>https://www.airbus.com/en/investors/financial-results-annual-reports</t>
  </si>
  <si>
    <t>Aerospace</t>
  </si>
  <si>
    <t>Allianz</t>
  </si>
  <si>
    <t>https://www.allianz.de/</t>
  </si>
  <si>
    <t>Financial Services</t>
  </si>
  <si>
    <t>BASF</t>
  </si>
  <si>
    <t>https://www.basf.com/global/en.html</t>
  </si>
  <si>
    <t>https://www.basf.com/global/en/investors/calendar-and-publications/reporting.html#accordion_v2-73b016bc0c-item-22eca4e45d</t>
  </si>
  <si>
    <t>Basic Materials</t>
  </si>
  <si>
    <t>Bayer</t>
  </si>
  <si>
    <t>https://agrar.bayer.de/</t>
  </si>
  <si>
    <t>https://www.bayer.com/en/sustainability</t>
  </si>
  <si>
    <t>Healthcare</t>
  </si>
  <si>
    <t>BMW</t>
  </si>
  <si>
    <t>https://www.bmwgroup.com/de/</t>
  </si>
  <si>
    <t>https://www.bmwgroup.com/en/download-centre.html?area=responsibility#acedown-676185594</t>
  </si>
  <si>
    <t>Automobile</t>
  </si>
  <si>
    <t>Brenntag</t>
  </si>
  <si>
    <t>https://www.brenntag.com/</t>
  </si>
  <si>
    <t>Distribution</t>
  </si>
  <si>
    <t>Continental</t>
  </si>
  <si>
    <t>https://www.continental.com/</t>
  </si>
  <si>
    <t>Covestro</t>
  </si>
  <si>
    <t>https://www.covestro.com/de</t>
  </si>
  <si>
    <t>Daimler Truck</t>
  </si>
  <si>
    <t>https://www.daimlertruck.com/en/</t>
  </si>
  <si>
    <t>Delivery Hero</t>
  </si>
  <si>
    <t>https://www.deliveryhero.com/</t>
  </si>
  <si>
    <t>https://ir.deliveryhero.com/websites/delivery/English/4050/non-financial-report.html</t>
  </si>
  <si>
    <t>Online Food Ordering</t>
  </si>
  <si>
    <t>Deutsche Bank</t>
  </si>
  <si>
    <t>https://www.db.com/</t>
  </si>
  <si>
    <t>Deutsche Börse</t>
  </si>
  <si>
    <t>https://www.deutsche-boerse.com/</t>
  </si>
  <si>
    <t>Deutsche Post</t>
  </si>
  <si>
    <t>https://www.dpdhl.com/en</t>
  </si>
  <si>
    <t>https://www.dpdhl.com/en/investors/esg.html</t>
  </si>
  <si>
    <t>Industrials</t>
  </si>
  <si>
    <t>Deutsche Telekom</t>
  </si>
  <si>
    <t>https://www.telekom.com/en</t>
  </si>
  <si>
    <t>Communication Services</t>
  </si>
  <si>
    <t>E.ON</t>
  </si>
  <si>
    <t>https://www.eon.com/en</t>
  </si>
  <si>
    <t>Utilities</t>
  </si>
  <si>
    <t>Fresenius</t>
  </si>
  <si>
    <t>https://annualreport.fresenius.com/</t>
  </si>
  <si>
    <t>https://www.freseniusmedicalcare.com/en/sustainability</t>
  </si>
  <si>
    <t>Fresenius Medical Care</t>
  </si>
  <si>
    <t>https://www.freseniusmedicalcare.com/en</t>
  </si>
  <si>
    <t>Hannover Re</t>
  </si>
  <si>
    <t>https://www.hannover-re.com/</t>
  </si>
  <si>
    <t>Insurance</t>
  </si>
  <si>
    <t>HeidelbergCement</t>
  </si>
  <si>
    <t>https://www.heidelbergcement.com/en</t>
  </si>
  <si>
    <t>HelloFresh</t>
  </si>
  <si>
    <t>https://www.hellofreshgroup.com/en/sustainability/</t>
  </si>
  <si>
    <t>Henkel</t>
  </si>
  <si>
    <t>https://www.henkel.com/</t>
  </si>
  <si>
    <t>Consumer Goods</t>
  </si>
  <si>
    <t>Infineon Technologies</t>
  </si>
  <si>
    <t>https://www.infineon.com/</t>
  </si>
  <si>
    <t>https://www.infineon.com/cms/en/about-infineon/sustainability/csr-reporting/</t>
  </si>
  <si>
    <t>Technology</t>
  </si>
  <si>
    <t>Linde</t>
  </si>
  <si>
    <t>https://www.linde.com/</t>
  </si>
  <si>
    <t>Mercedes-Benz Group</t>
  </si>
  <si>
    <t>https://group.mercedes-benz.com/en/</t>
  </si>
  <si>
    <t>https://sustainabilityreport.mercedes-benz.com/2021/servicepages/downloads.html</t>
  </si>
  <si>
    <t>Merck</t>
  </si>
  <si>
    <t>https://www.merck.com/</t>
  </si>
  <si>
    <t>https://www.merckgroup.com/en/sustainability.html</t>
  </si>
  <si>
    <t>MTU Aero Engines</t>
  </si>
  <si>
    <t>https://www.mtu.de/</t>
  </si>
  <si>
    <t>https://sustainability.mtu.de/en/downloads/</t>
  </si>
  <si>
    <t>Munich Re</t>
  </si>
  <si>
    <t>https://www.munichre.com/en.html</t>
  </si>
  <si>
    <t>Porsche</t>
  </si>
  <si>
    <t>https://www.porsche.com/germany/</t>
  </si>
  <si>
    <t>https://newsroom.porsche.com/en/company/annual-sustainability-report-2021/download-center.html</t>
  </si>
  <si>
    <t>Puma</t>
  </si>
  <si>
    <t>Qiagen</t>
  </si>
  <si>
    <t>Chemicals</t>
  </si>
  <si>
    <t>RWE</t>
  </si>
  <si>
    <t>https://www.rwe.com/</t>
  </si>
  <si>
    <t>https://www.rwe.com/en/responsibility-and-sustainability</t>
  </si>
  <si>
    <t>SAP</t>
  </si>
  <si>
    <t>https://www.sap.com/germany/index.html</t>
  </si>
  <si>
    <t>https://www.sap.com/integrated-reports/2021/en.html</t>
  </si>
  <si>
    <t>Sartorius</t>
  </si>
  <si>
    <t>https://www.sartorius.com/en/company/corporate-responsibility</t>
  </si>
  <si>
    <t>Siemens</t>
  </si>
  <si>
    <t>https://www.siemens.com/global/en.html</t>
  </si>
  <si>
    <t>https://new.siemens.com/global/en/company/sustainability/sustainability-figures.html</t>
  </si>
  <si>
    <t>Siemens Healthineers</t>
  </si>
  <si>
    <t>https://www.siemens-healthineers.com/company/sustainability</t>
  </si>
  <si>
    <t>Symrise</t>
  </si>
  <si>
    <t>Volkswagen Group</t>
  </si>
  <si>
    <t>https://www.volkswagenag.com/</t>
  </si>
  <si>
    <t>Vonovia</t>
  </si>
  <si>
    <t>https://www.vonovia.de/en</t>
  </si>
  <si>
    <t>https://report.vonovia.de/2021/nachhaltigkeitsbericht/en/downloads/</t>
  </si>
  <si>
    <t>Real Estate</t>
  </si>
  <si>
    <t>Zalando</t>
  </si>
  <si>
    <t>E-Commerce</t>
  </si>
  <si>
    <t>Number of
Shares</t>
  </si>
  <si>
    <t>Free-float-
in Mio. €</t>
  </si>
  <si>
    <t>https://www.volkswagenag.com/en/sustainability/reporting-and-esg-performance/sustainability-report.html</t>
  </si>
  <si>
    <t>https://www.munichre.com/de/unternehmen/sustainability/download-center.html</t>
  </si>
  <si>
    <t>https://www.linde.com/sustainable-development/reporting-center</t>
  </si>
  <si>
    <t>https://www.henkel.com/sustainability/sustainability-report</t>
  </si>
  <si>
    <t>https://www.heidelbergmaterials.com/en/sustainability-report</t>
  </si>
  <si>
    <t>https://sustainabilityreport.eon.com/en.html</t>
  </si>
  <si>
    <t>https://www.deutsche-boerse.com/dbg-en/investor-relations/financial-reports/annual-reports/annual-report-2021</t>
  </si>
  <si>
    <t>https://www.covestro.com/en/investors/reports-and-presentations/</t>
  </si>
  <si>
    <t>https://www.continental.com/en/sustainability/reporting-principles/</t>
  </si>
  <si>
    <t>https://corporate.brenntag.com/en/investor-relations/publications-and-events/financial-publications/</t>
  </si>
  <si>
    <t>https://www.allianz.com/en/investor_relations/results-reports/sustainability.html</t>
  </si>
  <si>
    <t>https://www.db.com/what-we-do/responsibility/reports/reports</t>
  </si>
  <si>
    <t>https://www.daimlertruck.com/en/sustainability/reportings</t>
  </si>
  <si>
    <t>https://www.lufthansagroup.com/en/responsibility/reports.html</t>
  </si>
  <si>
    <t>https://www.cr-report.telekom.com/2021/download-center</t>
  </si>
  <si>
    <t>https://annualreport.fresenius.com/2021/downloads/</t>
  </si>
  <si>
    <t>https://www.hannover-re.com/171542/strategy-amp-governance</t>
  </si>
  <si>
    <t>JavaScript</t>
  </si>
  <si>
    <t>n</t>
  </si>
  <si>
    <t>y</t>
  </si>
  <si>
    <t xml:space="preserve">n </t>
  </si>
  <si>
    <t>https://www.aareal-bank.com/en/downloadcenter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</si>
</sst>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0" fillId="0" borderId="0" xfId="0" applyAlignment="1"/>
    <xf numFmtId="0" fontId="3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/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7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unichre.com/de/unternehmen/sustainability/download-center.html" TargetMode="External"/><Relationship Id="rId18" Type="http://schemas.openxmlformats.org/officeDocument/2006/relationships/hyperlink" Target="https://www.infineon.com/cms/en/about-infineon/sustainability/csr-reporting/" TargetMode="External"/><Relationship Id="rId26" Type="http://schemas.openxmlformats.org/officeDocument/2006/relationships/hyperlink" Target="https://sustainabilityreport.eon.com/en.html" TargetMode="External"/><Relationship Id="rId39" Type="http://schemas.openxmlformats.org/officeDocument/2006/relationships/hyperlink" Target="https://www.hochtief.com/sustainability/key-figures" TargetMode="External"/><Relationship Id="rId21" Type="http://schemas.openxmlformats.org/officeDocument/2006/relationships/hyperlink" Target="https://www.heidelbergmaterials.com/en/sustainability-report" TargetMode="External"/><Relationship Id="rId34" Type="http://schemas.openxmlformats.org/officeDocument/2006/relationships/hyperlink" Target="https://www.covestro.com/en/investors/reports-and-presentations/" TargetMode="External"/><Relationship Id="rId42" Type="http://schemas.openxmlformats.org/officeDocument/2006/relationships/hyperlink" Target="https://www.lufthansagroup.com/en/responsibility/reports.html" TargetMode="External"/><Relationship Id="rId47" Type="http://schemas.openxmlformats.org/officeDocument/2006/relationships/hyperlink" Target="https://www.aroundtown.de/sustainability/" TargetMode="External"/><Relationship Id="rId50" Type="http://schemas.openxmlformats.org/officeDocument/2006/relationships/hyperlink" Target="https://www.zeiss.com/corporate/int/about-zeiss/sustainability.html" TargetMode="External"/><Relationship Id="rId7" Type="http://schemas.openxmlformats.org/officeDocument/2006/relationships/hyperlink" Target="https://new.siemens.com/global/en/company/sustainability/sustainability-figures.html" TargetMode="External"/><Relationship Id="rId2" Type="http://schemas.openxmlformats.org/officeDocument/2006/relationships/hyperlink" Target="https://corporate.zalando.com/en/our-impact/downloads-and-contact" TargetMode="External"/><Relationship Id="rId16" Type="http://schemas.openxmlformats.org/officeDocument/2006/relationships/hyperlink" Target="https://sustainabilityreport.mercedes-benz.com/2021/servicepages/downloads.html" TargetMode="External"/><Relationship Id="rId29" Type="http://schemas.openxmlformats.org/officeDocument/2006/relationships/hyperlink" Target="https://www.deutsche-boerse.com/dbg-en/investor-relations/financial-reports/annual-reports/annual-report-2021" TargetMode="External"/><Relationship Id="rId11" Type="http://schemas.openxmlformats.org/officeDocument/2006/relationships/hyperlink" Target="https://www.qiagen.com/us/sustainability" TargetMode="External"/><Relationship Id="rId24" Type="http://schemas.openxmlformats.org/officeDocument/2006/relationships/hyperlink" Target="https://annualreport.fresenius.com/2021/downloads/" TargetMode="External"/><Relationship Id="rId32" Type="http://schemas.openxmlformats.org/officeDocument/2006/relationships/hyperlink" Target="https://www.daimlertruck.com/en/sustainability/reportings" TargetMode="External"/><Relationship Id="rId37" Type="http://schemas.openxmlformats.org/officeDocument/2006/relationships/hyperlink" Target="https://www.bayer.com/en/sustainability" TargetMode="External"/><Relationship Id="rId40" Type="http://schemas.openxmlformats.org/officeDocument/2006/relationships/hyperlink" Target="https://www.gea.com/en/company/sustainability/index.jsp" TargetMode="External"/><Relationship Id="rId45" Type="http://schemas.openxmlformats.org/officeDocument/2006/relationships/hyperlink" Target="https://www.aixtron.com/en/sustainability/sustainability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siemens-healthineers.com/company/sustainability" TargetMode="External"/><Relationship Id="rId10" Type="http://schemas.openxmlformats.org/officeDocument/2006/relationships/hyperlink" Target="https://about.puma.com/en/sustainability/reporting" TargetMode="External"/><Relationship Id="rId19" Type="http://schemas.openxmlformats.org/officeDocument/2006/relationships/hyperlink" Target="https://www.henkel.com/sustainability/sustainability-report" TargetMode="External"/><Relationship Id="rId31" Type="http://schemas.openxmlformats.org/officeDocument/2006/relationships/hyperlink" Target="https://ir.deliveryhero.com/websites/delivery/English/4050/non-financial-report.html" TargetMode="External"/><Relationship Id="rId44" Type="http://schemas.openxmlformats.org/officeDocument/2006/relationships/hyperlink" Target="https://www.airbus.com/en/sustainability/reporting-and-performance-data/gri-reporting-performance-data" TargetMode="External"/><Relationship Id="rId52" Type="http://schemas.openxmlformats.org/officeDocument/2006/relationships/hyperlink" Target="https://www.grenke.com/investor-relations/reports-and-presentations/" TargetMode="External"/><Relationship Id="rId4" Type="http://schemas.openxmlformats.org/officeDocument/2006/relationships/hyperlink" Target="https://www.symrise.com/sustainability/reports-policies-standards-audits/" TargetMode="External"/><Relationship Id="rId9" Type="http://schemas.openxmlformats.org/officeDocument/2006/relationships/hyperlink" Target="https://www.rwe.com/en/responsibility-and-sustainability" TargetMode="External"/><Relationship Id="rId14" Type="http://schemas.openxmlformats.org/officeDocument/2006/relationships/hyperlink" Target="https://sustainability.mtu.de/en/downloads/" TargetMode="External"/><Relationship Id="rId22" Type="http://schemas.openxmlformats.org/officeDocument/2006/relationships/hyperlink" Target="https://www.hannover-re.com/171542/strategy-amp-governance" TargetMode="External"/><Relationship Id="rId27" Type="http://schemas.openxmlformats.org/officeDocument/2006/relationships/hyperlink" Target="https://www.cr-report.telekom.com/2021/download-center" TargetMode="External"/><Relationship Id="rId30" Type="http://schemas.openxmlformats.org/officeDocument/2006/relationships/hyperlink" Target="https://www.db.com/what-we-do/responsibility/reports/reports" TargetMode="External"/><Relationship Id="rId35" Type="http://schemas.openxmlformats.org/officeDocument/2006/relationships/hyperlink" Target="https://www.continental.com/en/sustainability/reporting-principles/" TargetMode="External"/><Relationship Id="rId43" Type="http://schemas.openxmlformats.org/officeDocument/2006/relationships/hyperlink" Target="https://www.aareal-bank.com/en/downloadcenter" TargetMode="External"/><Relationship Id="rId48" Type="http://schemas.openxmlformats.org/officeDocument/2006/relationships/hyperlink" Target="https://sustainability.cancom.com/" TargetMode="External"/><Relationship Id="rId8" Type="http://schemas.openxmlformats.org/officeDocument/2006/relationships/hyperlink" Target="https://www.sap.com/integrated-reports/2021/en.html" TargetMode="External"/><Relationship Id="rId51" Type="http://schemas.openxmlformats.org/officeDocument/2006/relationships/hyperlink" Target="https://www.evotec.com/en/invest/financial-publications/financial-reports" TargetMode="External"/><Relationship Id="rId3" Type="http://schemas.openxmlformats.org/officeDocument/2006/relationships/hyperlink" Target="https://www.volkswagenag.com/en/sustainability/reporting-and-esg-performance/sustainability-report.html" TargetMode="External"/><Relationship Id="rId12" Type="http://schemas.openxmlformats.org/officeDocument/2006/relationships/hyperlink" Target="https://newsroom.porsche.com/en/company/annual-sustainability-report-2021/download-center.html" TargetMode="External"/><Relationship Id="rId17" Type="http://schemas.openxmlformats.org/officeDocument/2006/relationships/hyperlink" Target="https://www.linde.com/sustainable-development/reporting-center" TargetMode="External"/><Relationship Id="rId25" Type="http://schemas.openxmlformats.org/officeDocument/2006/relationships/hyperlink" Target="https://annualreport.fresenius.com/" TargetMode="External"/><Relationship Id="rId33" Type="http://schemas.openxmlformats.org/officeDocument/2006/relationships/hyperlink" Target="https://www.rational-online.com/en_xx/company/investor-relations/publications/" TargetMode="External"/><Relationship Id="rId38" Type="http://schemas.openxmlformats.org/officeDocument/2006/relationships/hyperlink" Target="https://www.airbus.com/en/investors/financial-results-annual-reports" TargetMode="External"/><Relationship Id="rId46" Type="http://schemas.openxmlformats.org/officeDocument/2006/relationships/hyperlink" Target="https://alstria.com/sustainability/" TargetMode="External"/><Relationship Id="rId20" Type="http://schemas.openxmlformats.org/officeDocument/2006/relationships/hyperlink" Target="https://www.hellofreshgroup.com/en/sustainability/" TargetMode="External"/><Relationship Id="rId41" Type="http://schemas.openxmlformats.org/officeDocument/2006/relationships/hyperlink" Target="https://www.allianz.com/en/investor_relations/results-reports/sustainability.html" TargetMode="External"/><Relationship Id="rId1" Type="http://schemas.openxmlformats.org/officeDocument/2006/relationships/hyperlink" Target="https://report.vonovia.de/2021/nachhaltigkeitsbericht/en/downloads/" TargetMode="External"/><Relationship Id="rId6" Type="http://schemas.openxmlformats.org/officeDocument/2006/relationships/hyperlink" Target="https://www.sartorius.com/en/company/corporate-responsibility" TargetMode="External"/><Relationship Id="rId15" Type="http://schemas.openxmlformats.org/officeDocument/2006/relationships/hyperlink" Target="https://www.merckgroup.com/en/sustainability.html" TargetMode="External"/><Relationship Id="rId23" Type="http://schemas.openxmlformats.org/officeDocument/2006/relationships/hyperlink" Target="https://www.freseniusmedicalcare.com/en/sustainability" TargetMode="External"/><Relationship Id="rId28" Type="http://schemas.openxmlformats.org/officeDocument/2006/relationships/hyperlink" Target="https://www.dpdhl.com/en/investors/esg.html" TargetMode="External"/><Relationship Id="rId36" Type="http://schemas.openxmlformats.org/officeDocument/2006/relationships/hyperlink" Target="https://corporate.brenntag.com/en/investor-relations/publications-and-events/financial-publications/" TargetMode="External"/><Relationship Id="rId49" Type="http://schemas.openxmlformats.org/officeDocument/2006/relationships/hyperlink" Target="https://www.commerzbank.de/en/nachhaltigkeit/daten___fakten/publikationen/nichtfinanzielle_erklaerung/nfe_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1"/>
  <sheetViews>
    <sheetView workbookViewId="0"/>
  </sheetViews>
  <sheetFormatPr defaultRowHeight="15" x14ac:dyDescent="0.25"/>
  <cols>
    <col min="1" max="1" width="13.5703125" style="14" bestFit="1" customWidth="1"/>
    <col min="2" max="5" width="13.5703125" style="13" bestFit="1" customWidth="1"/>
    <col min="6" max="6" width="13.5703125" style="22" bestFit="1" customWidth="1"/>
    <col min="7" max="7" width="13.5703125" style="13" bestFit="1" customWidth="1"/>
    <col min="8" max="8" width="13.5703125" style="14" bestFit="1" customWidth="1"/>
  </cols>
  <sheetData>
    <row r="1" spans="1:8" ht="18.75" customHeight="1" x14ac:dyDescent="0.25">
      <c r="A1" s="4"/>
      <c r="B1" s="16" t="str">
        <f ca="1">IFERROR(__xludf.DUMMYFUNCTION("IMPORTHTML(""https://en.wikipedia.org/wiki/DAX#Components"",""table"",4)"),"")</f>
        <v/>
      </c>
      <c r="C1" s="16" t="str">
        <f ca="1">IFERROR(__xludf.DUMMYFUNCTION("""COMPUTED_VALUE"""),"Company")</f>
        <v>Company</v>
      </c>
      <c r="D1" s="16" t="str">
        <f ca="1">IFERROR(__xludf.DUMMYFUNCTION("""COMPUTED_VALUE"""),"Prime Standard Sector")</f>
        <v>Prime Standard Sector</v>
      </c>
      <c r="E1" s="16" t="str">
        <f ca="1">IFERROR(__xludf.DUMMYFUNCTION("""COMPUTED_VALUE"""),"Ticker symbol")</f>
        <v>Ticker symbol</v>
      </c>
      <c r="F1" s="19" t="str">
        <f ca="1">IFERROR(__xludf.DUMMYFUNCTION("""COMPUTED_VALUE"""),"Index weighting (%)1")</f>
        <v>Index weighting (%)1</v>
      </c>
      <c r="G1" s="16" t="str">
        <f ca="1">IFERROR(__xludf.DUMMYFUNCTION("""COMPUTED_VALUE"""),"Employees")</f>
        <v>Employees</v>
      </c>
      <c r="H1" s="9" t="str">
        <f ca="1">IFERROR(__xludf.DUMMYFUNCTION("""COMPUTED_VALUE"""),"Founded")</f>
        <v>Founded</v>
      </c>
    </row>
    <row r="2" spans="1:8" ht="18.75" customHeight="1" x14ac:dyDescent="0.25">
      <c r="A2" s="7">
        <v>1</v>
      </c>
      <c r="B2" s="3"/>
      <c r="C2" s="16" t="str">
        <f ca="1">IFERROR(__xludf.DUMMYFUNCTION("""COMPUTED_VALUE"""),"Adidas")</f>
        <v>Adidas</v>
      </c>
      <c r="D2" s="16" t="str">
        <f ca="1">IFERROR(__xludf.DUMMYFUNCTION("""COMPUTED_VALUE"""),"Textile")</f>
        <v>Textile</v>
      </c>
      <c r="E2" s="20" t="str">
        <f ca="1">IFERROR(__xludf.DUMMYFUNCTION("""COMPUTED_VALUE"""),"ADS.DE")</f>
        <v>ADS.DE</v>
      </c>
      <c r="F2" s="21">
        <f ca="1">IFERROR(__xludf.DUMMYFUNCTION("""COMPUTED_VALUE"""),2.5)</f>
        <v>2.5</v>
      </c>
      <c r="G2" s="16" t="str">
        <f ca="1">IFERROR(__xludf.DUMMYFUNCTION("""COMPUTED_VALUE"""),"061,401 (2021)")</f>
        <v>061,401 (2021)</v>
      </c>
      <c r="H2" s="7">
        <f ca="1">IFERROR(__xludf.DUMMYFUNCTION("""COMPUTED_VALUE"""),1924)</f>
        <v>1924</v>
      </c>
    </row>
    <row r="3" spans="1:8" ht="18.75" customHeight="1" x14ac:dyDescent="0.25">
      <c r="A3" s="7">
        <v>2</v>
      </c>
      <c r="B3" s="3"/>
      <c r="C3" s="16" t="str">
        <f ca="1">IFERROR(__xludf.DUMMYFUNCTION("""COMPUTED_VALUE"""),"Airbus")</f>
        <v>Airbus</v>
      </c>
      <c r="D3" s="16" t="str">
        <f ca="1">IFERROR(__xludf.DUMMYFUNCTION("""COMPUTED_VALUE"""),"Aerospace")</f>
        <v>Aerospace</v>
      </c>
      <c r="E3" s="20" t="str">
        <f ca="1">IFERROR(__xludf.DUMMYFUNCTION("""COMPUTED_VALUE"""),"AIR.DE")</f>
        <v>AIR.DE</v>
      </c>
      <c r="F3" s="21">
        <f ca="1">IFERROR(__xludf.DUMMYFUNCTION("""COMPUTED_VALUE"""),4.8)</f>
        <v>4.8</v>
      </c>
      <c r="G3" s="16" t="str">
        <f ca="1">IFERROR(__xludf.DUMMYFUNCTION("""COMPUTED_VALUE"""),"126.495 (2021)")</f>
        <v>126.495 (2021)</v>
      </c>
      <c r="H3" s="7">
        <f ca="1">IFERROR(__xludf.DUMMYFUNCTION("""COMPUTED_VALUE"""),1970)</f>
        <v>1970</v>
      </c>
    </row>
    <row r="4" spans="1:8" ht="18.75" customHeight="1" x14ac:dyDescent="0.25">
      <c r="A4" s="7">
        <v>3</v>
      </c>
      <c r="B4" s="3"/>
      <c r="C4" s="16" t="str">
        <f ca="1">IFERROR(__xludf.DUMMYFUNCTION("""COMPUTED_VALUE"""),"Allianz")</f>
        <v>Allianz</v>
      </c>
      <c r="D4" s="16" t="str">
        <f ca="1">IFERROR(__xludf.DUMMYFUNCTION("""COMPUTED_VALUE"""),"Financial Services")</f>
        <v>Financial Services</v>
      </c>
      <c r="E4" s="20" t="str">
        <f ca="1">IFERROR(__xludf.DUMMYFUNCTION("""COMPUTED_VALUE"""),"ALV.DE")</f>
        <v>ALV.DE</v>
      </c>
      <c r="F4" s="21">
        <f ca="1">IFERROR(__xludf.DUMMYFUNCTION("""COMPUTED_VALUE"""),6.8)</f>
        <v>6.8</v>
      </c>
      <c r="G4" s="16" t="str">
        <f ca="1">IFERROR(__xludf.DUMMYFUNCTION("""COMPUTED_VALUE"""),"155,411 (2021)")</f>
        <v>155,411 (2021)</v>
      </c>
      <c r="H4" s="7">
        <f ca="1">IFERROR(__xludf.DUMMYFUNCTION("""COMPUTED_VALUE"""),1890)</f>
        <v>1890</v>
      </c>
    </row>
    <row r="5" spans="1:8" ht="18.75" customHeight="1" x14ac:dyDescent="0.25">
      <c r="A5" s="7">
        <v>4</v>
      </c>
      <c r="B5" s="3"/>
      <c r="C5" s="16" t="str">
        <f ca="1">IFERROR(__xludf.DUMMYFUNCTION("""COMPUTED_VALUE"""),"BASF")</f>
        <v>BASF</v>
      </c>
      <c r="D5" s="16" t="str">
        <f ca="1">IFERROR(__xludf.DUMMYFUNCTION("""COMPUTED_VALUE"""),"Basic Materials")</f>
        <v>Basic Materials</v>
      </c>
      <c r="E5" s="20" t="str">
        <f ca="1">IFERROR(__xludf.DUMMYFUNCTION("""COMPUTED_VALUE"""),"BAS.DE")</f>
        <v>BAS.DE</v>
      </c>
      <c r="F5" s="21">
        <f ca="1">IFERROR(__xludf.DUMMYFUNCTION("""COMPUTED_VALUE"""),3.8)</f>
        <v>3.8</v>
      </c>
      <c r="G5" s="16" t="str">
        <f ca="1">IFERROR(__xludf.DUMMYFUNCTION("""COMPUTED_VALUE"""),"111,047 (2021)")</f>
        <v>111,047 (2021)</v>
      </c>
      <c r="H5" s="7">
        <f ca="1">IFERROR(__xludf.DUMMYFUNCTION("""COMPUTED_VALUE"""),1865)</f>
        <v>1865</v>
      </c>
    </row>
    <row r="6" spans="1:8" ht="18.75" customHeight="1" x14ac:dyDescent="0.25">
      <c r="A6" s="7">
        <v>5</v>
      </c>
      <c r="B6" s="3"/>
      <c r="C6" s="16" t="str">
        <f ca="1">IFERROR(__xludf.DUMMYFUNCTION("""COMPUTED_VALUE"""),"Bayer")</f>
        <v>Bayer</v>
      </c>
      <c r="D6" s="16" t="str">
        <f ca="1">IFERROR(__xludf.DUMMYFUNCTION("""COMPUTED_VALUE"""),"Healthcare")</f>
        <v>Healthcare</v>
      </c>
      <c r="E6" s="20" t="str">
        <f ca="1">IFERROR(__xludf.DUMMYFUNCTION("""COMPUTED_VALUE"""),"BAYN.DE")</f>
        <v>BAYN.DE</v>
      </c>
      <c r="F6" s="21">
        <f ca="1">IFERROR(__xludf.DUMMYFUNCTION("""COMPUTED_VALUE"""),5.5)</f>
        <v>5.5</v>
      </c>
      <c r="G6" s="16" t="str">
        <f ca="1">IFERROR(__xludf.DUMMYFUNCTION("""COMPUTED_VALUE"""),"099,637 (2021)")</f>
        <v>099,637 (2021)</v>
      </c>
      <c r="H6" s="7">
        <f ca="1">IFERROR(__xludf.DUMMYFUNCTION("""COMPUTED_VALUE"""),1863)</f>
        <v>1863</v>
      </c>
    </row>
    <row r="7" spans="1:8" ht="18.75" customHeight="1" x14ac:dyDescent="0.25">
      <c r="A7" s="7">
        <v>6</v>
      </c>
      <c r="B7" s="3"/>
      <c r="C7" s="16" t="str">
        <f ca="1">IFERROR(__xludf.DUMMYFUNCTION("""COMPUTED_VALUE"""),"Beiersdorf")</f>
        <v>Beiersdorf</v>
      </c>
      <c r="D7" s="16" t="str">
        <f ca="1">IFERROR(__xludf.DUMMYFUNCTION("""COMPUTED_VALUE"""),"Consumer goods")</f>
        <v>Consumer goods</v>
      </c>
      <c r="E7" s="20" t="str">
        <f ca="1">IFERROR(__xludf.DUMMYFUNCTION("""COMPUTED_VALUE"""),"BEI.DE")</f>
        <v>BEI.DE</v>
      </c>
      <c r="F7" s="19"/>
      <c r="G7" s="16" t="str">
        <f ca="1">IFERROR(__xludf.DUMMYFUNCTION("""COMPUTED_VALUE"""),"020,567 (2021)")</f>
        <v>020,567 (2021)</v>
      </c>
      <c r="H7" s="7">
        <f ca="1">IFERROR(__xludf.DUMMYFUNCTION("""COMPUTED_VALUE"""),1882)</f>
        <v>1882</v>
      </c>
    </row>
    <row r="8" spans="1:8" ht="18.75" customHeight="1" x14ac:dyDescent="0.25">
      <c r="A8" s="7">
        <v>7</v>
      </c>
      <c r="B8" s="3"/>
      <c r="C8" s="16" t="str">
        <f ca="1">IFERROR(__xludf.DUMMYFUNCTION("""COMPUTED_VALUE"""),"BMW")</f>
        <v>BMW</v>
      </c>
      <c r="D8" s="16" t="str">
        <f ca="1">IFERROR(__xludf.DUMMYFUNCTION("""COMPUTED_VALUE"""),"Automobile")</f>
        <v>Automobile</v>
      </c>
      <c r="E8" s="20" t="str">
        <f ca="1">IFERROR(__xludf.DUMMYFUNCTION("""COMPUTED_VALUE"""),"BMW.DE")</f>
        <v>BMW.DE</v>
      </c>
      <c r="F8" s="21">
        <f ca="1">IFERROR(__xludf.DUMMYFUNCTION("""COMPUTED_VALUE"""),2.3)</f>
        <v>2.2999999999999998</v>
      </c>
      <c r="G8" s="16" t="str">
        <f ca="1">IFERROR(__xludf.DUMMYFUNCTION("""COMPUTED_VALUE"""),"118,909 (2021)")</f>
        <v>118,909 (2021)</v>
      </c>
      <c r="H8" s="7">
        <f ca="1">IFERROR(__xludf.DUMMYFUNCTION("""COMPUTED_VALUE"""),1916)</f>
        <v>1916</v>
      </c>
    </row>
    <row r="9" spans="1:8" ht="18.75" customHeight="1" x14ac:dyDescent="0.25">
      <c r="A9" s="7">
        <v>8</v>
      </c>
      <c r="B9" s="3"/>
      <c r="C9" s="16" t="str">
        <f ca="1">IFERROR(__xludf.DUMMYFUNCTION("""COMPUTED_VALUE"""),"Brenntag")</f>
        <v>Brenntag</v>
      </c>
      <c r="D9" s="16" t="str">
        <f ca="1">IFERROR(__xludf.DUMMYFUNCTION("""COMPUTED_VALUE"""),"Distribution")</f>
        <v>Distribution</v>
      </c>
      <c r="E9" s="20" t="str">
        <f ca="1">IFERROR(__xludf.DUMMYFUNCTION("""COMPUTED_VALUE"""),"BNR.DE")</f>
        <v>BNR.DE</v>
      </c>
      <c r="F9" s="21">
        <f ca="1">IFERROR(__xludf.DUMMYFUNCTION("""COMPUTED_VALUE"""),0.9)</f>
        <v>0.9</v>
      </c>
      <c r="G9" s="16" t="str">
        <f ca="1">IFERROR(__xludf.DUMMYFUNCTION("""COMPUTED_VALUE"""),"017,200 (2021)")</f>
        <v>017,200 (2021)</v>
      </c>
      <c r="H9" s="7">
        <f ca="1">IFERROR(__xludf.DUMMYFUNCTION("""COMPUTED_VALUE"""),1874)</f>
        <v>1874</v>
      </c>
    </row>
    <row r="10" spans="1:8" ht="18.75" customHeight="1" x14ac:dyDescent="0.25">
      <c r="A10" s="7">
        <v>9</v>
      </c>
      <c r="B10" s="3"/>
      <c r="C10" s="16" t="str">
        <f ca="1">IFERROR(__xludf.DUMMYFUNCTION("""COMPUTED_VALUE"""),"Continental")</f>
        <v>Continental</v>
      </c>
      <c r="D10" s="16" t="str">
        <f ca="1">IFERROR(__xludf.DUMMYFUNCTION("""COMPUTED_VALUE"""),"Automotive")</f>
        <v>Automotive</v>
      </c>
      <c r="E10" s="20" t="str">
        <f ca="1">IFERROR(__xludf.DUMMYFUNCTION("""COMPUTED_VALUE"""),"CON.DE")</f>
        <v>CON.DE</v>
      </c>
      <c r="F10" s="21">
        <f ca="1">IFERROR(__xludf.DUMMYFUNCTION("""COMPUTED_VALUE"""),0.7)</f>
        <v>0.7</v>
      </c>
      <c r="G10" s="16" t="str">
        <f ca="1">IFERROR(__xludf.DUMMYFUNCTION("""COMPUTED_VALUE"""),"236,386 (2020)")</f>
        <v>236,386 (2020)</v>
      </c>
      <c r="H10" s="7">
        <f ca="1">IFERROR(__xludf.DUMMYFUNCTION("""COMPUTED_VALUE"""),1871)</f>
        <v>1871</v>
      </c>
    </row>
    <row r="11" spans="1:8" ht="18.75" customHeight="1" x14ac:dyDescent="0.25">
      <c r="A11" s="7">
        <v>10</v>
      </c>
      <c r="B11" s="3"/>
      <c r="C11" s="16" t="str">
        <f ca="1">IFERROR(__xludf.DUMMYFUNCTION("""COMPUTED_VALUE"""),"Covestro")</f>
        <v>Covestro</v>
      </c>
      <c r="D11" s="16" t="str">
        <f ca="1">IFERROR(__xludf.DUMMYFUNCTION("""COMPUTED_VALUE"""),"Basic Materials")</f>
        <v>Basic Materials</v>
      </c>
      <c r="E11" s="20" t="str">
        <f ca="1">IFERROR(__xludf.DUMMYFUNCTION("""COMPUTED_VALUE"""),"1COV.DE")</f>
        <v>1COV.DE</v>
      </c>
      <c r="F11" s="21">
        <f ca="1">IFERROR(__xludf.DUMMYFUNCTION("""COMPUTED_VALUE"""),0.6)</f>
        <v>0.6</v>
      </c>
      <c r="G11" s="16" t="str">
        <f ca="1">IFERROR(__xludf.DUMMYFUNCTION("""COMPUTED_VALUE"""),"017,909 (2021)")</f>
        <v>017,909 (2021)</v>
      </c>
      <c r="H11" s="7">
        <f ca="1">IFERROR(__xludf.DUMMYFUNCTION("""COMPUTED_VALUE"""),2015)</f>
        <v>2015</v>
      </c>
    </row>
    <row r="12" spans="1:8" ht="18.75" customHeight="1" x14ac:dyDescent="0.25">
      <c r="A12" s="7">
        <v>11</v>
      </c>
      <c r="B12" s="3"/>
      <c r="C12" s="16" t="str">
        <f ca="1">IFERROR(__xludf.DUMMYFUNCTION("""COMPUTED_VALUE"""),"Daimler Truck")</f>
        <v>Daimler Truck</v>
      </c>
      <c r="D12" s="16" t="str">
        <f ca="1">IFERROR(__xludf.DUMMYFUNCTION("""COMPUTED_VALUE"""),"Automobile")</f>
        <v>Automobile</v>
      </c>
      <c r="E12" s="20" t="str">
        <f ca="1">IFERROR(__xludf.DUMMYFUNCTION("""COMPUTED_VALUE"""),"DTG.DE")</f>
        <v>DTG.DE</v>
      </c>
      <c r="F12" s="21">
        <f ca="1">IFERROR(__xludf.DUMMYFUNCTION("""COMPUTED_VALUE"""),1.1)</f>
        <v>1.1000000000000001</v>
      </c>
      <c r="G12" s="16" t="str">
        <f ca="1">IFERROR(__xludf.DUMMYFUNCTION("""COMPUTED_VALUE"""),"099,640 (2020)")</f>
        <v>099,640 (2020)</v>
      </c>
      <c r="H12" s="7">
        <f ca="1">IFERROR(__xludf.DUMMYFUNCTION("""COMPUTED_VALUE"""),2021)</f>
        <v>2021</v>
      </c>
    </row>
    <row r="13" spans="1:8" ht="18.75" customHeight="1" x14ac:dyDescent="0.25">
      <c r="A13" s="7">
        <v>12</v>
      </c>
      <c r="B13" s="3"/>
      <c r="C13" s="16" t="str">
        <f ca="1">IFERROR(__xludf.DUMMYFUNCTION("""COMPUTED_VALUE"""),"Deutsche Bank")</f>
        <v>Deutsche Bank</v>
      </c>
      <c r="D13" s="16" t="str">
        <f ca="1">IFERROR(__xludf.DUMMYFUNCTION("""COMPUTED_VALUE"""),"Financial Services")</f>
        <v>Financial Services</v>
      </c>
      <c r="E13" s="20" t="str">
        <f ca="1">IFERROR(__xludf.DUMMYFUNCTION("""COMPUTED_VALUE"""),"DBK.DE")</f>
        <v>DBK.DE</v>
      </c>
      <c r="F13" s="21">
        <f ca="1">IFERROR(__xludf.DUMMYFUNCTION("""COMPUTED_VALUE"""),1.7)</f>
        <v>1.7</v>
      </c>
      <c r="G13" s="16" t="str">
        <f ca="1">IFERROR(__xludf.DUMMYFUNCTION("""COMPUTED_VALUE"""),"084,659 (2020)")</f>
        <v>084,659 (2020)</v>
      </c>
      <c r="H13" s="7">
        <f ca="1">IFERROR(__xludf.DUMMYFUNCTION("""COMPUTED_VALUE"""),1870)</f>
        <v>1870</v>
      </c>
    </row>
    <row r="14" spans="1:8" ht="18.75" customHeight="1" x14ac:dyDescent="0.25">
      <c r="A14" s="7">
        <v>13</v>
      </c>
      <c r="B14" s="3"/>
      <c r="C14" s="16" t="str">
        <f ca="1">IFERROR(__xludf.DUMMYFUNCTION("""COMPUTED_VALUE"""),"Deutsche Börse")</f>
        <v>Deutsche Börse</v>
      </c>
      <c r="D14" s="16" t="str">
        <f ca="1">IFERROR(__xludf.DUMMYFUNCTION("""COMPUTED_VALUE"""),"Financial Services")</f>
        <v>Financial Services</v>
      </c>
      <c r="E14" s="20" t="str">
        <f ca="1">IFERROR(__xludf.DUMMYFUNCTION("""COMPUTED_VALUE"""),"DB1.DE")</f>
        <v>DB1.DE</v>
      </c>
      <c r="F14" s="21">
        <f ca="1">IFERROR(__xludf.DUMMYFUNCTION("""COMPUTED_VALUE"""),2.5)</f>
        <v>2.5</v>
      </c>
      <c r="G14" s="16" t="str">
        <f ca="1">IFERROR(__xludf.DUMMYFUNCTION("""COMPUTED_VALUE"""),"007,238 (2020)")</f>
        <v>007,238 (2020)</v>
      </c>
      <c r="H14" s="7">
        <f ca="1">IFERROR(__xludf.DUMMYFUNCTION("""COMPUTED_VALUE"""),1992)</f>
        <v>1992</v>
      </c>
    </row>
    <row r="15" spans="1:8" ht="18.75" customHeight="1" x14ac:dyDescent="0.25">
      <c r="A15" s="7">
        <v>14</v>
      </c>
      <c r="B15" s="3"/>
      <c r="C15" s="16" t="str">
        <f ca="1">IFERROR(__xludf.DUMMYFUNCTION("""COMPUTED_VALUE"""),"Deutsche Post")</f>
        <v>Deutsche Post</v>
      </c>
      <c r="D15" s="16" t="str">
        <f ca="1">IFERROR(__xludf.DUMMYFUNCTION("""COMPUTED_VALUE"""),"Industrials")</f>
        <v>Industrials</v>
      </c>
      <c r="E15" s="20" t="str">
        <f ca="1">IFERROR(__xludf.DUMMYFUNCTION("""COMPUTED_VALUE"""),"DPW.DE")</f>
        <v>DPW.DE</v>
      </c>
      <c r="F15" s="21">
        <f ca="1">IFERROR(__xludf.DUMMYFUNCTION("""COMPUTED_VALUE"""),3.1)</f>
        <v>3.1</v>
      </c>
      <c r="G15" s="16" t="str">
        <f ca="1">IFERROR(__xludf.DUMMYFUNCTION("""COMPUTED_VALUE"""),"592,263 (2021)")</f>
        <v>592,263 (2021)</v>
      </c>
      <c r="H15" s="7">
        <f ca="1">IFERROR(__xludf.DUMMYFUNCTION("""COMPUTED_VALUE"""),1995)</f>
        <v>1995</v>
      </c>
    </row>
    <row r="16" spans="1:8" ht="18.75" customHeight="1" x14ac:dyDescent="0.25">
      <c r="A16" s="7">
        <v>15</v>
      </c>
      <c r="B16" s="3"/>
      <c r="C16" s="16" t="str">
        <f ca="1">IFERROR(__xludf.DUMMYFUNCTION("""COMPUTED_VALUE"""),"Deutsche Telekom")</f>
        <v>Deutsche Telekom</v>
      </c>
      <c r="D16" s="16" t="str">
        <f ca="1">IFERROR(__xludf.DUMMYFUNCTION("""COMPUTED_VALUE"""),"Communication Services")</f>
        <v>Communication Services</v>
      </c>
      <c r="E16" s="20" t="str">
        <f ca="1">IFERROR(__xludf.DUMMYFUNCTION("""COMPUTED_VALUE"""),"DTE.DE")</f>
        <v>DTE.DE</v>
      </c>
      <c r="F16" s="21">
        <f ca="1">IFERROR(__xludf.DUMMYFUNCTION("""COMPUTED_VALUE"""),5.6)</f>
        <v>5.6</v>
      </c>
      <c r="G16" s="16" t="str">
        <f ca="1">IFERROR(__xludf.DUMMYFUNCTION("""COMPUTED_VALUE"""),"216,528 (2021)")</f>
        <v>216,528 (2021)</v>
      </c>
      <c r="H16" s="7">
        <f ca="1">IFERROR(__xludf.DUMMYFUNCTION("""COMPUTED_VALUE"""),1995)</f>
        <v>1995</v>
      </c>
    </row>
    <row r="17" spans="1:8" ht="18.75" customHeight="1" x14ac:dyDescent="0.25">
      <c r="A17" s="7">
        <v>16</v>
      </c>
      <c r="B17" s="3"/>
      <c r="C17" s="16" t="str">
        <f ca="1">IFERROR(__xludf.DUMMYFUNCTION("""COMPUTED_VALUE"""),"E.ON")</f>
        <v>E.ON</v>
      </c>
      <c r="D17" s="16" t="str">
        <f ca="1">IFERROR(__xludf.DUMMYFUNCTION("""COMPUTED_VALUE"""),"Utilities")</f>
        <v>Utilities</v>
      </c>
      <c r="E17" s="20" t="str">
        <f ca="1">IFERROR(__xludf.DUMMYFUNCTION("""COMPUTED_VALUE"""),"EOAN.DE")</f>
        <v>EOAN.DE</v>
      </c>
      <c r="F17" s="21">
        <f ca="1">IFERROR(__xludf.DUMMYFUNCTION("""COMPUTED_VALUE"""),1.7)</f>
        <v>1.7</v>
      </c>
      <c r="G17" s="16" t="str">
        <f ca="1">IFERROR(__xludf.DUMMYFUNCTION("""COMPUTED_VALUE"""),"078,126 (2021)")</f>
        <v>078,126 (2021)</v>
      </c>
      <c r="H17" s="7">
        <f ca="1">IFERROR(__xludf.DUMMYFUNCTION("""COMPUTED_VALUE"""),2000)</f>
        <v>2000</v>
      </c>
    </row>
    <row r="18" spans="1:8" ht="18.75" customHeight="1" x14ac:dyDescent="0.25">
      <c r="A18" s="7">
        <v>17</v>
      </c>
      <c r="B18" s="3"/>
      <c r="C18" s="16" t="str">
        <f ca="1">IFERROR(__xludf.DUMMYFUNCTION("""COMPUTED_VALUE"""),"Fresenius")</f>
        <v>Fresenius</v>
      </c>
      <c r="D18" s="16" t="str">
        <f ca="1">IFERROR(__xludf.DUMMYFUNCTION("""COMPUTED_VALUE"""),"Healthcare")</f>
        <v>Healthcare</v>
      </c>
      <c r="E18" s="20" t="str">
        <f ca="1">IFERROR(__xludf.DUMMYFUNCTION("""COMPUTED_VALUE"""),"FRE.DE")</f>
        <v>FRE.DE</v>
      </c>
      <c r="F18" s="21">
        <f ca="1">IFERROR(__xludf.DUMMYFUNCTION("""COMPUTED_VALUE"""),1.1)</f>
        <v>1.1000000000000001</v>
      </c>
      <c r="G18" s="16" t="str">
        <f ca="1">IFERROR(__xludf.DUMMYFUNCTION("""COMPUTED_VALUE"""),"311,269 (2020)")</f>
        <v>311,269 (2020)</v>
      </c>
      <c r="H18" s="7">
        <f ca="1">IFERROR(__xludf.DUMMYFUNCTION("""COMPUTED_VALUE"""),1912)</f>
        <v>1912</v>
      </c>
    </row>
    <row r="19" spans="1:8" ht="18.75" customHeight="1" x14ac:dyDescent="0.25">
      <c r="A19" s="7">
        <v>18</v>
      </c>
      <c r="B19" s="3"/>
      <c r="C19" s="16" t="str">
        <f ca="1">IFERROR(__xludf.DUMMYFUNCTION("""COMPUTED_VALUE"""),"Fresenius Medical Care")</f>
        <v>Fresenius Medical Care</v>
      </c>
      <c r="D19" s="16" t="str">
        <f ca="1">IFERROR(__xludf.DUMMYFUNCTION("""COMPUTED_VALUE"""),"Healthcare")</f>
        <v>Healthcare</v>
      </c>
      <c r="E19" s="20" t="str">
        <f ca="1">IFERROR(__xludf.DUMMYFUNCTION("""COMPUTED_VALUE"""),"FME.DE")</f>
        <v>FME.DE</v>
      </c>
      <c r="F19" s="21">
        <f ca="1">IFERROR(__xludf.DUMMYFUNCTION("""COMPUTED_VALUE"""),0.9)</f>
        <v>0.9</v>
      </c>
      <c r="G19" s="16" t="str">
        <f ca="1">IFERROR(__xludf.DUMMYFUNCTION("""COMPUTED_VALUE"""),"125,364 (2020)")</f>
        <v>125,364 (2020)</v>
      </c>
      <c r="H19" s="7">
        <f ca="1">IFERROR(__xludf.DUMMYFUNCTION("""COMPUTED_VALUE"""),1996)</f>
        <v>1996</v>
      </c>
    </row>
    <row r="20" spans="1:8" ht="18.75" customHeight="1" x14ac:dyDescent="0.25">
      <c r="A20" s="7">
        <v>19</v>
      </c>
      <c r="B20" s="3"/>
      <c r="C20" s="16" t="str">
        <f ca="1">IFERROR(__xludf.DUMMYFUNCTION("""COMPUTED_VALUE"""),"Hannover Re")</f>
        <v>Hannover Re</v>
      </c>
      <c r="D20" s="16" t="str">
        <f ca="1">IFERROR(__xludf.DUMMYFUNCTION("""COMPUTED_VALUE"""),"Insurance")</f>
        <v>Insurance</v>
      </c>
      <c r="E20" s="20" t="str">
        <f ca="1">IFERROR(__xludf.DUMMYFUNCTION("""COMPUTED_VALUE"""),"HNR1.DE")</f>
        <v>HNR1.DE</v>
      </c>
      <c r="F20" s="21">
        <f ca="1">IFERROR(__xludf.DUMMYFUNCTION("""COMPUTED_VALUE"""),0.7)</f>
        <v>0.7</v>
      </c>
      <c r="G20" s="16" t="str">
        <f ca="1">IFERROR(__xludf.DUMMYFUNCTION("""COMPUTED_VALUE"""),"003,218 (2020)")</f>
        <v>003,218 (2020)</v>
      </c>
      <c r="H20" s="7">
        <f ca="1">IFERROR(__xludf.DUMMYFUNCTION("""COMPUTED_VALUE"""),1966)</f>
        <v>1966</v>
      </c>
    </row>
    <row r="21" spans="1:8" ht="18.75" customHeight="1" x14ac:dyDescent="0.25">
      <c r="A21" s="7">
        <v>20</v>
      </c>
      <c r="B21" s="3"/>
      <c r="C21" s="16" t="str">
        <f ca="1">IFERROR(__xludf.DUMMYFUNCTION("""COMPUTED_VALUE"""),"HeidelbergCement")</f>
        <v>HeidelbergCement</v>
      </c>
      <c r="D21" s="16" t="str">
        <f ca="1">IFERROR(__xludf.DUMMYFUNCTION("""COMPUTED_VALUE"""),"Basic Materials")</f>
        <v>Basic Materials</v>
      </c>
      <c r="E21" s="20" t="str">
        <f ca="1">IFERROR(__xludf.DUMMYFUNCTION("""COMPUTED_VALUE"""),"HEI.DE")</f>
        <v>HEI.DE</v>
      </c>
      <c r="F21" s="21">
        <f ca="1">IFERROR(__xludf.DUMMYFUNCTION("""COMPUTED_VALUE"""),0.7)</f>
        <v>0.7</v>
      </c>
      <c r="G21" s="16" t="str">
        <f ca="1">IFERROR(__xludf.DUMMYFUNCTION("""COMPUTED_VALUE"""),"053,122 (2020)")</f>
        <v>053,122 (2020)</v>
      </c>
      <c r="H21" s="7">
        <f ca="1">IFERROR(__xludf.DUMMYFUNCTION("""COMPUTED_VALUE"""),1874)</f>
        <v>1874</v>
      </c>
    </row>
    <row r="22" spans="1:8" ht="18.75" customHeight="1" x14ac:dyDescent="0.25">
      <c r="A22" s="7">
        <v>21</v>
      </c>
      <c r="B22" s="3"/>
      <c r="C22" s="16" t="str">
        <f ca="1">IFERROR(__xludf.DUMMYFUNCTION("""COMPUTED_VALUE"""),"HelloFresh")</f>
        <v>HelloFresh</v>
      </c>
      <c r="D22" s="16" t="str">
        <f ca="1">IFERROR(__xludf.DUMMYFUNCTION("""COMPUTED_VALUE"""),"Online Food Ordering")</f>
        <v>Online Food Ordering</v>
      </c>
      <c r="E22" s="20" t="str">
        <f ca="1">IFERROR(__xludf.DUMMYFUNCTION("""COMPUTED_VALUE"""),"HFG.DE")</f>
        <v>HFG.DE</v>
      </c>
      <c r="F22" s="21">
        <f ca="1">IFERROR(__xludf.DUMMYFUNCTION("""COMPUTED_VALUE"""),0.4)</f>
        <v>0.4</v>
      </c>
      <c r="G22" s="16" t="str">
        <f ca="1">IFERROR(__xludf.DUMMYFUNCTION("""COMPUTED_VALUE"""),"014,635 (2021)")</f>
        <v>014,635 (2021)</v>
      </c>
      <c r="H22" s="7">
        <f ca="1">IFERROR(__xludf.DUMMYFUNCTION("""COMPUTED_VALUE"""),2011)</f>
        <v>2011</v>
      </c>
    </row>
    <row r="23" spans="1:8" ht="18.75" customHeight="1" x14ac:dyDescent="0.25">
      <c r="A23" s="7">
        <v>22</v>
      </c>
      <c r="B23" s="3"/>
      <c r="C23" s="16" t="str">
        <f ca="1">IFERROR(__xludf.DUMMYFUNCTION("""COMPUTED_VALUE"""),"Henkel")</f>
        <v>Henkel</v>
      </c>
      <c r="D23" s="16" t="str">
        <f ca="1">IFERROR(__xludf.DUMMYFUNCTION("""COMPUTED_VALUE"""),"Consumer Goods")</f>
        <v>Consumer Goods</v>
      </c>
      <c r="E23" s="20" t="str">
        <f ca="1">IFERROR(__xludf.DUMMYFUNCTION("""COMPUTED_VALUE"""),"HEN3.DE")</f>
        <v>HEN3.DE</v>
      </c>
      <c r="F23" s="21">
        <f ca="1">IFERROR(__xludf.DUMMYFUNCTION("""COMPUTED_VALUE"""),0.9)</f>
        <v>0.9</v>
      </c>
      <c r="G23" s="16" t="str">
        <f ca="1">IFERROR(__xludf.DUMMYFUNCTION("""COMPUTED_VALUE"""),"052,450 (2021)")</f>
        <v>052,450 (2021)</v>
      </c>
      <c r="H23" s="7">
        <f ca="1">IFERROR(__xludf.DUMMYFUNCTION("""COMPUTED_VALUE"""),1876)</f>
        <v>1876</v>
      </c>
    </row>
    <row r="24" spans="1:8" ht="18.75" customHeight="1" x14ac:dyDescent="0.25">
      <c r="A24" s="7">
        <v>23</v>
      </c>
      <c r="B24" s="3"/>
      <c r="C24" s="16" t="str">
        <f ca="1">IFERROR(__xludf.DUMMYFUNCTION("""COMPUTED_VALUE"""),"Infineon Technologies")</f>
        <v>Infineon Technologies</v>
      </c>
      <c r="D24" s="16" t="str">
        <f ca="1">IFERROR(__xludf.DUMMYFUNCTION("""COMPUTED_VALUE"""),"Technology")</f>
        <v>Technology</v>
      </c>
      <c r="E24" s="20" t="str">
        <f ca="1">IFERROR(__xludf.DUMMYFUNCTION("""COMPUTED_VALUE"""),"IFX.DE")</f>
        <v>IFX.DE</v>
      </c>
      <c r="F24" s="21">
        <f ca="1">IFERROR(__xludf.DUMMYFUNCTION("""COMPUTED_VALUE"""),2.7)</f>
        <v>2.7</v>
      </c>
      <c r="G24" s="16" t="str">
        <f ca="1">IFERROR(__xludf.DUMMYFUNCTION("""COMPUTED_VALUE"""),"050,280 (2018)")</f>
        <v>050,280 (2018)</v>
      </c>
      <c r="H24" s="7">
        <f ca="1">IFERROR(__xludf.DUMMYFUNCTION("""COMPUTED_VALUE"""),1999)</f>
        <v>1999</v>
      </c>
    </row>
    <row r="25" spans="1:8" ht="18.75" customHeight="1" x14ac:dyDescent="0.25">
      <c r="A25" s="7">
        <v>24</v>
      </c>
      <c r="B25" s="3"/>
      <c r="C25" s="16" t="str">
        <f ca="1">IFERROR(__xludf.DUMMYFUNCTION("""COMPUTED_VALUE"""),"Linde")</f>
        <v>Linde</v>
      </c>
      <c r="D25" s="16" t="str">
        <f ca="1">IFERROR(__xludf.DUMMYFUNCTION("""COMPUTED_VALUE"""),"Basic Materials")</f>
        <v>Basic Materials</v>
      </c>
      <c r="E25" s="20" t="str">
        <f ca="1">IFERROR(__xludf.DUMMYFUNCTION("""COMPUTED_VALUE"""),"LIN.DE")</f>
        <v>LIN.DE</v>
      </c>
      <c r="F25" s="21">
        <f ca="1">IFERROR(__xludf.DUMMYFUNCTION("""COMPUTED_VALUE"""),10.8)</f>
        <v>10.8</v>
      </c>
      <c r="G25" s="16" t="str">
        <f ca="1">IFERROR(__xludf.DUMMYFUNCTION("""COMPUTED_VALUE"""),"074,207 (2020)")</f>
        <v>074,207 (2020)</v>
      </c>
      <c r="H25" s="7">
        <f ca="1">IFERROR(__xludf.DUMMYFUNCTION("""COMPUTED_VALUE"""),1879)</f>
        <v>1879</v>
      </c>
    </row>
    <row r="26" spans="1:8" ht="18.75" customHeight="1" x14ac:dyDescent="0.25">
      <c r="A26" s="7">
        <v>25</v>
      </c>
      <c r="B26" s="3"/>
      <c r="C26" s="16" t="str">
        <f ca="1">IFERROR(__xludf.DUMMYFUNCTION("""COMPUTED_VALUE"""),"Mercedes-Benz Group")</f>
        <v>Mercedes-Benz Group</v>
      </c>
      <c r="D26" s="16" t="str">
        <f ca="1">IFERROR(__xludf.DUMMYFUNCTION("""COMPUTED_VALUE"""),"Automobile")</f>
        <v>Automobile</v>
      </c>
      <c r="E26" s="20" t="str">
        <f ca="1">IFERROR(__xludf.DUMMYFUNCTION("""COMPUTED_VALUE"""),"MBG.DE")</f>
        <v>MBG.DE</v>
      </c>
      <c r="F26" s="21">
        <f ca="1">IFERROR(__xludf.DUMMYFUNCTION("""COMPUTED_VALUE"""),4.9)</f>
        <v>4.9000000000000004</v>
      </c>
      <c r="G26" s="16" t="str">
        <f ca="1">IFERROR(__xludf.DUMMYFUNCTION("""COMPUTED_VALUE"""),"172,000 (2021)")</f>
        <v>172,000 (2021)</v>
      </c>
      <c r="H26" s="7">
        <f ca="1">IFERROR(__xludf.DUMMYFUNCTION("""COMPUTED_VALUE"""),1926)</f>
        <v>1926</v>
      </c>
    </row>
    <row r="27" spans="1:8" ht="18.75" customHeight="1" x14ac:dyDescent="0.25">
      <c r="A27" s="7">
        <v>26</v>
      </c>
      <c r="B27" s="3"/>
      <c r="C27" s="16" t="str">
        <f ca="1">IFERROR(__xludf.DUMMYFUNCTION("""COMPUTED_VALUE"""),"Merck")</f>
        <v>Merck</v>
      </c>
      <c r="D27" s="16" t="str">
        <f ca="1">IFERROR(__xludf.DUMMYFUNCTION("""COMPUTED_VALUE"""),"Healthcare")</f>
        <v>Healthcare</v>
      </c>
      <c r="E27" s="20" t="str">
        <f ca="1">IFERROR(__xludf.DUMMYFUNCTION("""COMPUTED_VALUE"""),"MRK.DE")</f>
        <v>MRK.DE</v>
      </c>
      <c r="F27" s="21">
        <f ca="1">IFERROR(__xludf.DUMMYFUNCTION("""COMPUTED_VALUE"""),1.8)</f>
        <v>1.8</v>
      </c>
      <c r="G27" s="16" t="str">
        <f ca="1">IFERROR(__xludf.DUMMYFUNCTION("""COMPUTED_VALUE"""),"008,081 (2021)")</f>
        <v>008,081 (2021)</v>
      </c>
      <c r="H27" s="7">
        <f ca="1">IFERROR(__xludf.DUMMYFUNCTION("""COMPUTED_VALUE"""),1668)</f>
        <v>1668</v>
      </c>
    </row>
    <row r="28" spans="1:8" ht="18.75" customHeight="1" x14ac:dyDescent="0.25">
      <c r="A28" s="7">
        <v>27</v>
      </c>
      <c r="B28" s="3"/>
      <c r="C28" s="16" t="str">
        <f ca="1">IFERROR(__xludf.DUMMYFUNCTION("""COMPUTED_VALUE"""),"MTU Aero Engines")</f>
        <v>MTU Aero Engines</v>
      </c>
      <c r="D28" s="16" t="str">
        <f ca="1">IFERROR(__xludf.DUMMYFUNCTION("""COMPUTED_VALUE"""),"Industrials")</f>
        <v>Industrials</v>
      </c>
      <c r="E28" s="20" t="str">
        <f ca="1">IFERROR(__xludf.DUMMYFUNCTION("""COMPUTED_VALUE"""),"MTX.DE")</f>
        <v>MTX.DE</v>
      </c>
      <c r="F28" s="21">
        <f ca="1">IFERROR(__xludf.DUMMYFUNCTION("""COMPUTED_VALUE"""),0.8)</f>
        <v>0.8</v>
      </c>
      <c r="G28" s="16" t="str">
        <f ca="1">IFERROR(__xludf.DUMMYFUNCTION("""COMPUTED_VALUE"""),"010,313 (2020)")</f>
        <v>010,313 (2020)</v>
      </c>
      <c r="H28" s="7">
        <f ca="1">IFERROR(__xludf.DUMMYFUNCTION("""COMPUTED_VALUE"""),1934)</f>
        <v>1934</v>
      </c>
    </row>
    <row r="29" spans="1:8" ht="18.75" customHeight="1" x14ac:dyDescent="0.25">
      <c r="A29" s="7">
        <v>28</v>
      </c>
      <c r="B29" s="3"/>
      <c r="C29" s="16" t="str">
        <f ca="1">IFERROR(__xludf.DUMMYFUNCTION("""COMPUTED_VALUE"""),"Munich Re")</f>
        <v>Munich Re</v>
      </c>
      <c r="D29" s="16" t="str">
        <f ca="1">IFERROR(__xludf.DUMMYFUNCTION("""COMPUTED_VALUE"""),"Financial Services")</f>
        <v>Financial Services</v>
      </c>
      <c r="E29" s="20" t="str">
        <f ca="1">IFERROR(__xludf.DUMMYFUNCTION("""COMPUTED_VALUE"""),"MUV2.DE")</f>
        <v>MUV2.DE</v>
      </c>
      <c r="F29" s="21">
        <f ca="1">IFERROR(__xludf.DUMMYFUNCTION("""COMPUTED_VALUE"""),2.8)</f>
        <v>2.8</v>
      </c>
      <c r="G29" s="16" t="str">
        <f ca="1">IFERROR(__xludf.DUMMYFUNCTION("""COMPUTED_VALUE"""),"039,642 (2020)")</f>
        <v>039,642 (2020)</v>
      </c>
      <c r="H29" s="7">
        <f ca="1">IFERROR(__xludf.DUMMYFUNCTION("""COMPUTED_VALUE"""),1880)</f>
        <v>1880</v>
      </c>
    </row>
    <row r="30" spans="1:8" ht="18.75" customHeight="1" x14ac:dyDescent="0.25">
      <c r="A30" s="7">
        <v>29</v>
      </c>
      <c r="B30" s="3"/>
      <c r="C30" s="16" t="str">
        <f ca="1">IFERROR(__xludf.DUMMYFUNCTION("""COMPUTED_VALUE"""),"Porsche")</f>
        <v>Porsche</v>
      </c>
      <c r="D30" s="16" t="str">
        <f ca="1">IFERROR(__xludf.DUMMYFUNCTION("""COMPUTED_VALUE"""),"Automobile")</f>
        <v>Automobile</v>
      </c>
      <c r="E30" s="20" t="str">
        <f ca="1">IFERROR(__xludf.DUMMYFUNCTION("""COMPUTED_VALUE"""),"PAH3.DE")</f>
        <v>PAH3.DE</v>
      </c>
      <c r="F30" s="21">
        <f ca="1">IFERROR(__xludf.DUMMYFUNCTION("""COMPUTED_VALUE"""),0.9)</f>
        <v>0.9</v>
      </c>
      <c r="G30" s="16" t="str">
        <f ca="1">IFERROR(__xludf.DUMMYFUNCTION("""COMPUTED_VALUE"""),"000951 (2019)")</f>
        <v>000951 (2019)</v>
      </c>
      <c r="H30" s="7">
        <f ca="1">IFERROR(__xludf.DUMMYFUNCTION("""COMPUTED_VALUE"""),2007)</f>
        <v>2007</v>
      </c>
    </row>
    <row r="31" spans="1:8" ht="18.75" customHeight="1" x14ac:dyDescent="0.25">
      <c r="A31" s="7">
        <v>30</v>
      </c>
      <c r="B31" s="3"/>
      <c r="C31" s="16" t="str">
        <f ca="1">IFERROR(__xludf.DUMMYFUNCTION("""COMPUTED_VALUE"""),"Puma")</f>
        <v>Puma</v>
      </c>
      <c r="D31" s="16" t="str">
        <f ca="1">IFERROR(__xludf.DUMMYFUNCTION("""COMPUTED_VALUE"""),"Textile")</f>
        <v>Textile</v>
      </c>
      <c r="E31" s="20" t="str">
        <f ca="1">IFERROR(__xludf.DUMMYFUNCTION("""COMPUTED_VALUE"""),"PUM.DE")</f>
        <v>PUM.DE</v>
      </c>
      <c r="F31" s="21">
        <f ca="1">IFERROR(__xludf.DUMMYFUNCTION("""COMPUTED_VALUE"""),0.6)</f>
        <v>0.6</v>
      </c>
      <c r="G31" s="16" t="str">
        <f ca="1">IFERROR(__xludf.DUMMYFUNCTION("""COMPUTED_VALUE"""),"014,374 (2020)")</f>
        <v>014,374 (2020)</v>
      </c>
      <c r="H31" s="7">
        <f ca="1">IFERROR(__xludf.DUMMYFUNCTION("""COMPUTED_VALUE"""),1948)</f>
        <v>1948</v>
      </c>
    </row>
    <row r="32" spans="1:8" ht="18.75" customHeight="1" x14ac:dyDescent="0.25">
      <c r="A32" s="7">
        <v>31</v>
      </c>
      <c r="B32" s="3"/>
      <c r="C32" s="16" t="str">
        <f ca="1">IFERROR(__xludf.DUMMYFUNCTION("""COMPUTED_VALUE"""),"Qiagen")</f>
        <v>Qiagen</v>
      </c>
      <c r="D32" s="16" t="str">
        <f ca="1">IFERROR(__xludf.DUMMYFUNCTION("""COMPUTED_VALUE"""),"Chemicals")</f>
        <v>Chemicals</v>
      </c>
      <c r="E32" s="20" t="str">
        <f ca="1">IFERROR(__xludf.DUMMYFUNCTION("""COMPUTED_VALUE"""),"QIA.DE")</f>
        <v>QIA.DE</v>
      </c>
      <c r="F32" s="21">
        <f ca="1">IFERROR(__xludf.DUMMYFUNCTION("""COMPUTED_VALUE"""),0.8)</f>
        <v>0.8</v>
      </c>
      <c r="G32" s="16" t="str">
        <f ca="1">IFERROR(__xludf.DUMMYFUNCTION("""COMPUTED_VALUE"""),"005,900 (2021)")</f>
        <v>005,900 (2021)</v>
      </c>
      <c r="H32" s="7">
        <f ca="1">IFERROR(__xludf.DUMMYFUNCTION("""COMPUTED_VALUE"""),1984)</f>
        <v>1984</v>
      </c>
    </row>
    <row r="33" spans="1:8" ht="18.75" customHeight="1" x14ac:dyDescent="0.25">
      <c r="A33" s="7">
        <v>32</v>
      </c>
      <c r="B33" s="3"/>
      <c r="C33" s="16" t="str">
        <f ca="1">IFERROR(__xludf.DUMMYFUNCTION("""COMPUTED_VALUE"""),"RWE")</f>
        <v>RWE</v>
      </c>
      <c r="D33" s="16" t="str">
        <f ca="1">IFERROR(__xludf.DUMMYFUNCTION("""COMPUTED_VALUE"""),"Utilities")</f>
        <v>Utilities</v>
      </c>
      <c r="E33" s="20" t="str">
        <f ca="1">IFERROR(__xludf.DUMMYFUNCTION("""COMPUTED_VALUE"""),"RWE.DE")</f>
        <v>RWE.DE</v>
      </c>
      <c r="F33" s="21">
        <f ca="1">IFERROR(__xludf.DUMMYFUNCTION("""COMPUTED_VALUE"""),2.2)</f>
        <v>2.2000000000000002</v>
      </c>
      <c r="G33" s="16" t="str">
        <f ca="1">IFERROR(__xludf.DUMMYFUNCTION("""COMPUTED_VALUE"""),"018,246 (2021)")</f>
        <v>018,246 (2021)</v>
      </c>
      <c r="H33" s="7">
        <f ca="1">IFERROR(__xludf.DUMMYFUNCTION("""COMPUTED_VALUE"""),1898)</f>
        <v>1898</v>
      </c>
    </row>
    <row r="34" spans="1:8" ht="18.75" customHeight="1" x14ac:dyDescent="0.25">
      <c r="A34" s="7">
        <v>33</v>
      </c>
      <c r="B34" s="3"/>
      <c r="C34" s="16" t="str">
        <f ca="1">IFERROR(__xludf.DUMMYFUNCTION("""COMPUTED_VALUE"""),"SAP")</f>
        <v>SAP</v>
      </c>
      <c r="D34" s="16" t="str">
        <f ca="1">IFERROR(__xludf.DUMMYFUNCTION("""COMPUTED_VALUE"""),"Technology")</f>
        <v>Technology</v>
      </c>
      <c r="E34" s="20" t="str">
        <f ca="1">IFERROR(__xludf.DUMMYFUNCTION("""COMPUTED_VALUE"""),"SAP.DE")</f>
        <v>SAP.DE</v>
      </c>
      <c r="F34" s="21">
        <f ca="1">IFERROR(__xludf.DUMMYFUNCTION("""COMPUTED_VALUE"""),8.2)</f>
        <v>8.1999999999999993</v>
      </c>
      <c r="G34" s="16" t="str">
        <f ca="1">IFERROR(__xludf.DUMMYFUNCTION("""COMPUTED_VALUE"""),"107,415 (2021)")</f>
        <v>107,415 (2021)</v>
      </c>
      <c r="H34" s="7">
        <f ca="1">IFERROR(__xludf.DUMMYFUNCTION("""COMPUTED_VALUE"""),1972)</f>
        <v>1972</v>
      </c>
    </row>
    <row r="35" spans="1:8" ht="18.75" customHeight="1" x14ac:dyDescent="0.25">
      <c r="A35" s="7">
        <v>34</v>
      </c>
      <c r="B35" s="3"/>
      <c r="C35" s="16" t="str">
        <f ca="1">IFERROR(__xludf.DUMMYFUNCTION("""COMPUTED_VALUE"""),"Sartorius")</f>
        <v>Sartorius</v>
      </c>
      <c r="D35" s="16" t="str">
        <f ca="1">IFERROR(__xludf.DUMMYFUNCTION("""COMPUTED_VALUE"""),"Chemicals")</f>
        <v>Chemicals</v>
      </c>
      <c r="E35" s="20" t="str">
        <f ca="1">IFERROR(__xludf.DUMMYFUNCTION("""COMPUTED_VALUE"""),"SRT3.DE")</f>
        <v>SRT3.DE</v>
      </c>
      <c r="F35" s="21">
        <f ca="1">IFERROR(__xludf.DUMMYFUNCTION("""COMPUTED_VALUE"""),0.7)</f>
        <v>0.7</v>
      </c>
      <c r="G35" s="16" t="str">
        <f ca="1">IFERROR(__xludf.DUMMYFUNCTION("""COMPUTED_VALUE"""),"010,637 (2020)")</f>
        <v>010,637 (2020)</v>
      </c>
      <c r="H35" s="7">
        <f ca="1">IFERROR(__xludf.DUMMYFUNCTION("""COMPUTED_VALUE"""),1870)</f>
        <v>1870</v>
      </c>
    </row>
    <row r="36" spans="1:8" ht="18.75" customHeight="1" x14ac:dyDescent="0.25">
      <c r="A36" s="7">
        <v>35</v>
      </c>
      <c r="B36" s="3"/>
      <c r="C36" s="16" t="str">
        <f ca="1">IFERROR(__xludf.DUMMYFUNCTION("""COMPUTED_VALUE"""),"Siemens")</f>
        <v>Siemens</v>
      </c>
      <c r="D36" s="16" t="str">
        <f ca="1">IFERROR(__xludf.DUMMYFUNCTION("""COMPUTED_VALUE"""),"Industrials")</f>
        <v>Industrials</v>
      </c>
      <c r="E36" s="20" t="str">
        <f ca="1">IFERROR(__xludf.DUMMYFUNCTION("""COMPUTED_VALUE"""),"SIE.DE")</f>
        <v>SIE.DE</v>
      </c>
      <c r="F36" s="21">
        <f ca="1">IFERROR(__xludf.DUMMYFUNCTION("""COMPUTED_VALUE"""),6.8)</f>
        <v>6.8</v>
      </c>
      <c r="G36" s="16" t="str">
        <f ca="1">IFERROR(__xludf.DUMMYFUNCTION("""COMPUTED_VALUE"""),"303,000 (2021)")</f>
        <v>303,000 (2021)</v>
      </c>
      <c r="H36" s="7">
        <f ca="1">IFERROR(__xludf.DUMMYFUNCTION("""COMPUTED_VALUE"""),1847)</f>
        <v>1847</v>
      </c>
    </row>
    <row r="37" spans="1:8" ht="18.75" customHeight="1" x14ac:dyDescent="0.25">
      <c r="A37" s="7">
        <v>36</v>
      </c>
      <c r="B37" s="3"/>
      <c r="C37" s="16" t="str">
        <f ca="1">IFERROR(__xludf.DUMMYFUNCTION("""COMPUTED_VALUE"""),"Siemens Healthineers")</f>
        <v>Siemens Healthineers</v>
      </c>
      <c r="D37" s="16" t="str">
        <f ca="1">IFERROR(__xludf.DUMMYFUNCTION("""COMPUTED_VALUE"""),"Healthcare")</f>
        <v>Healthcare</v>
      </c>
      <c r="E37" s="20" t="str">
        <f ca="1">IFERROR(__xludf.DUMMYFUNCTION("""COMPUTED_VALUE"""),"SHL.DE")</f>
        <v>SHL.DE</v>
      </c>
      <c r="F37" s="21">
        <f ca="1">IFERROR(__xludf.DUMMYFUNCTION("""COMPUTED_VALUE"""),1.1)</f>
        <v>1.1000000000000001</v>
      </c>
      <c r="G37" s="16" t="str">
        <f ca="1">IFERROR(__xludf.DUMMYFUNCTION("""COMPUTED_VALUE"""),"088,000 (2019)")</f>
        <v>088,000 (2019)</v>
      </c>
      <c r="H37" s="7">
        <f ca="1">IFERROR(__xludf.DUMMYFUNCTION("""COMPUTED_VALUE"""),2020)</f>
        <v>2020</v>
      </c>
    </row>
    <row r="38" spans="1:8" ht="18.75" customHeight="1" x14ac:dyDescent="0.25">
      <c r="A38" s="7">
        <v>37</v>
      </c>
      <c r="B38" s="3"/>
      <c r="C38" s="16" t="str">
        <f ca="1">IFERROR(__xludf.DUMMYFUNCTION("""COMPUTED_VALUE"""),"Symrise")</f>
        <v>Symrise</v>
      </c>
      <c r="D38" s="16" t="str">
        <f ca="1">IFERROR(__xludf.DUMMYFUNCTION("""COMPUTED_VALUE"""),"Chemicals")</f>
        <v>Chemicals</v>
      </c>
      <c r="E38" s="20" t="str">
        <f ca="1">IFERROR(__xludf.DUMMYFUNCTION("""COMPUTED_VALUE"""),"SY1.DE")</f>
        <v>SY1.DE</v>
      </c>
      <c r="F38" s="21">
        <f ca="1">IFERROR(__xludf.DUMMYFUNCTION("""COMPUTED_VALUE"""),1.1)</f>
        <v>1.1000000000000001</v>
      </c>
      <c r="G38" s="16" t="str">
        <f ca="1">IFERROR(__xludf.DUMMYFUNCTION("""COMPUTED_VALUE"""),"011,276 (2021)")</f>
        <v>011,276 (2021)</v>
      </c>
      <c r="H38" s="7">
        <f ca="1">IFERROR(__xludf.DUMMYFUNCTION("""COMPUTED_VALUE"""),2003)</f>
        <v>2003</v>
      </c>
    </row>
    <row r="39" spans="1:8" ht="18.75" customHeight="1" x14ac:dyDescent="0.25">
      <c r="A39" s="7">
        <v>38</v>
      </c>
      <c r="B39" s="3"/>
      <c r="C39" s="16" t="str">
        <f ca="1">IFERROR(__xludf.DUMMYFUNCTION("""COMPUTED_VALUE"""),"Volkswagen Group")</f>
        <v>Volkswagen Group</v>
      </c>
      <c r="D39" s="16" t="str">
        <f ca="1">IFERROR(__xludf.DUMMYFUNCTION("""COMPUTED_VALUE"""),"Automobile")</f>
        <v>Automobile</v>
      </c>
      <c r="E39" s="20" t="str">
        <f ca="1">IFERROR(__xludf.DUMMYFUNCTION("""COMPUTED_VALUE"""),"VOW3.DE")</f>
        <v>VOW3.DE</v>
      </c>
      <c r="F39" s="21">
        <f ca="1">IFERROR(__xludf.DUMMYFUNCTION("""COMPUTED_VALUE"""),2.4)</f>
        <v>2.4</v>
      </c>
      <c r="G39" s="16" t="str">
        <f ca="1">IFERROR(__xludf.DUMMYFUNCTION("""COMPUTED_VALUE"""),"672,800 (2021)")</f>
        <v>672,800 (2021)</v>
      </c>
      <c r="H39" s="7">
        <f ca="1">IFERROR(__xludf.DUMMYFUNCTION("""COMPUTED_VALUE"""),1937)</f>
        <v>1937</v>
      </c>
    </row>
    <row r="40" spans="1:8" ht="18.75" customHeight="1" x14ac:dyDescent="0.25">
      <c r="A40" s="7">
        <v>39</v>
      </c>
      <c r="B40" s="3"/>
      <c r="C40" s="16" t="str">
        <f ca="1">IFERROR(__xludf.DUMMYFUNCTION("""COMPUTED_VALUE"""),"Vonovia")</f>
        <v>Vonovia</v>
      </c>
      <c r="D40" s="16" t="str">
        <f ca="1">IFERROR(__xludf.DUMMYFUNCTION("""COMPUTED_VALUE"""),"Real Estate")</f>
        <v>Real Estate</v>
      </c>
      <c r="E40" s="20" t="str">
        <f ca="1">IFERROR(__xludf.DUMMYFUNCTION("""COMPUTED_VALUE"""),"VNA.DE")</f>
        <v>VNA.DE</v>
      </c>
      <c r="F40" s="7">
        <f ca="1">IFERROR(__xludf.DUMMYFUNCTION("""COMPUTED_VALUE"""),2)</f>
        <v>2</v>
      </c>
      <c r="G40" s="16" t="str">
        <f ca="1">IFERROR(__xludf.DUMMYFUNCTION("""COMPUTED_VALUE"""),"010,622 (2020)")</f>
        <v>010,622 (2020)</v>
      </c>
      <c r="H40" s="7">
        <f ca="1">IFERROR(__xludf.DUMMYFUNCTION("""COMPUTED_VALUE"""),2001)</f>
        <v>2001</v>
      </c>
    </row>
    <row r="41" spans="1:8" ht="18.75" customHeight="1" x14ac:dyDescent="0.25">
      <c r="A41" s="7">
        <v>40</v>
      </c>
      <c r="B41" s="3"/>
      <c r="C41" s="16" t="str">
        <f ca="1">IFERROR(__xludf.DUMMYFUNCTION("""COMPUTED_VALUE"""),"Zalando")</f>
        <v>Zalando</v>
      </c>
      <c r="D41" s="16" t="str">
        <f ca="1">IFERROR(__xludf.DUMMYFUNCTION("""COMPUTED_VALUE"""),"E-Commerce")</f>
        <v>E-Commerce</v>
      </c>
      <c r="E41" s="20" t="str">
        <f ca="1">IFERROR(__xludf.DUMMYFUNCTION("""COMPUTED_VALUE"""),"ZAL.DE")</f>
        <v>ZAL.DE</v>
      </c>
      <c r="F41" s="21">
        <f ca="1">IFERROR(__xludf.DUMMYFUNCTION("""COMPUTED_VALUE"""),0.5)</f>
        <v>0.5</v>
      </c>
      <c r="G41" s="16" t="str">
        <f ca="1">IFERROR(__xludf.DUMMYFUNCTION("""COMPUTED_VALUE"""),"017,000 (2021)")</f>
        <v>017,000 (2021)</v>
      </c>
      <c r="H41" s="7">
        <f ca="1">IFERROR(__xludf.DUMMYFUNCTION("""COMPUTED_VALUE"""),2008)</f>
        <v>2008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1"/>
  <sheetViews>
    <sheetView workbookViewId="0"/>
  </sheetViews>
  <sheetFormatPr defaultRowHeight="15" x14ac:dyDescent="0.25"/>
  <cols>
    <col min="1" max="1" width="13.5703125" style="14" bestFit="1" customWidth="1"/>
    <col min="2" max="2" width="13.5703125" style="13" bestFit="1" customWidth="1"/>
    <col min="3" max="3" width="25.42578125" style="13" bestFit="1" customWidth="1"/>
    <col min="4" max="9" width="13.5703125" style="13" bestFit="1" customWidth="1"/>
  </cols>
  <sheetData>
    <row r="1" spans="1:9" ht="18.75" customHeight="1" x14ac:dyDescent="0.25">
      <c r="A1" s="4"/>
      <c r="B1" s="16" t="str">
        <f ca="1">IFERROR(__xludf.DUMMYFUNCTION("IMPORTHTML(""https://en.wikipedia.org/wiki/MDAX#Companies"",""table"",3)"),"Logo")</f>
        <v>Logo</v>
      </c>
      <c r="C1" s="16" t="str">
        <f ca="1">IFERROR(__xludf.DUMMYFUNCTION("""COMPUTED_VALUE"""),"Name")</f>
        <v>Name</v>
      </c>
      <c r="D1" s="16" t="str">
        <f ca="1">IFERROR(__xludf.DUMMYFUNCTION("""COMPUTED_VALUE"""),"Industry")</f>
        <v>Industry</v>
      </c>
      <c r="E1" s="16" t="str">
        <f ca="1">IFERROR(__xludf.DUMMYFUNCTION("""COMPUTED_VALUE"""),"Index weighting")</f>
        <v>Index weighting</v>
      </c>
      <c r="F1" s="3" t="s">
        <v>436</v>
      </c>
      <c r="G1" s="3" t="s">
        <v>437</v>
      </c>
      <c r="H1" s="16" t="str">
        <f ca="1">IFERROR(__xludf.DUMMYFUNCTION("""COMPUTED_VALUE"""),"Location")</f>
        <v>Location</v>
      </c>
      <c r="I1" s="16" t="str">
        <f ca="1">IFERROR(__xludf.DUMMYFUNCTION("""COMPUTED_VALUE"""),"Symbol")</f>
        <v>Symbol</v>
      </c>
    </row>
    <row r="2" spans="1:9" ht="18.75" customHeight="1" x14ac:dyDescent="0.25">
      <c r="A2" s="7">
        <v>1</v>
      </c>
      <c r="B2" s="3"/>
      <c r="C2" s="17" t="str">
        <f ca="1">IFERROR(__xludf.DUMMYFUNCTION("""COMPUTED_VALUE"""),"Aareal Bank AG")</f>
        <v>Aareal Bank AG</v>
      </c>
      <c r="D2" s="16" t="str">
        <f ca="1">IFERROR(__xludf.DUMMYFUNCTION("""COMPUTED_VALUE"""),"Bank")</f>
        <v>Bank</v>
      </c>
      <c r="E2" s="16" t="str">
        <f ca="1">IFERROR(__xludf.DUMMYFUNCTION("""COMPUTED_VALUE"""),"0,42")</f>
        <v>0,42</v>
      </c>
      <c r="F2" s="16" t="str">
        <f ca="1">IFERROR(__xludf.DUMMYFUNCTION("""COMPUTED_VALUE"""),"059.857.221")</f>
        <v>059.857.221</v>
      </c>
      <c r="G2" s="16" t="str">
        <f ca="1">IFERROR(__xludf.DUMMYFUNCTION("""COMPUTED_VALUE"""),"1.071,44")</f>
        <v>1.071,44</v>
      </c>
      <c r="H2" s="16" t="str">
        <f ca="1">IFERROR(__xludf.DUMMYFUNCTION("""COMPUTED_VALUE"""),"Wiesbaden")</f>
        <v>Wiesbaden</v>
      </c>
      <c r="I2" s="16" t="str">
        <f ca="1">IFERROR(__xludf.DUMMYFUNCTION("""COMPUTED_VALUE"""),"ARL")</f>
        <v>ARL</v>
      </c>
    </row>
    <row r="3" spans="1:9" ht="18.75" customHeight="1" x14ac:dyDescent="0.25">
      <c r="A3" s="7">
        <v>2</v>
      </c>
      <c r="B3" s="3"/>
      <c r="C3" s="16" t="str">
        <f ca="1">IFERROR(__xludf.DUMMYFUNCTION("""COMPUTED_VALUE"""),"Airbus SE")</f>
        <v>Airbus SE</v>
      </c>
      <c r="D3" s="16" t="str">
        <f ca="1">IFERROR(__xludf.DUMMYFUNCTION("""COMPUTED_VALUE"""),"Aerospace, Defence")</f>
        <v>Aerospace, Defence</v>
      </c>
      <c r="E3" s="16" t="str">
        <f ca="1">IFERROR(__xludf.DUMMYFUNCTION("""COMPUTED_VALUE"""),"8,15")</f>
        <v>8,15</v>
      </c>
      <c r="F3" s="16" t="str">
        <f ca="1">IFERROR(__xludf.DUMMYFUNCTION("""COMPUTED_VALUE"""),"411.818.320")</f>
        <v>411.818.320</v>
      </c>
      <c r="G3" s="16" t="str">
        <f ca="1">IFERROR(__xludf.DUMMYFUNCTION("""COMPUTED_VALUE"""),"21.015,04")</f>
        <v>21.015,04</v>
      </c>
      <c r="H3" s="16" t="str">
        <f ca="1">IFERROR(__xludf.DUMMYFUNCTION("""COMPUTED_VALUE"""),"Leiden (Netherlands), Toulouse (France)")</f>
        <v>Leiden (Netherlands), Toulouse (France)</v>
      </c>
      <c r="I3" s="16" t="str">
        <f ca="1">IFERROR(__xludf.DUMMYFUNCTION("""COMPUTED_VALUE"""),"AIR")</f>
        <v>AIR</v>
      </c>
    </row>
    <row r="4" spans="1:9" ht="18.75" customHeight="1" x14ac:dyDescent="0.25">
      <c r="A4" s="7">
        <v>3</v>
      </c>
      <c r="B4" s="3"/>
      <c r="C4" s="16" t="str">
        <f ca="1">IFERROR(__xludf.DUMMYFUNCTION("""COMPUTED_VALUE"""),"Aixtron SE")</f>
        <v>Aixtron SE</v>
      </c>
      <c r="D4" s="16" t="str">
        <f ca="1">IFERROR(__xludf.DUMMYFUNCTION("""COMPUTED_VALUE"""),"Semiconductor industry")</f>
        <v>Semiconductor industry</v>
      </c>
      <c r="E4" s="3"/>
      <c r="F4" s="3"/>
      <c r="G4" s="3"/>
      <c r="H4" s="16" t="str">
        <f ca="1">IFERROR(__xludf.DUMMYFUNCTION("""COMPUTED_VALUE"""),"Herzogenrath")</f>
        <v>Herzogenrath</v>
      </c>
      <c r="I4" s="16" t="str">
        <f ca="1">IFERROR(__xludf.DUMMYFUNCTION("""COMPUTED_VALUE"""),"AIXA")</f>
        <v>AIXA</v>
      </c>
    </row>
    <row r="5" spans="1:9" ht="18.75" customHeight="1" x14ac:dyDescent="0.25">
      <c r="A5" s="7">
        <v>4</v>
      </c>
      <c r="B5" s="3"/>
      <c r="C5" s="16" t="str">
        <f ca="1">IFERROR(__xludf.DUMMYFUNCTION("""COMPUTED_VALUE"""),"alstria office REIT-AG")</f>
        <v>alstria office REIT-AG</v>
      </c>
      <c r="D5" s="16" t="str">
        <f ca="1">IFERROR(__xludf.DUMMYFUNCTION("""COMPUTED_VALUE"""),"Real estate")</f>
        <v>Real estate</v>
      </c>
      <c r="E5" s="16" t="str">
        <f ca="1">IFERROR(__xludf.DUMMYFUNCTION("""COMPUTED_VALUE"""),"0,95")</f>
        <v>0,95</v>
      </c>
      <c r="F5" s="16" t="str">
        <f ca="1">IFERROR(__xludf.DUMMYFUNCTION("""COMPUTED_VALUE"""),"177.593.422")</f>
        <v>177.593.422</v>
      </c>
      <c r="G5" s="16" t="str">
        <f ca="1">IFERROR(__xludf.DUMMYFUNCTION("""COMPUTED_VALUE"""),"2.441,91")</f>
        <v>2.441,91</v>
      </c>
      <c r="H5" s="16" t="str">
        <f ca="1">IFERROR(__xludf.DUMMYFUNCTION("""COMPUTED_VALUE"""),"Hamburg")</f>
        <v>Hamburg</v>
      </c>
      <c r="I5" s="16" t="str">
        <f ca="1">IFERROR(__xludf.DUMMYFUNCTION("""COMPUTED_VALUE"""),"AOX")</f>
        <v>AOX</v>
      </c>
    </row>
    <row r="6" spans="1:9" ht="18.75" customHeight="1" x14ac:dyDescent="0.25">
      <c r="A6" s="7">
        <v>5</v>
      </c>
      <c r="B6" s="3"/>
      <c r="C6" s="16" t="str">
        <f ca="1">IFERROR(__xludf.DUMMYFUNCTION("""COMPUTED_VALUE"""),"Aroundtown S.A.")</f>
        <v>Aroundtown S.A.</v>
      </c>
      <c r="D6" s="16" t="str">
        <f ca="1">IFERROR(__xludf.DUMMYFUNCTION("""COMPUTED_VALUE"""),"Real estate")</f>
        <v>Real estate</v>
      </c>
      <c r="E6" s="16" t="str">
        <f ca="1">IFERROR(__xludf.DUMMYFUNCTION("""COMPUTED_VALUE"""),"2,55")</f>
        <v>2,55</v>
      </c>
      <c r="F6" s="16" t="str">
        <f ca="1">IFERROR(__xludf.DUMMYFUNCTION("""COMPUTED_VALUE"""),"1.536.397.797")</f>
        <v>1.536.397.797</v>
      </c>
      <c r="G6" s="16" t="str">
        <f ca="1">IFERROR(__xludf.DUMMYFUNCTION("""COMPUTED_VALUE"""),"6.571,42")</f>
        <v>6.571,42</v>
      </c>
      <c r="H6" s="16" t="str">
        <f ca="1">IFERROR(__xludf.DUMMYFUNCTION("""COMPUTED_VALUE"""),"Luxemburg")</f>
        <v>Luxemburg</v>
      </c>
      <c r="I6" s="16" t="str">
        <f ca="1">IFERROR(__xludf.DUMMYFUNCTION("""COMPUTED_VALUE"""),"AT1")</f>
        <v>AT1</v>
      </c>
    </row>
    <row r="7" spans="1:9" ht="18.75" customHeight="1" x14ac:dyDescent="0.25">
      <c r="A7" s="7">
        <v>6</v>
      </c>
      <c r="B7" s="3"/>
      <c r="C7" s="16" t="str">
        <f ca="1">IFERROR(__xludf.DUMMYFUNCTION("""COMPUTED_VALUE"""),"Aurubis AG")</f>
        <v>Aurubis AG</v>
      </c>
      <c r="D7" s="16" t="str">
        <f ca="1">IFERROR(__xludf.DUMMYFUNCTION("""COMPUTED_VALUE"""),"Metals")</f>
        <v>Metals</v>
      </c>
      <c r="E7" s="16" t="str">
        <f ca="1">IFERROR(__xludf.DUMMYFUNCTION("""COMPUTED_VALUE"""),"0,60")</f>
        <v>0,60</v>
      </c>
      <c r="F7" s="16" t="str">
        <f ca="1">IFERROR(__xludf.DUMMYFUNCTION("""COMPUTED_VALUE"""),"044.956.723")</f>
        <v>044.956.723</v>
      </c>
      <c r="G7" s="16" t="str">
        <f ca="1">IFERROR(__xludf.DUMMYFUNCTION("""COMPUTED_VALUE"""),"1.548,63")</f>
        <v>1.548,63</v>
      </c>
      <c r="H7" s="16" t="str">
        <f ca="1">IFERROR(__xludf.DUMMYFUNCTION("""COMPUTED_VALUE"""),"Hamburg")</f>
        <v>Hamburg</v>
      </c>
      <c r="I7" s="16" t="str">
        <f ca="1">IFERROR(__xludf.DUMMYFUNCTION("""COMPUTED_VALUE"""),"NDA")</f>
        <v>NDA</v>
      </c>
    </row>
    <row r="8" spans="1:9" ht="18.75" customHeight="1" x14ac:dyDescent="0.25">
      <c r="A8" s="7">
        <v>7</v>
      </c>
      <c r="B8" s="3"/>
      <c r="C8" s="16" t="str">
        <f ca="1">IFERROR(__xludf.DUMMYFUNCTION("""COMPUTED_VALUE"""),"Bechtle AG")</f>
        <v>Bechtle AG</v>
      </c>
      <c r="D8" s="16" t="str">
        <f ca="1">IFERROR(__xludf.DUMMYFUNCTION("""COMPUTED_VALUE"""),"IT services")</f>
        <v>IT services</v>
      </c>
      <c r="E8" s="16" t="str">
        <f ca="1">IFERROR(__xludf.DUMMYFUNCTION("""COMPUTED_VALUE"""),"1,64")</f>
        <v>1,64</v>
      </c>
      <c r="F8" s="16" t="str">
        <f ca="1">IFERROR(__xludf.DUMMYFUNCTION("""COMPUTED_VALUE"""),"042.000.000")</f>
        <v>042.000.000</v>
      </c>
      <c r="G8" s="16" t="str">
        <f ca="1">IFERROR(__xludf.DUMMYFUNCTION("""COMPUTED_VALUE"""),"4.230,20")</f>
        <v>4.230,20</v>
      </c>
      <c r="H8" s="16" t="str">
        <f ca="1">IFERROR(__xludf.DUMMYFUNCTION("""COMPUTED_VALUE"""),"Neckarsulm")</f>
        <v>Neckarsulm</v>
      </c>
      <c r="I8" s="16" t="str">
        <f ca="1">IFERROR(__xludf.DUMMYFUNCTION("""COMPUTED_VALUE"""),"BC8")</f>
        <v>BC8</v>
      </c>
    </row>
    <row r="9" spans="1:9" ht="18.75" customHeight="1" x14ac:dyDescent="0.25">
      <c r="A9" s="7">
        <v>8</v>
      </c>
      <c r="B9" s="3"/>
      <c r="C9" s="16" t="str">
        <f ca="1">IFERROR(__xludf.DUMMYFUNCTION("""COMPUTED_VALUE"""),"Brenntag AG")</f>
        <v>Brenntag AG</v>
      </c>
      <c r="D9" s="16" t="str">
        <f ca="1">IFERROR(__xludf.DUMMYFUNCTION("""COMPUTED_VALUE"""),"Chemical distribution")</f>
        <v>Chemical distribution</v>
      </c>
      <c r="E9" s="16" t="str">
        <f ca="1">IFERROR(__xludf.DUMMYFUNCTION("""COMPUTED_VALUE"""),"2,82")</f>
        <v>2,82</v>
      </c>
      <c r="F9" s="16" t="str">
        <f ca="1">IFERROR(__xludf.DUMMYFUNCTION("""COMPUTED_VALUE"""),"154.500.000")</f>
        <v>154.500.000</v>
      </c>
      <c r="G9" s="16" t="str">
        <f ca="1">IFERROR(__xludf.DUMMYFUNCTION("""COMPUTED_VALUE"""),"7.261,50")</f>
        <v>7.261,50</v>
      </c>
      <c r="H9" s="16" t="str">
        <f ca="1">IFERROR(__xludf.DUMMYFUNCTION("""COMPUTED_VALUE"""),"Essen")</f>
        <v>Essen</v>
      </c>
      <c r="I9" s="16" t="str">
        <f ca="1">IFERROR(__xludf.DUMMYFUNCTION("""COMPUTED_VALUE"""),"BNR")</f>
        <v>BNR</v>
      </c>
    </row>
    <row r="10" spans="1:9" ht="18.75" customHeight="1" x14ac:dyDescent="0.25">
      <c r="A10" s="7">
        <v>9</v>
      </c>
      <c r="B10" s="3"/>
      <c r="C10" s="16" t="str">
        <f ca="1">IFERROR(__xludf.DUMMYFUNCTION("""COMPUTED_VALUE"""),"Cancom SE")</f>
        <v>Cancom SE</v>
      </c>
      <c r="D10" s="16" t="str">
        <f ca="1">IFERROR(__xludf.DUMMYFUNCTION("""COMPUTED_VALUE"""),"IT services")</f>
        <v>IT services</v>
      </c>
      <c r="E10" s="16" t="str">
        <f ca="1">IFERROR(__xludf.DUMMYFUNCTION("""COMPUTED_VALUE"""),"0,76")</f>
        <v>0,76</v>
      </c>
      <c r="F10" s="16" t="str">
        <f ca="1">IFERROR(__xludf.DUMMYFUNCTION("""COMPUTED_VALUE"""),"038.548.001")</f>
        <v>038.548.001</v>
      </c>
      <c r="G10" s="16" t="str">
        <f ca="1">IFERROR(__xludf.DUMMYFUNCTION("""COMPUTED_VALUE"""),"1.950,53")</f>
        <v>1.950,53</v>
      </c>
      <c r="H10" s="16" t="str">
        <f ca="1">IFERROR(__xludf.DUMMYFUNCTION("""COMPUTED_VALUE"""),"München")</f>
        <v>München</v>
      </c>
      <c r="I10" s="16" t="str">
        <f ca="1">IFERROR(__xludf.DUMMYFUNCTION("""COMPUTED_VALUE"""),"COK")</f>
        <v>COK</v>
      </c>
    </row>
    <row r="11" spans="1:9" ht="18.75" customHeight="1" x14ac:dyDescent="0.25">
      <c r="A11" s="7">
        <v>10</v>
      </c>
      <c r="B11" s="3"/>
      <c r="C11" s="16" t="str">
        <f ca="1">IFERROR(__xludf.DUMMYFUNCTION("""COMPUTED_VALUE"""),"Carl Zeiss Meditec AG")</f>
        <v>Carl Zeiss Meditec AG</v>
      </c>
      <c r="D11" s="16" t="str">
        <f ca="1">IFERROR(__xludf.DUMMYFUNCTION("""COMPUTED_VALUE"""),"Medical technology")</f>
        <v>Medical technology</v>
      </c>
      <c r="E11" s="16" t="str">
        <f ca="1">IFERROR(__xludf.DUMMYFUNCTION("""COMPUTED_VALUE"""),"1,29")</f>
        <v>1,29</v>
      </c>
      <c r="F11" s="16" t="str">
        <f ca="1">IFERROR(__xludf.DUMMYFUNCTION("""COMPUTED_VALUE"""),"089.440.570")</f>
        <v>089.440.570</v>
      </c>
      <c r="G11" s="16" t="str">
        <f ca="1">IFERROR(__xludf.DUMMYFUNCTION("""COMPUTED_VALUE"""),"3.334,77")</f>
        <v>3.334,77</v>
      </c>
      <c r="H11" s="16" t="str">
        <f ca="1">IFERROR(__xludf.DUMMYFUNCTION("""COMPUTED_VALUE"""),"Jena")</f>
        <v>Jena</v>
      </c>
      <c r="I11" s="16" t="str">
        <f ca="1">IFERROR(__xludf.DUMMYFUNCTION("""COMPUTED_VALUE"""),"AFX")</f>
        <v>AFX</v>
      </c>
    </row>
    <row r="12" spans="1:9" ht="18.75" customHeight="1" x14ac:dyDescent="0.25">
      <c r="A12" s="7">
        <v>11</v>
      </c>
      <c r="B12" s="3"/>
      <c r="C12" s="18" t="str">
        <f ca="1">IFERROR(__xludf.DUMMYFUNCTION("""COMPUTED_VALUE"""),"Commerzbank AG")</f>
        <v>Commerzbank AG</v>
      </c>
      <c r="D12" s="16" t="str">
        <f ca="1">IFERROR(__xludf.DUMMYFUNCTION("""COMPUTED_VALUE"""),"Bank")</f>
        <v>Bank</v>
      </c>
      <c r="E12" s="16" t="str">
        <f ca="1">IFERROR(__xludf.DUMMYFUNCTION("""COMPUTED_VALUE"""),"1,49")</f>
        <v>1,49</v>
      </c>
      <c r="F12" s="16" t="str">
        <f ca="1">IFERROR(__xludf.DUMMYFUNCTION("""COMPUTED_VALUE"""),"1.252.357.634")</f>
        <v>1.252.357.634</v>
      </c>
      <c r="G12" s="16" t="str">
        <f ca="1">IFERROR(__xludf.DUMMYFUNCTION("""COMPUTED_VALUE"""),"3.829,84")</f>
        <v>3.829,84</v>
      </c>
      <c r="H12" s="16" t="str">
        <f ca="1">IFERROR(__xludf.DUMMYFUNCTION("""COMPUTED_VALUE"""),"Frankfurt")</f>
        <v>Frankfurt</v>
      </c>
      <c r="I12" s="16" t="str">
        <f ca="1">IFERROR(__xludf.DUMMYFUNCTION("""COMPUTED_VALUE"""),"CBK")</f>
        <v>CBK</v>
      </c>
    </row>
    <row r="13" spans="1:9" ht="18.75" customHeight="1" x14ac:dyDescent="0.25">
      <c r="A13" s="7">
        <v>12</v>
      </c>
      <c r="B13" s="3"/>
      <c r="C13" s="18" t="str">
        <f ca="1">IFERROR(__xludf.DUMMYFUNCTION("""COMPUTED_VALUE"""),"CompuGroup Medical SE")</f>
        <v>CompuGroup Medical SE</v>
      </c>
      <c r="D13" s="16" t="str">
        <f ca="1">IFERROR(__xludf.DUMMYFUNCTION("""COMPUTED_VALUE"""),"Software")</f>
        <v>Software</v>
      </c>
      <c r="E13" s="16" t="str">
        <f ca="1">IFERROR(__xludf.DUMMYFUNCTION("""COMPUTED_VALUE"""),"0,57")</f>
        <v>0,57</v>
      </c>
      <c r="F13" s="16" t="str">
        <f ca="1">IFERROR(__xludf.DUMMYFUNCTION("""COMPUTED_VALUE"""),"053.219.350")</f>
        <v>053.219.350</v>
      </c>
      <c r="G13" s="16" t="str">
        <f ca="1">IFERROR(__xludf.DUMMYFUNCTION("""COMPUTED_VALUE"""),"1.466,69")</f>
        <v>1.466,69</v>
      </c>
      <c r="H13" s="16" t="str">
        <f ca="1">IFERROR(__xludf.DUMMYFUNCTION("""COMPUTED_VALUE"""),"Koblenz")</f>
        <v>Koblenz</v>
      </c>
      <c r="I13" s="16" t="str">
        <f ca="1">IFERROR(__xludf.DUMMYFUNCTION("""COMPUTED_VALUE"""),"COP")</f>
        <v>COP</v>
      </c>
    </row>
    <row r="14" spans="1:9" ht="18.75" customHeight="1" x14ac:dyDescent="0.25">
      <c r="A14" s="7">
        <v>13</v>
      </c>
      <c r="B14" s="3"/>
      <c r="C14" s="16" t="str">
        <f ca="1">IFERROR(__xludf.DUMMYFUNCTION("""COMPUTED_VALUE"""),"CTS Eventim AG &amp; Co. KGaA")</f>
        <v>CTS Eventim AG &amp; Co. KGaA</v>
      </c>
      <c r="D14" s="16" t="str">
        <f ca="1">IFERROR(__xludf.DUMMYFUNCTION("""COMPUTED_VALUE"""),"Leisure-events")</f>
        <v>Leisure-events</v>
      </c>
      <c r="E14" s="16" t="str">
        <f ca="1">IFERROR(__xludf.DUMMYFUNCTION("""COMPUTED_VALUE"""),"0,90")</f>
        <v>0,90</v>
      </c>
      <c r="F14" s="16" t="str">
        <f ca="1">IFERROR(__xludf.DUMMYFUNCTION("""COMPUTED_VALUE"""),"096.000.000")</f>
        <v>096.000.000</v>
      </c>
      <c r="G14" s="16" t="str">
        <f ca="1">IFERROR(__xludf.DUMMYFUNCTION("""COMPUTED_VALUE"""),"2.321,54")</f>
        <v>2.321,54</v>
      </c>
      <c r="H14" s="16" t="str">
        <f ca="1">IFERROR(__xludf.DUMMYFUNCTION("""COMPUTED_VALUE"""),"München")</f>
        <v>München</v>
      </c>
      <c r="I14" s="16" t="str">
        <f ca="1">IFERROR(__xludf.DUMMYFUNCTION("""COMPUTED_VALUE"""),"EVD")</f>
        <v>EVD</v>
      </c>
    </row>
    <row r="15" spans="1:9" ht="18.75" customHeight="1" x14ac:dyDescent="0.25">
      <c r="A15" s="7">
        <v>14</v>
      </c>
      <c r="B15" s="3"/>
      <c r="C15" s="16" t="str">
        <f ca="1">IFERROR(__xludf.DUMMYFUNCTION("""COMPUTED_VALUE"""),"Deutsche Lufthansa AG")</f>
        <v>Deutsche Lufthansa AG</v>
      </c>
      <c r="D15" s="16" t="str">
        <f ca="1">IFERROR(__xludf.DUMMYFUNCTION("""COMPUTED_VALUE"""),"Airlines")</f>
        <v>Airlines</v>
      </c>
      <c r="E15" s="3"/>
      <c r="F15" s="3"/>
      <c r="G15" s="3"/>
      <c r="H15" s="16" t="str">
        <f ca="1">IFERROR(__xludf.DUMMYFUNCTION("""COMPUTED_VALUE"""),"Köln")</f>
        <v>Köln</v>
      </c>
      <c r="I15" s="16" t="str">
        <f ca="1">IFERROR(__xludf.DUMMYFUNCTION("""COMPUTED_VALUE"""),"LHA")</f>
        <v>LHA</v>
      </c>
    </row>
    <row r="16" spans="1:9" ht="18.75" customHeight="1" x14ac:dyDescent="0.25">
      <c r="A16" s="7">
        <v>15</v>
      </c>
      <c r="B16" s="3"/>
      <c r="C16" s="16" t="str">
        <f ca="1">IFERROR(__xludf.DUMMYFUNCTION("""COMPUTED_VALUE"""),"Dürr AG")</f>
        <v>Dürr AG</v>
      </c>
      <c r="D16" s="16" t="str">
        <f ca="1">IFERROR(__xludf.DUMMYFUNCTION("""COMPUTED_VALUE"""),"Plant and machinery construction")</f>
        <v>Plant and machinery construction</v>
      </c>
      <c r="E16" s="16" t="str">
        <f ca="1">IFERROR(__xludf.DUMMYFUNCTION("""COMPUTED_VALUE"""),"0,43")</f>
        <v>0,43</v>
      </c>
      <c r="F16" s="16" t="str">
        <f ca="1">IFERROR(__xludf.DUMMYFUNCTION("""COMPUTED_VALUE"""),"069.202.080")</f>
        <v>069.202.080</v>
      </c>
      <c r="G16" s="16" t="str">
        <f ca="1">IFERROR(__xludf.DUMMYFUNCTION("""COMPUTED_VALUE"""),"1.109,83")</f>
        <v>1.109,83</v>
      </c>
      <c r="H16" s="16" t="str">
        <f ca="1">IFERROR(__xludf.DUMMYFUNCTION("""COMPUTED_VALUE"""),"Bietigheim-Bissingen")</f>
        <v>Bietigheim-Bissingen</v>
      </c>
      <c r="I16" s="16" t="str">
        <f ca="1">IFERROR(__xludf.DUMMYFUNCTION("""COMPUTED_VALUE"""),"DUE")</f>
        <v>DUE</v>
      </c>
    </row>
    <row r="17" spans="1:9" ht="18.75" customHeight="1" x14ac:dyDescent="0.25">
      <c r="A17" s="7">
        <v>16</v>
      </c>
      <c r="B17" s="3"/>
      <c r="C17" s="16" t="str">
        <f ca="1">IFERROR(__xludf.DUMMYFUNCTION("""COMPUTED_VALUE"""),"Evonik Industries AG")</f>
        <v>Evonik Industries AG</v>
      </c>
      <c r="D17" s="16" t="str">
        <f ca="1">IFERROR(__xludf.DUMMYFUNCTION("""COMPUTED_VALUE"""),"Chemistry")</f>
        <v>Chemistry</v>
      </c>
      <c r="E17" s="16" t="str">
        <f ca="1">IFERROR(__xludf.DUMMYFUNCTION("""COMPUTED_VALUE"""),"1,74")</f>
        <v>1,74</v>
      </c>
      <c r="F17" s="16" t="str">
        <f ca="1">IFERROR(__xludf.DUMMYFUNCTION("""COMPUTED_VALUE"""),"466.000.000")</f>
        <v>466.000.000</v>
      </c>
      <c r="G17" s="16" t="str">
        <f ca="1">IFERROR(__xludf.DUMMYFUNCTION("""COMPUTED_VALUE"""),"4.488,28")</f>
        <v>4.488,28</v>
      </c>
      <c r="H17" s="16" t="str">
        <f ca="1">IFERROR(__xludf.DUMMYFUNCTION("""COMPUTED_VALUE"""),"Essen")</f>
        <v>Essen</v>
      </c>
      <c r="I17" s="16" t="str">
        <f ca="1">IFERROR(__xludf.DUMMYFUNCTION("""COMPUTED_VALUE"""),"EVK")</f>
        <v>EVK</v>
      </c>
    </row>
    <row r="18" spans="1:9" ht="18.75" customHeight="1" x14ac:dyDescent="0.25">
      <c r="A18" s="7">
        <v>17</v>
      </c>
      <c r="B18" s="3"/>
      <c r="C18" s="18" t="str">
        <f ca="1">IFERROR(__xludf.DUMMYFUNCTION("""COMPUTED_VALUE"""),"Evotec SE")</f>
        <v>Evotec SE</v>
      </c>
      <c r="D18" s="16" t="str">
        <f ca="1">IFERROR(__xludf.DUMMYFUNCTION("""COMPUTED_VALUE"""),"Biotechnology")</f>
        <v>Biotechnology</v>
      </c>
      <c r="E18" s="16" t="str">
        <f ca="1">IFERROR(__xludf.DUMMYFUNCTION("""COMPUTED_VALUE"""),"1,21")</f>
        <v>1,21</v>
      </c>
      <c r="F18" s="16" t="str">
        <f ca="1">IFERROR(__xludf.DUMMYFUNCTION("""COMPUTED_VALUE"""),"151.228.427")</f>
        <v>151.228.427</v>
      </c>
      <c r="G18" s="16" t="str">
        <f ca="1">IFERROR(__xludf.DUMMYFUNCTION("""COMPUTED_VALUE"""),"3.110,84")</f>
        <v>3.110,84</v>
      </c>
      <c r="H18" s="16" t="str">
        <f ca="1">IFERROR(__xludf.DUMMYFUNCTION("""COMPUTED_VALUE"""),"Hamburg")</f>
        <v>Hamburg</v>
      </c>
      <c r="I18" s="16" t="str">
        <f ca="1">IFERROR(__xludf.DUMMYFUNCTION("""COMPUTED_VALUE"""),"EVT")</f>
        <v>EVT</v>
      </c>
    </row>
    <row r="19" spans="1:9" ht="18.75" customHeight="1" x14ac:dyDescent="0.25">
      <c r="A19" s="7">
        <v>18</v>
      </c>
      <c r="B19" s="3"/>
      <c r="C19" s="16" t="str">
        <f ca="1">IFERROR(__xludf.DUMMYFUNCTION("""COMPUTED_VALUE"""),"Fraport AG")</f>
        <v>Fraport AG</v>
      </c>
      <c r="D19" s="16" t="str">
        <f ca="1">IFERROR(__xludf.DUMMYFUNCTION("""COMPUTED_VALUE"""),"Airport operator")</f>
        <v>Airport operator</v>
      </c>
      <c r="E19" s="16" t="str">
        <f ca="1">IFERROR(__xludf.DUMMYFUNCTION("""COMPUTED_VALUE"""),"0,59")</f>
        <v>0,59</v>
      </c>
      <c r="F19" s="16" t="str">
        <f ca="1">IFERROR(__xludf.DUMMYFUNCTION("""COMPUTED_VALUE"""),"092.468.704")</f>
        <v>092.468.704</v>
      </c>
      <c r="G19" s="16" t="str">
        <f ca="1">IFERROR(__xludf.DUMMYFUNCTION("""COMPUTED_VALUE"""),"1.520,74")</f>
        <v>1.520,74</v>
      </c>
      <c r="H19" s="16" t="str">
        <f ca="1">IFERROR(__xludf.DUMMYFUNCTION("""COMPUTED_VALUE"""),"Frankfurt am Main")</f>
        <v>Frankfurt am Main</v>
      </c>
      <c r="I19" s="16" t="str">
        <f ca="1">IFERROR(__xludf.DUMMYFUNCTION("""COMPUTED_VALUE"""),"FRA")</f>
        <v>FRA</v>
      </c>
    </row>
    <row r="20" spans="1:9" ht="18.75" customHeight="1" x14ac:dyDescent="0.25">
      <c r="A20" s="7">
        <v>19</v>
      </c>
      <c r="B20" s="3"/>
      <c r="C20" s="16" t="str">
        <f ca="1">IFERROR(__xludf.DUMMYFUNCTION("""COMPUTED_VALUE"""),"Freenet AG")</f>
        <v>Freenet AG</v>
      </c>
      <c r="D20" s="16" t="str">
        <f ca="1">IFERROR(__xludf.DUMMYFUNCTION("""COMPUTED_VALUE"""),"Telecommunications")</f>
        <v>Telecommunications</v>
      </c>
      <c r="E20" s="16" t="str">
        <f ca="1">IFERROR(__xludf.DUMMYFUNCTION("""COMPUTED_VALUE"""),"0,74")</f>
        <v>0,74</v>
      </c>
      <c r="F20" s="16" t="str">
        <f ca="1">IFERROR(__xludf.DUMMYFUNCTION("""COMPUTED_VALUE"""),"128.061.016")</f>
        <v>128.061.016</v>
      </c>
      <c r="G20" s="16" t="str">
        <f ca="1">IFERROR(__xludf.DUMMYFUNCTION("""COMPUTED_VALUE"""),"1.910,67")</f>
        <v>1.910,67</v>
      </c>
      <c r="H20" s="16" t="str">
        <f ca="1">IFERROR(__xludf.DUMMYFUNCTION("""COMPUTED_VALUE"""),"Büdelsdorf")</f>
        <v>Büdelsdorf</v>
      </c>
      <c r="I20" s="16" t="str">
        <f ca="1">IFERROR(__xludf.DUMMYFUNCTION("""COMPUTED_VALUE"""),"FNTN")</f>
        <v>FNTN</v>
      </c>
    </row>
    <row r="21" spans="1:9" ht="18.75" customHeight="1" x14ac:dyDescent="0.25">
      <c r="A21" s="7">
        <v>20</v>
      </c>
      <c r="B21" s="3"/>
      <c r="C21" s="16" t="str">
        <f ca="1">IFERROR(__xludf.DUMMYFUNCTION("""COMPUTED_VALUE"""),"Fuchs Petrolub SE")</f>
        <v>Fuchs Petrolub SE</v>
      </c>
      <c r="D21" s="16" t="str">
        <f ca="1">IFERROR(__xludf.DUMMYFUNCTION("""COMPUTED_VALUE"""),"Chemistry")</f>
        <v>Chemistry</v>
      </c>
      <c r="E21" s="16" t="str">
        <f ca="1">IFERROR(__xludf.DUMMYFUNCTION("""COMPUTED_VALUE"""),"0,98")</f>
        <v>0,98</v>
      </c>
      <c r="F21" s="16" t="str">
        <f ca="1">IFERROR(__xludf.DUMMYFUNCTION("""COMPUTED_VALUE"""),"069.500.000")</f>
        <v>069.500.000</v>
      </c>
      <c r="G21" s="16" t="str">
        <f ca="1">IFERROR(__xludf.DUMMYFUNCTION("""COMPUTED_VALUE"""),"2.538,14")</f>
        <v>2.538,14</v>
      </c>
      <c r="H21" s="16" t="str">
        <f ca="1">IFERROR(__xludf.DUMMYFUNCTION("""COMPUTED_VALUE"""),"Mannheim")</f>
        <v>Mannheim</v>
      </c>
      <c r="I21" s="16" t="str">
        <f ca="1">IFERROR(__xludf.DUMMYFUNCTION("""COMPUTED_VALUE"""),"FPE3")</f>
        <v>FPE3</v>
      </c>
    </row>
    <row r="22" spans="1:9" ht="18.75" customHeight="1" x14ac:dyDescent="0.25">
      <c r="A22" s="7">
        <v>21</v>
      </c>
      <c r="B22" s="3"/>
      <c r="C22" s="16" t="str">
        <f ca="1">IFERROR(__xludf.DUMMYFUNCTION("""COMPUTED_VALUE"""),"GEA Group AG")</f>
        <v>GEA Group AG</v>
      </c>
      <c r="D22" s="16" t="str">
        <f ca="1">IFERROR(__xludf.DUMMYFUNCTION("""COMPUTED_VALUE"""),"Machinery")</f>
        <v>Machinery</v>
      </c>
      <c r="E22" s="16" t="str">
        <f ca="1">IFERROR(__xludf.DUMMYFUNCTION("""COMPUTED_VALUE"""),"1,66")</f>
        <v>1,66</v>
      </c>
      <c r="F22" s="16" t="str">
        <f ca="1">IFERROR(__xludf.DUMMYFUNCTION("""COMPUTED_VALUE"""),"180.492.172")</f>
        <v>180.492.172</v>
      </c>
      <c r="G22" s="16" t="str">
        <f ca="1">IFERROR(__xludf.DUMMYFUNCTION("""COMPUTED_VALUE"""),"4.280,26")</f>
        <v>4.280,26</v>
      </c>
      <c r="H22" s="16" t="str">
        <f ca="1">IFERROR(__xludf.DUMMYFUNCTION("""COMPUTED_VALUE"""),"Düsseldorf")</f>
        <v>Düsseldorf</v>
      </c>
      <c r="I22" s="16" t="str">
        <f ca="1">IFERROR(__xludf.DUMMYFUNCTION("""COMPUTED_VALUE"""),"G1A")</f>
        <v>G1A</v>
      </c>
    </row>
    <row r="23" spans="1:9" ht="18.75" customHeight="1" x14ac:dyDescent="0.25">
      <c r="A23" s="7">
        <v>22</v>
      </c>
      <c r="B23" s="3"/>
      <c r="C23" s="16" t="str">
        <f ca="1">IFERROR(__xludf.DUMMYFUNCTION("""COMPUTED_VALUE"""),"Gerresheimer AG")</f>
        <v>Gerresheimer AG</v>
      </c>
      <c r="D23" s="16" t="str">
        <f ca="1">IFERROR(__xludf.DUMMYFUNCTION("""COMPUTED_VALUE"""),"Packaging")</f>
        <v>Packaging</v>
      </c>
      <c r="E23" s="16" t="str">
        <f ca="1">IFERROR(__xludf.DUMMYFUNCTION("""COMPUTED_VALUE"""),"0,90")</f>
        <v>0,90</v>
      </c>
      <c r="F23" s="16" t="str">
        <f ca="1">IFERROR(__xludf.DUMMYFUNCTION("""COMPUTED_VALUE"""),"031.400.000")</f>
        <v>031.400.000</v>
      </c>
      <c r="G23" s="16" t="str">
        <f ca="1">IFERROR(__xludf.DUMMYFUNCTION("""COMPUTED_VALUE"""),"2.310,38")</f>
        <v>2.310,38</v>
      </c>
      <c r="H23" s="16" t="str">
        <f ca="1">IFERROR(__xludf.DUMMYFUNCTION("""COMPUTED_VALUE"""),"Düsseldorf")</f>
        <v>Düsseldorf</v>
      </c>
      <c r="I23" s="16" t="str">
        <f ca="1">IFERROR(__xludf.DUMMYFUNCTION("""COMPUTED_VALUE"""),"GXI")</f>
        <v>GXI</v>
      </c>
    </row>
    <row r="24" spans="1:9" ht="18.75" customHeight="1" x14ac:dyDescent="0.25">
      <c r="A24" s="7">
        <v>23</v>
      </c>
      <c r="B24" s="3"/>
      <c r="C24" s="16" t="str">
        <f ca="1">IFERROR(__xludf.DUMMYFUNCTION("""COMPUTED_VALUE"""),"Grand City Properties S.A.")</f>
        <v>Grand City Properties S.A.</v>
      </c>
      <c r="D24" s="16" t="str">
        <f ca="1">IFERROR(__xludf.DUMMYFUNCTION("""COMPUTED_VALUE"""),"Real estate")</f>
        <v>Real estate</v>
      </c>
      <c r="E24" s="16" t="str">
        <f ca="1">IFERROR(__xludf.DUMMYFUNCTION("""COMPUTED_VALUE"""),"0,89")</f>
        <v>0,89</v>
      </c>
      <c r="F24" s="16" t="str">
        <f ca="1">IFERROR(__xludf.DUMMYFUNCTION("""COMPUTED_VALUE"""),"167.917.771")</f>
        <v>167.917.771</v>
      </c>
      <c r="G24" s="16" t="str">
        <f ca="1">IFERROR(__xludf.DUMMYFUNCTION("""COMPUTED_VALUE"""),"2.290,71")</f>
        <v>2.290,71</v>
      </c>
      <c r="H24" s="16" t="str">
        <f ca="1">IFERROR(__xludf.DUMMYFUNCTION("""COMPUTED_VALUE"""),"Luxemburg (Luxemburg)")</f>
        <v>Luxemburg (Luxemburg)</v>
      </c>
      <c r="I24" s="16" t="str">
        <f ca="1">IFERROR(__xludf.DUMMYFUNCTION("""COMPUTED_VALUE"""),"GYC")</f>
        <v>GYC</v>
      </c>
    </row>
    <row r="25" spans="1:9" ht="18.75" customHeight="1" x14ac:dyDescent="0.25">
      <c r="A25" s="7">
        <v>24</v>
      </c>
      <c r="B25" s="3"/>
      <c r="C25" s="16" t="str">
        <f ca="1">IFERROR(__xludf.DUMMYFUNCTION("""COMPUTED_VALUE"""),"Grenke AG")</f>
        <v>Grenke AG</v>
      </c>
      <c r="D25" s="16" t="str">
        <f ca="1">IFERROR(__xludf.DUMMYFUNCTION("""COMPUTED_VALUE"""),"Finance")</f>
        <v>Finance</v>
      </c>
      <c r="E25" s="16" t="str">
        <f ca="1">IFERROR(__xludf.DUMMYFUNCTION("""COMPUTED_VALUE"""),"0,75")</f>
        <v>0,75</v>
      </c>
      <c r="F25" s="16" t="str">
        <f ca="1">IFERROR(__xludf.DUMMYFUNCTION("""COMPUTED_VALUE"""),"046.353.918")</f>
        <v>046.353.918</v>
      </c>
      <c r="G25" s="16" t="str">
        <f ca="1">IFERROR(__xludf.DUMMYFUNCTION("""COMPUTED_VALUE"""),"1.939,07")</f>
        <v>1.939,07</v>
      </c>
      <c r="H25" s="16" t="str">
        <f ca="1">IFERROR(__xludf.DUMMYFUNCTION("""COMPUTED_VALUE"""),"Baden-Baden")</f>
        <v>Baden-Baden</v>
      </c>
      <c r="I25" s="16" t="str">
        <f ca="1">IFERROR(__xludf.DUMMYFUNCTION("""COMPUTED_VALUE"""),"GLJ")</f>
        <v>GLJ</v>
      </c>
    </row>
    <row r="26" spans="1:9" ht="18.75" customHeight="1" x14ac:dyDescent="0.25">
      <c r="A26" s="7">
        <v>25</v>
      </c>
      <c r="B26" s="3"/>
      <c r="C26" s="16" t="str">
        <f ca="1">IFERROR(__xludf.DUMMYFUNCTION("""COMPUTED_VALUE"""),"Hannover Rückversicherung AG")</f>
        <v>Hannover Rückversicherung AG</v>
      </c>
      <c r="D26" s="16" t="str">
        <f ca="1">IFERROR(__xludf.DUMMYFUNCTION("""COMPUTED_VALUE"""),"Reinsurance")</f>
        <v>Reinsurance</v>
      </c>
      <c r="E26" s="16" t="str">
        <f ca="1">IFERROR(__xludf.DUMMYFUNCTION("""COMPUTED_VALUE"""),"3,63")</f>
        <v>3,63</v>
      </c>
      <c r="F26" s="16" t="str">
        <f ca="1">IFERROR(__xludf.DUMMYFUNCTION("""COMPUTED_VALUE"""),"120.597.134")</f>
        <v>120.597.134</v>
      </c>
      <c r="G26" s="16" t="str">
        <f ca="1">IFERROR(__xludf.DUMMYFUNCTION("""COMPUTED_VALUE"""),"9.347,16")</f>
        <v>9.347,16</v>
      </c>
      <c r="H26" s="16" t="str">
        <f ca="1">IFERROR(__xludf.DUMMYFUNCTION("""COMPUTED_VALUE"""),"Hannover")</f>
        <v>Hannover</v>
      </c>
      <c r="I26" s="16" t="str">
        <f ca="1">IFERROR(__xludf.DUMMYFUNCTION("""COMPUTED_VALUE"""),"HNR1")</f>
        <v>HNR1</v>
      </c>
    </row>
    <row r="27" spans="1:9" ht="18.75" customHeight="1" x14ac:dyDescent="0.25">
      <c r="A27" s="7">
        <v>26</v>
      </c>
      <c r="B27" s="3"/>
      <c r="C27" s="16" t="str">
        <f ca="1">IFERROR(__xludf.DUMMYFUNCTION("""COMPUTED_VALUE"""),"HELLA GmbH &amp; Co. KGaA")</f>
        <v>HELLA GmbH &amp; Co. KGaA</v>
      </c>
      <c r="D27" s="16" t="str">
        <f ca="1">IFERROR(__xludf.DUMMYFUNCTION("""COMPUTED_VALUE"""),"Automotive")</f>
        <v>Automotive</v>
      </c>
      <c r="E27" s="16" t="str">
        <f ca="1">IFERROR(__xludf.DUMMYFUNCTION("""COMPUTED_VALUE"""),"0,61")</f>
        <v>0,61</v>
      </c>
      <c r="F27" s="16" t="str">
        <f ca="1">IFERROR(__xludf.DUMMYFUNCTION("""COMPUTED_VALUE"""),"111.111.112")</f>
        <v>111.111.112</v>
      </c>
      <c r="G27" s="16" t="str">
        <f ca="1">IFERROR(__xludf.DUMMYFUNCTION("""COMPUTED_VALUE"""),"1.576,00")</f>
        <v>1.576,00</v>
      </c>
      <c r="H27" s="16" t="str">
        <f ca="1">IFERROR(__xludf.DUMMYFUNCTION("""COMPUTED_VALUE"""),"Lippstadt")</f>
        <v>Lippstadt</v>
      </c>
      <c r="I27" s="16" t="str">
        <f ca="1">IFERROR(__xludf.DUMMYFUNCTION("""COMPUTED_VALUE"""),"HLE")</f>
        <v>HLE</v>
      </c>
    </row>
    <row r="28" spans="1:9" ht="18.75" customHeight="1" x14ac:dyDescent="0.25">
      <c r="A28" s="7">
        <v>27</v>
      </c>
      <c r="B28" s="3"/>
      <c r="C28" s="18" t="str">
        <f ca="1">IFERROR(__xludf.DUMMYFUNCTION("""COMPUTED_VALUE"""),"HelloFresh SE")</f>
        <v>HelloFresh SE</v>
      </c>
      <c r="D28" s="16" t="str">
        <f ca="1">IFERROR(__xludf.DUMMYFUNCTION("""COMPUTED_VALUE"""),"Meal kit")</f>
        <v>Meal kit</v>
      </c>
      <c r="E28" s="16" t="str">
        <f ca="1">IFERROR(__xludf.DUMMYFUNCTION("""COMPUTED_VALUE"""),"2,27")</f>
        <v>2,27</v>
      </c>
      <c r="F28" s="16" t="str">
        <f ca="1">IFERROR(__xludf.DUMMYFUNCTION("""COMPUTED_VALUE"""),"165.737.182")</f>
        <v>165.737.182</v>
      </c>
      <c r="G28" s="16" t="str">
        <f ca="1">IFERROR(__xludf.DUMMYFUNCTION("""COMPUTED_VALUE"""),"5.857,18")</f>
        <v>5.857,18</v>
      </c>
      <c r="H28" s="16" t="str">
        <f ca="1">IFERROR(__xludf.DUMMYFUNCTION("""COMPUTED_VALUE"""),"Berlin")</f>
        <v>Berlin</v>
      </c>
      <c r="I28" s="16" t="str">
        <f ca="1">IFERROR(__xludf.DUMMYFUNCTION("""COMPUTED_VALUE"""),"HFG")</f>
        <v>HFG</v>
      </c>
    </row>
    <row r="29" spans="1:9" ht="18.75" customHeight="1" x14ac:dyDescent="0.25">
      <c r="A29" s="7">
        <v>28</v>
      </c>
      <c r="B29" s="3"/>
      <c r="C29" s="18" t="str">
        <f ca="1">IFERROR(__xludf.DUMMYFUNCTION("""COMPUTED_VALUE"""),"Hochtief AG")</f>
        <v>Hochtief AG</v>
      </c>
      <c r="D29" s="16" t="str">
        <f ca="1">IFERROR(__xludf.DUMMYFUNCTION("""COMPUTED_VALUE"""),"Construction")</f>
        <v>Construction</v>
      </c>
      <c r="E29" s="16" t="str">
        <f ca="1">IFERROR(__xludf.DUMMYFUNCTION("""COMPUTED_VALUE"""),"0,68")</f>
        <v>0,68</v>
      </c>
      <c r="F29" s="16" t="str">
        <f ca="1">IFERROR(__xludf.DUMMYFUNCTION("""COMPUTED_VALUE"""),"070.646.707")</f>
        <v>070.646.707</v>
      </c>
      <c r="G29" s="16" t="str">
        <f ca="1">IFERROR(__xludf.DUMMYFUNCTION("""COMPUTED_VALUE"""),"1.748,57")</f>
        <v>1.748,57</v>
      </c>
      <c r="H29" s="16" t="str">
        <f ca="1">IFERROR(__xludf.DUMMYFUNCTION("""COMPUTED_VALUE"""),"Essen")</f>
        <v>Essen</v>
      </c>
      <c r="I29" s="16" t="str">
        <f ca="1">IFERROR(__xludf.DUMMYFUNCTION("""COMPUTED_VALUE"""),"HOT")</f>
        <v>HOT</v>
      </c>
    </row>
    <row r="30" spans="1:9" ht="18.75" customHeight="1" x14ac:dyDescent="0.25">
      <c r="A30" s="7">
        <v>29</v>
      </c>
      <c r="B30" s="3"/>
      <c r="C30" s="16" t="str">
        <f ca="1">IFERROR(__xludf.DUMMYFUNCTION("""COMPUTED_VALUE"""),"Hugo Boss AG")</f>
        <v>Hugo Boss AG</v>
      </c>
      <c r="D30" s="16" t="str">
        <f ca="1">IFERROR(__xludf.DUMMYFUNCTION("""COMPUTED_VALUE"""),"Clothing, Accessories")</f>
        <v>Clothing, Accessories</v>
      </c>
      <c r="E30" s="16" t="str">
        <f ca="1">IFERROR(__xludf.DUMMYFUNCTION("""COMPUTED_VALUE"""),"0,65")</f>
        <v>0,65</v>
      </c>
      <c r="F30" s="16" t="str">
        <f ca="1">IFERROR(__xludf.DUMMYFUNCTION("""COMPUTED_VALUE"""),"070.400.000")</f>
        <v>070.400.000</v>
      </c>
      <c r="G30" s="16" t="str">
        <f ca="1">IFERROR(__xludf.DUMMYFUNCTION("""COMPUTED_VALUE"""),"1.663,48")</f>
        <v>1.663,48</v>
      </c>
      <c r="H30" s="16" t="str">
        <f ca="1">IFERROR(__xludf.DUMMYFUNCTION("""COMPUTED_VALUE"""),"Metzingen")</f>
        <v>Metzingen</v>
      </c>
      <c r="I30" s="16" t="str">
        <f ca="1">IFERROR(__xludf.DUMMYFUNCTION("""COMPUTED_VALUE"""),"BOSS")</f>
        <v>BOSS</v>
      </c>
    </row>
    <row r="31" spans="1:9" ht="18.75" customHeight="1" x14ac:dyDescent="0.25">
      <c r="A31" s="7">
        <v>30</v>
      </c>
      <c r="B31" s="3"/>
      <c r="C31" s="16" t="str">
        <f ca="1">IFERROR(__xludf.DUMMYFUNCTION("""COMPUTED_VALUE"""),"K+S AG")</f>
        <v>K+S AG</v>
      </c>
      <c r="D31" s="16" t="str">
        <f ca="1">IFERROR(__xludf.DUMMYFUNCTION("""COMPUTED_VALUE"""),"Mining (fertilizer and salt)")</f>
        <v>Mining (fertilizer and salt)</v>
      </c>
      <c r="E31" s="16" t="str">
        <f ca="1">IFERROR(__xludf.DUMMYFUNCTION("""COMPUTED_VALUE"""),"0,46")</f>
        <v>0,46</v>
      </c>
      <c r="F31" s="16" t="str">
        <f ca="1">IFERROR(__xludf.DUMMYFUNCTION("""COMPUTED_VALUE"""),"191.400.000")</f>
        <v>191.400.000</v>
      </c>
      <c r="G31" s="16" t="str">
        <f ca="1">IFERROR(__xludf.DUMMYFUNCTION("""COMPUTED_VALUE"""),"1.178,64")</f>
        <v>1.178,64</v>
      </c>
      <c r="H31" s="16" t="str">
        <f ca="1">IFERROR(__xludf.DUMMYFUNCTION("""COMPUTED_VALUE"""),"Kassel")</f>
        <v>Kassel</v>
      </c>
      <c r="I31" s="16" t="str">
        <f ca="1">IFERROR(__xludf.DUMMYFUNCTION("""COMPUTED_VALUE"""),"SDF")</f>
        <v>SDF</v>
      </c>
    </row>
    <row r="32" spans="1:9" ht="18.75" customHeight="1" x14ac:dyDescent="0.25">
      <c r="A32" s="7">
        <v>31</v>
      </c>
      <c r="B32" s="3"/>
      <c r="C32" s="16" t="str">
        <f ca="1">IFERROR(__xludf.DUMMYFUNCTION("""COMPUTED_VALUE"""),"Kion Group AG")</f>
        <v>Kion Group AG</v>
      </c>
      <c r="D32" s="16" t="str">
        <f ca="1">IFERROR(__xludf.DUMMYFUNCTION("""COMPUTED_VALUE"""),"Handling equipment")</f>
        <v>Handling equipment</v>
      </c>
      <c r="E32" s="16" t="str">
        <f ca="1">IFERROR(__xludf.DUMMYFUNCTION("""COMPUTED_VALUE"""),"1,36")</f>
        <v>1,36</v>
      </c>
      <c r="F32" s="16" t="str">
        <f ca="1">IFERROR(__xludf.DUMMYFUNCTION("""COMPUTED_VALUE"""),"118.090.000")</f>
        <v>118.090.000</v>
      </c>
      <c r="G32" s="16" t="str">
        <f ca="1">IFERROR(__xludf.DUMMYFUNCTION("""COMPUTED_VALUE"""),"3.511,93")</f>
        <v>3.511,93</v>
      </c>
      <c r="H32" s="16" t="str">
        <f ca="1">IFERROR(__xludf.DUMMYFUNCTION("""COMPUTED_VALUE"""),"Frankfurt am Main")</f>
        <v>Frankfurt am Main</v>
      </c>
      <c r="I32" s="16" t="str">
        <f ca="1">IFERROR(__xludf.DUMMYFUNCTION("""COMPUTED_VALUE"""),"KGX")</f>
        <v>KGX</v>
      </c>
    </row>
    <row r="33" spans="1:9" ht="18.75" customHeight="1" x14ac:dyDescent="0.25">
      <c r="A33" s="7">
        <v>32</v>
      </c>
      <c r="B33" s="3"/>
      <c r="C33" s="16" t="str">
        <f ca="1">IFERROR(__xludf.DUMMYFUNCTION("""COMPUTED_VALUE"""),"Knorr-Bremse AG")</f>
        <v>Knorr-Bremse AG</v>
      </c>
      <c r="D33" s="16" t="str">
        <f ca="1">IFERROR(__xludf.DUMMYFUNCTION("""COMPUTED_VALUE"""),"Manufacturing")</f>
        <v>Manufacturing</v>
      </c>
      <c r="E33" s="16" t="str">
        <f ca="1">IFERROR(__xludf.DUMMYFUNCTION("""COMPUTED_VALUE"""),"1,72")</f>
        <v>1,72</v>
      </c>
      <c r="F33" s="16" t="str">
        <f ca="1">IFERROR(__xludf.DUMMYFUNCTION("""COMPUTED_VALUE"""),"161.200.000")</f>
        <v>161.200.000</v>
      </c>
      <c r="G33" s="16" t="str">
        <f ca="1">IFERROR(__xludf.DUMMYFUNCTION("""COMPUTED_VALUE"""),"4.423,47")</f>
        <v>4.423,47</v>
      </c>
      <c r="H33" s="16" t="str">
        <f ca="1">IFERROR(__xludf.DUMMYFUNCTION("""COMPUTED_VALUE"""),"München")</f>
        <v>München</v>
      </c>
      <c r="I33" s="16" t="str">
        <f ca="1">IFERROR(__xludf.DUMMYFUNCTION("""COMPUTED_VALUE"""),"KBX")</f>
        <v>KBX</v>
      </c>
    </row>
    <row r="34" spans="1:9" ht="18.75" customHeight="1" x14ac:dyDescent="0.25">
      <c r="A34" s="7">
        <v>33</v>
      </c>
      <c r="B34" s="3"/>
      <c r="C34" s="16" t="str">
        <f ca="1">IFERROR(__xludf.DUMMYFUNCTION("""COMPUTED_VALUE"""),"Lanxess AG")</f>
        <v>Lanxess AG</v>
      </c>
      <c r="D34" s="16" t="str">
        <f ca="1">IFERROR(__xludf.DUMMYFUNCTION("""COMPUTED_VALUE"""),"Chemistry")</f>
        <v>Chemistry</v>
      </c>
      <c r="E34" s="16" t="str">
        <f ca="1">IFERROR(__xludf.DUMMYFUNCTION("""COMPUTED_VALUE"""),"1,46")</f>
        <v>1,46</v>
      </c>
      <c r="F34" s="16" t="str">
        <f ca="1">IFERROR(__xludf.DUMMYFUNCTION("""COMPUTED_VALUE"""),"087.447.852")</f>
        <v>087.447.852</v>
      </c>
      <c r="G34" s="16" t="str">
        <f ca="1">IFERROR(__xludf.DUMMYFUNCTION("""COMPUTED_VALUE"""),"3.765,01")</f>
        <v>3.765,01</v>
      </c>
      <c r="H34" s="16" t="str">
        <f ca="1">IFERROR(__xludf.DUMMYFUNCTION("""COMPUTED_VALUE"""),"Köln")</f>
        <v>Köln</v>
      </c>
      <c r="I34" s="16" t="str">
        <f ca="1">IFERROR(__xludf.DUMMYFUNCTION("""COMPUTED_VALUE"""),"LXS")</f>
        <v>LXS</v>
      </c>
    </row>
    <row r="35" spans="1:9" ht="18.75" customHeight="1" x14ac:dyDescent="0.25">
      <c r="A35" s="7">
        <v>34</v>
      </c>
      <c r="B35" s="3"/>
      <c r="C35" s="16" t="str">
        <f ca="1">IFERROR(__xludf.DUMMYFUNCTION("""COMPUTED_VALUE"""),"LEG Immobilien AG")</f>
        <v>LEG Immobilien AG</v>
      </c>
      <c r="D35" s="16" t="str">
        <f ca="1">IFERROR(__xludf.DUMMYFUNCTION("""COMPUTED_VALUE"""),"Real estate")</f>
        <v>Real estate</v>
      </c>
      <c r="E35" s="16" t="str">
        <f ca="1">IFERROR(__xludf.DUMMYFUNCTION("""COMPUTED_VALUE"""),"3,25")</f>
        <v>3,25</v>
      </c>
      <c r="F35" s="16" t="str">
        <f ca="1">IFERROR(__xludf.DUMMYFUNCTION("""COMPUTED_VALUE"""),"069.009.836")</f>
        <v>069.009.836</v>
      </c>
      <c r="G35" s="16" t="str">
        <f ca="1">IFERROR(__xludf.DUMMYFUNCTION("""COMPUTED_VALUE"""),"8.368,13")</f>
        <v>8.368,13</v>
      </c>
      <c r="H35" s="16" t="str">
        <f ca="1">IFERROR(__xludf.DUMMYFUNCTION("""COMPUTED_VALUE"""),"Düsseldorf")</f>
        <v>Düsseldorf</v>
      </c>
      <c r="I35" s="16" t="str">
        <f ca="1">IFERROR(__xludf.DUMMYFUNCTION("""COMPUTED_VALUE"""),"LEG")</f>
        <v>LEG</v>
      </c>
    </row>
    <row r="36" spans="1:9" ht="18.75" customHeight="1" x14ac:dyDescent="0.25">
      <c r="A36" s="7">
        <v>35</v>
      </c>
      <c r="B36" s="3"/>
      <c r="C36" s="16" t="str">
        <f ca="1">IFERROR(__xludf.DUMMYFUNCTION("""COMPUTED_VALUE"""),"Metro AG")</f>
        <v>Metro AG</v>
      </c>
      <c r="D36" s="16" t="str">
        <f ca="1">IFERROR(__xludf.DUMMYFUNCTION("""COMPUTED_VALUE"""),"Wholesale")</f>
        <v>Wholesale</v>
      </c>
      <c r="E36" s="16" t="str">
        <f ca="1">IFERROR(__xludf.DUMMYFUNCTION("""COMPUTED_VALUE"""),"0,56")</f>
        <v>0,56</v>
      </c>
      <c r="F36" s="16" t="str">
        <f ca="1">IFERROR(__xludf.DUMMYFUNCTION("""COMPUTED_VALUE"""),"360.121.736")</f>
        <v>360.121.736</v>
      </c>
      <c r="G36" s="16" t="str">
        <f ca="1">IFERROR(__xludf.DUMMYFUNCTION("""COMPUTED_VALUE"""),"1.453,05")</f>
        <v>1.453,05</v>
      </c>
      <c r="H36" s="16" t="str">
        <f ca="1">IFERROR(__xludf.DUMMYFUNCTION("""COMPUTED_VALUE"""),"Düsseldorf")</f>
        <v>Düsseldorf</v>
      </c>
      <c r="I36" s="16" t="str">
        <f ca="1">IFERROR(__xludf.DUMMYFUNCTION("""COMPUTED_VALUE"""),"B4B")</f>
        <v>B4B</v>
      </c>
    </row>
    <row r="37" spans="1:9" ht="18.75" customHeight="1" x14ac:dyDescent="0.25">
      <c r="A37" s="7">
        <v>36</v>
      </c>
      <c r="B37" s="3"/>
      <c r="C37" s="16" t="str">
        <f ca="1">IFERROR(__xludf.DUMMYFUNCTION("""COMPUTED_VALUE"""),"Morphosys AG")</f>
        <v>Morphosys AG</v>
      </c>
      <c r="D37" s="16" t="str">
        <f ca="1">IFERROR(__xludf.DUMMYFUNCTION("""COMPUTED_VALUE"""),"Biotechnology")</f>
        <v>Biotechnology</v>
      </c>
      <c r="E37" s="16" t="str">
        <f ca="1">IFERROR(__xludf.DUMMYFUNCTION("""COMPUTED_VALUE"""),"1,40")</f>
        <v>1,40</v>
      </c>
      <c r="F37" s="16" t="str">
        <f ca="1">IFERROR(__xludf.DUMMYFUNCTION("""COMPUTED_VALUE"""),"032.890.046")</f>
        <v>032.890.046</v>
      </c>
      <c r="G37" s="16" t="str">
        <f ca="1">IFERROR(__xludf.DUMMYFUNCTION("""COMPUTED_VALUE"""),"3.614,17")</f>
        <v>3.614,17</v>
      </c>
      <c r="H37" s="16" t="str">
        <f ca="1">IFERROR(__xludf.DUMMYFUNCTION("""COMPUTED_VALUE"""),"Martinsried")</f>
        <v>Martinsried</v>
      </c>
      <c r="I37" s="16" t="str">
        <f ca="1">IFERROR(__xludf.DUMMYFUNCTION("""COMPUTED_VALUE"""),"MOR")</f>
        <v>MOR</v>
      </c>
    </row>
    <row r="38" spans="1:9" ht="18.75" customHeight="1" x14ac:dyDescent="0.25">
      <c r="A38" s="7">
        <v>37</v>
      </c>
      <c r="B38" s="3"/>
      <c r="C38" s="16" t="str">
        <f ca="1">IFERROR(__xludf.DUMMYFUNCTION("""COMPUTED_VALUE"""),"Nemetschek SE")</f>
        <v>Nemetschek SE</v>
      </c>
      <c r="D38" s="16" t="str">
        <f ca="1">IFERROR(__xludf.DUMMYFUNCTION("""COMPUTED_VALUE"""),"Software")</f>
        <v>Software</v>
      </c>
      <c r="E38" s="16" t="str">
        <f ca="1">IFERROR(__xludf.DUMMYFUNCTION("""COMPUTED_VALUE"""),"1,34")</f>
        <v>1,34</v>
      </c>
      <c r="F38" s="16" t="str">
        <f ca="1">IFERROR(__xludf.DUMMYFUNCTION("""COMPUTED_VALUE"""),"115.500.000")</f>
        <v>115.500.000</v>
      </c>
      <c r="G38" s="16" t="str">
        <f ca="1">IFERROR(__xludf.DUMMYFUNCTION("""COMPUTED_VALUE"""),"3.447,22")</f>
        <v>3.447,22</v>
      </c>
      <c r="H38" s="16" t="str">
        <f ca="1">IFERROR(__xludf.DUMMYFUNCTION("""COMPUTED_VALUE"""),"München")</f>
        <v>München</v>
      </c>
      <c r="I38" s="16" t="str">
        <f ca="1">IFERROR(__xludf.DUMMYFUNCTION("""COMPUTED_VALUE"""),"NEM")</f>
        <v>NEM</v>
      </c>
    </row>
    <row r="39" spans="1:9" ht="18.75" customHeight="1" x14ac:dyDescent="0.25">
      <c r="A39" s="7">
        <v>38</v>
      </c>
      <c r="B39" s="3"/>
      <c r="C39" s="16" t="str">
        <f ca="1">IFERROR(__xludf.DUMMYFUNCTION("""COMPUTED_VALUE"""),"OSRAM Licht AG")</f>
        <v>OSRAM Licht AG</v>
      </c>
      <c r="D39" s="16" t="str">
        <f ca="1">IFERROR(__xludf.DUMMYFUNCTION("""COMPUTED_VALUE"""),"Lighting")</f>
        <v>Lighting</v>
      </c>
      <c r="E39" s="16" t="str">
        <f ca="1">IFERROR(__xludf.DUMMYFUNCTION("""COMPUTED_VALUE"""),"0,61")</f>
        <v>0,61</v>
      </c>
      <c r="F39" s="16" t="str">
        <f ca="1">IFERROR(__xludf.DUMMYFUNCTION("""COMPUTED_VALUE"""),"096.848.074")</f>
        <v>096.848.074</v>
      </c>
      <c r="G39" s="16" t="str">
        <f ca="1">IFERROR(__xludf.DUMMYFUNCTION("""COMPUTED_VALUE"""),"1.581,43")</f>
        <v>1.581,43</v>
      </c>
      <c r="H39" s="16" t="str">
        <f ca="1">IFERROR(__xludf.DUMMYFUNCTION("""COMPUTED_VALUE"""),"München")</f>
        <v>München</v>
      </c>
      <c r="I39" s="16" t="str">
        <f ca="1">IFERROR(__xludf.DUMMYFUNCTION("""COMPUTED_VALUE"""),"OSR")</f>
        <v>OSR</v>
      </c>
    </row>
    <row r="40" spans="1:9" ht="18.75" customHeight="1" x14ac:dyDescent="0.25">
      <c r="A40" s="7">
        <v>39</v>
      </c>
      <c r="B40" s="3"/>
      <c r="C40" s="16" t="str">
        <f ca="1">IFERROR(__xludf.DUMMYFUNCTION("""COMPUTED_VALUE"""),"ProSiebenSat.1 Media SE")</f>
        <v>ProSiebenSat.1 Media SE</v>
      </c>
      <c r="D40" s="16" t="str">
        <f ca="1">IFERROR(__xludf.DUMMYFUNCTION("""COMPUTED_VALUE"""),"Media")</f>
        <v>Media</v>
      </c>
      <c r="E40" s="16" t="str">
        <f ca="1">IFERROR(__xludf.DUMMYFUNCTION("""COMPUTED_VALUE"""),"0,73")</f>
        <v>0,73</v>
      </c>
      <c r="F40" s="16" t="str">
        <f ca="1">IFERROR(__xludf.DUMMYFUNCTION("""COMPUTED_VALUE"""),"233.000.000")</f>
        <v>233.000.000</v>
      </c>
      <c r="G40" s="16" t="str">
        <f ca="1">IFERROR(__xludf.DUMMYFUNCTION("""COMPUTED_VALUE"""),"1.893,65")</f>
        <v>1.893,65</v>
      </c>
      <c r="H40" s="16" t="str">
        <f ca="1">IFERROR(__xludf.DUMMYFUNCTION("""COMPUTED_VALUE"""),"Unterföhring")</f>
        <v>Unterföhring</v>
      </c>
      <c r="I40" s="16" t="str">
        <f ca="1">IFERROR(__xludf.DUMMYFUNCTION("""COMPUTED_VALUE"""),"PSM")</f>
        <v>PSM</v>
      </c>
    </row>
    <row r="41" spans="1:9" ht="18.75" customHeight="1" x14ac:dyDescent="0.25">
      <c r="A41" s="7">
        <v>40</v>
      </c>
      <c r="B41" s="3"/>
      <c r="C41" s="16" t="str">
        <f ca="1">IFERROR(__xludf.DUMMYFUNCTION("""COMPUTED_VALUE"""),"Puma SE")</f>
        <v>Puma SE</v>
      </c>
      <c r="D41" s="16" t="str">
        <f ca="1">IFERROR(__xludf.DUMMYFUNCTION("""COMPUTED_VALUE"""),"Sports equipment")</f>
        <v>Sports equipment</v>
      </c>
      <c r="E41" s="16" t="str">
        <f ca="1">IFERROR(__xludf.DUMMYFUNCTION("""COMPUTED_VALUE"""),"2,20")</f>
        <v>2,20</v>
      </c>
      <c r="F41" s="16" t="str">
        <f ca="1">IFERROR(__xludf.DUMMYFUNCTION("""COMPUTED_VALUE"""),"150.824.640")</f>
        <v>150.824.640</v>
      </c>
      <c r="G41" s="16" t="str">
        <f ca="1">IFERROR(__xludf.DUMMYFUNCTION("""COMPUTED_VALUE"""),"5.679,23")</f>
        <v>5.679,23</v>
      </c>
      <c r="H41" s="16" t="str">
        <f ca="1">IFERROR(__xludf.DUMMYFUNCTION("""COMPUTED_VALUE"""),"Herzogenaurach")</f>
        <v>Herzogenaurach</v>
      </c>
      <c r="I41" s="16" t="str">
        <f ca="1">IFERROR(__xludf.DUMMYFUNCTION("""COMPUTED_VALUE"""),"PUM")</f>
        <v>PUM</v>
      </c>
    </row>
    <row r="42" spans="1:9" ht="18.75" customHeight="1" x14ac:dyDescent="0.25">
      <c r="A42" s="7">
        <v>41</v>
      </c>
      <c r="B42" s="3"/>
      <c r="C42" s="18" t="str">
        <f ca="1">IFERROR(__xludf.DUMMYFUNCTION("""COMPUTED_VALUE"""),"Qiagen N.V.")</f>
        <v>Qiagen N.V.</v>
      </c>
      <c r="D42" s="16" t="str">
        <f ca="1">IFERROR(__xludf.DUMMYFUNCTION("""COMPUTED_VALUE"""),"Biotechnology")</f>
        <v>Biotechnology</v>
      </c>
      <c r="E42" s="16" t="str">
        <f ca="1">IFERROR(__xludf.DUMMYFUNCTION("""COMPUTED_VALUE"""),"3,37")</f>
        <v>3,37</v>
      </c>
      <c r="F42" s="16" t="str">
        <f ca="1">IFERROR(__xludf.DUMMYFUNCTION("""COMPUTED_VALUE"""),"230.829.218")</f>
        <v>230.829.218</v>
      </c>
      <c r="G42" s="16" t="str">
        <f ca="1">IFERROR(__xludf.DUMMYFUNCTION("""COMPUTED_VALUE"""),"8.684,30")</f>
        <v>8.684,30</v>
      </c>
      <c r="H42" s="16" t="str">
        <f ca="1">IFERROR(__xludf.DUMMYFUNCTION("""COMPUTED_VALUE"""),"Venlo (Netherlands)")</f>
        <v>Venlo (Netherlands)</v>
      </c>
      <c r="I42" s="16" t="str">
        <f ca="1">IFERROR(__xludf.DUMMYFUNCTION("""COMPUTED_VALUE"""),"QGEN")</f>
        <v>QGEN</v>
      </c>
    </row>
    <row r="43" spans="1:9" ht="18.75" customHeight="1" x14ac:dyDescent="0.25">
      <c r="A43" s="7">
        <v>42</v>
      </c>
      <c r="B43" s="3"/>
      <c r="C43" s="16" t="str">
        <f ca="1">IFERROR(__xludf.DUMMYFUNCTION("""COMPUTED_VALUE"""),"Rational AG")</f>
        <v>Rational AG</v>
      </c>
      <c r="D43" s="16" t="str">
        <f ca="1">IFERROR(__xludf.DUMMYFUNCTION("""COMPUTED_VALUE"""),"Manufacturing")</f>
        <v>Manufacturing</v>
      </c>
      <c r="E43" s="16" t="str">
        <f ca="1">IFERROR(__xludf.DUMMYFUNCTION("""COMPUTED_VALUE"""),"0,76")</f>
        <v>0,76</v>
      </c>
      <c r="F43" s="16" t="str">
        <f ca="1">IFERROR(__xludf.DUMMYFUNCTION("""COMPUTED_VALUE"""),"011.370.000")</f>
        <v>011.370.000</v>
      </c>
      <c r="G43" s="16" t="str">
        <f ca="1">IFERROR(__xludf.DUMMYFUNCTION("""COMPUTED_VALUE"""),"1.965,35")</f>
        <v>1.965,35</v>
      </c>
      <c r="H43" s="16" t="str">
        <f ca="1">IFERROR(__xludf.DUMMYFUNCTION("""COMPUTED_VALUE"""),"Landsberg am Lech")</f>
        <v>Landsberg am Lech</v>
      </c>
      <c r="I43" s="16" t="str">
        <f ca="1">IFERROR(__xludf.DUMMYFUNCTION("""COMPUTED_VALUE"""),"RAA")</f>
        <v>RAA</v>
      </c>
    </row>
    <row r="44" spans="1:9" ht="18.75" customHeight="1" x14ac:dyDescent="0.25">
      <c r="A44" s="7">
        <v>43</v>
      </c>
      <c r="B44" s="3"/>
      <c r="C44" s="16" t="str">
        <f ca="1">IFERROR(__xludf.DUMMYFUNCTION("""COMPUTED_VALUE"""),"Rheinmetall AG")</f>
        <v>Rheinmetall AG</v>
      </c>
      <c r="D44" s="16" t="str">
        <f ca="1">IFERROR(__xludf.DUMMYFUNCTION("""COMPUTED_VALUE"""),"Defence")</f>
        <v>Defence</v>
      </c>
      <c r="E44" s="16" t="str">
        <f ca="1">IFERROR(__xludf.DUMMYFUNCTION("""COMPUTED_VALUE"""),"1,28")</f>
        <v>1,28</v>
      </c>
      <c r="F44" s="16" t="str">
        <f ca="1">IFERROR(__xludf.DUMMYFUNCTION("""COMPUTED_VALUE"""),"043.558.850")</f>
        <v>043.558.850</v>
      </c>
      <c r="G44" s="16" t="str">
        <f ca="1">IFERROR(__xludf.DUMMYFUNCTION("""COMPUTED_VALUE"""),"3.307,13")</f>
        <v>3.307,13</v>
      </c>
      <c r="H44" s="16" t="str">
        <f ca="1">IFERROR(__xludf.DUMMYFUNCTION("""COMPUTED_VALUE"""),"Düsseldorf")</f>
        <v>Düsseldorf</v>
      </c>
      <c r="I44" s="16" t="str">
        <f ca="1">IFERROR(__xludf.DUMMYFUNCTION("""COMPUTED_VALUE"""),"RHM")</f>
        <v>RHM</v>
      </c>
    </row>
    <row r="45" spans="1:9" ht="18.75" customHeight="1" x14ac:dyDescent="0.25">
      <c r="A45" s="7">
        <v>44</v>
      </c>
      <c r="B45" s="3"/>
      <c r="C45" s="16" t="str">
        <f ca="1">IFERROR(__xludf.DUMMYFUNCTION("""COMPUTED_VALUE"""),"Rocket Internet SE")</f>
        <v>Rocket Internet SE</v>
      </c>
      <c r="D45" s="16" t="str">
        <f ca="1">IFERROR(__xludf.DUMMYFUNCTION("""COMPUTED_VALUE"""),"Venture capital")</f>
        <v>Venture capital</v>
      </c>
      <c r="E45" s="16" t="str">
        <f ca="1">IFERROR(__xludf.DUMMYFUNCTION("""COMPUTED_VALUE"""),"0,54")</f>
        <v>0,54</v>
      </c>
      <c r="F45" s="16" t="str">
        <f ca="1">IFERROR(__xludf.DUMMYFUNCTION("""COMPUTED_VALUE"""),"137.262.959")</f>
        <v>137.262.959</v>
      </c>
      <c r="G45" s="16" t="str">
        <f ca="1">IFERROR(__xludf.DUMMYFUNCTION("""COMPUTED_VALUE"""),"1.383,82")</f>
        <v>1.383,82</v>
      </c>
      <c r="H45" s="16" t="str">
        <f ca="1">IFERROR(__xludf.DUMMYFUNCTION("""COMPUTED_VALUE"""),"Berlin")</f>
        <v>Berlin</v>
      </c>
      <c r="I45" s="16" t="str">
        <f ca="1">IFERROR(__xludf.DUMMYFUNCTION("""COMPUTED_VALUE"""),"RKET")</f>
        <v>RKET</v>
      </c>
    </row>
    <row r="46" spans="1:9" ht="18.75" customHeight="1" x14ac:dyDescent="0.25">
      <c r="A46" s="7">
        <v>45</v>
      </c>
      <c r="B46" s="3"/>
      <c r="C46" s="16" t="str">
        <f ca="1">IFERROR(__xludf.DUMMYFUNCTION("""COMPUTED_VALUE"""),"RTL Group SA")</f>
        <v>RTL Group SA</v>
      </c>
      <c r="D46" s="16" t="str">
        <f ca="1">IFERROR(__xludf.DUMMYFUNCTION("""COMPUTED_VALUE"""),"Media")</f>
        <v>Media</v>
      </c>
      <c r="E46" s="16" t="str">
        <f ca="1">IFERROR(__xludf.DUMMYFUNCTION("""COMPUTED_VALUE"""),"0,40")</f>
        <v>0,40</v>
      </c>
      <c r="F46" s="16" t="str">
        <f ca="1">IFERROR(__xludf.DUMMYFUNCTION("""COMPUTED_VALUE"""),"154.742.806")</f>
        <v>154.742.806</v>
      </c>
      <c r="G46" s="16" t="str">
        <f ca="1">IFERROR(__xludf.DUMMYFUNCTION("""COMPUTED_VALUE"""),"1.043,46")</f>
        <v>1.043,46</v>
      </c>
      <c r="H46" s="16" t="str">
        <f ca="1">IFERROR(__xludf.DUMMYFUNCTION("""COMPUTED_VALUE"""),"Luxemburg (Luxemburg)")</f>
        <v>Luxemburg (Luxemburg)</v>
      </c>
      <c r="I46" s="16" t="str">
        <f ca="1">IFERROR(__xludf.DUMMYFUNCTION("""COMPUTED_VALUE"""),"RRTL")</f>
        <v>RRTL</v>
      </c>
    </row>
    <row r="47" spans="1:9" ht="18.75" customHeight="1" x14ac:dyDescent="0.25">
      <c r="A47" s="7">
        <v>46</v>
      </c>
      <c r="B47" s="3"/>
      <c r="C47" s="16" t="str">
        <f ca="1">IFERROR(__xludf.DUMMYFUNCTION("""COMPUTED_VALUE"""),"Sartorius AG")</f>
        <v>Sartorius AG</v>
      </c>
      <c r="D47" s="16" t="str">
        <f ca="1">IFERROR(__xludf.DUMMYFUNCTION("""COMPUTED_VALUE"""),"Pharmaceutical and laboratory equipment")</f>
        <v>Pharmaceutical and laboratory equipment</v>
      </c>
      <c r="E47" s="16" t="str">
        <f ca="1">IFERROR(__xludf.DUMMYFUNCTION("""COMPUTED_VALUE"""),"3,88")</f>
        <v>3,88</v>
      </c>
      <c r="F47" s="16" t="str">
        <f ca="1">IFERROR(__xludf.DUMMYFUNCTION("""COMPUTED_VALUE"""),"037.440.000")</f>
        <v>037.440.000</v>
      </c>
      <c r="G47" s="16" t="str">
        <f ca="1">IFERROR(__xludf.DUMMYFUNCTION("""COMPUTED_VALUE"""),"9.999,67")</f>
        <v>9.999,67</v>
      </c>
      <c r="H47" s="16" t="str">
        <f ca="1">IFERROR(__xludf.DUMMYFUNCTION("""COMPUTED_VALUE"""),"Göttingen")</f>
        <v>Göttingen</v>
      </c>
      <c r="I47" s="16" t="str">
        <f ca="1">IFERROR(__xludf.DUMMYFUNCTION("""COMPUTED_VALUE"""),"SRT")</f>
        <v>SRT</v>
      </c>
    </row>
    <row r="48" spans="1:9" ht="18.75" customHeight="1" x14ac:dyDescent="0.25">
      <c r="A48" s="7">
        <v>47</v>
      </c>
      <c r="B48" s="3"/>
      <c r="C48" s="16" t="str">
        <f ca="1">IFERROR(__xludf.DUMMYFUNCTION("""COMPUTED_VALUE"""),"Scout24 AG")</f>
        <v>Scout24 AG</v>
      </c>
      <c r="D48" s="16" t="str">
        <f ca="1">IFERROR(__xludf.DUMMYFUNCTION("""COMPUTED_VALUE"""),"Online-market")</f>
        <v>Online-market</v>
      </c>
      <c r="E48" s="16" t="str">
        <f ca="1">IFERROR(__xludf.DUMMYFUNCTION("""COMPUTED_VALUE"""),"2,85")</f>
        <v>2,85</v>
      </c>
      <c r="F48" s="16" t="str">
        <f ca="1">IFERROR(__xludf.DUMMYFUNCTION("""COMPUTED_VALUE"""),"107.600.000")</f>
        <v>107.600.000</v>
      </c>
      <c r="G48" s="16" t="str">
        <f ca="1">IFERROR(__xludf.DUMMYFUNCTION("""COMPUTED_VALUE"""),"7.357,13")</f>
        <v>7.357,13</v>
      </c>
      <c r="H48" s="16" t="str">
        <f ca="1">IFERROR(__xludf.DUMMYFUNCTION("""COMPUTED_VALUE"""),"München")</f>
        <v>München</v>
      </c>
      <c r="I48" s="16" t="str">
        <f ca="1">IFERROR(__xludf.DUMMYFUNCTION("""COMPUTED_VALUE"""),"G24")</f>
        <v>G24</v>
      </c>
    </row>
    <row r="49" spans="1:9" ht="18.75" customHeight="1" x14ac:dyDescent="0.25">
      <c r="A49" s="7">
        <v>48</v>
      </c>
      <c r="B49" s="3"/>
      <c r="C49" s="16" t="str">
        <f ca="1">IFERROR(__xludf.DUMMYFUNCTION("""COMPUTED_VALUE"""),"Siemens Healthineers AG")</f>
        <v>Siemens Healthineers AG</v>
      </c>
      <c r="D49" s="16" t="str">
        <f ca="1">IFERROR(__xludf.DUMMYFUNCTION("""COMPUTED_VALUE"""),"Medical technology")</f>
        <v>Medical technology</v>
      </c>
      <c r="E49" s="16" t="str">
        <f ca="1">IFERROR(__xludf.DUMMYFUNCTION("""COMPUTED_VALUE"""),"2,53")</f>
        <v>2,53</v>
      </c>
      <c r="F49" s="16" t="str">
        <f ca="1">IFERROR(__xludf.DUMMYFUNCTION("""COMPUTED_VALUE"""),"1.000.000.000")</f>
        <v>1.000.000.000</v>
      </c>
      <c r="G49" s="16" t="str">
        <f ca="1">IFERROR(__xludf.DUMMYFUNCTION("""COMPUTED_VALUE"""),"6.514,13")</f>
        <v>6.514,13</v>
      </c>
      <c r="H49" s="16" t="str">
        <f ca="1">IFERROR(__xludf.DUMMYFUNCTION("""COMPUTED_VALUE"""),"Erlangen")</f>
        <v>Erlangen</v>
      </c>
      <c r="I49" s="16" t="str">
        <f ca="1">IFERROR(__xludf.DUMMYFUNCTION("""COMPUTED_VALUE"""),"SHL")</f>
        <v>SHL</v>
      </c>
    </row>
    <row r="50" spans="1:9" ht="18.75" customHeight="1" x14ac:dyDescent="0.25">
      <c r="A50" s="7">
        <v>49</v>
      </c>
      <c r="B50" s="3"/>
      <c r="C50" s="16" t="str">
        <f ca="1">IFERROR(__xludf.DUMMYFUNCTION("""COMPUTED_VALUE"""),"Siltronic AG")</f>
        <v>Siltronic AG</v>
      </c>
      <c r="D50" s="16" t="str">
        <f ca="1">IFERROR(__xludf.DUMMYFUNCTION("""COMPUTED_VALUE"""),"Semiconductor industry")</f>
        <v>Semiconductor industry</v>
      </c>
      <c r="E50" s="16" t="str">
        <f ca="1">IFERROR(__xludf.DUMMYFUNCTION("""COMPUTED_VALUE"""),"0,73")</f>
        <v>0,73</v>
      </c>
      <c r="F50" s="16" t="str">
        <f ca="1">IFERROR(__xludf.DUMMYFUNCTION("""COMPUTED_VALUE"""),"030.000.000")</f>
        <v>030.000.000</v>
      </c>
      <c r="G50" s="16" t="str">
        <f ca="1">IFERROR(__xludf.DUMMYFUNCTION("""COMPUTED_VALUE"""),"1.873,82")</f>
        <v>1.873,82</v>
      </c>
      <c r="H50" s="16" t="str">
        <f ca="1">IFERROR(__xludf.DUMMYFUNCTION("""COMPUTED_VALUE"""),"München")</f>
        <v>München</v>
      </c>
      <c r="I50" s="16" t="str">
        <f ca="1">IFERROR(__xludf.DUMMYFUNCTION("""COMPUTED_VALUE"""),"WAF")</f>
        <v>WAF</v>
      </c>
    </row>
    <row r="51" spans="1:9" ht="18.75" customHeight="1" x14ac:dyDescent="0.25">
      <c r="A51" s="7">
        <v>50</v>
      </c>
      <c r="B51" s="3"/>
      <c r="C51" s="16" t="str">
        <f ca="1">IFERROR(__xludf.DUMMYFUNCTION("""COMPUTED_VALUE"""),"Software AG")</f>
        <v>Software AG</v>
      </c>
      <c r="D51" s="16" t="str">
        <f ca="1">IFERROR(__xludf.DUMMYFUNCTION("""COMPUTED_VALUE"""),"Software")</f>
        <v>Software</v>
      </c>
      <c r="E51" s="16" t="str">
        <f ca="1">IFERROR(__xludf.DUMMYFUNCTION("""COMPUTED_VALUE"""),"0,67")</f>
        <v>0,67</v>
      </c>
      <c r="F51" s="16" t="str">
        <f ca="1">IFERROR(__xludf.DUMMYFUNCTION("""COMPUTED_VALUE"""),"074.000.000")</f>
        <v>074.000.000</v>
      </c>
      <c r="G51" s="16" t="str">
        <f ca="1">IFERROR(__xludf.DUMMYFUNCTION("""COMPUTED_VALUE"""),"1.726,40")</f>
        <v>1.726,40</v>
      </c>
      <c r="H51" s="16" t="str">
        <f ca="1">IFERROR(__xludf.DUMMYFUNCTION("""COMPUTED_VALUE"""),"Darmstadt")</f>
        <v>Darmstadt</v>
      </c>
      <c r="I51" s="16" t="str">
        <f ca="1">IFERROR(__xludf.DUMMYFUNCTION("""COMPUTED_VALUE"""),"SOW")</f>
        <v>SOW</v>
      </c>
    </row>
    <row r="52" spans="1:9" ht="18.75" customHeight="1" x14ac:dyDescent="0.25">
      <c r="A52" s="7">
        <v>51</v>
      </c>
      <c r="B52" s="3"/>
      <c r="C52" s="16" t="str">
        <f ca="1">IFERROR(__xludf.DUMMYFUNCTION("""COMPUTED_VALUE"""),"Ströer SE &amp; Co. KGaA")</f>
        <v>Ströer SE &amp; Co. KGaA</v>
      </c>
      <c r="D52" s="16" t="str">
        <f ca="1">IFERROR(__xludf.DUMMYFUNCTION("""COMPUTED_VALUE"""),"Media, out-of-home advertising")</f>
        <v>Media, out-of-home advertising</v>
      </c>
      <c r="E52" s="3"/>
      <c r="F52" s="3"/>
      <c r="G52" s="3"/>
      <c r="H52" s="16" t="str">
        <f ca="1">IFERROR(__xludf.DUMMYFUNCTION("""COMPUTED_VALUE"""),"Köln")</f>
        <v>Köln</v>
      </c>
      <c r="I52" s="16" t="str">
        <f ca="1">IFERROR(__xludf.DUMMYFUNCTION("""COMPUTED_VALUE"""),"SAX")</f>
        <v>SAX</v>
      </c>
    </row>
    <row r="53" spans="1:9" ht="18.75" customHeight="1" x14ac:dyDescent="0.25">
      <c r="A53" s="7">
        <v>52</v>
      </c>
      <c r="B53" s="3"/>
      <c r="C53" s="16" t="str">
        <f ca="1">IFERROR(__xludf.DUMMYFUNCTION("""COMPUTED_VALUE"""),"Symrise AG")</f>
        <v>Symrise AG</v>
      </c>
      <c r="D53" s="16" t="str">
        <f ca="1">IFERROR(__xludf.DUMMYFUNCTION("""COMPUTED_VALUE"""),"Chemistry")</f>
        <v>Chemistry</v>
      </c>
      <c r="E53" s="16" t="str">
        <f ca="1">IFERROR(__xludf.DUMMYFUNCTION("""COMPUTED_VALUE"""),"4,96")</f>
        <v>4,96</v>
      </c>
      <c r="F53" s="16" t="str">
        <f ca="1">IFERROR(__xludf.DUMMYFUNCTION("""COMPUTED_VALUE"""),"135.426.610")</f>
        <v>135.426.610</v>
      </c>
      <c r="G53" s="16" t="str">
        <f ca="1">IFERROR(__xludf.DUMMYFUNCTION("""COMPUTED_VALUE"""),"12.791,96")</f>
        <v>12.791,96</v>
      </c>
      <c r="H53" s="16" t="str">
        <f ca="1">IFERROR(__xludf.DUMMYFUNCTION("""COMPUTED_VALUE"""),"Holzminden")</f>
        <v>Holzminden</v>
      </c>
      <c r="I53" s="16" t="str">
        <f ca="1">IFERROR(__xludf.DUMMYFUNCTION("""COMPUTED_VALUE"""),"SY1")</f>
        <v>SY1</v>
      </c>
    </row>
    <row r="54" spans="1:9" ht="18.75" customHeight="1" x14ac:dyDescent="0.25">
      <c r="A54" s="7">
        <v>53</v>
      </c>
      <c r="B54" s="3"/>
      <c r="C54" s="18" t="str">
        <f ca="1">IFERROR(__xludf.DUMMYFUNCTION("""COMPUTED_VALUE"""),"TAG Immobilien AG")</f>
        <v>TAG Immobilien AG</v>
      </c>
      <c r="D54" s="16" t="str">
        <f ca="1">IFERROR(__xludf.DUMMYFUNCTION("""COMPUTED_VALUE"""),"Real estate")</f>
        <v>Real estate</v>
      </c>
      <c r="E54" s="16" t="str">
        <f ca="1">IFERROR(__xludf.DUMMYFUNCTION("""COMPUTED_VALUE"""),"1,26")</f>
        <v>1,26</v>
      </c>
      <c r="F54" s="16" t="str">
        <f ca="1">IFERROR(__xludf.DUMMYFUNCTION("""COMPUTED_VALUE"""),"146.498.765")</f>
        <v>146.498.765</v>
      </c>
      <c r="G54" s="16" t="str">
        <f ca="1">IFERROR(__xludf.DUMMYFUNCTION("""COMPUTED_VALUE"""),"3.240,55")</f>
        <v>3.240,55</v>
      </c>
      <c r="H54" s="16" t="str">
        <f ca="1">IFERROR(__xludf.DUMMYFUNCTION("""COMPUTED_VALUE"""),"Hamburg")</f>
        <v>Hamburg</v>
      </c>
      <c r="I54" s="16" t="str">
        <f ca="1">IFERROR(__xludf.DUMMYFUNCTION("""COMPUTED_VALUE"""),"TEG")</f>
        <v>TEG</v>
      </c>
    </row>
    <row r="55" spans="1:9" ht="18.75" customHeight="1" x14ac:dyDescent="0.25">
      <c r="A55" s="7">
        <v>54</v>
      </c>
      <c r="B55" s="3"/>
      <c r="C55" s="16" t="str">
        <f ca="1">IFERROR(__xludf.DUMMYFUNCTION("""COMPUTED_VALUE"""),"TeamViewer AG")</f>
        <v>TeamViewer AG</v>
      </c>
      <c r="D55" s="16" t="str">
        <f ca="1">IFERROR(__xludf.DUMMYFUNCTION("""COMPUTED_VALUE"""),"Software")</f>
        <v>Software</v>
      </c>
      <c r="E55" s="16" t="str">
        <f ca="1">IFERROR(__xludf.DUMMYFUNCTION("""COMPUTED_VALUE"""),"1,79")</f>
        <v>1,79</v>
      </c>
      <c r="F55" s="16" t="str">
        <f ca="1">IFERROR(__xludf.DUMMYFUNCTION("""COMPUTED_VALUE"""),"200.000.000")</f>
        <v>200.000.000</v>
      </c>
      <c r="G55" s="16" t="str">
        <f ca="1">IFERROR(__xludf.DUMMYFUNCTION("""COMPUTED_VALUE"""),"4.601,68")</f>
        <v>4.601,68</v>
      </c>
      <c r="H55" s="16" t="str">
        <f ca="1">IFERROR(__xludf.DUMMYFUNCTION("""COMPUTED_VALUE"""),"Göppingen")</f>
        <v>Göppingen</v>
      </c>
      <c r="I55" s="16" t="str">
        <f ca="1">IFERROR(__xludf.DUMMYFUNCTION("""COMPUTED_VALUE"""),"TMV")</f>
        <v>TMV</v>
      </c>
    </row>
    <row r="56" spans="1:9" ht="18.75" customHeight="1" x14ac:dyDescent="0.25">
      <c r="A56" s="7">
        <v>55</v>
      </c>
      <c r="B56" s="3"/>
      <c r="C56" s="16" t="str">
        <f ca="1">IFERROR(__xludf.DUMMYFUNCTION("""COMPUTED_VALUE"""),"Telefónica Deutschland Holding AG")</f>
        <v>Telefónica Deutschland Holding AG</v>
      </c>
      <c r="D56" s="16" t="str">
        <f ca="1">IFERROR(__xludf.DUMMYFUNCTION("""COMPUTED_VALUE"""),"Telecommunications")</f>
        <v>Telecommunications</v>
      </c>
      <c r="E56" s="16" t="str">
        <f ca="1">IFERROR(__xludf.DUMMYFUNCTION("""COMPUTED_VALUE"""),"0,96")</f>
        <v>0,96</v>
      </c>
      <c r="F56" s="16" t="str">
        <f ca="1">IFERROR(__xludf.DUMMYFUNCTION("""COMPUTED_VALUE"""),"2.974.554.993")</f>
        <v>2.974.554.993</v>
      </c>
      <c r="G56" s="16" t="str">
        <f ca="1">IFERROR(__xludf.DUMMYFUNCTION("""COMPUTED_VALUE"""),"2.473,86")</f>
        <v>2.473,86</v>
      </c>
      <c r="H56" s="16" t="str">
        <f ca="1">IFERROR(__xludf.DUMMYFUNCTION("""COMPUTED_VALUE"""),"München")</f>
        <v>München</v>
      </c>
      <c r="I56" s="16" t="str">
        <f ca="1">IFERROR(__xludf.DUMMYFUNCTION("""COMPUTED_VALUE"""),"O2D")</f>
        <v>O2D</v>
      </c>
    </row>
    <row r="57" spans="1:9" ht="18.75" customHeight="1" x14ac:dyDescent="0.25">
      <c r="A57" s="7">
        <v>56</v>
      </c>
      <c r="B57" s="3"/>
      <c r="C57" s="16" t="str">
        <f ca="1">IFERROR(__xludf.DUMMYFUNCTION("""COMPUTED_VALUE"""),"Thyssenkrupp AG")</f>
        <v>Thyssenkrupp AG</v>
      </c>
      <c r="D57" s="16" t="str">
        <f ca="1">IFERROR(__xludf.DUMMYFUNCTION("""COMPUTED_VALUE"""),"Conglomerate")</f>
        <v>Conglomerate</v>
      </c>
      <c r="E57" s="16" t="str">
        <f ca="1">IFERROR(__xludf.DUMMYFUNCTION("""COMPUTED_VALUE"""),"1,32")</f>
        <v>1,32</v>
      </c>
      <c r="F57" s="16" t="str">
        <f ca="1">IFERROR(__xludf.DUMMYFUNCTION("""COMPUTED_VALUE"""),"622.531.741")</f>
        <v>622.531.741</v>
      </c>
      <c r="G57" s="16" t="str">
        <f ca="1">IFERROR(__xludf.DUMMYFUNCTION("""COMPUTED_VALUE"""),"3.397,41")</f>
        <v>3.397,41</v>
      </c>
      <c r="H57" s="16" t="str">
        <f ca="1">IFERROR(__xludf.DUMMYFUNCTION("""COMPUTED_VALUE"""),"Essen and Duisburg")</f>
        <v>Essen and Duisburg</v>
      </c>
      <c r="I57" s="16" t="str">
        <f ca="1">IFERROR(__xludf.DUMMYFUNCTION("""COMPUTED_VALUE"""),"TKA")</f>
        <v>TKA</v>
      </c>
    </row>
    <row r="58" spans="1:9" ht="18.75" customHeight="1" x14ac:dyDescent="0.25">
      <c r="A58" s="7">
        <v>57</v>
      </c>
      <c r="B58" s="3"/>
      <c r="C58" s="16" t="str">
        <f ca="1">IFERROR(__xludf.DUMMYFUNCTION("""COMPUTED_VALUE"""),"Uniper SE")</f>
        <v>Uniper SE</v>
      </c>
      <c r="D58" s="16" t="str">
        <f ca="1">IFERROR(__xludf.DUMMYFUNCTION("""COMPUTED_VALUE"""),"Electric utility")</f>
        <v>Electric utility</v>
      </c>
      <c r="E58" s="16" t="str">
        <f ca="1">IFERROR(__xludf.DUMMYFUNCTION("""COMPUTED_VALUE"""),"1,79")</f>
        <v>1,79</v>
      </c>
      <c r="F58" s="16" t="str">
        <f ca="1">IFERROR(__xludf.DUMMYFUNCTION("""COMPUTED_VALUE"""),"365.960.000")</f>
        <v>365.960.000</v>
      </c>
      <c r="G58" s="16" t="str">
        <f ca="1">IFERROR(__xludf.DUMMYFUNCTION("""COMPUTED_VALUE"""),"4.616,55")</f>
        <v>4.616,55</v>
      </c>
      <c r="H58" s="16" t="str">
        <f ca="1">IFERROR(__xludf.DUMMYFUNCTION("""COMPUTED_VALUE"""),"Düsseldorf")</f>
        <v>Düsseldorf</v>
      </c>
      <c r="I58" s="16" t="str">
        <f ca="1">IFERROR(__xludf.DUMMYFUNCTION("""COMPUTED_VALUE"""),"UN01")</f>
        <v>UN01</v>
      </c>
    </row>
    <row r="59" spans="1:9" ht="18.75" customHeight="1" x14ac:dyDescent="0.25">
      <c r="A59" s="7">
        <v>58</v>
      </c>
      <c r="B59" s="3"/>
      <c r="C59" s="16" t="str">
        <f ca="1">IFERROR(__xludf.DUMMYFUNCTION("""COMPUTED_VALUE"""),"United Internet AG")</f>
        <v>United Internet AG</v>
      </c>
      <c r="D59" s="16" t="str">
        <f ca="1">IFERROR(__xludf.DUMMYFUNCTION("""COMPUTED_VALUE"""),"Telecommunications")</f>
        <v>Telecommunications</v>
      </c>
      <c r="E59" s="16" t="str">
        <f ca="1">IFERROR(__xludf.DUMMYFUNCTION("""COMPUTED_VALUE"""),"1,52")</f>
        <v>1,52</v>
      </c>
      <c r="F59" s="16" t="str">
        <f ca="1">IFERROR(__xludf.DUMMYFUNCTION("""COMPUTED_VALUE"""),"194.000.000")</f>
        <v>194.000.000</v>
      </c>
      <c r="G59" s="16" t="str">
        <f ca="1">IFERROR(__xludf.DUMMYFUNCTION("""COMPUTED_VALUE"""),"3.914,33")</f>
        <v>3.914,33</v>
      </c>
      <c r="H59" s="16" t="str">
        <f ca="1">IFERROR(__xludf.DUMMYFUNCTION("""COMPUTED_VALUE"""),"Montabaur")</f>
        <v>Montabaur</v>
      </c>
      <c r="I59" s="16" t="str">
        <f ca="1">IFERROR(__xludf.DUMMYFUNCTION("""COMPUTED_VALUE"""),"UTDI")</f>
        <v>UTDI</v>
      </c>
    </row>
    <row r="60" spans="1:9" ht="18.75" customHeight="1" x14ac:dyDescent="0.25">
      <c r="A60" s="7">
        <v>59</v>
      </c>
      <c r="B60" s="3"/>
      <c r="C60" s="16" t="str">
        <f ca="1">IFERROR(__xludf.DUMMYFUNCTION("""COMPUTED_VALUE"""),"Varta AG")</f>
        <v>Varta AG</v>
      </c>
      <c r="D60" s="16" t="str">
        <f ca="1">IFERROR(__xludf.DUMMYFUNCTION("""COMPUTED_VALUE"""),"Electrical equipment")</f>
        <v>Electrical equipment</v>
      </c>
      <c r="E60" s="3"/>
      <c r="F60" s="3"/>
      <c r="G60" s="3"/>
      <c r="H60" s="16" t="str">
        <f ca="1">IFERROR(__xludf.DUMMYFUNCTION("""COMPUTED_VALUE"""),"Ellwangen")</f>
        <v>Ellwangen</v>
      </c>
      <c r="I60" s="16" t="str">
        <f ca="1">IFERROR(__xludf.DUMMYFUNCTION("""COMPUTED_VALUE"""),"VAR1")</f>
        <v>VAR1</v>
      </c>
    </row>
    <row r="61" spans="1:9" ht="18.75" customHeight="1" x14ac:dyDescent="0.25">
      <c r="A61" s="7">
        <v>60</v>
      </c>
      <c r="B61" s="3"/>
      <c r="C61" s="16" t="str">
        <f ca="1">IFERROR(__xludf.DUMMYFUNCTION("""COMPUTED_VALUE"""),"Zalando SE")</f>
        <v>Zalando SE</v>
      </c>
      <c r="D61" s="16" t="str">
        <f ca="1">IFERROR(__xludf.DUMMYFUNCTION("""COMPUTED_VALUE"""),"Online retailing")</f>
        <v>Online retailing</v>
      </c>
      <c r="E61" s="16" t="str">
        <f ca="1">IFERROR(__xludf.DUMMYFUNCTION("""COMPUTED_VALUE"""),"3,94")</f>
        <v>3,94</v>
      </c>
      <c r="F61" s="16" t="str">
        <f ca="1">IFERROR(__xludf.DUMMYFUNCTION("""COMPUTED_VALUE"""),"252.848.768")</f>
        <v>252.848.768</v>
      </c>
      <c r="G61" s="16" t="str">
        <f ca="1">IFERROR(__xludf.DUMMYFUNCTION("""COMPUTED_VALUE"""),"10.154,47")</f>
        <v>10.154,47</v>
      </c>
      <c r="H61" s="16" t="str">
        <f ca="1">IFERROR(__xludf.DUMMYFUNCTION("""COMPUTED_VALUE"""),"Berlin")</f>
        <v>Berlin</v>
      </c>
      <c r="I61" s="16" t="str">
        <f ca="1">IFERROR(__xludf.DUMMYFUNCTION("""COMPUTED_VALUE"""),"ZAL")</f>
        <v>ZAL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01"/>
  <sheetViews>
    <sheetView tabSelected="1" zoomScale="112" zoomScaleNormal="112" workbookViewId="0">
      <selection activeCell="F7" sqref="F7"/>
    </sheetView>
  </sheetViews>
  <sheetFormatPr defaultRowHeight="15" x14ac:dyDescent="0.25"/>
  <cols>
    <col min="1" max="1" width="7.42578125" style="13" bestFit="1" customWidth="1"/>
    <col min="2" max="2" width="4.5703125" style="14" bestFit="1" customWidth="1"/>
    <col min="3" max="3" width="13.5703125" style="13" bestFit="1" customWidth="1"/>
    <col min="4" max="4" width="18" style="13" bestFit="1" customWidth="1"/>
    <col min="5" max="5" width="38.140625" style="13" bestFit="1" customWidth="1"/>
    <col min="6" max="6" width="90.85546875" style="13" customWidth="1"/>
    <col min="7" max="7" width="13.5703125" style="13" bestFit="1" customWidth="1"/>
    <col min="8" max="8" width="19.85546875" style="14" bestFit="1" customWidth="1"/>
    <col min="9" max="19" width="13.5703125" style="15" bestFit="1" customWidth="1"/>
  </cols>
  <sheetData>
    <row r="1" spans="1:19" ht="19.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/>
      <c r="I1" s="5"/>
      <c r="J1" s="5" t="s">
        <v>455</v>
      </c>
      <c r="K1" s="5"/>
      <c r="L1" s="5"/>
      <c r="M1" s="5"/>
      <c r="N1" s="5"/>
      <c r="O1" s="5"/>
      <c r="P1" s="5"/>
      <c r="Q1" s="5"/>
      <c r="R1" s="5"/>
      <c r="S1" s="5"/>
    </row>
    <row r="2" spans="1:19" ht="19.5" customHeight="1" x14ac:dyDescent="0.25">
      <c r="A2" s="3" t="s">
        <v>7</v>
      </c>
      <c r="B2" s="7">
        <v>1</v>
      </c>
      <c r="C2" s="3" t="s">
        <v>8</v>
      </c>
      <c r="D2" s="3" t="s">
        <v>9</v>
      </c>
      <c r="E2" s="3" t="s">
        <v>10</v>
      </c>
      <c r="F2" s="23" t="s">
        <v>459</v>
      </c>
      <c r="G2" s="3" t="s">
        <v>11</v>
      </c>
      <c r="H2" s="9"/>
      <c r="I2" s="3"/>
      <c r="J2" s="3" t="s">
        <v>456</v>
      </c>
      <c r="K2" s="3"/>
      <c r="L2" s="3"/>
      <c r="M2" s="3"/>
      <c r="N2" s="3"/>
      <c r="O2" s="3"/>
      <c r="P2" s="5"/>
      <c r="Q2" s="5"/>
      <c r="R2" s="5"/>
      <c r="S2" s="5"/>
    </row>
    <row r="3" spans="1:19" ht="19.5" customHeight="1" x14ac:dyDescent="0.25">
      <c r="A3" s="3" t="s">
        <v>12</v>
      </c>
      <c r="B3" s="7">
        <v>2</v>
      </c>
      <c r="C3" s="3" t="s">
        <v>13</v>
      </c>
      <c r="D3" s="3" t="s">
        <v>14</v>
      </c>
      <c r="E3" s="10" t="s">
        <v>15</v>
      </c>
      <c r="F3" s="23" t="s">
        <v>16</v>
      </c>
      <c r="G3" s="3" t="s">
        <v>17</v>
      </c>
      <c r="H3" s="9" t="s">
        <v>18</v>
      </c>
      <c r="I3" s="3" t="s">
        <v>19</v>
      </c>
      <c r="J3" s="3" t="s">
        <v>457</v>
      </c>
      <c r="K3" s="3"/>
      <c r="L3" s="3"/>
      <c r="M3" s="3"/>
      <c r="N3" s="3"/>
      <c r="O3" s="3"/>
      <c r="P3" s="5"/>
      <c r="Q3" s="5"/>
      <c r="R3" s="5"/>
      <c r="S3" s="5"/>
    </row>
    <row r="4" spans="1:19" ht="18.75" customHeight="1" x14ac:dyDescent="0.25">
      <c r="A4" s="3" t="s">
        <v>12</v>
      </c>
      <c r="B4" s="7">
        <v>3</v>
      </c>
      <c r="C4" s="3" t="s">
        <v>13</v>
      </c>
      <c r="D4" s="3" t="s">
        <v>20</v>
      </c>
      <c r="E4" s="10" t="s">
        <v>21</v>
      </c>
      <c r="F4" s="23" t="s">
        <v>22</v>
      </c>
      <c r="G4" s="3" t="s">
        <v>23</v>
      </c>
      <c r="H4" s="9" t="s">
        <v>24</v>
      </c>
      <c r="I4" s="3" t="s">
        <v>25</v>
      </c>
      <c r="J4" s="3" t="s">
        <v>456</v>
      </c>
      <c r="K4" s="5"/>
      <c r="L4" s="5"/>
      <c r="M4" s="5"/>
      <c r="N4" s="3"/>
      <c r="O4" s="3"/>
      <c r="P4" s="5"/>
      <c r="Q4" s="5"/>
      <c r="R4" s="5"/>
      <c r="S4" s="5"/>
    </row>
    <row r="5" spans="1:19" ht="18.75" customHeight="1" x14ac:dyDescent="0.25">
      <c r="A5" s="3" t="s">
        <v>12</v>
      </c>
      <c r="B5" s="7">
        <v>4</v>
      </c>
      <c r="C5" s="3" t="s">
        <v>26</v>
      </c>
      <c r="D5" s="3" t="s">
        <v>27</v>
      </c>
      <c r="E5" s="10" t="s">
        <v>28</v>
      </c>
      <c r="F5" s="23" t="s">
        <v>29</v>
      </c>
      <c r="G5" s="3" t="s">
        <v>30</v>
      </c>
      <c r="H5" s="9" t="s">
        <v>31</v>
      </c>
      <c r="I5" s="3" t="s">
        <v>32</v>
      </c>
      <c r="J5" s="3" t="s">
        <v>456</v>
      </c>
      <c r="K5" s="3"/>
      <c r="L5" s="3"/>
      <c r="M5" s="3"/>
      <c r="N5" s="3"/>
      <c r="O5" s="3"/>
      <c r="P5" s="5"/>
      <c r="Q5" s="5"/>
      <c r="R5" s="5"/>
      <c r="S5" s="5"/>
    </row>
    <row r="6" spans="1:19" ht="18.75" customHeight="1" x14ac:dyDescent="0.25">
      <c r="A6" s="3" t="s">
        <v>12</v>
      </c>
      <c r="B6" s="7">
        <v>5</v>
      </c>
      <c r="C6" s="3" t="s">
        <v>13</v>
      </c>
      <c r="D6" s="3" t="s">
        <v>33</v>
      </c>
      <c r="E6" s="10" t="s">
        <v>34</v>
      </c>
      <c r="F6" s="23" t="s">
        <v>35</v>
      </c>
      <c r="G6" s="3" t="s">
        <v>30</v>
      </c>
      <c r="H6" s="9" t="s">
        <v>36</v>
      </c>
      <c r="I6" s="3" t="s">
        <v>37</v>
      </c>
      <c r="J6" s="3" t="s">
        <v>456</v>
      </c>
      <c r="K6" s="3"/>
      <c r="L6" s="3"/>
      <c r="M6" s="3"/>
      <c r="N6" s="3"/>
      <c r="O6" s="3"/>
      <c r="P6" s="5"/>
      <c r="Q6" s="5"/>
      <c r="R6" s="5"/>
      <c r="S6" s="5"/>
    </row>
    <row r="7" spans="1:19" ht="19.5" customHeight="1" x14ac:dyDescent="0.25">
      <c r="A7" s="3" t="s">
        <v>12</v>
      </c>
      <c r="B7" s="7">
        <v>6</v>
      </c>
      <c r="C7" s="3" t="s">
        <v>13</v>
      </c>
      <c r="D7" s="3" t="s">
        <v>38</v>
      </c>
      <c r="E7" s="10" t="s">
        <v>39</v>
      </c>
      <c r="F7" s="8" t="s">
        <v>40</v>
      </c>
      <c r="G7" s="3" t="s">
        <v>41</v>
      </c>
      <c r="H7" s="9" t="s">
        <v>31</v>
      </c>
      <c r="I7" s="3" t="s">
        <v>42</v>
      </c>
      <c r="J7" s="3" t="s">
        <v>456</v>
      </c>
      <c r="K7" s="3"/>
      <c r="L7" s="3"/>
      <c r="M7" s="3"/>
      <c r="N7" s="3"/>
      <c r="O7" s="3"/>
      <c r="P7" s="5"/>
      <c r="Q7" s="5"/>
      <c r="R7" s="5"/>
      <c r="S7" s="5"/>
    </row>
    <row r="8" spans="1:19" ht="19.5" customHeight="1" x14ac:dyDescent="0.25">
      <c r="A8" s="3" t="s">
        <v>12</v>
      </c>
      <c r="B8" s="7">
        <v>7</v>
      </c>
      <c r="C8" s="3" t="s">
        <v>13</v>
      </c>
      <c r="D8" s="3" t="s">
        <v>43</v>
      </c>
      <c r="E8" s="10" t="s">
        <v>44</v>
      </c>
      <c r="F8" s="8" t="s">
        <v>45</v>
      </c>
      <c r="G8" s="3" t="s">
        <v>46</v>
      </c>
      <c r="H8" s="9" t="s">
        <v>47</v>
      </c>
      <c r="I8" s="3" t="s">
        <v>48</v>
      </c>
      <c r="J8" s="3" t="s">
        <v>457</v>
      </c>
      <c r="K8" s="3"/>
      <c r="L8" s="3"/>
      <c r="M8" s="3"/>
      <c r="N8" s="3"/>
      <c r="O8" s="3"/>
      <c r="P8" s="5"/>
      <c r="Q8" s="5"/>
      <c r="R8" s="5"/>
      <c r="S8" s="5"/>
    </row>
    <row r="9" spans="1:19" ht="19.5" customHeight="1" x14ac:dyDescent="0.25">
      <c r="A9" s="3" t="s">
        <v>12</v>
      </c>
      <c r="B9" s="7">
        <v>8</v>
      </c>
      <c r="C9" s="3" t="s">
        <v>13</v>
      </c>
      <c r="D9" s="3" t="s">
        <v>49</v>
      </c>
      <c r="E9" s="10" t="s">
        <v>50</v>
      </c>
      <c r="F9" s="8" t="s">
        <v>51</v>
      </c>
      <c r="G9" s="3" t="s">
        <v>52</v>
      </c>
      <c r="H9" s="9" t="s">
        <v>53</v>
      </c>
      <c r="I9" s="3" t="s">
        <v>54</v>
      </c>
      <c r="J9" s="3" t="s">
        <v>456</v>
      </c>
      <c r="K9" s="3"/>
      <c r="L9" s="3"/>
      <c r="M9" s="3"/>
      <c r="N9" s="3"/>
      <c r="O9" s="3"/>
      <c r="P9" s="5"/>
      <c r="Q9" s="5"/>
      <c r="R9" s="5"/>
      <c r="S9" s="5"/>
    </row>
    <row r="10" spans="1:19" ht="19.5" customHeight="1" x14ac:dyDescent="0.25">
      <c r="A10" s="3" t="s">
        <v>12</v>
      </c>
      <c r="B10" s="7">
        <v>9</v>
      </c>
      <c r="C10" s="3" t="s">
        <v>13</v>
      </c>
      <c r="D10" s="3" t="s">
        <v>55</v>
      </c>
      <c r="E10" s="10" t="s">
        <v>56</v>
      </c>
      <c r="F10" s="23" t="s">
        <v>57</v>
      </c>
      <c r="G10" s="3" t="s">
        <v>46</v>
      </c>
      <c r="H10" s="9" t="s">
        <v>58</v>
      </c>
      <c r="I10" s="3" t="s">
        <v>59</v>
      </c>
      <c r="J10" s="3" t="s">
        <v>458</v>
      </c>
      <c r="K10" s="3"/>
      <c r="L10" s="3"/>
      <c r="M10" s="3"/>
      <c r="N10" s="3"/>
      <c r="O10" s="3"/>
      <c r="P10" s="5"/>
      <c r="Q10" s="5"/>
      <c r="R10" s="5"/>
      <c r="S10" s="5"/>
    </row>
    <row r="11" spans="1:19" ht="19.5" customHeight="1" x14ac:dyDescent="0.25">
      <c r="A11" s="3" t="s">
        <v>12</v>
      </c>
      <c r="B11" s="7">
        <v>10</v>
      </c>
      <c r="C11" s="3" t="s">
        <v>26</v>
      </c>
      <c r="D11" s="3" t="s">
        <v>60</v>
      </c>
      <c r="E11" s="10" t="s">
        <v>61</v>
      </c>
      <c r="F11" s="23" t="s">
        <v>62</v>
      </c>
      <c r="G11" s="3" t="s">
        <v>63</v>
      </c>
      <c r="H11" s="9" t="s">
        <v>64</v>
      </c>
      <c r="I11" s="3" t="s">
        <v>65</v>
      </c>
      <c r="J11" s="3" t="s">
        <v>457</v>
      </c>
      <c r="K11" s="3"/>
      <c r="L11" s="3"/>
      <c r="M11" s="3"/>
      <c r="N11" s="3"/>
      <c r="O11" s="3"/>
      <c r="P11" s="5"/>
      <c r="Q11" s="5"/>
      <c r="R11" s="5"/>
      <c r="S11" s="5"/>
    </row>
    <row r="12" spans="1:19" ht="19.5" customHeight="1" x14ac:dyDescent="0.25">
      <c r="A12" s="3" t="s">
        <v>12</v>
      </c>
      <c r="B12" s="7">
        <v>11</v>
      </c>
      <c r="C12" s="3" t="s">
        <v>13</v>
      </c>
      <c r="D12" s="3" t="s">
        <v>66</v>
      </c>
      <c r="E12" s="10" t="s">
        <v>67</v>
      </c>
      <c r="F12" s="23" t="s">
        <v>68</v>
      </c>
      <c r="G12" s="3" t="s">
        <v>11</v>
      </c>
      <c r="H12" s="9" t="s">
        <v>69</v>
      </c>
      <c r="I12" s="3" t="s">
        <v>70</v>
      </c>
      <c r="J12" s="3" t="s">
        <v>456</v>
      </c>
      <c r="K12" s="3"/>
      <c r="L12" s="3"/>
      <c r="M12" s="3"/>
      <c r="N12" s="3"/>
      <c r="O12" s="3"/>
      <c r="P12" s="5"/>
      <c r="Q12" s="5"/>
      <c r="R12" s="5"/>
      <c r="S12" s="5"/>
    </row>
    <row r="13" spans="1:19" ht="18.75" customHeight="1" x14ac:dyDescent="0.25">
      <c r="A13" s="3" t="s">
        <v>12</v>
      </c>
      <c r="B13" s="7">
        <v>12</v>
      </c>
      <c r="C13" s="3" t="s">
        <v>13</v>
      </c>
      <c r="D13" s="3" t="s">
        <v>71</v>
      </c>
      <c r="E13" s="10" t="s">
        <v>72</v>
      </c>
      <c r="F13" s="10" t="s">
        <v>73</v>
      </c>
      <c r="G13" s="3" t="s">
        <v>74</v>
      </c>
      <c r="H13" s="9" t="s">
        <v>75</v>
      </c>
      <c r="I13" s="3" t="s">
        <v>76</v>
      </c>
      <c r="J13" s="3" t="s">
        <v>456</v>
      </c>
      <c r="K13" s="3"/>
      <c r="L13" s="3"/>
      <c r="M13" s="3"/>
      <c r="N13" s="3"/>
      <c r="O13" s="3"/>
      <c r="P13" s="5"/>
      <c r="Q13" s="5"/>
      <c r="R13" s="5"/>
      <c r="S13" s="5"/>
    </row>
    <row r="14" spans="1:19" ht="18.75" customHeight="1" x14ac:dyDescent="0.25">
      <c r="A14" s="3" t="s">
        <v>12</v>
      </c>
      <c r="B14" s="7">
        <v>13</v>
      </c>
      <c r="C14" s="3" t="s">
        <v>26</v>
      </c>
      <c r="D14" s="3" t="s">
        <v>77</v>
      </c>
      <c r="E14" s="10" t="s">
        <v>78</v>
      </c>
      <c r="F14" s="10" t="s">
        <v>79</v>
      </c>
      <c r="G14" s="3" t="s">
        <v>80</v>
      </c>
      <c r="H14" s="9" t="s">
        <v>58</v>
      </c>
      <c r="I14" s="3" t="s">
        <v>81</v>
      </c>
      <c r="J14" s="3" t="s">
        <v>456</v>
      </c>
      <c r="K14" s="3"/>
      <c r="L14" s="3"/>
      <c r="M14" s="3"/>
      <c r="N14" s="3"/>
      <c r="O14" s="3"/>
      <c r="P14" s="5"/>
      <c r="Q14" s="5"/>
      <c r="R14" s="5"/>
      <c r="S14" s="5"/>
    </row>
    <row r="15" spans="1:19" ht="18.75" customHeight="1" x14ac:dyDescent="0.25">
      <c r="A15" s="3" t="s">
        <v>12</v>
      </c>
      <c r="B15" s="7">
        <v>14</v>
      </c>
      <c r="C15" s="3" t="s">
        <v>13</v>
      </c>
      <c r="D15" s="3" t="s">
        <v>82</v>
      </c>
      <c r="E15" s="10" t="s">
        <v>83</v>
      </c>
      <c r="F15" s="23" t="s">
        <v>451</v>
      </c>
      <c r="G15" s="3" t="s">
        <v>84</v>
      </c>
      <c r="H15" s="9" t="s">
        <v>85</v>
      </c>
      <c r="I15" s="3" t="s">
        <v>86</v>
      </c>
      <c r="J15" s="3" t="s">
        <v>456</v>
      </c>
      <c r="K15" s="5"/>
      <c r="L15" s="5"/>
      <c r="M15" s="5"/>
      <c r="N15" s="3"/>
      <c r="O15" s="3"/>
      <c r="P15" s="5"/>
      <c r="Q15" s="5"/>
      <c r="R15" s="5"/>
      <c r="S15" s="5"/>
    </row>
    <row r="16" spans="1:19" ht="18.75" customHeight="1" x14ac:dyDescent="0.25">
      <c r="A16" s="3" t="s">
        <v>12</v>
      </c>
      <c r="B16" s="7">
        <v>15</v>
      </c>
      <c r="C16" s="3" t="s">
        <v>13</v>
      </c>
      <c r="D16" s="3" t="s">
        <v>87</v>
      </c>
      <c r="E16" s="10" t="s">
        <v>88</v>
      </c>
      <c r="F16" s="10" t="s">
        <v>89</v>
      </c>
      <c r="G16" s="3" t="s">
        <v>90</v>
      </c>
      <c r="H16" s="9" t="s">
        <v>91</v>
      </c>
      <c r="I16" s="3" t="s">
        <v>92</v>
      </c>
      <c r="J16" s="3" t="s">
        <v>456</v>
      </c>
      <c r="K16" s="3"/>
      <c r="L16" s="3"/>
      <c r="M16" s="3"/>
      <c r="N16" s="3"/>
      <c r="O16" s="3"/>
      <c r="P16" s="5"/>
      <c r="Q16" s="5"/>
      <c r="R16" s="5"/>
      <c r="S16" s="5"/>
    </row>
    <row r="17" spans="1:19" ht="32.25" customHeight="1" x14ac:dyDescent="0.25">
      <c r="A17" s="3" t="s">
        <v>12</v>
      </c>
      <c r="B17" s="7">
        <v>16</v>
      </c>
      <c r="C17" s="3" t="s">
        <v>26</v>
      </c>
      <c r="D17" s="3" t="s">
        <v>93</v>
      </c>
      <c r="E17" s="10" t="s">
        <v>94</v>
      </c>
      <c r="F17" s="10" t="s">
        <v>95</v>
      </c>
      <c r="G17" s="3" t="s">
        <v>96</v>
      </c>
      <c r="H17" s="9" t="s">
        <v>53</v>
      </c>
      <c r="I17" s="3" t="s">
        <v>97</v>
      </c>
      <c r="J17" s="3" t="s">
        <v>456</v>
      </c>
      <c r="K17" s="3"/>
      <c r="L17" s="3"/>
      <c r="M17" s="3"/>
      <c r="N17" s="3"/>
      <c r="O17" s="3"/>
      <c r="P17" s="5"/>
      <c r="Q17" s="5"/>
      <c r="R17" s="5"/>
      <c r="S17" s="5"/>
    </row>
    <row r="18" spans="1:19" ht="18.75" customHeight="1" x14ac:dyDescent="0.25">
      <c r="A18" s="3" t="s">
        <v>12</v>
      </c>
      <c r="B18" s="7">
        <v>17</v>
      </c>
      <c r="C18" s="3" t="s">
        <v>98</v>
      </c>
      <c r="D18" s="3" t="s">
        <v>99</v>
      </c>
      <c r="E18" s="10" t="s">
        <v>100</v>
      </c>
      <c r="F18" s="23" t="s">
        <v>101</v>
      </c>
      <c r="G18" s="3" t="s">
        <v>102</v>
      </c>
      <c r="H18" s="9" t="s">
        <v>31</v>
      </c>
      <c r="I18" s="3" t="s">
        <v>103</v>
      </c>
      <c r="J18" s="3"/>
      <c r="K18" s="3"/>
      <c r="L18" s="3"/>
      <c r="M18" s="3"/>
      <c r="N18" s="3"/>
      <c r="O18" s="3"/>
      <c r="P18" s="5"/>
      <c r="Q18" s="5"/>
      <c r="R18" s="5"/>
      <c r="S18" s="5"/>
    </row>
    <row r="19" spans="1:19" ht="18.75" customHeight="1" x14ac:dyDescent="0.25">
      <c r="A19" s="3" t="s">
        <v>12</v>
      </c>
      <c r="B19" s="7">
        <v>18</v>
      </c>
      <c r="C19" s="3" t="s">
        <v>13</v>
      </c>
      <c r="D19" s="3" t="s">
        <v>104</v>
      </c>
      <c r="E19" s="10" t="s">
        <v>105</v>
      </c>
      <c r="F19" s="11" t="s">
        <v>106</v>
      </c>
      <c r="G19" s="3" t="s">
        <v>107</v>
      </c>
      <c r="H19" s="9" t="s">
        <v>108</v>
      </c>
      <c r="I19" s="3" t="s">
        <v>109</v>
      </c>
      <c r="J19" s="3"/>
      <c r="K19" s="3"/>
      <c r="L19" s="3"/>
      <c r="M19" s="3"/>
      <c r="N19" s="3"/>
      <c r="O19" s="3"/>
      <c r="P19" s="5"/>
      <c r="Q19" s="5"/>
      <c r="R19" s="5"/>
      <c r="S19" s="5"/>
    </row>
    <row r="20" spans="1:19" ht="18.75" customHeight="1" x14ac:dyDescent="0.25">
      <c r="A20" s="3" t="s">
        <v>12</v>
      </c>
      <c r="B20" s="7">
        <v>19</v>
      </c>
      <c r="C20" s="3" t="s">
        <v>26</v>
      </c>
      <c r="D20" s="3" t="s">
        <v>110</v>
      </c>
      <c r="E20" s="10" t="s">
        <v>111</v>
      </c>
      <c r="F20" s="10" t="s">
        <v>112</v>
      </c>
      <c r="G20" s="3" t="s">
        <v>113</v>
      </c>
      <c r="H20" s="9" t="s">
        <v>114</v>
      </c>
      <c r="I20" s="3" t="s">
        <v>115</v>
      </c>
      <c r="J20" s="3"/>
      <c r="K20" s="3"/>
      <c r="L20" s="3"/>
      <c r="M20" s="3"/>
      <c r="N20" s="3"/>
      <c r="O20" s="3"/>
      <c r="P20" s="5"/>
      <c r="Q20" s="5"/>
      <c r="R20" s="5"/>
      <c r="S20" s="5"/>
    </row>
    <row r="21" spans="1:19" ht="18.75" customHeight="1" x14ac:dyDescent="0.25">
      <c r="A21" s="3" t="s">
        <v>12</v>
      </c>
      <c r="B21" s="7">
        <v>20</v>
      </c>
      <c r="C21" s="3" t="s">
        <v>13</v>
      </c>
      <c r="D21" s="3" t="s">
        <v>116</v>
      </c>
      <c r="E21" s="10" t="s">
        <v>117</v>
      </c>
      <c r="F21" s="11" t="s">
        <v>118</v>
      </c>
      <c r="G21" s="3" t="s">
        <v>96</v>
      </c>
      <c r="H21" s="9" t="s">
        <v>119</v>
      </c>
      <c r="I21" s="3" t="s">
        <v>120</v>
      </c>
      <c r="J21" s="3"/>
      <c r="K21" s="3"/>
      <c r="L21" s="3"/>
      <c r="M21" s="3"/>
      <c r="N21" s="3"/>
      <c r="O21" s="3"/>
      <c r="P21" s="5"/>
      <c r="Q21" s="5"/>
      <c r="R21" s="5"/>
      <c r="S21" s="5"/>
    </row>
    <row r="22" spans="1:19" ht="18.75" customHeight="1" x14ac:dyDescent="0.25">
      <c r="A22" s="3" t="s">
        <v>12</v>
      </c>
      <c r="B22" s="7">
        <v>21</v>
      </c>
      <c r="C22" s="3" t="s">
        <v>13</v>
      </c>
      <c r="D22" s="3" t="s">
        <v>121</v>
      </c>
      <c r="E22" s="10" t="s">
        <v>122</v>
      </c>
      <c r="F22" s="23" t="s">
        <v>123</v>
      </c>
      <c r="G22" s="3" t="s">
        <v>124</v>
      </c>
      <c r="H22" s="9" t="s">
        <v>125</v>
      </c>
      <c r="I22" s="3" t="s">
        <v>126</v>
      </c>
      <c r="J22" s="3"/>
      <c r="K22" s="3"/>
      <c r="L22" s="3"/>
      <c r="M22" s="3"/>
      <c r="N22" s="3"/>
      <c r="O22" s="3"/>
      <c r="P22" s="5"/>
      <c r="Q22" s="5"/>
      <c r="R22" s="5"/>
      <c r="S22" s="5"/>
    </row>
    <row r="23" spans="1:19" ht="18.75" customHeight="1" x14ac:dyDescent="0.25">
      <c r="A23" s="3" t="s">
        <v>12</v>
      </c>
      <c r="B23" s="7">
        <v>22</v>
      </c>
      <c r="C23" s="3" t="s">
        <v>13</v>
      </c>
      <c r="D23" s="3" t="s">
        <v>127</v>
      </c>
      <c r="E23" s="10" t="s">
        <v>128</v>
      </c>
      <c r="F23" s="10" t="s">
        <v>129</v>
      </c>
      <c r="G23" s="3" t="s">
        <v>130</v>
      </c>
      <c r="H23" s="9" t="s">
        <v>125</v>
      </c>
      <c r="I23" s="3" t="s">
        <v>131</v>
      </c>
      <c r="J23" s="3"/>
      <c r="K23" s="3"/>
      <c r="L23" s="3"/>
      <c r="M23" s="3"/>
      <c r="N23" s="3"/>
      <c r="O23" s="3"/>
      <c r="P23" s="5"/>
      <c r="Q23" s="5"/>
      <c r="R23" s="5"/>
      <c r="S23" s="5"/>
    </row>
    <row r="24" spans="1:19" ht="18.75" customHeight="1" x14ac:dyDescent="0.25">
      <c r="A24" s="3" t="s">
        <v>12</v>
      </c>
      <c r="B24" s="7">
        <v>23</v>
      </c>
      <c r="C24" s="3" t="s">
        <v>13</v>
      </c>
      <c r="D24" s="3" t="s">
        <v>132</v>
      </c>
      <c r="E24" s="10" t="s">
        <v>133</v>
      </c>
      <c r="F24" s="10" t="s">
        <v>134</v>
      </c>
      <c r="G24" s="3" t="s">
        <v>30</v>
      </c>
      <c r="H24" s="9" t="s">
        <v>135</v>
      </c>
      <c r="I24" s="3" t="s">
        <v>136</v>
      </c>
      <c r="J24" s="3"/>
      <c r="K24" s="3"/>
      <c r="L24" s="3"/>
      <c r="M24" s="3"/>
      <c r="N24" s="3"/>
      <c r="O24" s="3"/>
      <c r="P24" s="5"/>
      <c r="Q24" s="5"/>
      <c r="R24" s="5"/>
      <c r="S24" s="5"/>
    </row>
    <row r="25" spans="1:19" ht="18.75" customHeight="1" x14ac:dyDescent="0.25">
      <c r="A25" s="3" t="s">
        <v>12</v>
      </c>
      <c r="B25" s="7">
        <v>24</v>
      </c>
      <c r="C25" s="3" t="s">
        <v>26</v>
      </c>
      <c r="D25" s="3" t="s">
        <v>137</v>
      </c>
      <c r="E25" s="10" t="s">
        <v>138</v>
      </c>
      <c r="F25" s="23" t="s">
        <v>139</v>
      </c>
      <c r="G25" s="3" t="s">
        <v>140</v>
      </c>
      <c r="H25" s="9" t="s">
        <v>141</v>
      </c>
      <c r="I25" s="3" t="s">
        <v>142</v>
      </c>
      <c r="J25" s="3"/>
      <c r="K25" s="3"/>
      <c r="L25" s="3"/>
      <c r="M25" s="3"/>
      <c r="N25" s="3"/>
      <c r="O25" s="3"/>
      <c r="P25" s="5"/>
      <c r="Q25" s="5"/>
      <c r="R25" s="5"/>
      <c r="S25" s="5"/>
    </row>
    <row r="26" spans="1:19" ht="18.75" customHeight="1" x14ac:dyDescent="0.25">
      <c r="A26" s="3" t="s">
        <v>12</v>
      </c>
      <c r="B26" s="7">
        <v>25</v>
      </c>
      <c r="C26" s="3" t="s">
        <v>26</v>
      </c>
      <c r="D26" s="3" t="s">
        <v>143</v>
      </c>
      <c r="E26" s="10" t="s">
        <v>144</v>
      </c>
      <c r="F26" s="10" t="s">
        <v>145</v>
      </c>
      <c r="G26" s="3" t="s">
        <v>146</v>
      </c>
      <c r="H26" s="9" t="s">
        <v>147</v>
      </c>
      <c r="I26" s="3" t="s">
        <v>148</v>
      </c>
      <c r="J26" s="3"/>
      <c r="K26" s="3"/>
      <c r="L26" s="3"/>
      <c r="M26" s="3"/>
      <c r="N26" s="3"/>
      <c r="O26" s="3"/>
      <c r="P26" s="5"/>
      <c r="Q26" s="5"/>
      <c r="R26" s="5"/>
      <c r="S26" s="5"/>
    </row>
    <row r="27" spans="1:19" ht="18.75" customHeight="1" x14ac:dyDescent="0.25">
      <c r="A27" s="3" t="s">
        <v>12</v>
      </c>
      <c r="B27" s="7">
        <v>26</v>
      </c>
      <c r="C27" s="3" t="s">
        <v>13</v>
      </c>
      <c r="D27" s="3" t="s">
        <v>149</v>
      </c>
      <c r="E27" s="10" t="s">
        <v>150</v>
      </c>
      <c r="F27" s="10" t="s">
        <v>151</v>
      </c>
      <c r="G27" s="3" t="s">
        <v>152</v>
      </c>
      <c r="H27" s="9" t="s">
        <v>153</v>
      </c>
      <c r="I27" s="3" t="s">
        <v>154</v>
      </c>
      <c r="J27" s="3"/>
      <c r="K27" s="3"/>
      <c r="L27" s="3"/>
      <c r="M27" s="3"/>
      <c r="N27" s="3"/>
      <c r="O27" s="3"/>
      <c r="P27" s="5"/>
      <c r="Q27" s="5"/>
      <c r="R27" s="5"/>
      <c r="S27" s="5"/>
    </row>
    <row r="28" spans="1:19" ht="18.75" customHeight="1" x14ac:dyDescent="0.25">
      <c r="A28" s="3" t="s">
        <v>12</v>
      </c>
      <c r="B28" s="7">
        <v>27</v>
      </c>
      <c r="C28" s="3" t="s">
        <v>98</v>
      </c>
      <c r="D28" s="3" t="s">
        <v>155</v>
      </c>
      <c r="E28" s="10" t="s">
        <v>156</v>
      </c>
      <c r="F28" s="10" t="s">
        <v>157</v>
      </c>
      <c r="G28" s="3" t="s">
        <v>158</v>
      </c>
      <c r="H28" s="9" t="s">
        <v>159</v>
      </c>
      <c r="I28" s="3" t="s">
        <v>160</v>
      </c>
      <c r="J28" s="3"/>
      <c r="K28" s="3"/>
      <c r="L28" s="3"/>
      <c r="M28" s="3"/>
      <c r="N28" s="3"/>
      <c r="O28" s="3"/>
      <c r="P28" s="5"/>
      <c r="Q28" s="5"/>
      <c r="R28" s="5"/>
      <c r="S28" s="5"/>
    </row>
    <row r="29" spans="1:19" ht="18.75" customHeight="1" x14ac:dyDescent="0.25">
      <c r="A29" s="3" t="s">
        <v>12</v>
      </c>
      <c r="B29" s="7">
        <v>28</v>
      </c>
      <c r="C29" s="3" t="s">
        <v>98</v>
      </c>
      <c r="D29" s="3" t="s">
        <v>161</v>
      </c>
      <c r="E29" s="10" t="s">
        <v>162</v>
      </c>
      <c r="F29" s="23" t="s">
        <v>163</v>
      </c>
      <c r="G29" s="3" t="s">
        <v>164</v>
      </c>
      <c r="H29" s="9" t="s">
        <v>53</v>
      </c>
      <c r="I29" s="3" t="s">
        <v>165</v>
      </c>
      <c r="J29" s="3"/>
      <c r="K29" s="3"/>
      <c r="L29" s="3"/>
      <c r="M29" s="3"/>
      <c r="N29" s="3"/>
      <c r="O29" s="3"/>
      <c r="P29" s="5"/>
      <c r="Q29" s="5"/>
      <c r="R29" s="5"/>
      <c r="S29" s="5"/>
    </row>
    <row r="30" spans="1:19" ht="18.75" customHeight="1" x14ac:dyDescent="0.25">
      <c r="A30" s="3" t="s">
        <v>12</v>
      </c>
      <c r="B30" s="7">
        <v>29</v>
      </c>
      <c r="C30" s="3" t="s">
        <v>26</v>
      </c>
      <c r="D30" s="3" t="s">
        <v>166</v>
      </c>
      <c r="E30" s="10" t="s">
        <v>167</v>
      </c>
      <c r="F30" s="10" t="s">
        <v>168</v>
      </c>
      <c r="G30" s="3" t="s">
        <v>169</v>
      </c>
      <c r="H30" s="9" t="s">
        <v>170</v>
      </c>
      <c r="I30" s="3" t="s">
        <v>171</v>
      </c>
      <c r="J30" s="3"/>
      <c r="K30" s="3"/>
      <c r="L30" s="3"/>
      <c r="M30" s="3"/>
      <c r="N30" s="3"/>
      <c r="O30" s="3"/>
      <c r="P30" s="5"/>
      <c r="Q30" s="5"/>
      <c r="R30" s="5"/>
      <c r="S30" s="5"/>
    </row>
    <row r="31" spans="1:19" ht="18.75" customHeight="1" x14ac:dyDescent="0.25">
      <c r="A31" s="3" t="s">
        <v>12</v>
      </c>
      <c r="B31" s="7">
        <v>30</v>
      </c>
      <c r="C31" s="3" t="s">
        <v>13</v>
      </c>
      <c r="D31" s="3" t="s">
        <v>172</v>
      </c>
      <c r="E31" s="10" t="s">
        <v>173</v>
      </c>
      <c r="F31" s="10" t="s">
        <v>174</v>
      </c>
      <c r="G31" s="3" t="s">
        <v>175</v>
      </c>
      <c r="H31" s="9" t="s">
        <v>176</v>
      </c>
      <c r="I31" s="3" t="s">
        <v>177</v>
      </c>
      <c r="J31" s="3"/>
      <c r="K31" s="3"/>
      <c r="L31" s="3"/>
      <c r="M31" s="3"/>
      <c r="N31" s="3"/>
      <c r="O31" s="3"/>
      <c r="P31" s="5"/>
      <c r="Q31" s="5"/>
      <c r="R31" s="5"/>
      <c r="S31" s="5"/>
    </row>
    <row r="32" spans="1:19" ht="19.5" customHeight="1" x14ac:dyDescent="0.25">
      <c r="A32" s="3" t="s">
        <v>12</v>
      </c>
      <c r="B32" s="7">
        <v>31</v>
      </c>
      <c r="C32" s="3" t="s">
        <v>13</v>
      </c>
      <c r="D32" s="3" t="s">
        <v>178</v>
      </c>
      <c r="E32" s="10" t="s">
        <v>179</v>
      </c>
      <c r="F32" s="10" t="s">
        <v>180</v>
      </c>
      <c r="G32" s="3" t="s">
        <v>181</v>
      </c>
      <c r="H32" s="9" t="s">
        <v>108</v>
      </c>
      <c r="I32" s="3" t="s">
        <v>182</v>
      </c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9.5" customHeight="1" x14ac:dyDescent="0.25">
      <c r="A33" s="3" t="s">
        <v>12</v>
      </c>
      <c r="B33" s="7">
        <v>32</v>
      </c>
      <c r="C33" s="3" t="s">
        <v>26</v>
      </c>
      <c r="D33" s="3" t="s">
        <v>183</v>
      </c>
      <c r="E33" s="10" t="s">
        <v>184</v>
      </c>
      <c r="F33" s="10" t="s">
        <v>185</v>
      </c>
      <c r="G33" s="3" t="s">
        <v>186</v>
      </c>
      <c r="H33" s="9" t="s">
        <v>58</v>
      </c>
      <c r="I33" s="3" t="s">
        <v>187</v>
      </c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19.5" customHeight="1" x14ac:dyDescent="0.25">
      <c r="A34" s="3" t="s">
        <v>12</v>
      </c>
      <c r="B34" s="7">
        <v>33</v>
      </c>
      <c r="C34" s="3" t="s">
        <v>13</v>
      </c>
      <c r="D34" s="3" t="s">
        <v>188</v>
      </c>
      <c r="E34" s="10" t="s">
        <v>189</v>
      </c>
      <c r="F34" s="10" t="s">
        <v>190</v>
      </c>
      <c r="G34" s="3" t="s">
        <v>96</v>
      </c>
      <c r="H34" s="9" t="s">
        <v>85</v>
      </c>
      <c r="I34" s="3" t="s">
        <v>191</v>
      </c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19.5" customHeight="1" x14ac:dyDescent="0.25">
      <c r="A35" s="3" t="s">
        <v>12</v>
      </c>
      <c r="B35" s="7">
        <v>34</v>
      </c>
      <c r="C35" s="3" t="s">
        <v>26</v>
      </c>
      <c r="D35" s="3" t="s">
        <v>192</v>
      </c>
      <c r="E35" s="10" t="s">
        <v>193</v>
      </c>
      <c r="F35" s="11" t="s">
        <v>194</v>
      </c>
      <c r="G35" s="3" t="s">
        <v>30</v>
      </c>
      <c r="H35" s="9" t="s">
        <v>125</v>
      </c>
      <c r="I35" s="3" t="s">
        <v>195</v>
      </c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18.75" customHeight="1" x14ac:dyDescent="0.25">
      <c r="A36" s="3" t="s">
        <v>12</v>
      </c>
      <c r="B36" s="7">
        <v>35</v>
      </c>
      <c r="C36" s="3" t="s">
        <v>13</v>
      </c>
      <c r="D36" s="3" t="s">
        <v>196</v>
      </c>
      <c r="E36" s="10" t="s">
        <v>197</v>
      </c>
      <c r="F36" s="10" t="s">
        <v>198</v>
      </c>
      <c r="G36" s="3" t="s">
        <v>199</v>
      </c>
      <c r="H36" s="9" t="s">
        <v>125</v>
      </c>
      <c r="I36" s="3" t="s">
        <v>200</v>
      </c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8.75" customHeight="1" x14ac:dyDescent="0.25">
      <c r="A37" s="3" t="s">
        <v>12</v>
      </c>
      <c r="B37" s="7">
        <v>36</v>
      </c>
      <c r="C37" s="3" t="s">
        <v>26</v>
      </c>
      <c r="D37" s="3" t="s">
        <v>201</v>
      </c>
      <c r="E37" s="11" t="s">
        <v>202</v>
      </c>
      <c r="F37" s="11" t="s">
        <v>203</v>
      </c>
      <c r="G37" s="3" t="s">
        <v>102</v>
      </c>
      <c r="H37" s="9" t="s">
        <v>204</v>
      </c>
      <c r="I37" s="3" t="s">
        <v>205</v>
      </c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8.75" customHeight="1" x14ac:dyDescent="0.25">
      <c r="A38" s="3" t="s">
        <v>12</v>
      </c>
      <c r="B38" s="7">
        <v>37</v>
      </c>
      <c r="C38" s="3" t="s">
        <v>13</v>
      </c>
      <c r="D38" s="3" t="s">
        <v>206</v>
      </c>
      <c r="E38" s="11" t="s">
        <v>207</v>
      </c>
      <c r="F38" s="10" t="s">
        <v>208</v>
      </c>
      <c r="G38" s="3" t="s">
        <v>74</v>
      </c>
      <c r="H38" s="9" t="s">
        <v>58</v>
      </c>
      <c r="I38" s="3" t="s">
        <v>209</v>
      </c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8.75" customHeight="1" x14ac:dyDescent="0.25">
      <c r="A39" s="3" t="s">
        <v>12</v>
      </c>
      <c r="B39" s="7">
        <v>38</v>
      </c>
      <c r="C39" s="3" t="s">
        <v>26</v>
      </c>
      <c r="D39" s="3" t="s">
        <v>210</v>
      </c>
      <c r="E39" s="10" t="s">
        <v>211</v>
      </c>
      <c r="F39" s="11" t="s">
        <v>212</v>
      </c>
      <c r="G39" s="3" t="s">
        <v>213</v>
      </c>
      <c r="H39" s="9" t="s">
        <v>58</v>
      </c>
      <c r="I39" s="3" t="s">
        <v>214</v>
      </c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8.75" customHeight="1" x14ac:dyDescent="0.25">
      <c r="A40" s="3" t="s">
        <v>12</v>
      </c>
      <c r="B40" s="7">
        <v>39</v>
      </c>
      <c r="C40" s="3" t="s">
        <v>13</v>
      </c>
      <c r="D40" s="3" t="s">
        <v>215</v>
      </c>
      <c r="E40" s="11" t="s">
        <v>216</v>
      </c>
      <c r="F40" s="10" t="s">
        <v>217</v>
      </c>
      <c r="G40" s="3" t="s">
        <v>218</v>
      </c>
      <c r="H40" s="9" t="s">
        <v>219</v>
      </c>
      <c r="I40" s="3" t="s">
        <v>220</v>
      </c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8.75" customHeight="1" x14ac:dyDescent="0.25">
      <c r="A41" s="3" t="s">
        <v>12</v>
      </c>
      <c r="B41" s="7">
        <v>40</v>
      </c>
      <c r="C41" s="3" t="s">
        <v>13</v>
      </c>
      <c r="D41" s="3" t="s">
        <v>221</v>
      </c>
      <c r="E41" s="10" t="s">
        <v>222</v>
      </c>
      <c r="F41" s="11" t="s">
        <v>223</v>
      </c>
      <c r="G41" s="3" t="s">
        <v>224</v>
      </c>
      <c r="H41" s="9" t="s">
        <v>225</v>
      </c>
      <c r="I41" s="3" t="s">
        <v>226</v>
      </c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8.75" customHeight="1" x14ac:dyDescent="0.25">
      <c r="A42" s="3" t="s">
        <v>12</v>
      </c>
      <c r="B42" s="7">
        <v>41</v>
      </c>
      <c r="C42" s="3" t="s">
        <v>98</v>
      </c>
      <c r="D42" s="3" t="s">
        <v>227</v>
      </c>
      <c r="E42" s="10" t="s">
        <v>228</v>
      </c>
      <c r="F42" s="10" t="s">
        <v>229</v>
      </c>
      <c r="G42" s="3" t="s">
        <v>102</v>
      </c>
      <c r="H42" s="9" t="s">
        <v>230</v>
      </c>
      <c r="I42" s="3" t="s">
        <v>231</v>
      </c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ht="18.75" customHeight="1" x14ac:dyDescent="0.25">
      <c r="A43" s="3" t="s">
        <v>12</v>
      </c>
      <c r="B43" s="7">
        <v>42</v>
      </c>
      <c r="C43" s="3" t="s">
        <v>26</v>
      </c>
      <c r="D43" s="3" t="s">
        <v>232</v>
      </c>
      <c r="E43" s="10" t="s">
        <v>233</v>
      </c>
      <c r="F43" s="23" t="s">
        <v>234</v>
      </c>
      <c r="G43" s="3" t="s">
        <v>186</v>
      </c>
      <c r="H43" s="9" t="s">
        <v>235</v>
      </c>
      <c r="I43" s="3" t="s">
        <v>236</v>
      </c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18.75" customHeight="1" x14ac:dyDescent="0.25">
      <c r="A44" s="3" t="s">
        <v>12</v>
      </c>
      <c r="B44" s="7">
        <v>43</v>
      </c>
      <c r="C44" s="3" t="s">
        <v>13</v>
      </c>
      <c r="D44" s="3" t="s">
        <v>237</v>
      </c>
      <c r="E44" s="10" t="s">
        <v>238</v>
      </c>
      <c r="F44" s="10" t="s">
        <v>239</v>
      </c>
      <c r="G44" s="3" t="s">
        <v>240</v>
      </c>
      <c r="H44" s="9" t="s">
        <v>125</v>
      </c>
      <c r="I44" s="3" t="s">
        <v>241</v>
      </c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ht="18.75" customHeight="1" x14ac:dyDescent="0.25">
      <c r="A45" s="3" t="s">
        <v>12</v>
      </c>
      <c r="B45" s="7">
        <v>44</v>
      </c>
      <c r="C45" s="3" t="s">
        <v>26</v>
      </c>
      <c r="D45" s="3" t="s">
        <v>242</v>
      </c>
      <c r="E45" s="10" t="s">
        <v>243</v>
      </c>
      <c r="F45" s="6" t="s">
        <v>244</v>
      </c>
      <c r="G45" s="3" t="s">
        <v>245</v>
      </c>
      <c r="H45" s="9" t="s">
        <v>159</v>
      </c>
      <c r="I45" s="3" t="s">
        <v>246</v>
      </c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8.75" customHeight="1" x14ac:dyDescent="0.25">
      <c r="A46" s="3" t="s">
        <v>12</v>
      </c>
      <c r="B46" s="7">
        <v>45</v>
      </c>
      <c r="C46" s="3" t="s">
        <v>26</v>
      </c>
      <c r="D46" s="3" t="s">
        <v>247</v>
      </c>
      <c r="E46" s="10" t="s">
        <v>248</v>
      </c>
      <c r="F46" s="6" t="s">
        <v>249</v>
      </c>
      <c r="G46" s="3" t="s">
        <v>218</v>
      </c>
      <c r="H46" s="9" t="s">
        <v>135</v>
      </c>
      <c r="I46" s="3" t="s">
        <v>250</v>
      </c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ht="18.75" customHeight="1" x14ac:dyDescent="0.25">
      <c r="A47" s="3" t="s">
        <v>12</v>
      </c>
      <c r="B47" s="7">
        <v>46</v>
      </c>
      <c r="C47" s="3" t="s">
        <v>26</v>
      </c>
      <c r="D47" s="3" t="s">
        <v>251</v>
      </c>
      <c r="E47" s="10" t="s">
        <v>252</v>
      </c>
      <c r="F47" s="10" t="s">
        <v>253</v>
      </c>
      <c r="G47" s="3" t="s">
        <v>254</v>
      </c>
      <c r="H47" s="9" t="s">
        <v>255</v>
      </c>
      <c r="I47" s="3" t="s">
        <v>256</v>
      </c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8.75" customHeight="1" x14ac:dyDescent="0.25">
      <c r="A48" s="3" t="s">
        <v>12</v>
      </c>
      <c r="B48" s="7">
        <v>47</v>
      </c>
      <c r="C48" s="3" t="s">
        <v>13</v>
      </c>
      <c r="D48" s="3" t="s">
        <v>257</v>
      </c>
      <c r="E48" s="10" t="s">
        <v>258</v>
      </c>
      <c r="F48" s="10" t="s">
        <v>259</v>
      </c>
      <c r="G48" s="3" t="s">
        <v>260</v>
      </c>
      <c r="H48" s="9" t="s">
        <v>58</v>
      </c>
      <c r="I48" s="3" t="s">
        <v>261</v>
      </c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ht="18.75" customHeight="1" x14ac:dyDescent="0.25">
      <c r="A49" s="3" t="s">
        <v>12</v>
      </c>
      <c r="B49" s="7">
        <v>48</v>
      </c>
      <c r="C49" s="3" t="s">
        <v>13</v>
      </c>
      <c r="D49" s="3" t="s">
        <v>262</v>
      </c>
      <c r="E49" s="10" t="s">
        <v>263</v>
      </c>
      <c r="F49" s="10" t="s">
        <v>264</v>
      </c>
      <c r="G49" s="3" t="s">
        <v>63</v>
      </c>
      <c r="H49" s="9" t="s">
        <v>265</v>
      </c>
      <c r="I49" s="3" t="s">
        <v>266</v>
      </c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ht="18.75" customHeight="1" x14ac:dyDescent="0.25">
      <c r="A50" s="3" t="s">
        <v>12</v>
      </c>
      <c r="B50" s="7">
        <v>49</v>
      </c>
      <c r="C50" s="3" t="s">
        <v>26</v>
      </c>
      <c r="D50" s="3" t="s">
        <v>267</v>
      </c>
      <c r="E50" s="10" t="s">
        <v>268</v>
      </c>
      <c r="F50" s="10" t="s">
        <v>269</v>
      </c>
      <c r="G50" s="3" t="s">
        <v>23</v>
      </c>
      <c r="H50" s="9" t="s">
        <v>58</v>
      </c>
      <c r="I50" s="3" t="s">
        <v>270</v>
      </c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ht="18.75" customHeight="1" x14ac:dyDescent="0.25">
      <c r="A51" s="3" t="s">
        <v>12</v>
      </c>
      <c r="B51" s="7">
        <v>50</v>
      </c>
      <c r="C51" s="3" t="s">
        <v>26</v>
      </c>
      <c r="D51" s="3" t="s">
        <v>271</v>
      </c>
      <c r="E51" s="10" t="s">
        <v>272</v>
      </c>
      <c r="F51" s="10" t="s">
        <v>273</v>
      </c>
      <c r="G51" s="3" t="s">
        <v>74</v>
      </c>
      <c r="H51" s="9" t="s">
        <v>274</v>
      </c>
      <c r="I51" s="3" t="s">
        <v>275</v>
      </c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ht="18.75" customHeight="1" x14ac:dyDescent="0.25">
      <c r="A52" s="3" t="s">
        <v>12</v>
      </c>
      <c r="B52" s="7">
        <v>51</v>
      </c>
      <c r="C52" s="3" t="s">
        <v>26</v>
      </c>
      <c r="D52" s="3" t="s">
        <v>276</v>
      </c>
      <c r="E52" s="10" t="s">
        <v>277</v>
      </c>
      <c r="F52" s="10" t="s">
        <v>278</v>
      </c>
      <c r="G52" s="3" t="s">
        <v>279</v>
      </c>
      <c r="H52" s="9" t="s">
        <v>85</v>
      </c>
      <c r="I52" s="3" t="s">
        <v>280</v>
      </c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ht="18.75" customHeight="1" x14ac:dyDescent="0.25">
      <c r="A53" s="3" t="s">
        <v>12</v>
      </c>
      <c r="B53" s="7">
        <v>52</v>
      </c>
      <c r="C53" s="3" t="s">
        <v>26</v>
      </c>
      <c r="D53" s="3" t="s">
        <v>281</v>
      </c>
      <c r="E53" s="10" t="s">
        <v>282</v>
      </c>
      <c r="F53" s="10" t="s">
        <v>283</v>
      </c>
      <c r="G53" s="3" t="s">
        <v>96</v>
      </c>
      <c r="H53" s="9" t="s">
        <v>284</v>
      </c>
      <c r="I53" s="3" t="s">
        <v>285</v>
      </c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ht="18.75" customHeight="1" x14ac:dyDescent="0.25">
      <c r="A54" s="3" t="s">
        <v>12</v>
      </c>
      <c r="B54" s="7">
        <v>53</v>
      </c>
      <c r="C54" s="3" t="s">
        <v>98</v>
      </c>
      <c r="D54" s="3" t="s">
        <v>286</v>
      </c>
      <c r="E54" s="10" t="s">
        <v>287</v>
      </c>
      <c r="F54" s="11" t="s">
        <v>288</v>
      </c>
      <c r="G54" s="3" t="s">
        <v>30</v>
      </c>
      <c r="H54" s="9" t="s">
        <v>31</v>
      </c>
      <c r="I54" s="3" t="s">
        <v>289</v>
      </c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ht="18.75" customHeight="1" x14ac:dyDescent="0.25">
      <c r="A55" s="3" t="s">
        <v>12</v>
      </c>
      <c r="B55" s="7">
        <v>54</v>
      </c>
      <c r="C55" s="3" t="s">
        <v>26</v>
      </c>
      <c r="D55" s="3" t="s">
        <v>290</v>
      </c>
      <c r="E55" s="11" t="s">
        <v>291</v>
      </c>
      <c r="F55" s="11" t="s">
        <v>292</v>
      </c>
      <c r="G55" s="3" t="s">
        <v>74</v>
      </c>
      <c r="H55" s="9" t="s">
        <v>293</v>
      </c>
      <c r="I55" s="3" t="s">
        <v>294</v>
      </c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ht="18.75" customHeight="1" x14ac:dyDescent="0.25">
      <c r="A56" s="3" t="s">
        <v>12</v>
      </c>
      <c r="B56" s="7">
        <v>55</v>
      </c>
      <c r="C56" s="3" t="s">
        <v>13</v>
      </c>
      <c r="D56" s="3" t="s">
        <v>295</v>
      </c>
      <c r="E56" s="10" t="s">
        <v>296</v>
      </c>
      <c r="F56" s="10" t="s">
        <v>297</v>
      </c>
      <c r="G56" s="3" t="s">
        <v>113</v>
      </c>
      <c r="H56" s="9" t="s">
        <v>58</v>
      </c>
      <c r="I56" s="3" t="s">
        <v>298</v>
      </c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ht="18.75" customHeight="1" x14ac:dyDescent="0.25">
      <c r="A57" s="3" t="s">
        <v>12</v>
      </c>
      <c r="B57" s="7">
        <v>56</v>
      </c>
      <c r="C57" s="3" t="s">
        <v>26</v>
      </c>
      <c r="D57" s="3" t="s">
        <v>299</v>
      </c>
      <c r="E57" s="11" t="s">
        <v>300</v>
      </c>
      <c r="F57" s="11" t="s">
        <v>301</v>
      </c>
      <c r="G57" s="3" t="s">
        <v>302</v>
      </c>
      <c r="H57" s="9" t="s">
        <v>303</v>
      </c>
      <c r="I57" s="3" t="s">
        <v>304</v>
      </c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ht="18.75" customHeight="1" x14ac:dyDescent="0.25">
      <c r="A58" s="3" t="s">
        <v>12</v>
      </c>
      <c r="B58" s="7">
        <v>57</v>
      </c>
      <c r="C58" s="3" t="s">
        <v>13</v>
      </c>
      <c r="D58" s="3" t="s">
        <v>305</v>
      </c>
      <c r="E58" s="10" t="s">
        <v>306</v>
      </c>
      <c r="F58" s="10" t="s">
        <v>307</v>
      </c>
      <c r="G58" s="3" t="s">
        <v>308</v>
      </c>
      <c r="H58" s="9" t="s">
        <v>125</v>
      </c>
      <c r="I58" s="3" t="s">
        <v>309</v>
      </c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ht="18.75" customHeight="1" x14ac:dyDescent="0.25">
      <c r="A59" s="3" t="s">
        <v>12</v>
      </c>
      <c r="B59" s="7">
        <v>58</v>
      </c>
      <c r="C59" s="3" t="s">
        <v>13</v>
      </c>
      <c r="D59" s="3" t="s">
        <v>310</v>
      </c>
      <c r="E59" s="10" t="s">
        <v>311</v>
      </c>
      <c r="F59" s="10" t="s">
        <v>312</v>
      </c>
      <c r="G59" s="3" t="s">
        <v>113</v>
      </c>
      <c r="H59" s="9" t="s">
        <v>313</v>
      </c>
      <c r="I59" s="3" t="s">
        <v>314</v>
      </c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ht="18.75" customHeight="1" x14ac:dyDescent="0.25">
      <c r="A60" s="3" t="s">
        <v>12</v>
      </c>
      <c r="B60" s="7">
        <v>59</v>
      </c>
      <c r="C60" s="3" t="s">
        <v>26</v>
      </c>
      <c r="D60" s="3" t="s">
        <v>315</v>
      </c>
      <c r="E60" s="10" t="s">
        <v>316</v>
      </c>
      <c r="F60" s="10" t="s">
        <v>317</v>
      </c>
      <c r="G60" s="3" t="s">
        <v>318</v>
      </c>
      <c r="H60" s="9" t="s">
        <v>319</v>
      </c>
      <c r="I60" s="3" t="s">
        <v>320</v>
      </c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 ht="18.75" customHeight="1" x14ac:dyDescent="0.25">
      <c r="A61" s="3" t="s">
        <v>12</v>
      </c>
      <c r="B61" s="7">
        <v>60</v>
      </c>
      <c r="C61" s="3" t="s">
        <v>13</v>
      </c>
      <c r="D61" s="3" t="s">
        <v>321</v>
      </c>
      <c r="E61" s="10" t="s">
        <v>322</v>
      </c>
      <c r="F61" s="11" t="s">
        <v>323</v>
      </c>
      <c r="G61" s="3" t="s">
        <v>324</v>
      </c>
      <c r="H61" s="9" t="s">
        <v>159</v>
      </c>
      <c r="I61" s="3" t="s">
        <v>325</v>
      </c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ht="18.75" customHeight="1" x14ac:dyDescent="0.25">
      <c r="A62" s="3" t="s">
        <v>326</v>
      </c>
      <c r="B62" s="7">
        <v>61</v>
      </c>
      <c r="C62" s="3" t="s">
        <v>26</v>
      </c>
      <c r="D62" s="3" t="s">
        <v>327</v>
      </c>
      <c r="E62" s="10" t="s">
        <v>328</v>
      </c>
      <c r="F62" s="10" t="s">
        <v>329</v>
      </c>
      <c r="G62" s="3" t="s">
        <v>330</v>
      </c>
      <c r="H62" s="7">
        <v>1924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 ht="18.75" customHeight="1" x14ac:dyDescent="0.25">
      <c r="A63" s="3" t="s">
        <v>326</v>
      </c>
      <c r="B63" s="7">
        <v>62</v>
      </c>
      <c r="C63" s="3" t="s">
        <v>26</v>
      </c>
      <c r="D63" s="3" t="s">
        <v>331</v>
      </c>
      <c r="E63" s="10" t="s">
        <v>15</v>
      </c>
      <c r="F63" s="23" t="s">
        <v>332</v>
      </c>
      <c r="G63" s="3" t="s">
        <v>333</v>
      </c>
      <c r="H63" s="7">
        <v>1970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1:19" ht="18.75" customHeight="1" x14ac:dyDescent="0.25">
      <c r="A64" s="3" t="s">
        <v>326</v>
      </c>
      <c r="B64" s="7">
        <v>63</v>
      </c>
      <c r="C64" s="3" t="s">
        <v>26</v>
      </c>
      <c r="D64" s="3" t="s">
        <v>334</v>
      </c>
      <c r="E64" s="10" t="s">
        <v>335</v>
      </c>
      <c r="F64" s="23" t="s">
        <v>448</v>
      </c>
      <c r="G64" s="3" t="s">
        <v>336</v>
      </c>
      <c r="H64" s="7">
        <v>1890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1:19" ht="18.75" customHeight="1" x14ac:dyDescent="0.25">
      <c r="A65" s="3" t="s">
        <v>326</v>
      </c>
      <c r="B65" s="7">
        <v>64</v>
      </c>
      <c r="C65" s="3" t="s">
        <v>26</v>
      </c>
      <c r="D65" s="3" t="s">
        <v>337</v>
      </c>
      <c r="E65" s="10" t="s">
        <v>338</v>
      </c>
      <c r="F65" s="10" t="s">
        <v>339</v>
      </c>
      <c r="G65" s="3" t="s">
        <v>340</v>
      </c>
      <c r="H65" s="7">
        <v>1865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1:19" ht="18.75" customHeight="1" x14ac:dyDescent="0.25">
      <c r="A66" s="3" t="s">
        <v>326</v>
      </c>
      <c r="B66" s="7">
        <v>65</v>
      </c>
      <c r="C66" s="3" t="s">
        <v>26</v>
      </c>
      <c r="D66" s="3" t="s">
        <v>341</v>
      </c>
      <c r="E66" s="10" t="s">
        <v>342</v>
      </c>
      <c r="F66" s="23" t="s">
        <v>343</v>
      </c>
      <c r="G66" s="3" t="s">
        <v>344</v>
      </c>
      <c r="H66" s="7">
        <v>1863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 ht="18.75" customHeight="1" x14ac:dyDescent="0.25">
      <c r="A67" s="3" t="s">
        <v>326</v>
      </c>
      <c r="B67" s="7">
        <v>66</v>
      </c>
      <c r="C67" s="3" t="s">
        <v>26</v>
      </c>
      <c r="D67" s="3" t="s">
        <v>345</v>
      </c>
      <c r="E67" s="10" t="s">
        <v>346</v>
      </c>
      <c r="F67" s="10" t="s">
        <v>347</v>
      </c>
      <c r="G67" s="3" t="s">
        <v>348</v>
      </c>
      <c r="H67" s="7">
        <v>1916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1:19" ht="18.75" customHeight="1" x14ac:dyDescent="0.25">
      <c r="A68" s="3" t="s">
        <v>326</v>
      </c>
      <c r="B68" s="7">
        <v>67</v>
      </c>
      <c r="C68" s="3" t="s">
        <v>26</v>
      </c>
      <c r="D68" s="3" t="s">
        <v>349</v>
      </c>
      <c r="E68" s="10" t="s">
        <v>350</v>
      </c>
      <c r="F68" s="23" t="s">
        <v>447</v>
      </c>
      <c r="G68" s="3" t="s">
        <v>351</v>
      </c>
      <c r="H68" s="7">
        <v>1874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 ht="18.75" customHeight="1" x14ac:dyDescent="0.25">
      <c r="A69" s="3" t="s">
        <v>326</v>
      </c>
      <c r="B69" s="7">
        <v>68</v>
      </c>
      <c r="C69" s="3" t="s">
        <v>26</v>
      </c>
      <c r="D69" s="3" t="s">
        <v>352</v>
      </c>
      <c r="E69" s="10" t="s">
        <v>353</v>
      </c>
      <c r="F69" s="23" t="s">
        <v>446</v>
      </c>
      <c r="G69" s="3" t="s">
        <v>152</v>
      </c>
      <c r="H69" s="7">
        <v>1871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19" ht="18.75" customHeight="1" x14ac:dyDescent="0.25">
      <c r="A70" s="3" t="s">
        <v>326</v>
      </c>
      <c r="B70" s="7">
        <v>69</v>
      </c>
      <c r="C70" s="3" t="s">
        <v>26</v>
      </c>
      <c r="D70" s="3" t="s">
        <v>354</v>
      </c>
      <c r="E70" s="10" t="s">
        <v>355</v>
      </c>
      <c r="F70" s="23" t="s">
        <v>445</v>
      </c>
      <c r="G70" s="3" t="s">
        <v>340</v>
      </c>
      <c r="H70" s="7">
        <v>2015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 ht="18.75" customHeight="1" x14ac:dyDescent="0.25">
      <c r="A71" s="3" t="s">
        <v>326</v>
      </c>
      <c r="B71" s="7">
        <v>70</v>
      </c>
      <c r="C71" s="3" t="s">
        <v>13</v>
      </c>
      <c r="D71" s="3" t="s">
        <v>356</v>
      </c>
      <c r="E71" s="10" t="s">
        <v>357</v>
      </c>
      <c r="F71" s="23" t="s">
        <v>450</v>
      </c>
      <c r="G71" s="3" t="s">
        <v>348</v>
      </c>
      <c r="H71" s="7">
        <v>2021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1:19" ht="18.75" customHeight="1" x14ac:dyDescent="0.25">
      <c r="A72" s="3" t="s">
        <v>326</v>
      </c>
      <c r="B72" s="7">
        <v>71</v>
      </c>
      <c r="C72" s="3" t="s">
        <v>26</v>
      </c>
      <c r="D72" s="3" t="s">
        <v>358</v>
      </c>
      <c r="E72" s="10" t="s">
        <v>359</v>
      </c>
      <c r="F72" s="23" t="s">
        <v>360</v>
      </c>
      <c r="G72" s="3" t="s">
        <v>361</v>
      </c>
      <c r="H72" s="7">
        <v>2011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1:19" ht="18.75" customHeight="1" x14ac:dyDescent="0.25">
      <c r="A73" s="3" t="s">
        <v>326</v>
      </c>
      <c r="B73" s="7">
        <v>72</v>
      </c>
      <c r="C73" s="3" t="s">
        <v>13</v>
      </c>
      <c r="D73" s="3" t="s">
        <v>362</v>
      </c>
      <c r="E73" s="10" t="s">
        <v>363</v>
      </c>
      <c r="F73" s="23" t="s">
        <v>449</v>
      </c>
      <c r="G73" s="3" t="s">
        <v>336</v>
      </c>
      <c r="H73" s="7">
        <v>1870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1:19" ht="18.75" customHeight="1" x14ac:dyDescent="0.25">
      <c r="A74" s="3" t="s">
        <v>326</v>
      </c>
      <c r="B74" s="7">
        <v>73</v>
      </c>
      <c r="C74" s="3" t="s">
        <v>13</v>
      </c>
      <c r="D74" s="3" t="s">
        <v>364</v>
      </c>
      <c r="E74" s="10" t="s">
        <v>365</v>
      </c>
      <c r="F74" s="23" t="s">
        <v>444</v>
      </c>
      <c r="G74" s="3" t="s">
        <v>336</v>
      </c>
      <c r="H74" s="7">
        <v>1992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 ht="18.75" customHeight="1" x14ac:dyDescent="0.25">
      <c r="A75" s="3" t="s">
        <v>326</v>
      </c>
      <c r="B75" s="7">
        <v>74</v>
      </c>
      <c r="C75" s="3" t="s">
        <v>13</v>
      </c>
      <c r="D75" s="3" t="s">
        <v>366</v>
      </c>
      <c r="E75" s="10" t="s">
        <v>367</v>
      </c>
      <c r="F75" s="23" t="s">
        <v>368</v>
      </c>
      <c r="G75" s="3" t="s">
        <v>369</v>
      </c>
      <c r="H75" s="7">
        <v>1995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 ht="18.75" customHeight="1" x14ac:dyDescent="0.25">
      <c r="A76" s="3" t="s">
        <v>326</v>
      </c>
      <c r="B76" s="7">
        <v>75</v>
      </c>
      <c r="C76" s="3" t="s">
        <v>26</v>
      </c>
      <c r="D76" s="3" t="s">
        <v>370</v>
      </c>
      <c r="E76" s="11" t="s">
        <v>371</v>
      </c>
      <c r="F76" s="23" t="s">
        <v>452</v>
      </c>
      <c r="G76" s="3" t="s">
        <v>372</v>
      </c>
      <c r="H76" s="7">
        <v>1995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ht="18.75" customHeight="1" x14ac:dyDescent="0.25">
      <c r="A77" s="3" t="s">
        <v>326</v>
      </c>
      <c r="B77" s="7">
        <v>76</v>
      </c>
      <c r="C77" s="3" t="s">
        <v>13</v>
      </c>
      <c r="D77" s="3" t="s">
        <v>373</v>
      </c>
      <c r="E77" s="10" t="s">
        <v>374</v>
      </c>
      <c r="F77" s="23" t="s">
        <v>443</v>
      </c>
      <c r="G77" s="3" t="s">
        <v>375</v>
      </c>
      <c r="H77" s="7">
        <v>2000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 ht="18.75" customHeight="1" x14ac:dyDescent="0.25">
      <c r="A78" s="3" t="s">
        <v>326</v>
      </c>
      <c r="B78" s="7">
        <v>77</v>
      </c>
      <c r="C78" s="3" t="s">
        <v>13</v>
      </c>
      <c r="D78" s="3" t="s">
        <v>376</v>
      </c>
      <c r="E78" s="23" t="s">
        <v>377</v>
      </c>
      <c r="F78" s="23" t="s">
        <v>453</v>
      </c>
      <c r="G78" s="3" t="s">
        <v>344</v>
      </c>
      <c r="H78" s="7">
        <v>1912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 ht="17.45" customHeight="1" x14ac:dyDescent="0.25">
      <c r="A79" s="3" t="s">
        <v>326</v>
      </c>
      <c r="B79" s="7">
        <v>78</v>
      </c>
      <c r="C79" s="3" t="s">
        <v>13</v>
      </c>
      <c r="D79" s="3" t="s">
        <v>379</v>
      </c>
      <c r="E79" s="10" t="s">
        <v>380</v>
      </c>
      <c r="F79" s="23" t="s">
        <v>378</v>
      </c>
      <c r="G79" s="3" t="s">
        <v>344</v>
      </c>
      <c r="H79" s="7">
        <v>1996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ht="18.75" customHeight="1" x14ac:dyDescent="0.25">
      <c r="A80" s="3" t="s">
        <v>326</v>
      </c>
      <c r="B80" s="7">
        <v>79</v>
      </c>
      <c r="C80" s="3" t="s">
        <v>13</v>
      </c>
      <c r="D80" s="3" t="s">
        <v>381</v>
      </c>
      <c r="E80" s="10" t="s">
        <v>382</v>
      </c>
      <c r="F80" s="23" t="s">
        <v>454</v>
      </c>
      <c r="G80" s="3" t="s">
        <v>383</v>
      </c>
      <c r="H80" s="7">
        <v>1966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 ht="18.75" customHeight="1" x14ac:dyDescent="0.25">
      <c r="A81" s="3" t="s">
        <v>326</v>
      </c>
      <c r="B81" s="7">
        <v>80</v>
      </c>
      <c r="C81" s="3" t="s">
        <v>13</v>
      </c>
      <c r="D81" s="3" t="s">
        <v>384</v>
      </c>
      <c r="E81" s="10" t="s">
        <v>385</v>
      </c>
      <c r="F81" s="23" t="s">
        <v>442</v>
      </c>
      <c r="G81" s="3" t="s">
        <v>340</v>
      </c>
      <c r="H81" s="7">
        <v>1874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ht="18.75" customHeight="1" x14ac:dyDescent="0.25">
      <c r="A82" s="3" t="s">
        <v>326</v>
      </c>
      <c r="B82" s="7">
        <v>81</v>
      </c>
      <c r="C82" s="3" t="s">
        <v>26</v>
      </c>
      <c r="D82" s="3" t="s">
        <v>386</v>
      </c>
      <c r="E82" s="10" t="s">
        <v>156</v>
      </c>
      <c r="F82" s="23" t="s">
        <v>387</v>
      </c>
      <c r="G82" s="3" t="s">
        <v>361</v>
      </c>
      <c r="H82" s="7">
        <v>2011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 ht="18.75" customHeight="1" x14ac:dyDescent="0.25">
      <c r="A83" s="3" t="s">
        <v>326</v>
      </c>
      <c r="B83" s="7">
        <v>82</v>
      </c>
      <c r="C83" s="3" t="s">
        <v>13</v>
      </c>
      <c r="D83" s="3" t="s">
        <v>388</v>
      </c>
      <c r="E83" s="10" t="s">
        <v>389</v>
      </c>
      <c r="F83" s="23" t="s">
        <v>441</v>
      </c>
      <c r="G83" s="3" t="s">
        <v>390</v>
      </c>
      <c r="H83" s="7">
        <v>1876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 ht="18.75" customHeight="1" x14ac:dyDescent="0.25">
      <c r="A84" s="3" t="s">
        <v>326</v>
      </c>
      <c r="B84" s="7">
        <v>83</v>
      </c>
      <c r="C84" s="3" t="s">
        <v>13</v>
      </c>
      <c r="D84" s="3" t="s">
        <v>391</v>
      </c>
      <c r="E84" s="10" t="s">
        <v>392</v>
      </c>
      <c r="F84" s="23" t="s">
        <v>393</v>
      </c>
      <c r="G84" s="3" t="s">
        <v>394</v>
      </c>
      <c r="H84" s="7">
        <v>1999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1:19" ht="18.75" customHeight="1" x14ac:dyDescent="0.25">
      <c r="A85" s="3" t="s">
        <v>326</v>
      </c>
      <c r="B85" s="7">
        <v>84</v>
      </c>
      <c r="C85" s="3" t="s">
        <v>13</v>
      </c>
      <c r="D85" s="3" t="s">
        <v>395</v>
      </c>
      <c r="E85" s="10" t="s">
        <v>396</v>
      </c>
      <c r="F85" s="23" t="s">
        <v>440</v>
      </c>
      <c r="G85" s="3" t="s">
        <v>340</v>
      </c>
      <c r="H85" s="7">
        <v>1879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 ht="18.75" customHeight="1" x14ac:dyDescent="0.25">
      <c r="A86" s="3" t="s">
        <v>326</v>
      </c>
      <c r="B86" s="7">
        <v>85</v>
      </c>
      <c r="C86" s="3" t="s">
        <v>13</v>
      </c>
      <c r="D86" s="3" t="s">
        <v>397</v>
      </c>
      <c r="E86" s="10" t="s">
        <v>398</v>
      </c>
      <c r="F86" s="23" t="s">
        <v>399</v>
      </c>
      <c r="G86" s="3" t="s">
        <v>348</v>
      </c>
      <c r="H86" s="7">
        <v>1926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 ht="18.75" customHeight="1" x14ac:dyDescent="0.25">
      <c r="A87" s="3" t="s">
        <v>326</v>
      </c>
      <c r="B87" s="7">
        <v>86</v>
      </c>
      <c r="C87" s="3" t="s">
        <v>13</v>
      </c>
      <c r="D87" s="3" t="s">
        <v>400</v>
      </c>
      <c r="E87" s="10" t="s">
        <v>401</v>
      </c>
      <c r="F87" s="23" t="s">
        <v>402</v>
      </c>
      <c r="G87" s="3" t="s">
        <v>344</v>
      </c>
      <c r="H87" s="7">
        <v>1668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 ht="18.75" customHeight="1" x14ac:dyDescent="0.25">
      <c r="A88" s="3" t="s">
        <v>326</v>
      </c>
      <c r="B88" s="7">
        <v>87</v>
      </c>
      <c r="C88" s="3" t="s">
        <v>26</v>
      </c>
      <c r="D88" s="3" t="s">
        <v>403</v>
      </c>
      <c r="E88" s="10" t="s">
        <v>404</v>
      </c>
      <c r="F88" s="23" t="s">
        <v>405</v>
      </c>
      <c r="G88" s="3" t="s">
        <v>369</v>
      </c>
      <c r="H88" s="7">
        <v>1934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1:19" ht="18.75" customHeight="1" x14ac:dyDescent="0.25">
      <c r="A89" s="3" t="s">
        <v>326</v>
      </c>
      <c r="B89" s="7">
        <v>88</v>
      </c>
      <c r="C89" s="3" t="s">
        <v>13</v>
      </c>
      <c r="D89" s="3" t="s">
        <v>406</v>
      </c>
      <c r="E89" s="10" t="s">
        <v>407</v>
      </c>
      <c r="F89" s="23" t="s">
        <v>439</v>
      </c>
      <c r="G89" s="3" t="s">
        <v>336</v>
      </c>
      <c r="H89" s="7">
        <v>1880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1:19" ht="18.75" customHeight="1" x14ac:dyDescent="0.25">
      <c r="A90" s="3" t="s">
        <v>326</v>
      </c>
      <c r="B90" s="7">
        <v>89</v>
      </c>
      <c r="C90" s="3" t="s">
        <v>13</v>
      </c>
      <c r="D90" s="3" t="s">
        <v>408</v>
      </c>
      <c r="E90" s="10" t="s">
        <v>409</v>
      </c>
      <c r="F90" s="23" t="s">
        <v>410</v>
      </c>
      <c r="G90" s="3" t="s">
        <v>348</v>
      </c>
      <c r="H90" s="7">
        <v>2007</v>
      </c>
      <c r="I90" s="12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 ht="18.75" customHeight="1" x14ac:dyDescent="0.25">
      <c r="A91" s="3" t="s">
        <v>326</v>
      </c>
      <c r="B91" s="7">
        <v>90</v>
      </c>
      <c r="C91" s="3" t="s">
        <v>26</v>
      </c>
      <c r="D91" s="3" t="s">
        <v>411</v>
      </c>
      <c r="E91" s="10" t="s">
        <v>222</v>
      </c>
      <c r="F91" s="23" t="s">
        <v>223</v>
      </c>
      <c r="G91" s="3" t="s">
        <v>330</v>
      </c>
      <c r="H91" s="7">
        <v>1948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 ht="18.75" customHeight="1" x14ac:dyDescent="0.25">
      <c r="A92" s="3" t="s">
        <v>326</v>
      </c>
      <c r="B92" s="7">
        <v>91</v>
      </c>
      <c r="C92" s="3" t="s">
        <v>26</v>
      </c>
      <c r="D92" s="3" t="s">
        <v>412</v>
      </c>
      <c r="E92" s="10" t="s">
        <v>228</v>
      </c>
      <c r="F92" s="23" t="s">
        <v>229</v>
      </c>
      <c r="G92" s="3" t="s">
        <v>413</v>
      </c>
      <c r="H92" s="7">
        <v>1984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 ht="18.75" customHeight="1" x14ac:dyDescent="0.25">
      <c r="A93" s="3" t="s">
        <v>326</v>
      </c>
      <c r="B93" s="7">
        <v>92</v>
      </c>
      <c r="C93" s="3" t="s">
        <v>13</v>
      </c>
      <c r="D93" s="3" t="s">
        <v>414</v>
      </c>
      <c r="E93" s="10" t="s">
        <v>415</v>
      </c>
      <c r="F93" s="23" t="s">
        <v>416</v>
      </c>
      <c r="G93" s="3" t="s">
        <v>375</v>
      </c>
      <c r="H93" s="7">
        <v>1898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1:19" ht="18.75" customHeight="1" x14ac:dyDescent="0.25">
      <c r="A94" s="3" t="s">
        <v>326</v>
      </c>
      <c r="B94" s="7">
        <v>93</v>
      </c>
      <c r="C94" s="3" t="s">
        <v>13</v>
      </c>
      <c r="D94" s="3" t="s">
        <v>417</v>
      </c>
      <c r="E94" s="10" t="s">
        <v>418</v>
      </c>
      <c r="F94" s="23" t="s">
        <v>419</v>
      </c>
      <c r="G94" s="3" t="s">
        <v>394</v>
      </c>
      <c r="H94" s="7">
        <v>1972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1:19" ht="18.75" customHeight="1" x14ac:dyDescent="0.25">
      <c r="A95" s="3" t="s">
        <v>326</v>
      </c>
      <c r="B95" s="7">
        <v>94</v>
      </c>
      <c r="C95" s="3" t="s">
        <v>26</v>
      </c>
      <c r="D95" s="3" t="s">
        <v>420</v>
      </c>
      <c r="E95" s="10" t="s">
        <v>252</v>
      </c>
      <c r="F95" s="23" t="s">
        <v>421</v>
      </c>
      <c r="G95" s="3" t="s">
        <v>413</v>
      </c>
      <c r="H95" s="7">
        <v>1870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1:19" ht="18.75" customHeight="1" x14ac:dyDescent="0.25">
      <c r="A96" s="3" t="s">
        <v>326</v>
      </c>
      <c r="B96" s="7">
        <v>95</v>
      </c>
      <c r="C96" s="3" t="s">
        <v>13</v>
      </c>
      <c r="D96" s="3" t="s">
        <v>422</v>
      </c>
      <c r="E96" s="10" t="s">
        <v>423</v>
      </c>
      <c r="F96" s="23" t="s">
        <v>424</v>
      </c>
      <c r="G96" s="3" t="s">
        <v>369</v>
      </c>
      <c r="H96" s="7">
        <v>1847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1:19" ht="18.75" customHeight="1" x14ac:dyDescent="0.25">
      <c r="A97" s="3" t="s">
        <v>326</v>
      </c>
      <c r="B97" s="7">
        <v>96</v>
      </c>
      <c r="C97" s="3" t="s">
        <v>26</v>
      </c>
      <c r="D97" s="3" t="s">
        <v>425</v>
      </c>
      <c r="E97" s="10" t="s">
        <v>263</v>
      </c>
      <c r="F97" s="23" t="s">
        <v>426</v>
      </c>
      <c r="G97" s="3" t="s">
        <v>344</v>
      </c>
      <c r="H97" s="7">
        <v>2020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1:19" ht="18.75" customHeight="1" x14ac:dyDescent="0.25">
      <c r="A98" s="3" t="s">
        <v>326</v>
      </c>
      <c r="B98" s="7">
        <v>97</v>
      </c>
      <c r="C98" s="3" t="s">
        <v>26</v>
      </c>
      <c r="D98" s="3" t="s">
        <v>427</v>
      </c>
      <c r="E98" s="10" t="s">
        <v>282</v>
      </c>
      <c r="F98" s="23" t="s">
        <v>283</v>
      </c>
      <c r="G98" s="3" t="s">
        <v>413</v>
      </c>
      <c r="H98" s="7">
        <v>2003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1:19" ht="18.75" customHeight="1" x14ac:dyDescent="0.25">
      <c r="A99" s="3" t="s">
        <v>326</v>
      </c>
      <c r="B99" s="7">
        <v>98</v>
      </c>
      <c r="C99" s="3" t="s">
        <v>13</v>
      </c>
      <c r="D99" s="3" t="s">
        <v>428</v>
      </c>
      <c r="E99" s="11" t="s">
        <v>429</v>
      </c>
      <c r="F99" s="23" t="s">
        <v>438</v>
      </c>
      <c r="G99" s="3" t="s">
        <v>348</v>
      </c>
      <c r="H99" s="7">
        <v>1937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spans="1:19" ht="18.75" customHeight="1" x14ac:dyDescent="0.25">
      <c r="A100" s="3" t="s">
        <v>326</v>
      </c>
      <c r="B100" s="7">
        <v>99</v>
      </c>
      <c r="C100" s="3" t="s">
        <v>13</v>
      </c>
      <c r="D100" s="3" t="s">
        <v>430</v>
      </c>
      <c r="E100" s="10" t="s">
        <v>431</v>
      </c>
      <c r="F100" s="23" t="s">
        <v>432</v>
      </c>
      <c r="G100" s="3" t="s">
        <v>433</v>
      </c>
      <c r="H100" s="7">
        <v>2001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1:19" ht="18.75" customHeight="1" x14ac:dyDescent="0.25">
      <c r="A101" s="3" t="s">
        <v>326</v>
      </c>
      <c r="B101" s="7">
        <v>100</v>
      </c>
      <c r="C101" s="3" t="s">
        <v>26</v>
      </c>
      <c r="D101" s="3" t="s">
        <v>434</v>
      </c>
      <c r="E101" s="10" t="s">
        <v>322</v>
      </c>
      <c r="F101" s="23" t="s">
        <v>323</v>
      </c>
      <c r="G101" s="3" t="s">
        <v>435</v>
      </c>
      <c r="H101" s="7">
        <v>1984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</sheetData>
  <hyperlinks>
    <hyperlink ref="F100" r:id="rId1"/>
    <hyperlink ref="F101" r:id="rId2"/>
    <hyperlink ref="F99" r:id="rId3"/>
    <hyperlink ref="F98" r:id="rId4" location="our-corporate-reports"/>
    <hyperlink ref="F97" r:id="rId5"/>
    <hyperlink ref="F95" r:id="rId6"/>
    <hyperlink ref="F96" r:id="rId7"/>
    <hyperlink ref="F94" r:id="rId8"/>
    <hyperlink ref="F93" r:id="rId9"/>
    <hyperlink ref="F91" r:id="rId10"/>
    <hyperlink ref="F92" r:id="rId11"/>
    <hyperlink ref="F90" r:id="rId12"/>
    <hyperlink ref="F89" r:id="rId13"/>
    <hyperlink ref="F88" r:id="rId14"/>
    <hyperlink ref="F87" r:id="rId15"/>
    <hyperlink ref="F86" r:id="rId16"/>
    <hyperlink ref="F85" r:id="rId17"/>
    <hyperlink ref="F84" r:id="rId18"/>
    <hyperlink ref="F83" r:id="rId19"/>
    <hyperlink ref="F82" r:id="rId20"/>
    <hyperlink ref="F81" r:id="rId21"/>
    <hyperlink ref="F80" r:id="rId22"/>
    <hyperlink ref="F79" r:id="rId23"/>
    <hyperlink ref="F78" r:id="rId24"/>
    <hyperlink ref="E78" r:id="rId25"/>
    <hyperlink ref="F77" r:id="rId26"/>
    <hyperlink ref="F76" r:id="rId27"/>
    <hyperlink ref="F75" r:id="rId28"/>
    <hyperlink ref="F74" r:id="rId29"/>
    <hyperlink ref="F73" r:id="rId30"/>
    <hyperlink ref="F72" r:id="rId31"/>
    <hyperlink ref="F71" r:id="rId32"/>
    <hyperlink ref="F43" r:id="rId33" location="882130"/>
    <hyperlink ref="F70" r:id="rId34"/>
    <hyperlink ref="F69" r:id="rId35"/>
    <hyperlink ref="F68" r:id="rId36"/>
    <hyperlink ref="F66" r:id="rId37"/>
    <hyperlink ref="F63" r:id="rId38"/>
    <hyperlink ref="F29" r:id="rId39"/>
    <hyperlink ref="F22" r:id="rId40"/>
    <hyperlink ref="F64" r:id="rId41"/>
    <hyperlink ref="F15" r:id="rId42"/>
    <hyperlink ref="F2" r:id="rId43"/>
    <hyperlink ref="F3" r:id="rId44"/>
    <hyperlink ref="F4" r:id="rId45"/>
    <hyperlink ref="F5" r:id="rId46" location="reports"/>
    <hyperlink ref="F6" r:id="rId47"/>
    <hyperlink ref="F10" r:id="rId48"/>
    <hyperlink ref="F12" r:id="rId49"/>
    <hyperlink ref="F11" r:id="rId50"/>
    <hyperlink ref="F18" r:id="rId51"/>
    <hyperlink ref="F25" r:id="rId52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DAX</vt:lpstr>
      <vt:lpstr>MDAX</vt:lpstr>
      <vt:lpstr>AllCompanies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Tung</cp:lastModifiedBy>
  <dcterms:created xsi:type="dcterms:W3CDTF">2023-02-06T21:15:32Z</dcterms:created>
  <dcterms:modified xsi:type="dcterms:W3CDTF">2023-03-05T05:53:21Z</dcterms:modified>
</cp:coreProperties>
</file>