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defaultThemeVersion="166925"/>
  <xr:revisionPtr revIDLastSave="0" documentId="8_{2FC6134D-0AAD-4698-9359-5EDB32B02455}" xr6:coauthVersionLast="47" xr6:coauthVersionMax="47" xr10:uidLastSave="{00000000-0000-0000-0000-000000000000}"/>
  <bookViews>
    <workbookView xWindow="-110" yWindow="-110" windowWidth="19420" windowHeight="10300" xr2:uid="{EB30C26F-4571-5447-8EFE-CD622A342A0B}"/>
  </bookViews>
  <sheets>
    <sheet name="Project Model" sheetId="2" r:id="rId1"/>
    <sheet name="Approved Line Charts" sheetId="6" r:id="rId2"/>
  </sheets>
  <definedNames>
    <definedName name="solver_eng" localSheetId="0" hidden="1">1</definedName>
    <definedName name="solver_neg" localSheetId="0" hidden="1">1</definedName>
    <definedName name="solver_num" localSheetId="0" hidden="1">0</definedName>
    <definedName name="solver_opt" localSheetId="0" hidden="1">'Project Model'!$N$14</definedName>
    <definedName name="solver_typ" localSheetId="0" hidden="1">1</definedName>
    <definedName name="solver_val" localSheetId="0" hidden="1">0</definedName>
    <definedName name="solver_ver" localSheetId="0"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4" i="2" l="1"/>
  <c r="J32" i="2"/>
  <c r="J28" i="2"/>
  <c r="J19" i="2"/>
  <c r="H33" i="2"/>
  <c r="I33" i="2" s="1"/>
  <c r="J33" i="2" s="1"/>
  <c r="H34" i="2"/>
  <c r="H32" i="2"/>
  <c r="I32" i="2" s="1"/>
  <c r="H27" i="2"/>
  <c r="I27" i="2" s="1"/>
  <c r="J27" i="2" s="1"/>
  <c r="H28" i="2"/>
  <c r="I28" i="2" s="1"/>
  <c r="H29" i="2"/>
  <c r="I29" i="2" s="1"/>
  <c r="J29" i="2" s="1"/>
  <c r="H26" i="2"/>
  <c r="H20" i="2"/>
  <c r="I20" i="2" s="1"/>
  <c r="J20" i="2" s="1"/>
  <c r="H21" i="2"/>
  <c r="I21" i="2" s="1"/>
  <c r="J21" i="2" s="1"/>
  <c r="H22" i="2"/>
  <c r="I22" i="2" s="1"/>
  <c r="J22" i="2" s="1"/>
  <c r="H23" i="2"/>
  <c r="H19" i="2"/>
  <c r="D20" i="2"/>
  <c r="G20" i="2"/>
  <c r="I34" i="2"/>
  <c r="I26" i="2"/>
  <c r="J26" i="2" s="1"/>
  <c r="I23" i="2"/>
  <c r="J23" i="2" s="1"/>
  <c r="I19" i="2"/>
  <c r="O26" i="2"/>
  <c r="N13" i="2"/>
  <c r="D38" i="2"/>
  <c r="G38" i="2" s="1"/>
  <c r="N17" i="2"/>
  <c r="N16" i="2"/>
  <c r="N15" i="2"/>
  <c r="E38" i="2"/>
  <c r="E24" i="2"/>
  <c r="D24" i="2"/>
  <c r="G19" i="2"/>
  <c r="D19" i="2"/>
  <c r="I38" i="2" l="1"/>
  <c r="E42" i="2"/>
  <c r="D33" i="2"/>
  <c r="F33" i="2"/>
  <c r="F34" i="2"/>
  <c r="F32" i="2"/>
  <c r="F35" i="2" s="1"/>
  <c r="Q28" i="2" s="1"/>
  <c r="F27" i="2"/>
  <c r="F28" i="2"/>
  <c r="F29" i="2"/>
  <c r="F26" i="2"/>
  <c r="F30" i="2" s="1"/>
  <c r="Q27" i="2" s="1"/>
  <c r="F20" i="2"/>
  <c r="F21" i="2"/>
  <c r="F22" i="2"/>
  <c r="F23" i="2"/>
  <c r="F19" i="2"/>
  <c r="F24" i="2" s="1"/>
  <c r="Q26" i="2" s="1"/>
  <c r="E33" i="2"/>
  <c r="E34" i="2"/>
  <c r="E32" i="2"/>
  <c r="E27" i="2"/>
  <c r="E28" i="2"/>
  <c r="E29" i="2"/>
  <c r="E26" i="2"/>
  <c r="E30" i="2" s="1"/>
  <c r="P27" i="2" s="1"/>
  <c r="E20" i="2"/>
  <c r="E21" i="2"/>
  <c r="E22" i="2"/>
  <c r="E23" i="2"/>
  <c r="E19" i="2"/>
  <c r="D34" i="2"/>
  <c r="D32" i="2"/>
  <c r="D27" i="2"/>
  <c r="D28" i="2"/>
  <c r="D29" i="2"/>
  <c r="D26" i="2"/>
  <c r="D23" i="2"/>
  <c r="D22" i="2"/>
  <c r="D21" i="2"/>
  <c r="D35" i="2" l="1"/>
  <c r="O28" i="2" s="1"/>
  <c r="E35" i="2"/>
  <c r="P28" i="2" s="1"/>
  <c r="D30" i="2"/>
  <c r="O27" i="2" s="1"/>
  <c r="P26" i="2"/>
  <c r="F38" i="2"/>
  <c r="G30" i="2"/>
  <c r="N14" i="2"/>
  <c r="G34" i="2"/>
  <c r="N18" i="2"/>
  <c r="G33" i="2"/>
  <c r="G26" i="2"/>
  <c r="G27" i="2"/>
  <c r="G32" i="2"/>
  <c r="G22" i="2"/>
  <c r="G28" i="2"/>
  <c r="G21" i="2"/>
  <c r="G23" i="2"/>
  <c r="G29" i="2"/>
  <c r="G35" i="2" l="1"/>
  <c r="G24" i="2"/>
  <c r="N12" i="2"/>
  <c r="G42" i="2"/>
  <c r="F42" i="2"/>
  <c r="N10" i="2"/>
  <c r="N11" i="2"/>
  <c r="N20"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18" authorId="0" shapeId="0" xr:uid="{DF6A1D6C-9708-40D9-96AB-49876B0B0B6B}">
      <text>
        <r>
          <rPr>
            <b/>
            <sz val="9"/>
            <color indexed="81"/>
            <rFont val="Tahoma"/>
            <family val="2"/>
          </rPr>
          <t xml:space="preserve">Based on Adjusted ROI; not based on % partnership
</t>
        </r>
        <r>
          <rPr>
            <sz val="9"/>
            <color indexed="81"/>
            <rFont val="Tahoma"/>
            <family val="2"/>
          </rPr>
          <t xml:space="preserve">
</t>
        </r>
      </text>
    </comment>
  </commentList>
</comments>
</file>

<file path=xl/sharedStrings.xml><?xml version="1.0" encoding="utf-8"?>
<sst xmlns="http://schemas.openxmlformats.org/spreadsheetml/2006/main" count="83" uniqueCount="52">
  <si>
    <t>Project Index</t>
  </si>
  <si>
    <t>Functional Area</t>
  </si>
  <si>
    <t>Partnership %</t>
  </si>
  <si>
    <t>Capex Year 1</t>
  </si>
  <si>
    <t>Capex Year 2</t>
  </si>
  <si>
    <t>Capex Year 3</t>
  </si>
  <si>
    <t>NPV</t>
  </si>
  <si>
    <t xml:space="preserve">Approval Rating </t>
  </si>
  <si>
    <t>FA 1</t>
  </si>
  <si>
    <t>FA 2</t>
  </si>
  <si>
    <t>FA 3</t>
  </si>
  <si>
    <t xml:space="preserve">Total Cost </t>
  </si>
  <si>
    <t xml:space="preserve">Requirement Checks </t>
  </si>
  <si>
    <t>Capital Ex. Under 4000 (Y1)</t>
  </si>
  <si>
    <t>Capital Ex. under 4000 (Y2)</t>
  </si>
  <si>
    <t>Capital Ex. under 4000 (Y3)</t>
  </si>
  <si>
    <t>Under $10,000 (year 1-3)</t>
  </si>
  <si>
    <t>Cap Ex. Yr2</t>
  </si>
  <si>
    <t>Cap Ex. Yr1</t>
  </si>
  <si>
    <t>Cap Ex. Yr3</t>
  </si>
  <si>
    <t>Annual Revenue (millions)</t>
  </si>
  <si>
    <t>Expenditure (millions)</t>
  </si>
  <si>
    <t>Inputs</t>
  </si>
  <si>
    <t>Yearly Cap (millions)</t>
  </si>
  <si>
    <t>Given:</t>
  </si>
  <si>
    <t>New NPV</t>
  </si>
  <si>
    <t>Number of Approved Project for FA 1</t>
  </si>
  <si>
    <t>Number of Approved Project for FA 2</t>
  </si>
  <si>
    <t>Number of Approved Project for FA 3</t>
  </si>
  <si>
    <t xml:space="preserve">Total Number of Approved Projects </t>
  </si>
  <si>
    <t>ROI</t>
  </si>
  <si>
    <t xml:space="preserve">% Change </t>
  </si>
  <si>
    <t xml:space="preserve">ROI </t>
  </si>
  <si>
    <t>Average</t>
  </si>
  <si>
    <t>Minimum</t>
  </si>
  <si>
    <t>Maximum</t>
  </si>
  <si>
    <t>Are the Conditions Met?</t>
  </si>
  <si>
    <t>FA 1 Approved Totals:</t>
  </si>
  <si>
    <t>FA 2  Approved Totals:</t>
  </si>
  <si>
    <t>FA 3 Approved Totals:</t>
  </si>
  <si>
    <t xml:space="preserve">FA 1 </t>
  </si>
  <si>
    <t xml:space="preserve">Approved Cap Ex. Year Totals </t>
  </si>
  <si>
    <t>Year 1</t>
  </si>
  <si>
    <t xml:space="preserve">Year 2 </t>
  </si>
  <si>
    <t xml:space="preserve">Year 3 </t>
  </si>
  <si>
    <t>Functional Area:</t>
  </si>
  <si>
    <t>Bluejay Natural Gas Financials (in millions)</t>
  </si>
  <si>
    <t xml:space="preserve">Each FA has at least 1 project approved </t>
  </si>
  <si>
    <t>Overall Totals for Approved Projects:</t>
  </si>
  <si>
    <t>NPV Discount Rate % decrease:</t>
  </si>
  <si>
    <t>Adjusted based on % Partnership:</t>
  </si>
  <si>
    <t>Total Approved NPV: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</si>
</sst>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13">
    <font>
      <sz val="12"/>
      <color theme="1"/>
      <name val="Calibri"/>
      <family val="2"/>
      <scheme val="minor"/>
    </font>
    <font>
      <sz val="12"/>
      <color theme="1"/>
      <name val="Calibri"/>
      <family val="2"/>
      <scheme val="minor"/>
    </font>
    <font>
      <b/>
      <sz val="12"/>
      <color theme="1"/>
      <name val="Calibri"/>
      <family val="2"/>
      <scheme val="minor"/>
    </font>
    <font>
      <sz val="11"/>
      <color rgb="FF000000"/>
      <name val="Calibri"/>
      <family val="2"/>
      <scheme val="minor"/>
    </font>
    <font>
      <b/>
      <sz val="16"/>
      <color theme="1"/>
      <name val="Calibri"/>
      <family val="2"/>
      <scheme val="minor"/>
    </font>
    <font>
      <b/>
      <sz val="11"/>
      <color rgb="FF000000"/>
      <name val="Calibri"/>
      <family val="2"/>
      <scheme val="minor"/>
    </font>
    <font>
      <sz val="12"/>
      <color rgb="FF000000"/>
      <name val="Calibri"/>
      <family val="2"/>
      <scheme val="minor"/>
    </font>
    <font>
      <b/>
      <sz val="12"/>
      <color rgb="FF000000"/>
      <name val="Calibri"/>
      <family val="2"/>
      <scheme val="minor"/>
    </font>
    <font>
      <sz val="16"/>
      <color rgb="FF24588D"/>
      <name val="Helvetica Neue"/>
      <family val="2"/>
    </font>
    <font>
      <sz val="12"/>
      <color theme="0" tint="-0.499984740745262"/>
      <name val="Calibri"/>
      <family val="2"/>
      <scheme val="minor"/>
    </font>
    <font>
      <sz val="9"/>
      <color indexed="81"/>
      <name val="Tahoma"/>
      <family val="2"/>
    </font>
    <font>
      <b/>
      <sz val="9"/>
      <color indexed="81"/>
      <name val="Tahoma"/>
      <family val="2"/>
    </font>
    <font>
      <sz val="12"/>
      <name val="Calibri"/>
      <family val="2"/>
      <scheme val="minor"/>
    </font>
  </fonts>
  <fills count="10">
    <fill>
      <patternFill patternType="none"/>
    </fill>
    <fill>
      <patternFill patternType="gray125"/>
    </fill>
    <fill>
      <patternFill patternType="solid">
        <fgColor rgb="FFB4C6E7"/>
        <bgColor indexed="64"/>
      </patternFill>
    </fill>
    <fill>
      <patternFill patternType="solid">
        <fgColor rgb="FFF8CBAD"/>
        <bgColor indexed="64"/>
      </patternFill>
    </fill>
    <fill>
      <patternFill patternType="solid">
        <fgColor rgb="FFFFE69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165" fontId="0" fillId="0" borderId="0" xfId="1" applyNumberFormat="1" applyFont="1"/>
    <xf numFmtId="9" fontId="0" fillId="0" borderId="1" xfId="2" applyFont="1" applyBorder="1"/>
    <xf numFmtId="9" fontId="0" fillId="0" borderId="1" xfId="2" applyFont="1" applyFill="1" applyBorder="1"/>
    <xf numFmtId="9" fontId="0" fillId="0" borderId="2" xfId="2" applyFont="1" applyBorder="1"/>
    <xf numFmtId="165" fontId="0" fillId="0" borderId="1" xfId="1" applyNumberFormat="1" applyFont="1" applyBorder="1"/>
    <xf numFmtId="165" fontId="0" fillId="0" borderId="2" xfId="1" applyNumberFormat="1" applyFont="1" applyBorder="1"/>
    <xf numFmtId="0" fontId="3" fillId="0" borderId="1" xfId="0" applyFont="1" applyBorder="1"/>
    <xf numFmtId="0" fontId="0" fillId="2" borderId="1" xfId="0" applyFill="1" applyBorder="1"/>
    <xf numFmtId="0" fontId="0" fillId="3" borderId="1" xfId="0" applyFill="1" applyBorder="1"/>
    <xf numFmtId="0" fontId="0" fillId="4" borderId="1" xfId="0" applyFill="1" applyBorder="1"/>
    <xf numFmtId="0" fontId="5" fillId="0" borderId="1"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165" fontId="0" fillId="0" borderId="5" xfId="1" applyNumberFormat="1" applyFont="1" applyBorder="1"/>
    <xf numFmtId="0" fontId="2" fillId="0" borderId="0" xfId="0" applyFont="1"/>
    <xf numFmtId="9" fontId="0" fillId="5" borderId="1" xfId="2" applyFont="1" applyFill="1" applyBorder="1"/>
    <xf numFmtId="9" fontId="0" fillId="6" borderId="1" xfId="2" applyFont="1" applyFill="1" applyBorder="1"/>
    <xf numFmtId="9" fontId="0" fillId="7" borderId="1" xfId="2" applyFont="1" applyFill="1" applyBorder="1"/>
    <xf numFmtId="0" fontId="2" fillId="0" borderId="1" xfId="0" applyFont="1" applyBorder="1"/>
    <xf numFmtId="0" fontId="2" fillId="0" borderId="2" xfId="0" applyFont="1" applyBorder="1"/>
    <xf numFmtId="0" fontId="5" fillId="0" borderId="1" xfId="0" applyFont="1" applyBorder="1"/>
    <xf numFmtId="0" fontId="3" fillId="5" borderId="1" xfId="0" applyFont="1" applyFill="1" applyBorder="1"/>
    <xf numFmtId="0" fontId="0" fillId="5" borderId="1" xfId="0" applyFill="1" applyBorder="1"/>
    <xf numFmtId="0" fontId="3" fillId="6" borderId="1" xfId="0" applyFont="1" applyFill="1" applyBorder="1"/>
    <xf numFmtId="0" fontId="0" fillId="6" borderId="1" xfId="0" applyFill="1" applyBorder="1"/>
    <xf numFmtId="0" fontId="3" fillId="7" borderId="1" xfId="0" applyFont="1" applyFill="1" applyBorder="1"/>
    <xf numFmtId="0" fontId="0" fillId="7" borderId="1" xfId="0" applyFill="1" applyBorder="1"/>
    <xf numFmtId="165" fontId="0" fillId="5" borderId="1" xfId="1" applyNumberFormat="1" applyFont="1" applyFill="1" applyBorder="1"/>
    <xf numFmtId="165" fontId="0" fillId="5" borderId="2" xfId="1" applyNumberFormat="1" applyFont="1" applyFill="1" applyBorder="1"/>
    <xf numFmtId="165" fontId="0" fillId="6" borderId="1" xfId="1" applyNumberFormat="1" applyFont="1" applyFill="1" applyBorder="1"/>
    <xf numFmtId="165" fontId="0" fillId="6" borderId="2" xfId="1" applyNumberFormat="1" applyFont="1" applyFill="1" applyBorder="1"/>
    <xf numFmtId="165" fontId="0" fillId="7" borderId="1" xfId="1" applyNumberFormat="1" applyFont="1" applyFill="1" applyBorder="1"/>
    <xf numFmtId="165" fontId="0" fillId="7" borderId="2" xfId="1" applyNumberFormat="1" applyFont="1" applyFill="1" applyBorder="1"/>
    <xf numFmtId="0" fontId="6" fillId="0" borderId="1" xfId="0" applyFont="1" applyBorder="1"/>
    <xf numFmtId="165" fontId="6" fillId="0" borderId="1" xfId="0" applyNumberFormat="1" applyFont="1" applyBorder="1"/>
    <xf numFmtId="165" fontId="0" fillId="0" borderId="1" xfId="0" applyNumberFormat="1" applyBorder="1"/>
    <xf numFmtId="0" fontId="8" fillId="0" borderId="0" xfId="0" applyFont="1"/>
    <xf numFmtId="0" fontId="0" fillId="0" borderId="1" xfId="0" applyBorder="1"/>
    <xf numFmtId="165" fontId="0" fillId="0" borderId="4" xfId="1" applyNumberFormat="1" applyFont="1" applyBorder="1"/>
    <xf numFmtId="9" fontId="0" fillId="0" borderId="1" xfId="0" applyNumberFormat="1" applyBorder="1"/>
    <xf numFmtId="0" fontId="2" fillId="0" borderId="6" xfId="0" applyFont="1" applyBorder="1" applyAlignment="1">
      <alignment horizontal="center"/>
    </xf>
    <xf numFmtId="9" fontId="9" fillId="0" borderId="1" xfId="0" applyNumberFormat="1" applyFont="1" applyBorder="1"/>
    <xf numFmtId="165" fontId="0" fillId="0" borderId="1" xfId="1" applyNumberFormat="1" applyFont="1" applyFill="1" applyBorder="1"/>
    <xf numFmtId="0" fontId="0" fillId="0" borderId="0" xfId="0" applyAlignment="1">
      <alignment horizontal="center"/>
    </xf>
    <xf numFmtId="0" fontId="2" fillId="0" borderId="0" xfId="0" applyFont="1" applyAlignment="1">
      <alignment horizontal="right"/>
    </xf>
    <xf numFmtId="0" fontId="0" fillId="0" borderId="1" xfId="0" applyBorder="1" applyAlignment="1">
      <alignment horizontal="center"/>
    </xf>
    <xf numFmtId="0" fontId="2" fillId="0" borderId="3" xfId="0" applyFont="1" applyBorder="1" applyAlignment="1">
      <alignment horizontal="center"/>
    </xf>
    <xf numFmtId="165" fontId="0" fillId="8" borderId="0" xfId="1" applyNumberFormat="1" applyFont="1" applyFill="1"/>
    <xf numFmtId="9" fontId="12" fillId="9" borderId="1" xfId="0" applyNumberFormat="1" applyFont="1" applyFill="1" applyBorder="1"/>
    <xf numFmtId="0" fontId="0" fillId="9" borderId="6" xfId="0" applyFill="1" applyBorder="1" applyAlignment="1">
      <alignment horizontal="center"/>
    </xf>
    <xf numFmtId="0" fontId="0" fillId="0" borderId="1" xfId="0"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0" fontId="7" fillId="0" borderId="1"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1" xfId="0" applyBorder="1" applyAlignment="1">
      <alignment horizontal="center" vertical="center"/>
    </xf>
    <xf numFmtId="0" fontId="2" fillId="0" borderId="9" xfId="0" applyFont="1" applyBorder="1" applyAlignment="1">
      <alignment horizontal="center"/>
    </xf>
  </cellXfs>
  <cellStyles count="3">
    <cellStyle name="Currency" xfId="1" builtinId="4"/>
    <cellStyle name="Normal" xfId="0" builtinId="0"/>
    <cellStyle name="Percent" xfId="2" builtinId="5"/>
  </cellStyles>
  <dxfs count="1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Capital Expenditure for all</a:t>
            </a:r>
            <a:r>
              <a:rPr lang="en-US" baseline="0"/>
              <a:t> Functional Area Approved Projects Y1-Y3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 Model'!$N$26</c:f>
              <c:strCache>
                <c:ptCount val="1"/>
                <c:pt idx="0">
                  <c:v>FA 1 </c:v>
                </c:pt>
              </c:strCache>
            </c:strRef>
          </c:tx>
          <c:spPr>
            <a:ln w="28575" cap="rnd">
              <a:solidFill>
                <a:schemeClr val="accent1"/>
              </a:solidFill>
              <a:round/>
            </a:ln>
            <a:effectLst/>
          </c:spPr>
          <c:marker>
            <c:symbol val="none"/>
          </c:marker>
          <c:cat>
            <c:strRef>
              <c:f>'Project Model'!$O$25:$Q$25</c:f>
              <c:strCache>
                <c:ptCount val="3"/>
                <c:pt idx="0">
                  <c:v>Year 1</c:v>
                </c:pt>
                <c:pt idx="1">
                  <c:v>Year 2 </c:v>
                </c:pt>
                <c:pt idx="2">
                  <c:v>Year 3 </c:v>
                </c:pt>
              </c:strCache>
            </c:strRef>
          </c:cat>
          <c:val>
            <c:numRef>
              <c:f>'Project Model'!$O$26:$Q$26</c:f>
              <c:numCache>
                <c:formatCode>_("$"* #,##0_);_("$"* \(#,##0\);_("$"* "-"??_);_(@_)</c:formatCode>
                <c:ptCount val="3"/>
                <c:pt idx="0">
                  <c:v>1115</c:v>
                </c:pt>
                <c:pt idx="1">
                  <c:v>999</c:v>
                </c:pt>
                <c:pt idx="2">
                  <c:v>1199</c:v>
                </c:pt>
              </c:numCache>
            </c:numRef>
          </c:val>
          <c:smooth val="0"/>
          <c:extLst>
            <c:ext xmlns:c16="http://schemas.microsoft.com/office/drawing/2014/chart" uri="{C3380CC4-5D6E-409C-BE32-E72D297353CC}">
              <c16:uniqueId val="{00000000-74A0-F643-9840-971D0C1EFAE9}"/>
            </c:ext>
          </c:extLst>
        </c:ser>
        <c:ser>
          <c:idx val="1"/>
          <c:order val="1"/>
          <c:tx>
            <c:strRef>
              <c:f>'Project Model'!$N$27</c:f>
              <c:strCache>
                <c:ptCount val="1"/>
                <c:pt idx="0">
                  <c:v>FA 2</c:v>
                </c:pt>
              </c:strCache>
            </c:strRef>
          </c:tx>
          <c:spPr>
            <a:ln w="28575" cap="rnd">
              <a:solidFill>
                <a:schemeClr val="accent2"/>
              </a:solidFill>
              <a:round/>
            </a:ln>
            <a:effectLst/>
          </c:spPr>
          <c:marker>
            <c:symbol val="none"/>
          </c:marker>
          <c:cat>
            <c:strRef>
              <c:f>'Project Model'!$O$25:$Q$25</c:f>
              <c:strCache>
                <c:ptCount val="3"/>
                <c:pt idx="0">
                  <c:v>Year 1</c:v>
                </c:pt>
                <c:pt idx="1">
                  <c:v>Year 2 </c:v>
                </c:pt>
                <c:pt idx="2">
                  <c:v>Year 3 </c:v>
                </c:pt>
              </c:strCache>
            </c:strRef>
          </c:cat>
          <c:val>
            <c:numRef>
              <c:f>'Project Model'!$O$27:$Q$27</c:f>
              <c:numCache>
                <c:formatCode>_("$"* #,##0_);_("$"* \(#,##0\);_("$"* "-"??_);_(@_)</c:formatCode>
                <c:ptCount val="3"/>
                <c:pt idx="0">
                  <c:v>1518</c:v>
                </c:pt>
                <c:pt idx="1">
                  <c:v>1302</c:v>
                </c:pt>
                <c:pt idx="2">
                  <c:v>986</c:v>
                </c:pt>
              </c:numCache>
            </c:numRef>
          </c:val>
          <c:smooth val="0"/>
          <c:extLst>
            <c:ext xmlns:c16="http://schemas.microsoft.com/office/drawing/2014/chart" uri="{C3380CC4-5D6E-409C-BE32-E72D297353CC}">
              <c16:uniqueId val="{00000001-74A0-F643-9840-971D0C1EFAE9}"/>
            </c:ext>
          </c:extLst>
        </c:ser>
        <c:ser>
          <c:idx val="2"/>
          <c:order val="2"/>
          <c:tx>
            <c:strRef>
              <c:f>'Project Model'!$N$28</c:f>
              <c:strCache>
                <c:ptCount val="1"/>
                <c:pt idx="0">
                  <c:v>FA 3</c:v>
                </c:pt>
              </c:strCache>
            </c:strRef>
          </c:tx>
          <c:spPr>
            <a:ln w="28575" cap="rnd">
              <a:solidFill>
                <a:schemeClr val="accent4"/>
              </a:solidFill>
              <a:round/>
            </a:ln>
            <a:effectLst/>
          </c:spPr>
          <c:marker>
            <c:symbol val="none"/>
          </c:marker>
          <c:cat>
            <c:strRef>
              <c:f>'Project Model'!$O$25:$Q$25</c:f>
              <c:strCache>
                <c:ptCount val="3"/>
                <c:pt idx="0">
                  <c:v>Year 1</c:v>
                </c:pt>
                <c:pt idx="1">
                  <c:v>Year 2 </c:v>
                </c:pt>
                <c:pt idx="2">
                  <c:v>Year 3 </c:v>
                </c:pt>
              </c:strCache>
            </c:strRef>
          </c:cat>
          <c:val>
            <c:numRef>
              <c:f>'Project Model'!$O$28:$Q$28</c:f>
              <c:numCache>
                <c:formatCode>_("$"* #,##0_);_("$"* \(#,##0\);_("$"* "-"??_);_(@_)</c:formatCode>
                <c:ptCount val="3"/>
                <c:pt idx="0">
                  <c:v>1850</c:v>
                </c:pt>
                <c:pt idx="1">
                  <c:v>650</c:v>
                </c:pt>
                <c:pt idx="2">
                  <c:v>550</c:v>
                </c:pt>
              </c:numCache>
            </c:numRef>
          </c:val>
          <c:smooth val="0"/>
          <c:extLst>
            <c:ext xmlns:c16="http://schemas.microsoft.com/office/drawing/2014/chart" uri="{C3380CC4-5D6E-409C-BE32-E72D297353CC}">
              <c16:uniqueId val="{00000002-74A0-F643-9840-971D0C1EFAE9}"/>
            </c:ext>
          </c:extLst>
        </c:ser>
        <c:dLbls>
          <c:showLegendKey val="0"/>
          <c:showVal val="0"/>
          <c:showCatName val="0"/>
          <c:showSerName val="0"/>
          <c:showPercent val="0"/>
          <c:showBubbleSize val="0"/>
        </c:dLbls>
        <c:smooth val="0"/>
        <c:axId val="777905663"/>
        <c:axId val="385340159"/>
      </c:lineChart>
      <c:catAx>
        <c:axId val="777905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Years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40159"/>
        <c:crosses val="autoZero"/>
        <c:auto val="1"/>
        <c:lblAlgn val="ctr"/>
        <c:lblOffset val="100"/>
        <c:noMultiLvlLbl val="0"/>
      </c:catAx>
      <c:valAx>
        <c:axId val="38534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Capital Expenditure ($ -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905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effectLst/>
              </a:rPr>
              <a:t>Capital</a:t>
            </a:r>
            <a:r>
              <a:rPr lang="en-US" baseline="0">
                <a:effectLst/>
              </a:rPr>
              <a:t> Expenditure for FA 1 Approved Projects Y1-Y3</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 Model'!$N$26</c:f>
              <c:strCache>
                <c:ptCount val="1"/>
                <c:pt idx="0">
                  <c:v>FA 1 </c:v>
                </c:pt>
              </c:strCache>
            </c:strRef>
          </c:tx>
          <c:spPr>
            <a:ln w="28575" cap="rnd">
              <a:solidFill>
                <a:schemeClr val="accent1"/>
              </a:solidFill>
              <a:round/>
            </a:ln>
            <a:effectLst/>
          </c:spPr>
          <c:marker>
            <c:symbol val="none"/>
          </c:marker>
          <c:cat>
            <c:strRef>
              <c:f>'Project Model'!$O$25:$Q$25</c:f>
              <c:strCache>
                <c:ptCount val="3"/>
                <c:pt idx="0">
                  <c:v>Year 1</c:v>
                </c:pt>
                <c:pt idx="1">
                  <c:v>Year 2 </c:v>
                </c:pt>
                <c:pt idx="2">
                  <c:v>Year 3 </c:v>
                </c:pt>
              </c:strCache>
            </c:strRef>
          </c:cat>
          <c:val>
            <c:numRef>
              <c:f>'Project Model'!$O$26:$Q$26</c:f>
              <c:numCache>
                <c:formatCode>_("$"* #,##0_);_("$"* \(#,##0\);_("$"* "-"??_);_(@_)</c:formatCode>
                <c:ptCount val="3"/>
                <c:pt idx="0">
                  <c:v>1115</c:v>
                </c:pt>
                <c:pt idx="1">
                  <c:v>999</c:v>
                </c:pt>
                <c:pt idx="2">
                  <c:v>1199</c:v>
                </c:pt>
              </c:numCache>
            </c:numRef>
          </c:val>
          <c:smooth val="0"/>
          <c:extLst>
            <c:ext xmlns:c16="http://schemas.microsoft.com/office/drawing/2014/chart" uri="{C3380CC4-5D6E-409C-BE32-E72D297353CC}">
              <c16:uniqueId val="{00000000-398B-6347-8CA3-50DECC56D18B}"/>
            </c:ext>
          </c:extLst>
        </c:ser>
        <c:dLbls>
          <c:showLegendKey val="0"/>
          <c:showVal val="0"/>
          <c:showCatName val="0"/>
          <c:showSerName val="0"/>
          <c:showPercent val="0"/>
          <c:showBubbleSize val="0"/>
        </c:dLbls>
        <c:smooth val="0"/>
        <c:axId val="391943071"/>
        <c:axId val="398807599"/>
      </c:lineChart>
      <c:catAx>
        <c:axId val="391943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Years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807599"/>
        <c:crosses val="autoZero"/>
        <c:auto val="1"/>
        <c:lblAlgn val="ctr"/>
        <c:lblOffset val="100"/>
        <c:noMultiLvlLbl val="0"/>
      </c:catAx>
      <c:valAx>
        <c:axId val="398807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Capital Expenditure ($ - millions</a:t>
                </a:r>
                <a:r>
                  <a:rPr lang="en-US" baseline="0"/>
                  <a: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94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Capital Expenditure for FA 2 Approved Projects Y1</a:t>
            </a:r>
            <a:r>
              <a:rPr lang="en-US" baseline="0"/>
              <a:t>-Y3</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 Model'!$N$27</c:f>
              <c:strCache>
                <c:ptCount val="1"/>
                <c:pt idx="0">
                  <c:v>FA 2</c:v>
                </c:pt>
              </c:strCache>
            </c:strRef>
          </c:tx>
          <c:spPr>
            <a:ln w="28575" cap="rnd">
              <a:solidFill>
                <a:schemeClr val="accent2"/>
              </a:solidFill>
              <a:round/>
            </a:ln>
            <a:effectLst/>
          </c:spPr>
          <c:marker>
            <c:symbol val="none"/>
          </c:marker>
          <c:cat>
            <c:strRef>
              <c:f>'Project Model'!$O$25:$Q$25</c:f>
              <c:strCache>
                <c:ptCount val="3"/>
                <c:pt idx="0">
                  <c:v>Year 1</c:v>
                </c:pt>
                <c:pt idx="1">
                  <c:v>Year 2 </c:v>
                </c:pt>
                <c:pt idx="2">
                  <c:v>Year 3 </c:v>
                </c:pt>
              </c:strCache>
            </c:strRef>
          </c:cat>
          <c:val>
            <c:numRef>
              <c:f>'Project Model'!$O$27:$Q$27</c:f>
              <c:numCache>
                <c:formatCode>_("$"* #,##0_);_("$"* \(#,##0\);_("$"* "-"??_);_(@_)</c:formatCode>
                <c:ptCount val="3"/>
                <c:pt idx="0">
                  <c:v>1518</c:v>
                </c:pt>
                <c:pt idx="1">
                  <c:v>1302</c:v>
                </c:pt>
                <c:pt idx="2">
                  <c:v>986</c:v>
                </c:pt>
              </c:numCache>
            </c:numRef>
          </c:val>
          <c:smooth val="0"/>
          <c:extLst>
            <c:ext xmlns:c16="http://schemas.microsoft.com/office/drawing/2014/chart" uri="{C3380CC4-5D6E-409C-BE32-E72D297353CC}">
              <c16:uniqueId val="{00000000-9C12-B34F-BC3E-C231F22C1A07}"/>
            </c:ext>
          </c:extLst>
        </c:ser>
        <c:dLbls>
          <c:showLegendKey val="0"/>
          <c:showVal val="0"/>
          <c:showCatName val="0"/>
          <c:showSerName val="0"/>
          <c:showPercent val="0"/>
          <c:showBubbleSize val="0"/>
        </c:dLbls>
        <c:smooth val="0"/>
        <c:axId val="783866735"/>
        <c:axId val="783865295"/>
      </c:lineChart>
      <c:catAx>
        <c:axId val="783866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865295"/>
        <c:crosses val="autoZero"/>
        <c:auto val="1"/>
        <c:lblAlgn val="ctr"/>
        <c:lblOffset val="100"/>
        <c:noMultiLvlLbl val="0"/>
      </c:catAx>
      <c:valAx>
        <c:axId val="783865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Capital Expenditure ($ -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866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Capital Expenditure for FA 3 Approved</a:t>
            </a:r>
            <a:r>
              <a:rPr lang="en-US" baseline="0"/>
              <a:t> Projects</a:t>
            </a:r>
            <a:r>
              <a:rPr lang="en-US"/>
              <a:t> Y1 - Y3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'Project Model'!$N$28</c:f>
              <c:strCache>
                <c:ptCount val="1"/>
                <c:pt idx="0">
                  <c:v>FA 3</c:v>
                </c:pt>
              </c:strCache>
            </c:strRef>
          </c:tx>
          <c:spPr>
            <a:ln w="28575" cap="rnd">
              <a:solidFill>
                <a:schemeClr val="accent4"/>
              </a:solidFill>
              <a:round/>
            </a:ln>
            <a:effectLst/>
          </c:spPr>
          <c:marker>
            <c:symbol val="none"/>
          </c:marker>
          <c:cat>
            <c:strRef>
              <c:f>'Project Model'!$O$25:$Q$25</c:f>
              <c:strCache>
                <c:ptCount val="3"/>
                <c:pt idx="0">
                  <c:v>Year 1</c:v>
                </c:pt>
                <c:pt idx="1">
                  <c:v>Year 2 </c:v>
                </c:pt>
                <c:pt idx="2">
                  <c:v>Year 3 </c:v>
                </c:pt>
              </c:strCache>
            </c:strRef>
          </c:cat>
          <c:val>
            <c:numRef>
              <c:f>'Project Model'!$O$28:$Q$28</c:f>
              <c:numCache>
                <c:formatCode>_("$"* #,##0_);_("$"* \(#,##0\);_("$"* "-"??_);_(@_)</c:formatCode>
                <c:ptCount val="3"/>
                <c:pt idx="0">
                  <c:v>1850</c:v>
                </c:pt>
                <c:pt idx="1">
                  <c:v>650</c:v>
                </c:pt>
                <c:pt idx="2">
                  <c:v>550</c:v>
                </c:pt>
              </c:numCache>
            </c:numRef>
          </c:val>
          <c:smooth val="0"/>
          <c:extLst>
            <c:ext xmlns:c16="http://schemas.microsoft.com/office/drawing/2014/chart" uri="{C3380CC4-5D6E-409C-BE32-E72D297353CC}">
              <c16:uniqueId val="{00000000-BCB1-9240-80E3-9014D246FA40}"/>
            </c:ext>
          </c:extLst>
        </c:ser>
        <c:dLbls>
          <c:showLegendKey val="0"/>
          <c:showVal val="0"/>
          <c:showCatName val="0"/>
          <c:showSerName val="0"/>
          <c:showPercent val="0"/>
          <c:showBubbleSize val="0"/>
        </c:dLbls>
        <c:smooth val="0"/>
        <c:axId val="721630639"/>
        <c:axId val="721475935"/>
      </c:lineChart>
      <c:catAx>
        <c:axId val="721630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475935"/>
        <c:crosses val="autoZero"/>
        <c:auto val="1"/>
        <c:lblAlgn val="ctr"/>
        <c:lblOffset val="100"/>
        <c:noMultiLvlLbl val="0"/>
      </c:catAx>
      <c:valAx>
        <c:axId val="721475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Capital</a:t>
                </a:r>
                <a:r>
                  <a:rPr lang="en-US" baseline="0"/>
                  <a:t> Expenditure ($ - in millions)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63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317500</xdr:colOff>
      <xdr:row>11</xdr:row>
      <xdr:rowOff>50800</xdr:rowOff>
    </xdr:from>
    <xdr:to>
      <xdr:col>11</xdr:col>
      <xdr:colOff>457200</xdr:colOff>
      <xdr:row>14</xdr:row>
      <xdr:rowOff>76200</xdr:rowOff>
    </xdr:to>
    <xdr:sp macro="" textlink="">
      <xdr:nvSpPr>
        <xdr:cNvPr id="6" name="Alternate Process 1">
          <a:extLst>
            <a:ext uri="{FF2B5EF4-FFF2-40B4-BE49-F238E27FC236}">
              <a16:creationId xmlns:a16="http://schemas.microsoft.com/office/drawing/2014/main" id="{AA8629F9-E3A4-6366-F5BC-8BCB975CFC37}"/>
            </a:ext>
          </a:extLst>
        </xdr:cNvPr>
        <xdr:cNvSpPr/>
      </xdr:nvSpPr>
      <xdr:spPr>
        <a:xfrm>
          <a:off x="8394700" y="2603500"/>
          <a:ext cx="1803400" cy="635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Insert 0 or 1 here:</a:t>
          </a:r>
        </a:p>
        <a:p>
          <a:pPr algn="l"/>
          <a:endParaRPr lang="en-US" sz="1100"/>
        </a:p>
      </xdr:txBody>
    </xdr:sp>
    <xdr:clientData/>
  </xdr:twoCellAnchor>
  <xdr:twoCellAnchor>
    <xdr:from>
      <xdr:col>14</xdr:col>
      <xdr:colOff>757766</xdr:colOff>
      <xdr:row>4</xdr:row>
      <xdr:rowOff>84667</xdr:rowOff>
    </xdr:from>
    <xdr:to>
      <xdr:col>16</xdr:col>
      <xdr:colOff>275167</xdr:colOff>
      <xdr:row>8</xdr:row>
      <xdr:rowOff>169334</xdr:rowOff>
    </xdr:to>
    <xdr:sp macro="" textlink="">
      <xdr:nvSpPr>
        <xdr:cNvPr id="104" name="Alternate Process 5">
          <a:extLst>
            <a:ext uri="{FF2B5EF4-FFF2-40B4-BE49-F238E27FC236}">
              <a16:creationId xmlns:a16="http://schemas.microsoft.com/office/drawing/2014/main" id="{AF0FFE27-93F2-354A-A68E-10C26669C9A4}"/>
            </a:ext>
          </a:extLst>
        </xdr:cNvPr>
        <xdr:cNvSpPr/>
      </xdr:nvSpPr>
      <xdr:spPr>
        <a:xfrm>
          <a:off x="15267516" y="1005417"/>
          <a:ext cx="1686984" cy="889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Insert</a:t>
          </a:r>
          <a:r>
            <a:rPr lang="en-US" sz="1400" baseline="0"/>
            <a:t>  Discount Rate Reduction </a:t>
          </a:r>
        </a:p>
        <a:p>
          <a:pPr algn="ctr"/>
          <a:r>
            <a:rPr lang="en-US" sz="1400" baseline="0"/>
            <a:t>Here:</a:t>
          </a:r>
          <a:endParaRPr lang="en-US" sz="1400"/>
        </a:p>
        <a:p>
          <a:pPr algn="l"/>
          <a:endParaRPr lang="en-US" sz="1100"/>
        </a:p>
      </xdr:txBody>
    </xdr:sp>
    <xdr:clientData/>
  </xdr:twoCellAnchor>
  <xdr:twoCellAnchor>
    <xdr:from>
      <xdr:col>14</xdr:col>
      <xdr:colOff>203200</xdr:colOff>
      <xdr:row>5</xdr:row>
      <xdr:rowOff>177800</xdr:rowOff>
    </xdr:from>
    <xdr:to>
      <xdr:col>14</xdr:col>
      <xdr:colOff>711200</xdr:colOff>
      <xdr:row>7</xdr:row>
      <xdr:rowOff>50800</xdr:rowOff>
    </xdr:to>
    <xdr:sp macro="" textlink="">
      <xdr:nvSpPr>
        <xdr:cNvPr id="107" name="Left Arrow 6">
          <a:extLst>
            <a:ext uri="{FF2B5EF4-FFF2-40B4-BE49-F238E27FC236}">
              <a16:creationId xmlns:a16="http://schemas.microsoft.com/office/drawing/2014/main" id="{303C219D-1F4D-857E-6BC4-F10DCBB6801E}"/>
            </a:ext>
          </a:extLst>
        </xdr:cNvPr>
        <xdr:cNvSpPr/>
      </xdr:nvSpPr>
      <xdr:spPr>
        <a:xfrm>
          <a:off x="14681200" y="1511300"/>
          <a:ext cx="508000" cy="279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444500</xdr:colOff>
      <xdr:row>14</xdr:row>
      <xdr:rowOff>127000</xdr:rowOff>
    </xdr:from>
    <xdr:to>
      <xdr:col>10</xdr:col>
      <xdr:colOff>787400</xdr:colOff>
      <xdr:row>16</xdr:row>
      <xdr:rowOff>127000</xdr:rowOff>
    </xdr:to>
    <xdr:sp macro="" textlink="">
      <xdr:nvSpPr>
        <xdr:cNvPr id="110" name="Down Arrow 7">
          <a:extLst>
            <a:ext uri="{FF2B5EF4-FFF2-40B4-BE49-F238E27FC236}">
              <a16:creationId xmlns:a16="http://schemas.microsoft.com/office/drawing/2014/main" id="{3E8519AB-3B9F-78AD-7A85-3B8ABBD57DD4}"/>
            </a:ext>
          </a:extLst>
        </xdr:cNvPr>
        <xdr:cNvSpPr/>
      </xdr:nvSpPr>
      <xdr:spPr>
        <a:xfrm>
          <a:off x="9067800" y="3289300"/>
          <a:ext cx="342900" cy="4191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266700</xdr:colOff>
      <xdr:row>0</xdr:row>
      <xdr:rowOff>263525</xdr:rowOff>
    </xdr:from>
    <xdr:to>
      <xdr:col>43</xdr:col>
      <xdr:colOff>200025</xdr:colOff>
      <xdr:row>35</xdr:row>
      <xdr:rowOff>127000</xdr:rowOff>
    </xdr:to>
    <xdr:sp macro="" textlink="">
      <xdr:nvSpPr>
        <xdr:cNvPr id="2" name="TextBox 1">
          <a:extLst>
            <a:ext uri="{FF2B5EF4-FFF2-40B4-BE49-F238E27FC236}">
              <a16:creationId xmlns:a16="http://schemas.microsoft.com/office/drawing/2014/main" id="{22088D49-CF4A-CD73-B950-58D0F494FB5D}"/>
            </a:ext>
          </a:extLst>
        </xdr:cNvPr>
        <xdr:cNvSpPr txBox="1"/>
      </xdr:nvSpPr>
      <xdr:spPr>
        <a:xfrm>
          <a:off x="18453100" y="263525"/>
          <a:ext cx="17078325" cy="712787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i="0">
              <a:solidFill>
                <a:schemeClr val="bg1"/>
              </a:solidFill>
              <a:effectLst/>
              <a:latin typeface="+mn-lt"/>
              <a:ea typeface="+mn-ea"/>
              <a:cs typeface="+mn-cs"/>
            </a:rPr>
            <a:t>Bluejay Natural Gas is a large energy company based out of Baltimore, MD. The company offers a wide range of energy products and has annual revenues of approximately $50 billion. Because of the diverse nature of the company, its Manager for Project Development, Julie Kavoli, is under continual pressure to manage project proposals from the functional areas of the company. At any point in time, there might be dozens of projects at various stages requiring a wide variety of capital expenditures, promising widely varying future revenue streams, and containing varying degrees of risk. Julie has a difficult balancing act. The company's CEO, Cordelia Kareeni, is very concerned about keeping capital expenditures within a fixed budget and managing risk. The heads of the company's functional areas are less worried about budgets and risks; they are most concerned that their pet projects are approved. Julie also knows that many of the proposed projects, especially those requiring large capital expenditures, must be led by senior project managers with the appropriate experience and skills, and she is keenly aware that the company has only a limited supply of such managers. </a:t>
          </a:r>
        </a:p>
        <a:p>
          <a:r>
            <a:rPr lang="en-IN" sz="2400" b="1" i="0">
              <a:solidFill>
                <a:schemeClr val="bg1"/>
              </a:solidFill>
              <a:effectLst/>
              <a:latin typeface="+mn-lt"/>
              <a:ea typeface="+mn-ea"/>
              <a:cs typeface="+mn-cs"/>
            </a:rPr>
            <a:t>Julie is currently preparing to meet with all parties involved to discuss project proposals for the next three years. She has proposals from the various functional areas for projects they would like to undertake. Each of these is accompanied by a schedule of capital expenditures over the next three years and a financial analysis of the expected revenue streams. These lead to a net present value (NPV) for each proposal, using the company's discount rate of 12%.</a:t>
          </a:r>
        </a:p>
        <a:p>
          <a:r>
            <a:rPr lang="en-IN" sz="2400" b="1" i="0">
              <a:solidFill>
                <a:schemeClr val="bg1"/>
              </a:solidFill>
              <a:effectLst/>
              <a:latin typeface="+mn-lt"/>
              <a:ea typeface="+mn-ea"/>
              <a:cs typeface="+mn-cs"/>
            </a:rPr>
            <a:t>Several of the projects, if approved, must be undertaken in joint partnership with another company. For example, if project 3 is approved, Bluejay Natural Gas will take a 50% share in the project, and the other 50% will be shared by a partner.  In this case, Bluejay Natural Gas will only incur 50% of the expenditures and receive only 50% of the revenues.  </a:t>
          </a:r>
        </a:p>
        <a:p>
          <a:endParaRPr lang="en-IN" sz="2400" b="1" i="0">
            <a:solidFill>
              <a:schemeClr val="bg1"/>
            </a:solidFill>
            <a:effectLst/>
            <a:latin typeface="+mn-lt"/>
            <a:ea typeface="+mn-ea"/>
            <a:cs typeface="+mn-cs"/>
          </a:endParaRPr>
        </a:p>
        <a:p>
          <a:r>
            <a:rPr lang="en-IN" sz="2400" b="1" i="0">
              <a:solidFill>
                <a:schemeClr val="bg1"/>
              </a:solidFill>
              <a:effectLst/>
              <a:latin typeface="+mn-lt"/>
              <a:ea typeface="+mn-ea"/>
              <a:cs typeface="+mn-cs"/>
            </a:rPr>
            <a:t>Cordelia has stated in no uncertain terms that the total of capital expenditures for the approved projects can be no more than $10 billion and that no more than $4 billion should be spent in any single year. Unfortunately, the capital expenditures for the potential list of projects is well over $10 billion, so Julie knows that not all of these promising projects will be approved.</a:t>
          </a:r>
        </a:p>
        <a:p>
          <a:endParaRPr lang="en-IN" sz="24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349250</xdr:colOff>
      <xdr:row>0</xdr:row>
      <xdr:rowOff>63500</xdr:rowOff>
    </xdr:from>
    <xdr:to>
      <xdr:col>9</xdr:col>
      <xdr:colOff>508000</xdr:colOff>
      <xdr:row>21</xdr:row>
      <xdr:rowOff>12700</xdr:rowOff>
    </xdr:to>
    <xdr:graphicFrame macro="">
      <xdr:nvGraphicFramePr>
        <xdr:cNvPr id="55" name="Chart 1">
          <a:extLst>
            <a:ext uri="{FF2B5EF4-FFF2-40B4-BE49-F238E27FC236}">
              <a16:creationId xmlns:a16="http://schemas.microsoft.com/office/drawing/2014/main" id="{E96BD978-03AD-342E-16D4-2B4AD9A38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0</xdr:row>
      <xdr:rowOff>76200</xdr:rowOff>
    </xdr:from>
    <xdr:to>
      <xdr:col>20</xdr:col>
      <xdr:colOff>0</xdr:colOff>
      <xdr:row>21</xdr:row>
      <xdr:rowOff>25400</xdr:rowOff>
    </xdr:to>
    <xdr:graphicFrame macro="">
      <xdr:nvGraphicFramePr>
        <xdr:cNvPr id="3" name="Chart 2">
          <a:extLst>
            <a:ext uri="{FF2B5EF4-FFF2-40B4-BE49-F238E27FC236}">
              <a16:creationId xmlns:a16="http://schemas.microsoft.com/office/drawing/2014/main" id="{84611E9E-7C0A-77E7-E171-BD10978F60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317500</xdr:colOff>
      <xdr:row>22</xdr:row>
      <xdr:rowOff>165100</xdr:rowOff>
    </xdr:from>
    <xdr:to>
      <xdr:col>9</xdr:col>
      <xdr:colOff>508000</xdr:colOff>
      <xdr:row>44</xdr:row>
      <xdr:rowOff>25400</xdr:rowOff>
    </xdr:to>
    <xdr:graphicFrame macro="">
      <xdr:nvGraphicFramePr>
        <xdr:cNvPr id="4" name="Chart 3">
          <a:extLst>
            <a:ext uri="{FF2B5EF4-FFF2-40B4-BE49-F238E27FC236}">
              <a16:creationId xmlns:a16="http://schemas.microsoft.com/office/drawing/2014/main" id="{6564F4FC-11F5-13F2-40E2-0C83110E7D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23</xdr:row>
      <xdr:rowOff>12700</xdr:rowOff>
    </xdr:from>
    <xdr:to>
      <xdr:col>20</xdr:col>
      <xdr:colOff>76200</xdr:colOff>
      <xdr:row>44</xdr:row>
      <xdr:rowOff>0</xdr:rowOff>
    </xdr:to>
    <xdr:graphicFrame macro="">
      <xdr:nvGraphicFramePr>
        <xdr:cNvPr id="154" name="Chart 4">
          <a:extLst>
            <a:ext uri="{FF2B5EF4-FFF2-40B4-BE49-F238E27FC236}">
              <a16:creationId xmlns:a16="http://schemas.microsoft.com/office/drawing/2014/main" id="{29997628-D3FC-CA76-516E-DA1ECE10DB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FA0B-B6E7-45D6-BAB6-F3953091B4B4}">
  <dimension ref="A1:Q49"/>
  <sheetViews>
    <sheetView tabSelected="1" zoomScale="25" zoomScaleNormal="40" workbookViewId="0">
      <selection activeCell="L49" sqref="L49"/>
    </sheetView>
  </sheetViews>
  <sheetFormatPr defaultColWidth="8.83203125" defaultRowHeight="15.5"/>
  <cols>
    <col min="1" max="1" width="12" bestFit="1" customWidth="1"/>
    <col min="2" max="2" width="14" bestFit="1" customWidth="1"/>
    <col min="3" max="3" width="14.33203125" customWidth="1"/>
    <col min="4" max="4" width="12.5" customWidth="1"/>
    <col min="5" max="5" width="12" bestFit="1" customWidth="1"/>
    <col min="6" max="6" width="11.6640625" bestFit="1" customWidth="1"/>
    <col min="7" max="7" width="11.83203125" bestFit="1" customWidth="1"/>
    <col min="8" max="8" width="9" bestFit="1" customWidth="1"/>
    <col min="9" max="9" width="9.9140625" bestFit="1" customWidth="1"/>
    <col min="10" max="10" width="7.1640625" customWidth="1"/>
    <col min="11" max="11" width="14.6640625" bestFit="1" customWidth="1"/>
    <col min="12" max="12" width="9.6640625" customWidth="1"/>
    <col min="13" max="13" width="34" bestFit="1" customWidth="1"/>
    <col min="14" max="14" width="18.5" bestFit="1" customWidth="1"/>
    <col min="15" max="15" width="14.1640625" customWidth="1"/>
    <col min="16" max="16" width="14.33203125" customWidth="1"/>
  </cols>
  <sheetData>
    <row r="1" spans="1:16" ht="21">
      <c r="A1" s="52" t="s">
        <v>46</v>
      </c>
      <c r="B1" s="53"/>
      <c r="C1" s="53"/>
      <c r="D1" s="53"/>
      <c r="E1" s="53"/>
      <c r="F1" s="53"/>
      <c r="G1" s="53"/>
      <c r="H1" s="53"/>
      <c r="I1" s="53"/>
      <c r="J1" s="53"/>
      <c r="K1" s="53"/>
      <c r="L1" s="53"/>
    </row>
    <row r="2" spans="1:16">
      <c r="A2" s="15" t="s">
        <v>24</v>
      </c>
    </row>
    <row r="3" spans="1:16">
      <c r="B3" s="21" t="s">
        <v>0</v>
      </c>
      <c r="C3" s="19" t="s">
        <v>1</v>
      </c>
      <c r="D3" s="19" t="s">
        <v>2</v>
      </c>
      <c r="E3" s="19" t="s">
        <v>3</v>
      </c>
      <c r="F3" s="19" t="s">
        <v>4</v>
      </c>
      <c r="G3" s="20" t="s">
        <v>5</v>
      </c>
      <c r="H3" s="19" t="s">
        <v>6</v>
      </c>
      <c r="I3" s="15"/>
      <c r="J3" s="15"/>
      <c r="M3" s="54" t="s">
        <v>22</v>
      </c>
      <c r="N3" s="54"/>
    </row>
    <row r="4" spans="1:16" ht="20">
      <c r="B4" s="22">
        <v>1</v>
      </c>
      <c r="C4" s="23" t="s">
        <v>8</v>
      </c>
      <c r="D4" s="16">
        <v>1</v>
      </c>
      <c r="E4" s="28">
        <v>250</v>
      </c>
      <c r="F4" s="28">
        <v>100</v>
      </c>
      <c r="G4" s="29">
        <v>100</v>
      </c>
      <c r="H4" s="23">
        <v>60</v>
      </c>
      <c r="M4" s="34" t="s">
        <v>20</v>
      </c>
      <c r="N4" s="35">
        <v>50000</v>
      </c>
      <c r="P4" s="37"/>
    </row>
    <row r="5" spans="1:16">
      <c r="B5" s="22">
        <v>2</v>
      </c>
      <c r="C5" s="23" t="s">
        <v>8</v>
      </c>
      <c r="D5" s="16">
        <v>0.33</v>
      </c>
      <c r="E5" s="28">
        <v>500</v>
      </c>
      <c r="F5" s="28">
        <v>300</v>
      </c>
      <c r="G5" s="29">
        <v>300</v>
      </c>
      <c r="H5" s="23">
        <v>180</v>
      </c>
      <c r="M5" s="34" t="s">
        <v>21</v>
      </c>
      <c r="N5" s="35">
        <v>10000</v>
      </c>
    </row>
    <row r="6" spans="1:16">
      <c r="B6" s="22">
        <v>3</v>
      </c>
      <c r="C6" s="23" t="s">
        <v>8</v>
      </c>
      <c r="D6" s="16">
        <v>0.5</v>
      </c>
      <c r="E6" s="28">
        <v>100</v>
      </c>
      <c r="F6" s="28">
        <v>200</v>
      </c>
      <c r="G6" s="29">
        <v>400</v>
      </c>
      <c r="H6" s="23">
        <v>80</v>
      </c>
      <c r="M6" s="34" t="s">
        <v>23</v>
      </c>
      <c r="N6" s="35">
        <v>4000</v>
      </c>
    </row>
    <row r="7" spans="1:16">
      <c r="B7" s="22">
        <v>4</v>
      </c>
      <c r="C7" s="23" t="s">
        <v>8</v>
      </c>
      <c r="D7" s="16">
        <v>1</v>
      </c>
      <c r="E7" s="28">
        <v>750</v>
      </c>
      <c r="F7" s="28">
        <v>500</v>
      </c>
      <c r="G7" s="29">
        <v>300</v>
      </c>
      <c r="H7" s="23">
        <v>310</v>
      </c>
      <c r="M7" s="34" t="s">
        <v>49</v>
      </c>
      <c r="N7" s="49">
        <v>0.12</v>
      </c>
    </row>
    <row r="8" spans="1:16">
      <c r="B8" s="22">
        <v>5</v>
      </c>
      <c r="C8" s="23" t="s">
        <v>8</v>
      </c>
      <c r="D8" s="16">
        <v>0.75</v>
      </c>
      <c r="E8" s="28">
        <v>200</v>
      </c>
      <c r="F8" s="28">
        <v>400</v>
      </c>
      <c r="G8" s="29">
        <v>800</v>
      </c>
      <c r="H8" s="23">
        <v>220</v>
      </c>
    </row>
    <row r="9" spans="1:16">
      <c r="B9" s="24">
        <v>6</v>
      </c>
      <c r="C9" s="25" t="s">
        <v>9</v>
      </c>
      <c r="D9" s="17">
        <v>0.5</v>
      </c>
      <c r="E9" s="30">
        <v>1000</v>
      </c>
      <c r="F9" s="30">
        <v>300</v>
      </c>
      <c r="G9" s="31">
        <v>300</v>
      </c>
      <c r="H9" s="25">
        <v>180</v>
      </c>
      <c r="M9" s="56" t="s">
        <v>12</v>
      </c>
      <c r="N9" s="57"/>
    </row>
    <row r="10" spans="1:16">
      <c r="B10" s="24">
        <v>7</v>
      </c>
      <c r="C10" s="25" t="s">
        <v>9</v>
      </c>
      <c r="D10" s="17">
        <v>1</v>
      </c>
      <c r="E10" s="30">
        <v>750</v>
      </c>
      <c r="F10" s="30">
        <v>750</v>
      </c>
      <c r="G10" s="31">
        <v>300</v>
      </c>
      <c r="H10" s="25">
        <v>410</v>
      </c>
      <c r="M10" s="38" t="s">
        <v>13</v>
      </c>
      <c r="N10" s="38">
        <f>IF(D38&lt;4000,1,0)</f>
        <v>0</v>
      </c>
    </row>
    <row r="11" spans="1:16">
      <c r="B11" s="24">
        <v>8</v>
      </c>
      <c r="C11" s="25" t="s">
        <v>9</v>
      </c>
      <c r="D11" s="17">
        <v>1</v>
      </c>
      <c r="E11" s="30">
        <v>800</v>
      </c>
      <c r="F11" s="30">
        <v>700</v>
      </c>
      <c r="G11" s="31">
        <v>600</v>
      </c>
      <c r="H11" s="25">
        <v>280</v>
      </c>
      <c r="M11" s="38" t="s">
        <v>14</v>
      </c>
      <c r="N11" s="38">
        <f>IF(E38&lt;4000,1,0)</f>
        <v>1</v>
      </c>
    </row>
    <row r="12" spans="1:16">
      <c r="B12" s="24">
        <v>9</v>
      </c>
      <c r="C12" s="25" t="s">
        <v>9</v>
      </c>
      <c r="D12" s="17">
        <v>0.67</v>
      </c>
      <c r="E12" s="30">
        <v>400</v>
      </c>
      <c r="F12" s="30">
        <v>600</v>
      </c>
      <c r="G12" s="31">
        <v>800</v>
      </c>
      <c r="H12" s="25">
        <v>380</v>
      </c>
      <c r="M12" s="38" t="s">
        <v>15</v>
      </c>
      <c r="N12" s="38">
        <f>IF(F38&lt;4000,1,0)</f>
        <v>1</v>
      </c>
    </row>
    <row r="13" spans="1:16">
      <c r="B13" s="26">
        <v>10</v>
      </c>
      <c r="C13" s="27" t="s">
        <v>10</v>
      </c>
      <c r="D13" s="18">
        <v>1</v>
      </c>
      <c r="E13" s="32">
        <v>100</v>
      </c>
      <c r="F13" s="32">
        <v>200</v>
      </c>
      <c r="G13" s="33">
        <v>400</v>
      </c>
      <c r="H13" s="27">
        <v>100</v>
      </c>
      <c r="M13" s="38" t="s">
        <v>16</v>
      </c>
      <c r="N13" s="38">
        <f>IF(G38&lt;10000,1,0)</f>
        <v>0</v>
      </c>
    </row>
    <row r="14" spans="1:16">
      <c r="B14" s="26">
        <v>11</v>
      </c>
      <c r="C14" s="27" t="s">
        <v>10</v>
      </c>
      <c r="D14" s="18">
        <v>0.5</v>
      </c>
      <c r="E14" s="32">
        <v>700</v>
      </c>
      <c r="F14" s="32">
        <v>500</v>
      </c>
      <c r="G14" s="33">
        <v>300</v>
      </c>
      <c r="H14" s="27">
        <v>260</v>
      </c>
      <c r="M14" s="38" t="s">
        <v>47</v>
      </c>
      <c r="N14" s="38">
        <f>IF(AND(N15&gt;=1,N16&gt;=1,N17&gt;=1),1,0)</f>
        <v>1</v>
      </c>
      <c r="O14" s="38"/>
    </row>
    <row r="15" spans="1:16">
      <c r="B15" s="26">
        <v>12</v>
      </c>
      <c r="C15" s="27" t="s">
        <v>10</v>
      </c>
      <c r="D15" s="18">
        <v>1</v>
      </c>
      <c r="E15" s="32">
        <v>1500</v>
      </c>
      <c r="F15" s="32">
        <v>400</v>
      </c>
      <c r="G15" s="33">
        <v>400</v>
      </c>
      <c r="H15" s="27">
        <v>340</v>
      </c>
      <c r="M15" s="38" t="s">
        <v>26</v>
      </c>
      <c r="N15" s="38">
        <f>SUM(K19:K23)</f>
        <v>4</v>
      </c>
      <c r="O15" s="44"/>
    </row>
    <row r="16" spans="1:16" ht="17" customHeight="1">
      <c r="M16" s="38" t="s">
        <v>27</v>
      </c>
      <c r="N16" s="38">
        <f>SUM(K26:K29)</f>
        <v>3</v>
      </c>
      <c r="O16" s="44"/>
    </row>
    <row r="17" spans="1:17">
      <c r="D17" s="59" t="s">
        <v>50</v>
      </c>
      <c r="E17" s="59"/>
      <c r="F17" s="59"/>
      <c r="G17" s="59"/>
      <c r="M17" s="38" t="s">
        <v>28</v>
      </c>
      <c r="N17" s="38">
        <f>SUM(K32:K34)</f>
        <v>2</v>
      </c>
      <c r="O17" s="44"/>
    </row>
    <row r="18" spans="1:17">
      <c r="A18" s="11" t="s">
        <v>0</v>
      </c>
      <c r="B18" s="12" t="s">
        <v>1</v>
      </c>
      <c r="C18" s="12" t="s">
        <v>2</v>
      </c>
      <c r="D18" s="12" t="s">
        <v>18</v>
      </c>
      <c r="E18" s="12" t="s">
        <v>17</v>
      </c>
      <c r="F18" s="13" t="s">
        <v>19</v>
      </c>
      <c r="G18" s="12" t="s">
        <v>11</v>
      </c>
      <c r="H18" s="13" t="s">
        <v>6</v>
      </c>
      <c r="I18" s="12" t="s">
        <v>25</v>
      </c>
      <c r="J18" s="12" t="s">
        <v>30</v>
      </c>
      <c r="K18" s="41" t="s">
        <v>7</v>
      </c>
      <c r="M18" s="38" t="s">
        <v>29</v>
      </c>
      <c r="N18" s="38">
        <f>SUM(N15:N17)</f>
        <v>9</v>
      </c>
    </row>
    <row r="19" spans="1:17">
      <c r="A19" s="7">
        <v>1</v>
      </c>
      <c r="B19" s="8" t="s">
        <v>8</v>
      </c>
      <c r="C19" s="2">
        <v>1</v>
      </c>
      <c r="D19" s="5">
        <f>E4*C19</f>
        <v>250</v>
      </c>
      <c r="E19" s="5">
        <f>F4*C19</f>
        <v>100</v>
      </c>
      <c r="F19" s="6">
        <f>G4*C19</f>
        <v>100</v>
      </c>
      <c r="G19" s="6">
        <f>SUM(D19,E19,F19)</f>
        <v>450</v>
      </c>
      <c r="H19" s="6">
        <f>H4</f>
        <v>60</v>
      </c>
      <c r="I19" s="5">
        <f>H19*(1-$N$7)</f>
        <v>52.8</v>
      </c>
      <c r="J19" s="2" t="str">
        <f>IF(K19=0,"",I19/SUM(E4:G4))</f>
        <v/>
      </c>
      <c r="K19" s="50">
        <v>0</v>
      </c>
    </row>
    <row r="20" spans="1:17">
      <c r="A20" s="7">
        <v>2</v>
      </c>
      <c r="B20" s="8" t="s">
        <v>8</v>
      </c>
      <c r="C20" s="2">
        <v>0.33</v>
      </c>
      <c r="D20" s="5">
        <f>E5*C20</f>
        <v>165</v>
      </c>
      <c r="E20" s="5">
        <f t="shared" ref="E20:E23" si="0">F5*C20</f>
        <v>99</v>
      </c>
      <c r="F20" s="6">
        <f t="shared" ref="F20:F23" si="1">G5*C20</f>
        <v>99</v>
      </c>
      <c r="G20" s="6">
        <f>SUM(D20,E20,F20)</f>
        <v>363</v>
      </c>
      <c r="H20" s="6">
        <f t="shared" ref="H20:H23" si="2">H5</f>
        <v>180</v>
      </c>
      <c r="I20" s="5">
        <f t="shared" ref="I20:I23" si="3">H20*(1-$N$7)</f>
        <v>158.4</v>
      </c>
      <c r="J20" s="2">
        <f t="shared" ref="J20:J23" si="4">IF(K20=0,"",I20/SUM(E5:G5))</f>
        <v>0.14400000000000002</v>
      </c>
      <c r="K20" s="50">
        <v>1</v>
      </c>
      <c r="M20" s="12" t="s">
        <v>36</v>
      </c>
      <c r="N20" s="19">
        <f>IF(SUM(N10:N14)=5,1,0)</f>
        <v>0</v>
      </c>
    </row>
    <row r="21" spans="1:17">
      <c r="A21" s="7">
        <v>3</v>
      </c>
      <c r="B21" s="8" t="s">
        <v>8</v>
      </c>
      <c r="C21" s="2">
        <v>0.5</v>
      </c>
      <c r="D21" s="5">
        <f t="shared" ref="D21:D23" si="5">E6*C21</f>
        <v>50</v>
      </c>
      <c r="E21" s="5">
        <f t="shared" si="0"/>
        <v>100</v>
      </c>
      <c r="F21" s="6">
        <f t="shared" si="1"/>
        <v>200</v>
      </c>
      <c r="G21" s="6">
        <f t="shared" ref="G21:G34" si="6">SUM(D21,E21,F21)</f>
        <v>350</v>
      </c>
      <c r="H21" s="6">
        <f t="shared" si="2"/>
        <v>80</v>
      </c>
      <c r="I21" s="5">
        <f t="shared" si="3"/>
        <v>70.400000000000006</v>
      </c>
      <c r="J21" s="2">
        <f t="shared" si="4"/>
        <v>0.10057142857142858</v>
      </c>
      <c r="K21" s="50">
        <v>1</v>
      </c>
    </row>
    <row r="22" spans="1:17">
      <c r="A22" s="7">
        <v>4</v>
      </c>
      <c r="B22" s="8" t="s">
        <v>8</v>
      </c>
      <c r="C22" s="3">
        <v>1</v>
      </c>
      <c r="D22" s="5">
        <f t="shared" si="5"/>
        <v>750</v>
      </c>
      <c r="E22" s="5">
        <f t="shared" si="0"/>
        <v>500</v>
      </c>
      <c r="F22" s="6">
        <f t="shared" si="1"/>
        <v>300</v>
      </c>
      <c r="G22" s="6">
        <f t="shared" si="6"/>
        <v>1550</v>
      </c>
      <c r="H22" s="6">
        <f t="shared" si="2"/>
        <v>310</v>
      </c>
      <c r="I22" s="5">
        <f t="shared" si="3"/>
        <v>272.8</v>
      </c>
      <c r="J22" s="2">
        <f t="shared" si="4"/>
        <v>0.17600000000000002</v>
      </c>
      <c r="K22" s="50">
        <v>1</v>
      </c>
    </row>
    <row r="23" spans="1:17">
      <c r="A23" s="7">
        <v>5</v>
      </c>
      <c r="B23" s="8" t="s">
        <v>8</v>
      </c>
      <c r="C23" s="4">
        <v>0.75</v>
      </c>
      <c r="D23" s="5">
        <f t="shared" si="5"/>
        <v>150</v>
      </c>
      <c r="E23" s="5">
        <f t="shared" si="0"/>
        <v>300</v>
      </c>
      <c r="F23" s="6">
        <f t="shared" si="1"/>
        <v>600</v>
      </c>
      <c r="G23" s="5">
        <f t="shared" si="6"/>
        <v>1050</v>
      </c>
      <c r="H23" s="6">
        <f t="shared" si="2"/>
        <v>220</v>
      </c>
      <c r="I23" s="5">
        <f t="shared" si="3"/>
        <v>193.6</v>
      </c>
      <c r="J23" s="2">
        <f t="shared" si="4"/>
        <v>0.13828571428571429</v>
      </c>
      <c r="K23" s="50">
        <v>1</v>
      </c>
    </row>
    <row r="24" spans="1:17">
      <c r="C24" s="45" t="s">
        <v>37</v>
      </c>
      <c r="D24" s="43">
        <f>SUMPRODUCT(D19:D23,K19:K23)</f>
        <v>1115</v>
      </c>
      <c r="E24" s="43">
        <f>SUMPRODUCT(E19:E23,K19:K23)</f>
        <v>999</v>
      </c>
      <c r="F24" s="43">
        <f>SUMPRODUCT(F19:F23,K19:K23)</f>
        <v>1199</v>
      </c>
      <c r="G24" s="43">
        <f t="shared" si="6"/>
        <v>3313</v>
      </c>
      <c r="K24" s="44"/>
      <c r="O24" s="51" t="s">
        <v>41</v>
      </c>
      <c r="P24" s="51"/>
      <c r="Q24" s="51"/>
    </row>
    <row r="25" spans="1:17">
      <c r="K25" s="44"/>
      <c r="N25" s="38"/>
      <c r="O25" s="46" t="s">
        <v>42</v>
      </c>
      <c r="P25" s="46" t="s">
        <v>43</v>
      </c>
      <c r="Q25" s="46" t="s">
        <v>44</v>
      </c>
    </row>
    <row r="26" spans="1:17">
      <c r="A26" s="7">
        <v>6</v>
      </c>
      <c r="B26" s="9" t="s">
        <v>9</v>
      </c>
      <c r="C26" s="2">
        <v>0.5</v>
      </c>
      <c r="D26" s="5">
        <f>E9*C26</f>
        <v>500</v>
      </c>
      <c r="E26" s="5">
        <f>F9*C26</f>
        <v>150</v>
      </c>
      <c r="F26" s="6">
        <f>G9*C26</f>
        <v>150</v>
      </c>
      <c r="G26" s="6">
        <f t="shared" si="6"/>
        <v>800</v>
      </c>
      <c r="H26" s="6">
        <f>H9</f>
        <v>180</v>
      </c>
      <c r="I26" s="5">
        <f>H26*(1-$N$7)</f>
        <v>158.4</v>
      </c>
      <c r="J26" s="2">
        <f>IF(K26=0,"",I26/SUM(E9:G9))</f>
        <v>9.9000000000000005E-2</v>
      </c>
      <c r="K26" s="50">
        <v>1</v>
      </c>
      <c r="M26" s="58" t="s">
        <v>45</v>
      </c>
      <c r="N26" s="46" t="s">
        <v>40</v>
      </c>
      <c r="O26" s="36">
        <f>D24</f>
        <v>1115</v>
      </c>
      <c r="P26" s="36">
        <f>E24</f>
        <v>999</v>
      </c>
      <c r="Q26" s="36">
        <f>F24</f>
        <v>1199</v>
      </c>
    </row>
    <row r="27" spans="1:17">
      <c r="A27" s="7">
        <v>7</v>
      </c>
      <c r="B27" s="9" t="s">
        <v>9</v>
      </c>
      <c r="C27" s="2">
        <v>1</v>
      </c>
      <c r="D27" s="5">
        <f>E10*C27</f>
        <v>750</v>
      </c>
      <c r="E27" s="5">
        <f>F10*C27</f>
        <v>750</v>
      </c>
      <c r="F27" s="6">
        <f>G10*C27</f>
        <v>300</v>
      </c>
      <c r="G27" s="6">
        <f t="shared" si="6"/>
        <v>1800</v>
      </c>
      <c r="H27" s="6">
        <f t="shared" ref="H27:H29" si="7">H10</f>
        <v>410</v>
      </c>
      <c r="I27" s="5">
        <f t="shared" ref="I27:I29" si="8">H27*(1-$N$7)</f>
        <v>360.8</v>
      </c>
      <c r="J27" s="2">
        <f t="shared" ref="J27:J29" si="9">IF(K27=0,"",I27/SUM(E10:G10))</f>
        <v>0.20044444444444445</v>
      </c>
      <c r="K27" s="50">
        <v>1</v>
      </c>
      <c r="M27" s="58"/>
      <c r="N27" s="46" t="s">
        <v>9</v>
      </c>
      <c r="O27" s="36">
        <f>D30</f>
        <v>1518</v>
      </c>
      <c r="P27" s="36">
        <f>E30</f>
        <v>1302</v>
      </c>
      <c r="Q27" s="36">
        <f>F30</f>
        <v>986</v>
      </c>
    </row>
    <row r="28" spans="1:17">
      <c r="A28" s="7">
        <v>8</v>
      </c>
      <c r="B28" s="9" t="s">
        <v>9</v>
      </c>
      <c r="C28" s="2">
        <v>1</v>
      </c>
      <c r="D28" s="5">
        <f>E11*C28</f>
        <v>800</v>
      </c>
      <c r="E28" s="5">
        <f>F11*C28</f>
        <v>700</v>
      </c>
      <c r="F28" s="6">
        <f>G11*C28</f>
        <v>600</v>
      </c>
      <c r="G28" s="6">
        <f t="shared" si="6"/>
        <v>2100</v>
      </c>
      <c r="H28" s="6">
        <f t="shared" si="7"/>
        <v>280</v>
      </c>
      <c r="I28" s="5">
        <f t="shared" si="8"/>
        <v>246.4</v>
      </c>
      <c r="J28" s="2" t="str">
        <f t="shared" si="9"/>
        <v/>
      </c>
      <c r="K28" s="50">
        <v>0</v>
      </c>
      <c r="M28" s="58"/>
      <c r="N28" s="46" t="s">
        <v>10</v>
      </c>
      <c r="O28" s="36">
        <f>D35</f>
        <v>1850</v>
      </c>
      <c r="P28" s="36">
        <f>E35</f>
        <v>650</v>
      </c>
      <c r="Q28" s="36">
        <f>F35</f>
        <v>550</v>
      </c>
    </row>
    <row r="29" spans="1:17">
      <c r="A29" s="7">
        <v>9</v>
      </c>
      <c r="B29" s="9" t="s">
        <v>9</v>
      </c>
      <c r="C29" s="2">
        <v>0.67</v>
      </c>
      <c r="D29" s="5">
        <f>E12*C29</f>
        <v>268</v>
      </c>
      <c r="E29" s="5">
        <f>F12*C29</f>
        <v>402</v>
      </c>
      <c r="F29" s="6">
        <f>G12*C29</f>
        <v>536</v>
      </c>
      <c r="G29" s="6">
        <f t="shared" si="6"/>
        <v>1206</v>
      </c>
      <c r="H29" s="6">
        <f t="shared" si="7"/>
        <v>380</v>
      </c>
      <c r="I29" s="5">
        <f t="shared" si="8"/>
        <v>334.4</v>
      </c>
      <c r="J29" s="2">
        <f t="shared" si="9"/>
        <v>0.18577777777777776</v>
      </c>
      <c r="K29" s="50">
        <v>1</v>
      </c>
    </row>
    <row r="30" spans="1:17">
      <c r="C30" s="45" t="s">
        <v>38</v>
      </c>
      <c r="D30" s="43">
        <f>SUMPRODUCT(D26:D29,$K$26:$K$29)</f>
        <v>1518</v>
      </c>
      <c r="E30" s="43">
        <f t="shared" ref="E30:F30" si="10">SUMPRODUCT(E26:E29,$K$26:$K$29)</f>
        <v>1302</v>
      </c>
      <c r="F30" s="43">
        <f t="shared" si="10"/>
        <v>986</v>
      </c>
      <c r="G30" s="36">
        <f>SUM(D30:F30)</f>
        <v>3806</v>
      </c>
      <c r="K30" s="44"/>
    </row>
    <row r="31" spans="1:17">
      <c r="K31" s="44"/>
    </row>
    <row r="32" spans="1:17">
      <c r="A32" s="7">
        <v>10</v>
      </c>
      <c r="B32" s="10" t="s">
        <v>10</v>
      </c>
      <c r="C32" s="2">
        <v>1</v>
      </c>
      <c r="D32" s="5">
        <f>E13*C32</f>
        <v>100</v>
      </c>
      <c r="E32" s="5">
        <f>F13*C32</f>
        <v>200</v>
      </c>
      <c r="F32" s="6">
        <f>G13*C32</f>
        <v>400</v>
      </c>
      <c r="G32" s="6">
        <f t="shared" si="6"/>
        <v>700</v>
      </c>
      <c r="H32" s="39">
        <f>H13</f>
        <v>100</v>
      </c>
      <c r="I32" s="5">
        <f>H32*(1-$N$7)</f>
        <v>88</v>
      </c>
      <c r="J32" s="2" t="str">
        <f>IF(K32=0,"",I32/SUM(E13:G13))</f>
        <v/>
      </c>
      <c r="K32" s="50">
        <v>0</v>
      </c>
    </row>
    <row r="33" spans="1:11">
      <c r="A33" s="7">
        <v>11</v>
      </c>
      <c r="B33" s="10" t="s">
        <v>10</v>
      </c>
      <c r="C33" s="2">
        <v>0.5</v>
      </c>
      <c r="D33" s="5">
        <f>E14*C33</f>
        <v>350</v>
      </c>
      <c r="E33" s="5">
        <f>F14*C33</f>
        <v>250</v>
      </c>
      <c r="F33" s="6">
        <f>G14*C33</f>
        <v>150</v>
      </c>
      <c r="G33" s="6">
        <f t="shared" si="6"/>
        <v>750</v>
      </c>
      <c r="H33" s="39">
        <f t="shared" ref="H33:H34" si="11">H14</f>
        <v>260</v>
      </c>
      <c r="I33" s="5">
        <f t="shared" ref="I33" si="12">H33*(1-$N$7)</f>
        <v>228.8</v>
      </c>
      <c r="J33" s="2">
        <f t="shared" ref="J33:J34" si="13">IF(K33=0,"",I33/SUM(E14:G14))</f>
        <v>0.15253333333333335</v>
      </c>
      <c r="K33" s="50">
        <v>1</v>
      </c>
    </row>
    <row r="34" spans="1:11">
      <c r="A34" s="7">
        <v>12</v>
      </c>
      <c r="B34" s="10" t="s">
        <v>10</v>
      </c>
      <c r="C34" s="2">
        <v>1</v>
      </c>
      <c r="D34" s="5">
        <f>E15*C34</f>
        <v>1500</v>
      </c>
      <c r="E34" s="5">
        <f>F15*C34</f>
        <v>400</v>
      </c>
      <c r="F34" s="6">
        <f>G15*C34</f>
        <v>400</v>
      </c>
      <c r="G34" s="6">
        <f t="shared" si="6"/>
        <v>2300</v>
      </c>
      <c r="H34" s="39">
        <f t="shared" si="11"/>
        <v>340</v>
      </c>
      <c r="I34" s="5">
        <f>H34*(1-$N$7)</f>
        <v>299.2</v>
      </c>
      <c r="J34" s="2">
        <f t="shared" si="13"/>
        <v>0.13008695652173913</v>
      </c>
      <c r="K34" s="50">
        <v>1</v>
      </c>
    </row>
    <row r="35" spans="1:11">
      <c r="C35" s="45" t="s">
        <v>39</v>
      </c>
      <c r="D35" s="5">
        <f>SUMPRODUCT(D32:D34,$K$32:$K$34)</f>
        <v>1850</v>
      </c>
      <c r="E35" s="5">
        <f t="shared" ref="E35:F35" si="14">SUMPRODUCT(E32:E34,$K$32:$K$34)</f>
        <v>650</v>
      </c>
      <c r="F35" s="5">
        <f t="shared" si="14"/>
        <v>550</v>
      </c>
      <c r="G35" s="5">
        <f>SUM(D35:F35)</f>
        <v>3050</v>
      </c>
    </row>
    <row r="36" spans="1:11">
      <c r="F36" s="1"/>
      <c r="G36" s="1"/>
    </row>
    <row r="37" spans="1:11">
      <c r="D37" s="12" t="s">
        <v>18</v>
      </c>
      <c r="E37" s="12" t="s">
        <v>17</v>
      </c>
      <c r="F37" s="13" t="s">
        <v>19</v>
      </c>
      <c r="G37" s="12" t="s">
        <v>11</v>
      </c>
      <c r="I37" s="47" t="s">
        <v>51</v>
      </c>
    </row>
    <row r="38" spans="1:11">
      <c r="C38" s="45" t="s">
        <v>48</v>
      </c>
      <c r="D38" s="14">
        <f>SUMPRODUCT(D19:D23,$K$19:$K$23)+SUMPRODUCT(D26:D29,$K$26:$K$29)+SUMPRODUCT(D32:D34,$K$32:$K$34)</f>
        <v>4483</v>
      </c>
      <c r="E38" s="14">
        <f>SUMPRODUCT(E19:E23,$K$19:$K$23)+SUMPRODUCT(E26:E29,$K$26:$K$29)+SUMPRODUCT(E32:E34,$K$32:$K$34)</f>
        <v>2951</v>
      </c>
      <c r="F38" s="14">
        <f t="shared" ref="F38" si="15">SUMPRODUCT(F19:F23,$K$19:$K$23)+SUMPRODUCT(F26:F29,$K$26:$K$29)+SUMPRODUCT(F32:F34,$K$32:$K$34)</f>
        <v>2735</v>
      </c>
      <c r="G38" s="14">
        <f>SUM(D38:F38)</f>
        <v>10169</v>
      </c>
      <c r="I38" s="48">
        <f>SUMPRODUCT(I19:I34,K19:K34)</f>
        <v>2076.8000000000002</v>
      </c>
    </row>
    <row r="40" spans="1:11">
      <c r="E40" s="55" t="s">
        <v>32</v>
      </c>
      <c r="F40" s="55"/>
      <c r="G40" s="55"/>
    </row>
    <row r="41" spans="1:11">
      <c r="D41" s="12" t="s">
        <v>31</v>
      </c>
      <c r="E41" s="12" t="s">
        <v>33</v>
      </c>
      <c r="F41" s="12" t="s">
        <v>34</v>
      </c>
      <c r="G41" s="12" t="s">
        <v>35</v>
      </c>
    </row>
    <row r="42" spans="1:11">
      <c r="D42" s="40"/>
      <c r="E42" s="42">
        <f>AVERAGE(J19:J34)</f>
        <v>0.14741107277049306</v>
      </c>
      <c r="F42" s="42">
        <f>MIN(J19:J34)</f>
        <v>9.9000000000000005E-2</v>
      </c>
      <c r="G42" s="42">
        <f>MAX(J19:J34)</f>
        <v>0.20044444444444445</v>
      </c>
    </row>
    <row r="43" spans="1:11">
      <c r="D43" s="2">
        <v>0</v>
      </c>
      <c r="E43" s="2">
        <f t="dataTable" ref="E43:G49" dt2D="0" dtr="0" r1="N7"/>
        <v>0.16751258269374214</v>
      </c>
      <c r="F43" s="2">
        <v>0.1125</v>
      </c>
      <c r="G43" s="2">
        <v>0.22777777777777777</v>
      </c>
    </row>
    <row r="44" spans="1:11">
      <c r="D44" s="2">
        <v>0.05</v>
      </c>
      <c r="E44" s="2">
        <v>0.15913695355905499</v>
      </c>
      <c r="F44" s="2">
        <v>0.106875</v>
      </c>
      <c r="G44" s="2">
        <v>0.21638888888888888</v>
      </c>
    </row>
    <row r="45" spans="1:11">
      <c r="D45" s="2">
        <v>0.1</v>
      </c>
      <c r="E45" s="2">
        <v>0.1507613244243679</v>
      </c>
      <c r="F45" s="2">
        <v>0.10125000000000001</v>
      </c>
      <c r="G45" s="2">
        <v>0.20499999999999999</v>
      </c>
    </row>
    <row r="46" spans="1:11">
      <c r="D46" s="2">
        <v>0.15</v>
      </c>
      <c r="E46" s="2">
        <v>0.14238569528968081</v>
      </c>
      <c r="F46" s="2">
        <v>9.5625000000000002E-2</v>
      </c>
      <c r="G46" s="2">
        <v>0.19361111111111112</v>
      </c>
    </row>
    <row r="47" spans="1:11">
      <c r="D47" s="2">
        <v>0.2</v>
      </c>
      <c r="E47" s="2">
        <v>0.1340100661549937</v>
      </c>
      <c r="F47" s="2">
        <v>0.09</v>
      </c>
      <c r="G47" s="2">
        <v>0.18222222222222223</v>
      </c>
    </row>
    <row r="48" spans="1:11">
      <c r="D48" s="2">
        <v>0.25</v>
      </c>
      <c r="E48" s="2">
        <v>0.12563443702030658</v>
      </c>
      <c r="F48" s="2">
        <v>8.4375000000000006E-2</v>
      </c>
      <c r="G48" s="2">
        <v>0.17083333333333334</v>
      </c>
    </row>
    <row r="49" spans="4:7">
      <c r="D49" s="2">
        <v>0.3</v>
      </c>
      <c r="E49" s="2">
        <v>0.11725880788561947</v>
      </c>
      <c r="F49" s="2">
        <v>7.8749999999999987E-2</v>
      </c>
      <c r="G49" s="2">
        <v>0.15944444444444444</v>
      </c>
    </row>
  </sheetData>
  <mergeCells count="7">
    <mergeCell ref="O24:Q24"/>
    <mergeCell ref="A1:L1"/>
    <mergeCell ref="M3:N3"/>
    <mergeCell ref="E40:G40"/>
    <mergeCell ref="M9:N9"/>
    <mergeCell ref="M26:M28"/>
    <mergeCell ref="D17:G17"/>
  </mergeCells>
  <conditionalFormatting sqref="D38:F38">
    <cfRule type="cellIs" dxfId="10" priority="9" operator="greaterThan">
      <formula>4000</formula>
    </cfRule>
    <cfRule type="cellIs" dxfId="9" priority="10" operator="lessThan">
      <formula>4000</formula>
    </cfRule>
  </conditionalFormatting>
  <conditionalFormatting sqref="G38">
    <cfRule type="cellIs" dxfId="8" priority="1" operator="greaterThan">
      <formula>10000</formula>
    </cfRule>
    <cfRule type="cellIs" dxfId="7" priority="2" operator="lessThan">
      <formula>10000</formula>
    </cfRule>
  </conditionalFormatting>
  <conditionalFormatting sqref="H26:H29 H32:H34">
    <cfRule type="cellIs" dxfId="6" priority="33" operator="equal">
      <formula>MIN($K$19:$K$29)</formula>
    </cfRule>
    <cfRule type="cellIs" dxfId="5" priority="34" operator="equal">
      <formula>MAX($K$19:$K$29)</formula>
    </cfRule>
  </conditionalFormatting>
  <conditionalFormatting sqref="M20:N20">
    <cfRule type="cellIs" dxfId="4" priority="3" operator="lessThan">
      <formula>1</formula>
    </cfRule>
    <cfRule type="cellIs" dxfId="3" priority="4" operator="equal">
      <formula>1</formula>
    </cfRule>
  </conditionalFormatting>
  <conditionalFormatting sqref="N10:N13">
    <cfRule type="cellIs" dxfId="2" priority="24" operator="equal">
      <formula>1</formula>
    </cfRule>
  </conditionalFormatting>
  <conditionalFormatting sqref="N10:N14">
    <cfRule type="cellIs" dxfId="1" priority="5" operator="lessThan">
      <formula>1</formula>
    </cfRule>
  </conditionalFormatting>
  <conditionalFormatting sqref="N14">
    <cfRule type="cellIs" dxfId="0" priority="6" operator="greaterThan">
      <formula>0</formula>
    </cfRule>
  </conditionalFormatting>
  <pageMargins left="0.7" right="0.7" top="0.75" bottom="0.75" header="0.3" footer="0.3"/>
  <pageSetup orientation="portrait" horizontalDpi="300" verticalDpi="300" r:id="rId1"/>
  <ignoredErrors>
    <ignoredError sqref="J19:J23 J26:J29 J32:J34" formulaRange="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C6A07-92E7-5543-8F82-6E4FA33608AD}">
  <dimension ref="A1"/>
  <sheetViews>
    <sheetView workbookViewId="0">
      <selection activeCell="K15" sqref="K15"/>
    </sheetView>
  </sheetViews>
  <sheetFormatPr defaultColWidth="10.6640625" defaultRowHeight="15.5"/>
  <cols>
    <col min="4" max="4" width="10.33203125" bestFit="1" customWidth="1"/>
  </cols>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Model</vt:lpstr>
      <vt:lpstr>Approved Line 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2023-01-19T15:45:03Z</dcterms:created>
  <dcterms:modified xsi:type="dcterms:W3CDTF">2024-06-15T22:27:28Z</dcterms:modified>
  <cp:category/>
  <cp:contentStatus/>
</cp:coreProperties>
</file>