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arun Jain\Desktop\M&amp;A\"/>
    </mc:Choice>
  </mc:AlternateContent>
  <xr:revisionPtr revIDLastSave="0" documentId="13_ncr:1_{5778C83F-3C5D-4770-AB08-06CCB3065D27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SUMMARY" sheetId="6" r:id="rId1"/>
    <sheet name="AIRBNB" sheetId="2" r:id="rId2"/>
    <sheet name="EXPEDIA" sheetId="4" r:id="rId3"/>
    <sheet name="Goodwill" sheetId="7" r:id="rId4"/>
    <sheet name="Merged IS" sheetId="8" r:id="rId5"/>
    <sheet name="Merged Bs" sheetId="9" r:id="rId6"/>
  </sheets>
  <externalReferences>
    <externalReference r:id="rId7"/>
  </externalReferences>
  <definedNames>
    <definedName name="fsales">AIRBNB!#REF!</definedName>
    <definedName name="lrev">'[1]ABNB IS'!$G$8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9" l="1"/>
  <c r="E59" i="9" s="1"/>
  <c r="D57" i="9"/>
  <c r="D59" i="9" s="1"/>
  <c r="F55" i="9"/>
  <c r="F57" i="9" s="1"/>
  <c r="E55" i="9"/>
  <c r="D55" i="9"/>
  <c r="F53" i="9"/>
  <c r="F51" i="9"/>
  <c r="F50" i="9"/>
  <c r="E45" i="9"/>
  <c r="D45" i="9"/>
  <c r="E44" i="9"/>
  <c r="D44" i="9"/>
  <c r="F43" i="9"/>
  <c r="F42" i="9"/>
  <c r="F41" i="9"/>
  <c r="F40" i="9"/>
  <c r="F39" i="9"/>
  <c r="F44" i="9" s="1"/>
  <c r="E36" i="9"/>
  <c r="D36" i="9"/>
  <c r="F35" i="9"/>
  <c r="F34" i="9"/>
  <c r="F33" i="9"/>
  <c r="F32" i="9"/>
  <c r="F31" i="9"/>
  <c r="F30" i="9"/>
  <c r="F29" i="9"/>
  <c r="F28" i="9"/>
  <c r="F27" i="9"/>
  <c r="F36" i="9" s="1"/>
  <c r="E23" i="9"/>
  <c r="D23" i="9"/>
  <c r="F22" i="9"/>
  <c r="F23" i="9" s="1"/>
  <c r="E22" i="9"/>
  <c r="D22" i="9"/>
  <c r="F21" i="9"/>
  <c r="F20" i="9"/>
  <c r="F19" i="9"/>
  <c r="F18" i="9"/>
  <c r="F17" i="9"/>
  <c r="F14" i="9"/>
  <c r="E14" i="9"/>
  <c r="D14" i="9"/>
  <c r="F13" i="9"/>
  <c r="F12" i="9"/>
  <c r="F11" i="9"/>
  <c r="F10" i="9"/>
  <c r="F9" i="9"/>
  <c r="F63" i="9" s="1"/>
  <c r="Q18" i="8"/>
  <c r="M34" i="8"/>
  <c r="M33" i="8"/>
  <c r="L12" i="8"/>
  <c r="L11" i="8"/>
  <c r="M11" i="8" s="1"/>
  <c r="M32" i="8"/>
  <c r="L27" i="8"/>
  <c r="L25" i="8"/>
  <c r="L23" i="8"/>
  <c r="L22" i="8"/>
  <c r="L16" i="8"/>
  <c r="L15" i="8"/>
  <c r="L14" i="8"/>
  <c r="L13" i="8"/>
  <c r="L17" i="8" s="1"/>
  <c r="M10" i="8"/>
  <c r="N10" i="8" s="1"/>
  <c r="D33" i="8"/>
  <c r="D31" i="8"/>
  <c r="D32" i="8" s="1"/>
  <c r="D26" i="8"/>
  <c r="D43" i="8"/>
  <c r="D41" i="8"/>
  <c r="D37" i="8"/>
  <c r="F23" i="8"/>
  <c r="F21" i="8"/>
  <c r="F20" i="8"/>
  <c r="E19" i="8"/>
  <c r="E22" i="8" s="1"/>
  <c r="F18" i="8"/>
  <c r="F17" i="8"/>
  <c r="F16" i="8"/>
  <c r="F15" i="8"/>
  <c r="E14" i="8"/>
  <c r="D14" i="8"/>
  <c r="D19" i="8" s="1"/>
  <c r="D22" i="8" s="1"/>
  <c r="F13" i="8"/>
  <c r="F12" i="8"/>
  <c r="F11" i="8"/>
  <c r="E10" i="8"/>
  <c r="D10" i="8"/>
  <c r="F9" i="8"/>
  <c r="F8" i="8"/>
  <c r="F10" i="8" s="1"/>
  <c r="F14" i="8" s="1"/>
  <c r="F19" i="8" s="1"/>
  <c r="F22" i="8" s="1"/>
  <c r="E10" i="7"/>
  <c r="E7" i="7"/>
  <c r="E6" i="7"/>
  <c r="E5" i="7"/>
  <c r="E18" i="7"/>
  <c r="H12" i="6"/>
  <c r="G287" i="4"/>
  <c r="F287" i="4"/>
  <c r="E287" i="4"/>
  <c r="D287" i="4"/>
  <c r="C281" i="4"/>
  <c r="C279" i="4"/>
  <c r="C287" i="4" s="1"/>
  <c r="G277" i="4"/>
  <c r="F277" i="4"/>
  <c r="E277" i="4"/>
  <c r="D277" i="4"/>
  <c r="G274" i="4"/>
  <c r="F274" i="4"/>
  <c r="E274" i="4"/>
  <c r="D274" i="4"/>
  <c r="F264" i="4"/>
  <c r="E264" i="4"/>
  <c r="D264" i="4"/>
  <c r="C264" i="4"/>
  <c r="F263" i="4"/>
  <c r="E263" i="4"/>
  <c r="D263" i="4"/>
  <c r="C263" i="4"/>
  <c r="C265" i="4" s="1"/>
  <c r="F262" i="4"/>
  <c r="F254" i="4" s="1"/>
  <c r="C278" i="4" s="1"/>
  <c r="E262" i="4"/>
  <c r="E254" i="4" s="1"/>
  <c r="D262" i="4"/>
  <c r="D254" i="4" s="1"/>
  <c r="C262" i="4"/>
  <c r="C254" i="4" s="1"/>
  <c r="F261" i="4"/>
  <c r="F253" i="4" s="1"/>
  <c r="C277" i="4" s="1"/>
  <c r="E261" i="4"/>
  <c r="E253" i="4" s="1"/>
  <c r="D261" i="4"/>
  <c r="C261" i="4"/>
  <c r="C253" i="4" s="1"/>
  <c r="F260" i="4"/>
  <c r="C284" i="4" s="1"/>
  <c r="E260" i="4"/>
  <c r="E252" i="4" s="1"/>
  <c r="D260" i="4"/>
  <c r="D252" i="4" s="1"/>
  <c r="C260" i="4"/>
  <c r="D253" i="4"/>
  <c r="C252" i="4"/>
  <c r="B230" i="4"/>
  <c r="B306" i="4" s="1"/>
  <c r="B227" i="4"/>
  <c r="C209" i="4"/>
  <c r="C220" i="4" s="1"/>
  <c r="C203" i="4"/>
  <c r="D203" i="4" s="1"/>
  <c r="F187" i="4"/>
  <c r="F179" i="4" s="1"/>
  <c r="C201" i="4" s="1"/>
  <c r="E187" i="4"/>
  <c r="C208" i="4" s="1"/>
  <c r="D187" i="4"/>
  <c r="D179" i="4" s="1"/>
  <c r="C187" i="4"/>
  <c r="C179" i="4" s="1"/>
  <c r="F186" i="4"/>
  <c r="F178" i="4" s="1"/>
  <c r="C200" i="4" s="1"/>
  <c r="E186" i="4"/>
  <c r="C207" i="4" s="1"/>
  <c r="D186" i="4"/>
  <c r="C186" i="4"/>
  <c r="F185" i="4"/>
  <c r="F177" i="4" s="1"/>
  <c r="C199" i="4" s="1"/>
  <c r="E185" i="4"/>
  <c r="C206" i="4" s="1"/>
  <c r="D185" i="4"/>
  <c r="D177" i="4" s="1"/>
  <c r="C185" i="4"/>
  <c r="C177" i="4" s="1"/>
  <c r="E178" i="4"/>
  <c r="D178" i="4"/>
  <c r="C178" i="4"/>
  <c r="F174" i="4"/>
  <c r="C196" i="4" s="1"/>
  <c r="C274" i="4" s="1"/>
  <c r="E174" i="4"/>
  <c r="D174" i="4"/>
  <c r="F159" i="4"/>
  <c r="E159" i="4"/>
  <c r="D159" i="4"/>
  <c r="C159" i="4"/>
  <c r="C158" i="4"/>
  <c r="C160" i="4" s="1"/>
  <c r="F157" i="4"/>
  <c r="F158" i="4" s="1"/>
  <c r="E157" i="4"/>
  <c r="E158" i="4" s="1"/>
  <c r="D157" i="4"/>
  <c r="D158" i="4" s="1"/>
  <c r="C157" i="4"/>
  <c r="G155" i="4"/>
  <c r="B293" i="4" s="1"/>
  <c r="F155" i="4"/>
  <c r="E155" i="4"/>
  <c r="D155" i="4"/>
  <c r="C155" i="4"/>
  <c r="G149" i="4"/>
  <c r="G151" i="4" s="1"/>
  <c r="F149" i="4"/>
  <c r="E149" i="4"/>
  <c r="D149" i="4"/>
  <c r="C149" i="4"/>
  <c r="F145" i="4"/>
  <c r="E145" i="4"/>
  <c r="D145" i="4"/>
  <c r="C145" i="4"/>
  <c r="F128" i="4"/>
  <c r="E128" i="4"/>
  <c r="D128" i="4"/>
  <c r="C128" i="4"/>
  <c r="F119" i="4"/>
  <c r="F116" i="4"/>
  <c r="E116" i="4"/>
  <c r="D116" i="4"/>
  <c r="C116" i="4"/>
  <c r="F110" i="4"/>
  <c r="F133" i="4" s="1"/>
  <c r="E110" i="4"/>
  <c r="E133" i="4" s="1"/>
  <c r="D110" i="4"/>
  <c r="D133" i="4" s="1"/>
  <c r="C110" i="4"/>
  <c r="C133" i="4" s="1"/>
  <c r="C135" i="4" s="1"/>
  <c r="D134" i="4" s="1"/>
  <c r="F84" i="4"/>
  <c r="E84" i="4"/>
  <c r="D84" i="4"/>
  <c r="C84" i="4"/>
  <c r="B84" i="4"/>
  <c r="F74" i="4"/>
  <c r="F72" i="4"/>
  <c r="E72" i="4"/>
  <c r="E74" i="4" s="1"/>
  <c r="D72" i="4"/>
  <c r="D74" i="4" s="1"/>
  <c r="C72" i="4"/>
  <c r="C74" i="4" s="1"/>
  <c r="C76" i="4" s="1"/>
  <c r="C86" i="4" s="1"/>
  <c r="B72" i="4"/>
  <c r="B74" i="4" s="1"/>
  <c r="B76" i="4" s="1"/>
  <c r="B86" i="4" s="1"/>
  <c r="F69" i="4"/>
  <c r="F76" i="4" s="1"/>
  <c r="F86" i="4" s="1"/>
  <c r="E69" i="4"/>
  <c r="D69" i="4"/>
  <c r="C69" i="4"/>
  <c r="B69" i="4"/>
  <c r="F55" i="4"/>
  <c r="E55" i="4"/>
  <c r="D55" i="4"/>
  <c r="C55" i="4"/>
  <c r="F53" i="4"/>
  <c r="E53" i="4"/>
  <c r="D53" i="4"/>
  <c r="C53" i="4"/>
  <c r="B53" i="4"/>
  <c r="B55" i="4" s="1"/>
  <c r="F46" i="4"/>
  <c r="E46" i="4"/>
  <c r="D46" i="4"/>
  <c r="C46" i="4"/>
  <c r="B46" i="4"/>
  <c r="F38" i="4"/>
  <c r="F42" i="4" s="1"/>
  <c r="F61" i="4" s="1"/>
  <c r="E38" i="4"/>
  <c r="E42" i="4" s="1"/>
  <c r="E61" i="4" s="1"/>
  <c r="D38" i="4"/>
  <c r="D42" i="4" s="1"/>
  <c r="D61" i="4" s="1"/>
  <c r="C38" i="4"/>
  <c r="C42" i="4" s="1"/>
  <c r="B36" i="4"/>
  <c r="B38" i="4" s="1"/>
  <c r="B42" i="4" s="1"/>
  <c r="E14" i="4"/>
  <c r="E19" i="4" s="1"/>
  <c r="E150" i="4" s="1"/>
  <c r="D14" i="4"/>
  <c r="D19" i="4" s="1"/>
  <c r="D150" i="4" s="1"/>
  <c r="C14" i="4"/>
  <c r="C19" i="4" s="1"/>
  <c r="F11" i="4"/>
  <c r="F14" i="4" s="1"/>
  <c r="F19" i="4" s="1"/>
  <c r="E11" i="4"/>
  <c r="D11" i="4"/>
  <c r="C11" i="4"/>
  <c r="O7" i="2"/>
  <c r="J8" i="2"/>
  <c r="F45" i="9" l="1"/>
  <c r="F59" i="9" s="1"/>
  <c r="O10" i="8"/>
  <c r="N32" i="8"/>
  <c r="M12" i="8"/>
  <c r="M13" i="8" s="1"/>
  <c r="M14" i="8"/>
  <c r="N11" i="8"/>
  <c r="M15" i="8"/>
  <c r="M16" i="8"/>
  <c r="D38" i="8"/>
  <c r="D39" i="8" s="1"/>
  <c r="D45" i="8" s="1"/>
  <c r="E8" i="7"/>
  <c r="E9" i="7"/>
  <c r="D135" i="4"/>
  <c r="E134" i="4" s="1"/>
  <c r="D265" i="4"/>
  <c r="E265" i="4"/>
  <c r="D281" i="4"/>
  <c r="D283" i="4" s="1"/>
  <c r="C286" i="4"/>
  <c r="B61" i="4"/>
  <c r="E179" i="4"/>
  <c r="F265" i="4"/>
  <c r="C61" i="4"/>
  <c r="D151" i="4"/>
  <c r="D176" i="4"/>
  <c r="D207" i="4"/>
  <c r="D204" i="4"/>
  <c r="D206" i="4"/>
  <c r="D208" i="4"/>
  <c r="E203" i="4"/>
  <c r="E135" i="4"/>
  <c r="F134" i="4" s="1"/>
  <c r="F135" i="4" s="1"/>
  <c r="E176" i="4"/>
  <c r="E151" i="4"/>
  <c r="D76" i="4"/>
  <c r="D86" i="4" s="1"/>
  <c r="D160" i="4"/>
  <c r="D162" i="4" s="1"/>
  <c r="D163" i="4" s="1"/>
  <c r="D164" i="4" s="1"/>
  <c r="F150" i="4"/>
  <c r="F176" i="4" s="1"/>
  <c r="C198" i="4" s="1"/>
  <c r="F183" i="4"/>
  <c r="F21" i="4"/>
  <c r="F22" i="4" s="1"/>
  <c r="C150" i="4"/>
  <c r="C183" i="4"/>
  <c r="C21" i="4"/>
  <c r="C22" i="4" s="1"/>
  <c r="E160" i="4"/>
  <c r="E162" i="4" s="1"/>
  <c r="E163" i="4" s="1"/>
  <c r="E164" i="4" s="1"/>
  <c r="E281" i="4"/>
  <c r="D284" i="4"/>
  <c r="D286" i="4"/>
  <c r="E76" i="4"/>
  <c r="E86" i="4" s="1"/>
  <c r="F160" i="4"/>
  <c r="F162" i="4"/>
  <c r="F163" i="4" s="1"/>
  <c r="G164" i="4"/>
  <c r="B214" i="4" s="1"/>
  <c r="D21" i="4"/>
  <c r="D22" i="4" s="1"/>
  <c r="D183" i="4"/>
  <c r="C285" i="4"/>
  <c r="E177" i="4"/>
  <c r="E183" i="4"/>
  <c r="F252" i="4"/>
  <c r="C276" i="4" s="1"/>
  <c r="C162" i="4"/>
  <c r="C163" i="4" s="1"/>
  <c r="E21" i="4"/>
  <c r="E22" i="4" s="1"/>
  <c r="P10" i="8" l="1"/>
  <c r="O32" i="8"/>
  <c r="N16" i="8"/>
  <c r="N12" i="8"/>
  <c r="N13" i="8" s="1"/>
  <c r="N14" i="8"/>
  <c r="O11" i="8"/>
  <c r="N15" i="8"/>
  <c r="M17" i="8"/>
  <c r="M19" i="8" s="1"/>
  <c r="E17" i="7"/>
  <c r="E19" i="7" s="1"/>
  <c r="E11" i="7"/>
  <c r="D285" i="4"/>
  <c r="D288" i="4" s="1"/>
  <c r="D299" i="4" s="1"/>
  <c r="D300" i="4" s="1"/>
  <c r="F151" i="4"/>
  <c r="F164" i="4"/>
  <c r="C184" i="4"/>
  <c r="C175" i="4"/>
  <c r="D25" i="4"/>
  <c r="D144" i="4" s="1"/>
  <c r="D146" i="4" s="1"/>
  <c r="D259" i="4"/>
  <c r="C25" i="4"/>
  <c r="C144" i="4" s="1"/>
  <c r="C146" i="4" s="1"/>
  <c r="C259" i="4"/>
  <c r="F25" i="4"/>
  <c r="F144" i="4" s="1"/>
  <c r="F146" i="4" s="1"/>
  <c r="F259" i="4"/>
  <c r="C164" i="4"/>
  <c r="F184" i="4"/>
  <c r="F175" i="4"/>
  <c r="C197" i="4" s="1"/>
  <c r="E25" i="4"/>
  <c r="E144" i="4" s="1"/>
  <c r="E146" i="4" s="1"/>
  <c r="E259" i="4"/>
  <c r="E284" i="4"/>
  <c r="E286" i="4"/>
  <c r="E283" i="4"/>
  <c r="F281" i="4"/>
  <c r="E208" i="4"/>
  <c r="E206" i="4"/>
  <c r="F203" i="4"/>
  <c r="E207" i="4"/>
  <c r="E204" i="4"/>
  <c r="C176" i="4"/>
  <c r="C151" i="4"/>
  <c r="D205" i="4"/>
  <c r="D209" i="4" s="1"/>
  <c r="D220" i="4" s="1"/>
  <c r="D221" i="4" s="1"/>
  <c r="E175" i="4"/>
  <c r="C204" i="4"/>
  <c r="E184" i="4"/>
  <c r="C205" i="4" s="1"/>
  <c r="D184" i="4"/>
  <c r="D175" i="4"/>
  <c r="E285" i="4"/>
  <c r="N17" i="8" l="1"/>
  <c r="N19" i="8" s="1"/>
  <c r="O14" i="8"/>
  <c r="P11" i="8"/>
  <c r="O15" i="8"/>
  <c r="O12" i="8"/>
  <c r="O13" i="8" s="1"/>
  <c r="O16" i="8"/>
  <c r="P32" i="8"/>
  <c r="Q10" i="8"/>
  <c r="Q32" i="8" s="1"/>
  <c r="E13" i="7"/>
  <c r="E12" i="7"/>
  <c r="F251" i="4"/>
  <c r="C275" i="4" s="1"/>
  <c r="C283" i="4"/>
  <c r="C288" i="4" s="1"/>
  <c r="C299" i="4" s="1"/>
  <c r="F266" i="4"/>
  <c r="E251" i="4"/>
  <c r="E266" i="4"/>
  <c r="F206" i="4"/>
  <c r="F208" i="4"/>
  <c r="G203" i="4"/>
  <c r="F207" i="4"/>
  <c r="F204" i="4"/>
  <c r="E205" i="4"/>
  <c r="E209" i="4" s="1"/>
  <c r="E220" i="4" s="1"/>
  <c r="E221" i="4" s="1"/>
  <c r="C251" i="4"/>
  <c r="C266" i="4"/>
  <c r="F284" i="4"/>
  <c r="F286" i="4"/>
  <c r="F283" i="4"/>
  <c r="G281" i="4"/>
  <c r="F285" i="4"/>
  <c r="E288" i="4"/>
  <c r="E299" i="4" s="1"/>
  <c r="E300" i="4" s="1"/>
  <c r="D251" i="4"/>
  <c r="D266" i="4"/>
  <c r="P14" i="8" l="1"/>
  <c r="Q11" i="8"/>
  <c r="P15" i="8"/>
  <c r="P16" i="8"/>
  <c r="P12" i="8"/>
  <c r="P13" i="8" s="1"/>
  <c r="O17" i="8"/>
  <c r="O19" i="8" s="1"/>
  <c r="F205" i="4"/>
  <c r="F209" i="4" s="1"/>
  <c r="F220" i="4" s="1"/>
  <c r="F221" i="4" s="1"/>
  <c r="G208" i="4"/>
  <c r="G207" i="4"/>
  <c r="G206" i="4"/>
  <c r="G204" i="4"/>
  <c r="F288" i="4"/>
  <c r="F299" i="4" s="1"/>
  <c r="F300" i="4" s="1"/>
  <c r="G284" i="4"/>
  <c r="G283" i="4"/>
  <c r="G285" i="4"/>
  <c r="G286" i="4"/>
  <c r="P17" i="8" l="1"/>
  <c r="P19" i="8" s="1"/>
  <c r="Q15" i="8"/>
  <c r="Q16" i="8"/>
  <c r="Q12" i="8"/>
  <c r="Q13" i="8" s="1"/>
  <c r="Q14" i="8"/>
  <c r="G288" i="4"/>
  <c r="G299" i="4" s="1"/>
  <c r="G205" i="4"/>
  <c r="G209" i="4" s="1"/>
  <c r="G220" i="4" s="1"/>
  <c r="Q17" i="8" l="1"/>
  <c r="Q19" i="8"/>
  <c r="L21" i="8" s="1"/>
  <c r="L24" i="8" s="1"/>
  <c r="L26" i="8" s="1"/>
  <c r="L28" i="8" s="1"/>
  <c r="G223" i="4"/>
  <c r="G224" i="4" s="1"/>
  <c r="G221" i="4"/>
  <c r="G302" i="4"/>
  <c r="G303" i="4" s="1"/>
  <c r="G300" i="4"/>
  <c r="B226" i="4" l="1"/>
  <c r="B228" i="4" s="1"/>
  <c r="B231" i="4" s="1"/>
  <c r="C237" i="4" s="1"/>
  <c r="B305" i="4"/>
  <c r="B307" i="4" s="1"/>
  <c r="C313" i="4" s="1"/>
  <c r="B202" i="2" l="1"/>
  <c r="B197" i="2"/>
  <c r="O9" i="2"/>
  <c r="O10" i="2"/>
  <c r="O11" i="2"/>
  <c r="O13" i="2"/>
  <c r="O8" i="2"/>
  <c r="K8" i="2"/>
  <c r="P8" i="2" s="1"/>
  <c r="L8" i="2"/>
  <c r="M8" i="2"/>
  <c r="N8" i="2"/>
  <c r="G19" i="2"/>
  <c r="O19" i="2" s="1"/>
  <c r="N9" i="2"/>
  <c r="N10" i="2"/>
  <c r="N11" i="2"/>
  <c r="N13" i="2"/>
  <c r="N14" i="2"/>
  <c r="N15" i="2"/>
  <c r="N16" i="2"/>
  <c r="N17" i="2"/>
  <c r="N19" i="2"/>
  <c r="M9" i="2"/>
  <c r="M10" i="2"/>
  <c r="M11" i="2"/>
  <c r="M13" i="2"/>
  <c r="M14" i="2"/>
  <c r="M15" i="2"/>
  <c r="M16" i="2"/>
  <c r="M17" i="2"/>
  <c r="M19" i="2"/>
  <c r="L9" i="2"/>
  <c r="L10" i="2"/>
  <c r="L11" i="2"/>
  <c r="L13" i="2"/>
  <c r="L14" i="2"/>
  <c r="L15" i="2"/>
  <c r="L16" i="2"/>
  <c r="L17" i="2"/>
  <c r="L19" i="2"/>
  <c r="K10" i="2"/>
  <c r="K11" i="2"/>
  <c r="K13" i="2"/>
  <c r="K14" i="2"/>
  <c r="K15" i="2"/>
  <c r="K16" i="2"/>
  <c r="K17" i="2"/>
  <c r="K19" i="2"/>
  <c r="J10" i="2"/>
  <c r="P10" i="2" s="1"/>
  <c r="J11" i="2"/>
  <c r="P11" i="2" s="1"/>
  <c r="J13" i="2"/>
  <c r="P13" i="2" s="1"/>
  <c r="J14" i="2"/>
  <c r="P14" i="2" s="1"/>
  <c r="J15" i="2"/>
  <c r="P15" i="2" s="1"/>
  <c r="J16" i="2"/>
  <c r="P16" i="2" s="1"/>
  <c r="J17" i="2"/>
  <c r="P17" i="2" s="1"/>
  <c r="J19" i="2"/>
  <c r="P19" i="2" s="1"/>
  <c r="B12" i="2"/>
  <c r="J12" i="2" s="1"/>
  <c r="B9" i="2"/>
  <c r="J9" i="2" s="1"/>
  <c r="D6" i="2"/>
  <c r="E6" i="2"/>
  <c r="F6" i="2"/>
  <c r="G6" i="2" s="1"/>
  <c r="C6" i="2"/>
  <c r="L7" i="2"/>
  <c r="M7" i="2"/>
  <c r="N7" i="2"/>
  <c r="K7" i="2"/>
  <c r="P7" i="2" s="1"/>
  <c r="D12" i="2"/>
  <c r="L12" i="2" s="1"/>
  <c r="E12" i="2"/>
  <c r="E18" i="2" s="1"/>
  <c r="F12" i="2"/>
  <c r="N12" i="2" s="1"/>
  <c r="D9" i="2"/>
  <c r="E9" i="2"/>
  <c r="F9" i="2"/>
  <c r="G9" i="2"/>
  <c r="G12" i="2" s="1"/>
  <c r="D189" i="2"/>
  <c r="E189" i="2" s="1"/>
  <c r="M47" i="2"/>
  <c r="M49" i="2" s="1"/>
  <c r="L45" i="2"/>
  <c r="P45" i="2" s="1"/>
  <c r="M45" i="2"/>
  <c r="N45" i="2"/>
  <c r="N47" i="2" s="1"/>
  <c r="N49" i="2" s="1"/>
  <c r="O45" i="2"/>
  <c r="O47" i="2" s="1"/>
  <c r="K45" i="2"/>
  <c r="N43" i="2"/>
  <c r="O43" i="2" s="1"/>
  <c r="M43" i="2"/>
  <c r="L37" i="2"/>
  <c r="M37" i="2"/>
  <c r="M38" i="2" s="1"/>
  <c r="M39" i="2" s="1"/>
  <c r="N37" i="2"/>
  <c r="O37" i="2"/>
  <c r="O38" i="2" s="1"/>
  <c r="K37" i="2"/>
  <c r="B182" i="2" l="1"/>
  <c r="O49" i="2"/>
  <c r="E20" i="2"/>
  <c r="M20" i="2" s="1"/>
  <c r="M18" i="2"/>
  <c r="O12" i="2"/>
  <c r="C191" i="2"/>
  <c r="N38" i="2"/>
  <c r="N39" i="2" s="1"/>
  <c r="F18" i="2"/>
  <c r="M12" i="2"/>
  <c r="L38" i="2"/>
  <c r="L39" i="2" s="1"/>
  <c r="P39" i="2" s="1"/>
  <c r="C192" i="2" s="1"/>
  <c r="L47" i="2"/>
  <c r="D18" i="2"/>
  <c r="B18" i="2"/>
  <c r="B181" i="2"/>
  <c r="O39" i="2"/>
  <c r="L18" i="2" l="1"/>
  <c r="D20" i="2"/>
  <c r="L20" i="2" s="1"/>
  <c r="L49" i="2"/>
  <c r="P49" i="2" s="1"/>
  <c r="C193" i="2" s="1"/>
  <c r="P47" i="2"/>
  <c r="B20" i="2"/>
  <c r="J20" i="2" s="1"/>
  <c r="J18" i="2"/>
  <c r="N18" i="2"/>
  <c r="F20" i="2"/>
  <c r="N20" i="2" s="1"/>
  <c r="D96" i="2"/>
  <c r="E96" i="2" s="1"/>
  <c r="F96" i="2" s="1"/>
  <c r="C32" i="2"/>
  <c r="D32" i="2" s="1"/>
  <c r="E32" i="2" s="1"/>
  <c r="F32" i="2" s="1"/>
  <c r="B177" i="2"/>
  <c r="C177" i="2" s="1"/>
  <c r="F176" i="2"/>
  <c r="G176" i="2" s="1"/>
  <c r="B151" i="2"/>
  <c r="B159" i="2"/>
  <c r="B161" i="2" s="1"/>
  <c r="B155" i="2"/>
  <c r="B150" i="2"/>
  <c r="D130" i="2"/>
  <c r="E130" i="2"/>
  <c r="F130" i="2"/>
  <c r="C121" i="2"/>
  <c r="C52" i="2"/>
  <c r="D52" i="2"/>
  <c r="E52" i="2"/>
  <c r="F52" i="2"/>
  <c r="B52" i="2"/>
  <c r="D177" i="2" l="1"/>
  <c r="C178" i="2"/>
  <c r="C179" i="2" s="1"/>
  <c r="C182" i="2"/>
  <c r="C180" i="2"/>
  <c r="C181" i="2"/>
  <c r="B156" i="2"/>
  <c r="B157" i="2" s="1"/>
  <c r="B165" i="2" s="1"/>
  <c r="E177" i="2" l="1"/>
  <c r="D178" i="2"/>
  <c r="D179" i="2" s="1"/>
  <c r="D182" i="2"/>
  <c r="D180" i="2"/>
  <c r="D181" i="2"/>
  <c r="F121" i="2"/>
  <c r="F74" i="2"/>
  <c r="F37" i="2"/>
  <c r="F86" i="2"/>
  <c r="F68" i="2"/>
  <c r="F54" i="2"/>
  <c r="F45" i="2"/>
  <c r="F177" i="2" l="1"/>
  <c r="E182" i="2"/>
  <c r="E180" i="2"/>
  <c r="E178" i="2"/>
  <c r="E179" i="2" s="1"/>
  <c r="E181" i="2"/>
  <c r="F41" i="2"/>
  <c r="F76" i="2"/>
  <c r="F88" i="2" s="1"/>
  <c r="G177" i="2" l="1"/>
  <c r="F180" i="2"/>
  <c r="F181" i="2"/>
  <c r="F178" i="2"/>
  <c r="F179" i="2" s="1"/>
  <c r="F182" i="2"/>
  <c r="B178" i="2"/>
  <c r="E183" i="2"/>
  <c r="E185" i="2" s="1"/>
  <c r="F59" i="2"/>
  <c r="C130" i="2"/>
  <c r="D121" i="2"/>
  <c r="D86" i="2"/>
  <c r="C86" i="2"/>
  <c r="B86" i="2"/>
  <c r="D74" i="2"/>
  <c r="C74" i="2"/>
  <c r="B74" i="2"/>
  <c r="D68" i="2"/>
  <c r="C68" i="2"/>
  <c r="B68" i="2"/>
  <c r="D54" i="2"/>
  <c r="C54" i="2"/>
  <c r="B54" i="2"/>
  <c r="B45" i="2"/>
  <c r="B37" i="2"/>
  <c r="B41" i="2" s="1"/>
  <c r="D37" i="2"/>
  <c r="D41" i="2" s="1"/>
  <c r="C37" i="2"/>
  <c r="C41" i="2" s="1"/>
  <c r="C9" i="2"/>
  <c r="C12" i="2" l="1"/>
  <c r="K12" i="2" s="1"/>
  <c r="P12" i="2" s="1"/>
  <c r="K9" i="2"/>
  <c r="P9" i="2" s="1"/>
  <c r="G180" i="2"/>
  <c r="G181" i="2"/>
  <c r="G182" i="2"/>
  <c r="G178" i="2"/>
  <c r="G179" i="2" s="1"/>
  <c r="B179" i="2"/>
  <c r="B183" i="2" s="1"/>
  <c r="C18" i="2"/>
  <c r="C183" i="2"/>
  <c r="C185" i="2" s="1"/>
  <c r="D183" i="2"/>
  <c r="D185" i="2" s="1"/>
  <c r="F183" i="2"/>
  <c r="F185" i="2" s="1"/>
  <c r="B59" i="2"/>
  <c r="B76" i="2"/>
  <c r="B88" i="2" s="1"/>
  <c r="D45" i="2"/>
  <c r="D59" i="2" s="1"/>
  <c r="C45" i="2"/>
  <c r="C59" i="2" s="1"/>
  <c r="C76" i="2"/>
  <c r="C88" i="2" s="1"/>
  <c r="D76" i="2"/>
  <c r="D88" i="2" s="1"/>
  <c r="C20" i="2" l="1"/>
  <c r="K20" i="2" s="1"/>
  <c r="P20" i="2" s="1"/>
  <c r="K18" i="2"/>
  <c r="P18" i="2" s="1"/>
  <c r="G183" i="2"/>
  <c r="G184" i="2" s="1"/>
  <c r="F111" i="2"/>
  <c r="F134" i="2" s="1"/>
  <c r="C111" i="2"/>
  <c r="C134" i="2" s="1"/>
  <c r="D111" i="2"/>
  <c r="D134" i="2" s="1"/>
  <c r="G185" i="2" l="1"/>
  <c r="B196" i="2" s="1"/>
  <c r="B199" i="2" s="1"/>
  <c r="B201" i="2" s="1"/>
  <c r="H13" i="6" s="1"/>
  <c r="B203" i="2" l="1"/>
  <c r="E45" i="2"/>
  <c r="E86" i="2"/>
  <c r="E37" i="2"/>
  <c r="E41" i="2" s="1"/>
  <c r="E54" i="2"/>
  <c r="E68" i="2"/>
  <c r="E74" i="2"/>
  <c r="E121" i="2"/>
  <c r="E76" i="2" l="1"/>
  <c r="E88" i="2" s="1"/>
  <c r="E59" i="2"/>
  <c r="E111" i="2" l="1"/>
  <c r="E134" i="2" s="1"/>
  <c r="G17" i="2" l="1"/>
  <c r="O17" i="2" s="1"/>
  <c r="G16" i="2"/>
  <c r="O16" i="2"/>
  <c r="G15" i="2"/>
  <c r="O15" i="2"/>
  <c r="G14" i="2"/>
  <c r="G18" i="2" s="1"/>
  <c r="O14" i="2" l="1"/>
  <c r="O18" i="2"/>
  <c r="G20" i="2"/>
  <c r="O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Bolster</author>
    <author>Bolster, Paul</author>
    <author>David Lundberg</author>
  </authors>
  <commentList>
    <comment ref="C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D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E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F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A13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Bolster, Paul:</t>
        </r>
        <r>
          <rPr>
            <sz val="9"/>
            <color indexed="81"/>
            <rFont val="Tahoma"/>
            <family val="2"/>
          </rPr>
          <t xml:space="preserve">
End of year cash balance is adjusted for restricted cash and cash equivalents.
</t>
        </r>
      </text>
    </comment>
    <comment ref="A221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>EBIT defined as EBT + Interest Expense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5" authorId="2" shapeId="0" xr:uid="{00000000-0006-0000-0000-00000D000000}">
      <text>
        <r>
          <rPr>
            <b/>
            <sz val="8"/>
            <color indexed="81"/>
            <rFont val="Tahoma"/>
            <family val="2"/>
          </rPr>
          <t>Net cash used in investing activities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2" authorId="2" shapeId="0" xr:uid="{00000000-0006-0000-0000-00000E000000}">
      <text>
        <r>
          <rPr>
            <b/>
            <sz val="8"/>
            <color indexed="81"/>
            <rFont val="Tahoma"/>
            <family val="2"/>
          </rPr>
          <t>EBIT defined as operating income + equity income net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6" authorId="2" shapeId="0" xr:uid="{00000000-0006-0000-0000-00000F000000}">
      <text>
        <r>
          <rPr>
            <b/>
            <sz val="8"/>
            <color indexed="81"/>
            <rFont val="Tahoma"/>
            <family val="2"/>
          </rPr>
          <t>Net cash used in investing activities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7" authorId="2" shapeId="0" xr:uid="{00000000-0006-0000-0000-000010000000}">
      <text>
        <r>
          <rPr>
            <b/>
            <sz val="8"/>
            <color indexed="81"/>
            <rFont val="Tahoma"/>
            <family val="2"/>
          </rPr>
          <t>If this is zero, we are assuming the company does not change its absolute level of debt in the future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Based on Average Total Assets</t>
        </r>
      </text>
    </comment>
    <comment ref="A43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Based on FY ending Total Assets</t>
        </r>
      </text>
    </comment>
    <comment ref="A444" authorId="2" shapeId="0" xr:uid="{00000000-0006-0000-0000-000013000000}">
      <text>
        <r>
          <rPr>
            <b/>
            <sz val="8"/>
            <color indexed="81"/>
            <rFont val="Tahoma"/>
            <family val="2"/>
          </rPr>
          <t>Note that the ROE result here does not fit with the calculation above due to the income statement line items between Operating Income and EBT (e.g., other income; gains on issuance of stock by equity investees).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Bolster</author>
    <author>p.bolster</author>
    <author>Bolster, Paul</author>
    <author>David Lundberg</author>
  </authors>
  <commentList>
    <comment ref="C22" authorId="0" shapeId="0" xr:uid="{919446A1-F3CA-4F8C-86E9-D2B943AFC1B3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D22" authorId="0" shapeId="0" xr:uid="{30DAC7FE-1A18-479A-AC3B-1E9D6D4F14F5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E22" authorId="0" shapeId="0" xr:uid="{BECFFA6F-95D2-46D7-8ABD-DD6E1B481669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F22" authorId="0" shapeId="0" xr:uid="{C54CC5F2-F9EE-492A-B9E3-CD21AAF600BA}">
      <text>
        <r>
          <rPr>
            <b/>
            <sz val="9"/>
            <color indexed="81"/>
            <rFont val="Tahoma"/>
            <family val="2"/>
          </rPr>
          <t>Paul Bolster:</t>
        </r>
        <r>
          <rPr>
            <sz val="9"/>
            <color indexed="81"/>
            <rFont val="Tahoma"/>
            <family val="2"/>
          </rPr>
          <t xml:space="preserve">
Adjusted for Discontinued Operations and Minority Interest</t>
        </r>
      </text>
    </comment>
    <comment ref="B72" authorId="1" shapeId="0" xr:uid="{531D6773-9DAE-4BB0-92A5-75DBC09B633D}">
      <text>
        <r>
          <rPr>
            <b/>
            <sz val="8"/>
            <color indexed="81"/>
            <rFont val="Tahoma"/>
            <family val="2"/>
          </rPr>
          <t>p.bolster:</t>
        </r>
        <r>
          <rPr>
            <sz val="8"/>
            <color indexed="81"/>
            <rFont val="Tahoma"/>
            <family val="2"/>
          </rPr>
          <t xml:space="preserve">
Also included Minority interest here rather than in Sh. Eq.</t>
        </r>
      </text>
    </comment>
    <comment ref="C72" authorId="1" shapeId="0" xr:uid="{F962545E-0005-4ABD-9A10-3ADC144BBC16}">
      <text>
        <r>
          <rPr>
            <b/>
            <sz val="8"/>
            <color indexed="81"/>
            <rFont val="Tahoma"/>
            <family val="2"/>
          </rPr>
          <t>p.bolster:</t>
        </r>
        <r>
          <rPr>
            <sz val="8"/>
            <color indexed="81"/>
            <rFont val="Tahoma"/>
            <family val="2"/>
          </rPr>
          <t xml:space="preserve">
Also included Minority interest here rather than in Sh. Eq.</t>
        </r>
      </text>
    </comment>
    <comment ref="D72" authorId="1" shapeId="0" xr:uid="{C73B1295-E612-45A6-A588-FDD055F48929}">
      <text>
        <r>
          <rPr>
            <b/>
            <sz val="8"/>
            <color indexed="81"/>
            <rFont val="Tahoma"/>
            <family val="2"/>
          </rPr>
          <t>p.bolster:</t>
        </r>
        <r>
          <rPr>
            <sz val="8"/>
            <color indexed="81"/>
            <rFont val="Tahoma"/>
            <family val="2"/>
          </rPr>
          <t xml:space="preserve">
Also included Minority interest here rather than in Sh. Eq.</t>
        </r>
      </text>
    </comment>
    <comment ref="E72" authorId="1" shapeId="0" xr:uid="{7742FCAE-A61A-47C9-8901-C23CC2E24052}">
      <text>
        <r>
          <rPr>
            <b/>
            <sz val="8"/>
            <color indexed="81"/>
            <rFont val="Tahoma"/>
            <family val="2"/>
          </rPr>
          <t>p.bolster:</t>
        </r>
        <r>
          <rPr>
            <sz val="8"/>
            <color indexed="81"/>
            <rFont val="Tahoma"/>
            <family val="2"/>
          </rPr>
          <t xml:space="preserve">
Also included Minority interest here rather than in Sh. Eq.</t>
        </r>
      </text>
    </comment>
    <comment ref="F72" authorId="1" shapeId="0" xr:uid="{3A928501-37B9-4A30-887C-629759021261}">
      <text>
        <r>
          <rPr>
            <b/>
            <sz val="8"/>
            <color indexed="81"/>
            <rFont val="Tahoma"/>
            <family val="2"/>
          </rPr>
          <t>p.bolster:</t>
        </r>
        <r>
          <rPr>
            <sz val="8"/>
            <color indexed="81"/>
            <rFont val="Tahoma"/>
            <family val="2"/>
          </rPr>
          <t xml:space="preserve">
Also included Minority interest here rather than in Sh. Eq.</t>
        </r>
      </text>
    </comment>
    <comment ref="A135" authorId="2" shapeId="0" xr:uid="{E4E837AE-7497-4DA9-A476-8351DDE39CE7}">
      <text>
        <r>
          <rPr>
            <b/>
            <sz val="9"/>
            <color indexed="81"/>
            <rFont val="Tahoma"/>
            <family val="2"/>
          </rPr>
          <t>Bolster, Paul:</t>
        </r>
        <r>
          <rPr>
            <sz val="9"/>
            <color indexed="81"/>
            <rFont val="Tahoma"/>
            <family val="2"/>
          </rPr>
          <t xml:space="preserve">
End of year cash balance is adjusted for restricted cash and cash equivalents.
</t>
        </r>
      </text>
    </comment>
    <comment ref="A159" authorId="3" shapeId="0" xr:uid="{AF68675F-8233-4158-A4CE-3DDDBCAF726F}">
      <text>
        <r>
          <rPr>
            <b/>
            <sz val="8"/>
            <color indexed="81"/>
            <rFont val="Tahoma"/>
            <family val="2"/>
          </rPr>
          <t>We are using the book value of debt as a proxy for the market value of debt.</t>
        </r>
      </text>
    </comment>
    <comment ref="A183" authorId="3" shapeId="0" xr:uid="{A014DC64-5D06-4229-9154-FB7C1BAD88A5}">
      <text>
        <r>
          <rPr>
            <b/>
            <sz val="8"/>
            <color indexed="81"/>
            <rFont val="Tahoma"/>
            <family val="2"/>
          </rPr>
          <t>EBIT defined as EBT + Interest Expense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7" authorId="3" shapeId="0" xr:uid="{CCD84614-F8C1-4153-B46B-CEC34B0B9402}">
      <text>
        <r>
          <rPr>
            <b/>
            <sz val="8"/>
            <color indexed="81"/>
            <rFont val="Tahoma"/>
            <family val="2"/>
          </rPr>
          <t>Net cash used in investing activities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4" authorId="3" shapeId="0" xr:uid="{CAA308EC-2EB8-4FAB-84E6-03A314DEEA97}">
      <text>
        <r>
          <rPr>
            <b/>
            <sz val="8"/>
            <color indexed="81"/>
            <rFont val="Tahoma"/>
            <family val="2"/>
          </rPr>
          <t>EBIT defined as operating income + equity income net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8" authorId="3" shapeId="0" xr:uid="{A7EE1BD8-4599-4116-A5F1-BA3404F27817}">
      <text>
        <r>
          <rPr>
            <b/>
            <sz val="8"/>
            <color indexed="81"/>
            <rFont val="Tahoma"/>
            <family val="2"/>
          </rPr>
          <t>Net cash used in investing activities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9" authorId="3" shapeId="0" xr:uid="{6411F0ED-6013-44AF-A18A-DE152EC375B4}">
      <text>
        <r>
          <rPr>
            <b/>
            <sz val="8"/>
            <color indexed="81"/>
            <rFont val="Tahoma"/>
            <family val="2"/>
          </rPr>
          <t>If this is zero, we are assuming the company does not change its absolute level of debt in the future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<sst xmlns="http://schemas.openxmlformats.org/spreadsheetml/2006/main" count="591" uniqueCount="348">
  <si>
    <t>Consolidated Statements of Income</t>
  </si>
  <si>
    <t>Year ended December 31</t>
  </si>
  <si>
    <t>(In millions except per share data)</t>
  </si>
  <si>
    <t>Net operating revenues</t>
  </si>
  <si>
    <t>Cost of goods sold</t>
  </si>
  <si>
    <t>Gross profit</t>
  </si>
  <si>
    <t>SG&amp;A expenses</t>
  </si>
  <si>
    <t>Other operating charges</t>
  </si>
  <si>
    <t>Operating income</t>
  </si>
  <si>
    <t>Interest expense</t>
  </si>
  <si>
    <t>Other income (loss)-net</t>
  </si>
  <si>
    <t>EBT before cumulative effect of accounting change</t>
  </si>
  <si>
    <t>Income taxes</t>
  </si>
  <si>
    <t>Net income before cumulative effect of accounting change</t>
  </si>
  <si>
    <t xml:space="preserve">Consolidated Balance Sheets </t>
  </si>
  <si>
    <t>Cash &amp; cash equivalents</t>
  </si>
  <si>
    <t>Total cash &amp; mktable sec</t>
  </si>
  <si>
    <t>Accounts receivable</t>
  </si>
  <si>
    <t>Inventories</t>
  </si>
  <si>
    <t>Prepaid expenses and other assets</t>
  </si>
  <si>
    <t>Total current assets</t>
  </si>
  <si>
    <t>Other assets</t>
  </si>
  <si>
    <t>Total invest. &amp; other assets</t>
  </si>
  <si>
    <t>Property, plant &amp; equipment</t>
  </si>
  <si>
    <t>Land</t>
  </si>
  <si>
    <t>Buldings and improvements</t>
  </si>
  <si>
    <t>Machinery and equipment</t>
  </si>
  <si>
    <t>Containers</t>
  </si>
  <si>
    <t>Less allowances for depreciation</t>
  </si>
  <si>
    <t>Goodwill &amp; Trademarks</t>
  </si>
  <si>
    <t>Total assets</t>
  </si>
  <si>
    <t>Liabilities</t>
  </si>
  <si>
    <t>Current portion of long-term debt</t>
  </si>
  <si>
    <t>Total current liabilities</t>
  </si>
  <si>
    <t>Long-term debt</t>
  </si>
  <si>
    <t xml:space="preserve">Other liabilities </t>
  </si>
  <si>
    <t>Deferred Income Taxes</t>
  </si>
  <si>
    <t>Total long-term liabilities</t>
  </si>
  <si>
    <t>Total liabilities</t>
  </si>
  <si>
    <t>Shareholders' equity</t>
  </si>
  <si>
    <t xml:space="preserve">Common stock, $0.25 par value </t>
  </si>
  <si>
    <t>Capital surplus</t>
  </si>
  <si>
    <t>Reinvested earnings</t>
  </si>
  <si>
    <t>Accumulated comprehensive income (loss)</t>
  </si>
  <si>
    <t>Net Income</t>
  </si>
  <si>
    <t>Other items</t>
  </si>
  <si>
    <t>Financing Activities</t>
  </si>
  <si>
    <t>Cost of Debt</t>
  </si>
  <si>
    <t>Cost of Equity</t>
  </si>
  <si>
    <t>WACC</t>
  </si>
  <si>
    <t>ASSETS</t>
  </si>
  <si>
    <t>Total Gross PP&amp;E</t>
  </si>
  <si>
    <t>Net PP&amp;E</t>
  </si>
  <si>
    <t>A/P and accrued expenses</t>
  </si>
  <si>
    <t>Less treasury stock</t>
  </si>
  <si>
    <t>Total liab. &amp; shareholders' equity</t>
  </si>
  <si>
    <t>Effective Tax Rate</t>
  </si>
  <si>
    <t>COMPANY VALUATION:</t>
  </si>
  <si>
    <t>WACC Calculation</t>
  </si>
  <si>
    <t>Consolidated Statements of Cash Flows</t>
  </si>
  <si>
    <t>Depreciation and amortization</t>
  </si>
  <si>
    <t>Stock based compensation expense</t>
  </si>
  <si>
    <t>Deferred income taxes</t>
  </si>
  <si>
    <t>Net cash provided by operating activities</t>
  </si>
  <si>
    <t>Operating Activities</t>
  </si>
  <si>
    <t>Investing Activities</t>
  </si>
  <si>
    <t>Purchases of investments and other assets</t>
  </si>
  <si>
    <t>Proceeds from disposals of investments and other assets</t>
  </si>
  <si>
    <t>Purchases of property, plant and equipment</t>
  </si>
  <si>
    <t>Other investing activities</t>
  </si>
  <si>
    <t>Net cash used in investing activities</t>
  </si>
  <si>
    <t>Issuance of debt</t>
  </si>
  <si>
    <t>Payments of debt</t>
  </si>
  <si>
    <t>Issuance of stock</t>
  </si>
  <si>
    <t>Net cash used in financing activities</t>
  </si>
  <si>
    <t>Net increase during the year</t>
  </si>
  <si>
    <t>Average</t>
  </si>
  <si>
    <t xml:space="preserve">Effect of exchange rate changes on cash </t>
  </si>
  <si>
    <t>Acquisitions &amp;invest. (trademarks and bottling cos.)</t>
  </si>
  <si>
    <t>Sales</t>
  </si>
  <si>
    <t>Interest income (net)</t>
  </si>
  <si>
    <t>Total Long Term Investments</t>
  </si>
  <si>
    <t>Other Intangible Assets</t>
  </si>
  <si>
    <t>ST investments and Marketable securities</t>
  </si>
  <si>
    <t>Other current liabilities</t>
  </si>
  <si>
    <t>Net cash from discontinued operations</t>
  </si>
  <si>
    <t xml:space="preserve">The Airbnb inc Company </t>
  </si>
  <si>
    <t>Loss from affiliates</t>
  </si>
  <si>
    <t>Abnormal Losses</t>
  </si>
  <si>
    <t>other payable</t>
  </si>
  <si>
    <t>ST Lease Liabilities</t>
  </si>
  <si>
    <t>—</t>
  </si>
  <si>
    <t>LT Operating Leases</t>
  </si>
  <si>
    <t>Preferred Equity</t>
  </si>
  <si>
    <t>Other Equity</t>
  </si>
  <si>
    <t>Cash from acquiring subsisdary</t>
  </si>
  <si>
    <t>Repurchase of Equity</t>
  </si>
  <si>
    <t>Other Financing activities</t>
  </si>
  <si>
    <t>Other non cash Adjustments</t>
  </si>
  <si>
    <t>Increase In accounts payable</t>
  </si>
  <si>
    <t>Increase in other payables</t>
  </si>
  <si>
    <t>Net cash from discounted operations</t>
  </si>
  <si>
    <t>Current Price</t>
  </si>
  <si>
    <t>Inputs</t>
  </si>
  <si>
    <t>Terminal Growth Rate</t>
  </si>
  <si>
    <t>Shares Out (millions)</t>
  </si>
  <si>
    <t>Mkt Value of Equity (Market Cap)</t>
  </si>
  <si>
    <t>Mkt Value of Long Term Debt</t>
  </si>
  <si>
    <t>Beta (Adjusted)</t>
  </si>
  <si>
    <t>Rf</t>
  </si>
  <si>
    <t>MRP</t>
  </si>
  <si>
    <t>Equity Weight</t>
  </si>
  <si>
    <t>Debt Weight</t>
  </si>
  <si>
    <t>Debt Adjustment Factor</t>
  </si>
  <si>
    <t>After Tax Cost of Debt</t>
  </si>
  <si>
    <t xml:space="preserve">FREE CASHFLOW </t>
  </si>
  <si>
    <t>Free Cash Flow</t>
  </si>
  <si>
    <t>Year</t>
  </si>
  <si>
    <t>EBIT</t>
  </si>
  <si>
    <t>EBIT(1-T)</t>
  </si>
  <si>
    <t>(+)Depreciation</t>
  </si>
  <si>
    <t>(-) Cap EX</t>
  </si>
  <si>
    <t>(-) Change in Working Cap</t>
  </si>
  <si>
    <t>FCFF</t>
  </si>
  <si>
    <t>Total CF</t>
  </si>
  <si>
    <t>Revenue Growth</t>
  </si>
  <si>
    <t>(The revenue growth rate projections are</t>
  </si>
  <si>
    <t>as per the market data)</t>
  </si>
  <si>
    <t>Capital Expenditures as a % of Sales</t>
  </si>
  <si>
    <t>PPE + IA</t>
  </si>
  <si>
    <t>Change in Asset</t>
  </si>
  <si>
    <t>% of sales</t>
  </si>
  <si>
    <t>Variables for FCFF Model</t>
  </si>
  <si>
    <t>AVERAGES</t>
  </si>
  <si>
    <t>Change in WC as % of Sales</t>
  </si>
  <si>
    <t xml:space="preserve">Modified Working Capital </t>
  </si>
  <si>
    <t>Change in WC</t>
  </si>
  <si>
    <t>As % of Sales</t>
  </si>
  <si>
    <t>\</t>
  </si>
  <si>
    <t>VOPS</t>
  </si>
  <si>
    <t>Plus: Non Operating  Assets</t>
  </si>
  <si>
    <t>Less: Non Operating Liabilities</t>
  </si>
  <si>
    <t>Firm Value &amp; Per Share</t>
  </si>
  <si>
    <t>Less: Mkt Value of Debt (LT+ST)</t>
  </si>
  <si>
    <t>Enterprise Value &amp; Per Share</t>
  </si>
  <si>
    <t>Common Shares Outstanding</t>
  </si>
  <si>
    <t>Expected Price 12M / Share</t>
  </si>
  <si>
    <t>Depreciation as a % of Sales</t>
  </si>
  <si>
    <t>Operating Margin</t>
  </si>
  <si>
    <t>Change in Working Capital as % of sales</t>
  </si>
  <si>
    <t>TEAM ALPHA</t>
  </si>
  <si>
    <t>OMAR GAYE ©</t>
  </si>
  <si>
    <t>VARUN JAIN</t>
  </si>
  <si>
    <t>XUAN CHEN</t>
  </si>
  <si>
    <t>WEIQIANG WU</t>
  </si>
  <si>
    <t>Name:</t>
  </si>
  <si>
    <t>Airbnb Inc</t>
  </si>
  <si>
    <t>Ticker:</t>
  </si>
  <si>
    <t>ABNB</t>
  </si>
  <si>
    <t>Industry:</t>
  </si>
  <si>
    <t>Online Travel Industry</t>
  </si>
  <si>
    <t>Market Price 12/31/22</t>
  </si>
  <si>
    <t xml:space="preserve">Valuation Model: DCF  </t>
  </si>
  <si>
    <t>Expedia group Inc</t>
  </si>
  <si>
    <t>EXPE</t>
  </si>
  <si>
    <t>TARGET</t>
  </si>
  <si>
    <t>ACQUIRER</t>
  </si>
  <si>
    <t>INFORMATION  FORM - SALES</t>
  </si>
  <si>
    <t xml:space="preserve">The Expedia Group Company </t>
  </si>
  <si>
    <t>12 Months</t>
  </si>
  <si>
    <t>Gains on issuances of stock by equity investees</t>
  </si>
  <si>
    <t>Net income after cumulative effect of accounting change and other adjustments</t>
  </si>
  <si>
    <t>Average shares outstanding</t>
  </si>
  <si>
    <t>Net income per share</t>
  </si>
  <si>
    <t>Dividends paid per share</t>
  </si>
  <si>
    <t>The Expedia Group Company</t>
  </si>
  <si>
    <t>Restricted Cash</t>
  </si>
  <si>
    <t>Property and equipment</t>
  </si>
  <si>
    <t xml:space="preserve"> Deferred income taxes</t>
  </si>
  <si>
    <t>Current Debt And Capital Lease Obligation</t>
  </si>
  <si>
    <t>Current Deferred Liabilities</t>
  </si>
  <si>
    <t>Non Current Deferred Liabilities</t>
  </si>
  <si>
    <t>Asset Impairment Charge</t>
  </si>
  <si>
    <t>Foreign currency adjustments</t>
  </si>
  <si>
    <t>Provision &amp; Write Off of Assets</t>
  </si>
  <si>
    <t>(Gains) losses on sales of assets</t>
  </si>
  <si>
    <t>Stock based compensation</t>
  </si>
  <si>
    <t>Net change in operating assets and liabilities</t>
  </si>
  <si>
    <t>Proceeds from disposals of PP&amp;E</t>
  </si>
  <si>
    <t>Purchases of stock for treasury</t>
  </si>
  <si>
    <t>Dividends and other financing activities</t>
  </si>
  <si>
    <t>Balance at beginning of year (with adjustments)</t>
  </si>
  <si>
    <t>Balance at end of year (with adjustments)</t>
  </si>
  <si>
    <t>Assumptions</t>
  </si>
  <si>
    <t>for Projection</t>
  </si>
  <si>
    <t>Period</t>
  </si>
  <si>
    <t>Retention Rate</t>
  </si>
  <si>
    <t>ROE</t>
  </si>
  <si>
    <t>Implied Growth Rate</t>
  </si>
  <si>
    <t>Risk Free Rate (10 Yr Treasury)</t>
  </si>
  <si>
    <t>Credit Spread over Treasuries for EXPE Debt</t>
  </si>
  <si>
    <t>Cost of Debt (Pre-Tax)</t>
  </si>
  <si>
    <t>Cost of Debt (After-Tax)</t>
  </si>
  <si>
    <t>Beta</t>
  </si>
  <si>
    <t>Market Risk Premium</t>
  </si>
  <si>
    <t>Cost of Equity per CAPM</t>
  </si>
  <si>
    <t>Price per Common Share (as of Period End)</t>
  </si>
  <si>
    <t>Market Value of Equity</t>
  </si>
  <si>
    <t>Market Value of Debt</t>
  </si>
  <si>
    <t>Market Value of Firm</t>
  </si>
  <si>
    <t>Weight of Equity</t>
  </si>
  <si>
    <t>Weight of Debt</t>
  </si>
  <si>
    <t>Operating Free Cash Flow Calculation</t>
  </si>
  <si>
    <t>Historical Data Required</t>
  </si>
  <si>
    <t>for Assumptions</t>
  </si>
  <si>
    <t>Sales Growth (Year-over-Year)</t>
  </si>
  <si>
    <t>EBIT Margin</t>
  </si>
  <si>
    <t>Tax Rate</t>
  </si>
  <si>
    <t>Non-Cash Expense as % of Sales</t>
  </si>
  <si>
    <t>Increase in W/C as % of Sales</t>
  </si>
  <si>
    <t>Capex/Sales</t>
  </si>
  <si>
    <t>Historical OFCF Calculation</t>
  </si>
  <si>
    <t xml:space="preserve">EBIT </t>
  </si>
  <si>
    <t>(-) Taxes</t>
  </si>
  <si>
    <t>(+) Net noncash charges</t>
  </si>
  <si>
    <t>(-) Investment in working capital</t>
  </si>
  <si>
    <t>(-) Investment in fixed capital</t>
  </si>
  <si>
    <t>Total Operating Free Cash Flow</t>
  </si>
  <si>
    <t>Projected OFCF</t>
  </si>
  <si>
    <t>Assumptions Used</t>
  </si>
  <si>
    <t>Historical</t>
  </si>
  <si>
    <t>Projected</t>
  </si>
  <si>
    <r>
      <t xml:space="preserve">Sales </t>
    </r>
    <r>
      <rPr>
        <i/>
        <sz val="10"/>
        <rFont val="Times New Roman"/>
        <family val="1"/>
      </rPr>
      <t>(note: not used in OFCF calculation)</t>
    </r>
  </si>
  <si>
    <t>Firm Value Calculation</t>
  </si>
  <si>
    <t>Terminal Value Growth Rate</t>
  </si>
  <si>
    <t>Year:</t>
  </si>
  <si>
    <t>Operating Free Cashflow</t>
  </si>
  <si>
    <t>PV of OFCF</t>
  </si>
  <si>
    <t>Terminal Value</t>
  </si>
  <si>
    <t>PV of Terminal Value</t>
  </si>
  <si>
    <t>Firm Value</t>
  </si>
  <si>
    <t>(-) Market Value of Debt at 12/31/22</t>
  </si>
  <si>
    <t>(=) Equity Value</t>
  </si>
  <si>
    <t>Number of Shares outstanding as of 12/31/22</t>
  </si>
  <si>
    <t>Value per share</t>
  </si>
  <si>
    <t>Sensitivity Analysis</t>
  </si>
  <si>
    <t>Free Cash Flow to Equity Calculation</t>
  </si>
  <si>
    <t>Net Income Margin</t>
  </si>
  <si>
    <t>Noncash Charges as % of Sales</t>
  </si>
  <si>
    <t>Capex as % of Sales</t>
  </si>
  <si>
    <t>Change in Working Capital as % of Sales</t>
  </si>
  <si>
    <t>Net Debt (Repayment) or Issue</t>
  </si>
  <si>
    <t>see below</t>
  </si>
  <si>
    <t>Historical FCFE Calculation</t>
  </si>
  <si>
    <t>(+) Net Noncash Charges</t>
  </si>
  <si>
    <t>(-) Capital Expenditures</t>
  </si>
  <si>
    <t>(-) Change in Working Capital</t>
  </si>
  <si>
    <t>(-) Principal Debt Repayments</t>
  </si>
  <si>
    <t>(+) Net debt issues</t>
  </si>
  <si>
    <t>Sub-Total</t>
  </si>
  <si>
    <t>Total Free Cash Flow to Equity</t>
  </si>
  <si>
    <t>Projected FCFE</t>
  </si>
  <si>
    <t>Equity Value Calculation</t>
  </si>
  <si>
    <t>Free Cashflow to Equity</t>
  </si>
  <si>
    <t>PV of FCFE</t>
  </si>
  <si>
    <t>Equity Value</t>
  </si>
  <si>
    <t>Number of Shares O/S as of 12/31</t>
  </si>
  <si>
    <t>Price per Share</t>
  </si>
  <si>
    <t>MEMBERS</t>
  </si>
  <si>
    <t>Number of shares to be issued to EXPEDIA shareholders</t>
  </si>
  <si>
    <t>$ in Millions</t>
  </si>
  <si>
    <t xml:space="preserve">Expedia value as per DCF </t>
  </si>
  <si>
    <t>MV of Expedia as per equity</t>
  </si>
  <si>
    <t>Higher of above:</t>
  </si>
  <si>
    <t>Premium @ 4%</t>
  </si>
  <si>
    <t>Total</t>
  </si>
  <si>
    <t>Value per share of ABNB</t>
  </si>
  <si>
    <t>Shares to be issued (ABNB)</t>
  </si>
  <si>
    <t>Shares of Face Value $10</t>
  </si>
  <si>
    <t>Premium Paid</t>
  </si>
  <si>
    <t>Calculation of goodwill for ABNB</t>
  </si>
  <si>
    <t>Total Consideration</t>
  </si>
  <si>
    <t>Less: Net identifiable Asset (EXPE)</t>
  </si>
  <si>
    <t>Goodwill</t>
  </si>
  <si>
    <t xml:space="preserve">Note: The total consideration has been settled through the issuance of the necessary equity shares of Airbnb at Face Value $10 and Issue Price $85.50 </t>
  </si>
  <si>
    <t>Income Statement (Annual)</t>
  </si>
  <si>
    <t>Airbnb</t>
  </si>
  <si>
    <t>Expedia</t>
  </si>
  <si>
    <t>USD in millions except per share data</t>
  </si>
  <si>
    <t>Merged</t>
  </si>
  <si>
    <t>Revenue</t>
  </si>
  <si>
    <t>Cost of Revenue (COGS)</t>
  </si>
  <si>
    <t>Gross Profit</t>
  </si>
  <si>
    <t>Sales, General &amp; Administrative Expense</t>
  </si>
  <si>
    <t>Other Operating Expenses</t>
  </si>
  <si>
    <t>Dep amd Amor</t>
  </si>
  <si>
    <t>Operating Income (EBIT)</t>
  </si>
  <si>
    <t>Interest Expense</t>
  </si>
  <si>
    <t>Loss from Affiliates</t>
  </si>
  <si>
    <t>Other income (expense)</t>
  </si>
  <si>
    <t>Pre-Tax Income (EBT)</t>
  </si>
  <si>
    <t>Income Tax Expense</t>
  </si>
  <si>
    <t>Minority Interest</t>
  </si>
  <si>
    <t>Dividends</t>
  </si>
  <si>
    <t>Equity Value &amp; Per Share</t>
  </si>
  <si>
    <t>Consolidated Forcast of Future Cash Flows</t>
  </si>
  <si>
    <t>Consolidated Balance Sheet for AirBnb for Year 2022</t>
  </si>
  <si>
    <t>Balance Sheet</t>
  </si>
  <si>
    <t>Assets</t>
  </si>
  <si>
    <t>Current assets</t>
  </si>
  <si>
    <t>Cash and cash equivalents</t>
  </si>
  <si>
    <t>Short-Term Investments (MS)</t>
  </si>
  <si>
    <t>Receivables</t>
  </si>
  <si>
    <t>Other current assets</t>
  </si>
  <si>
    <t>Non-current assets</t>
  </si>
  <si>
    <t xml:space="preserve">Property, Plant &amp; Equip, </t>
  </si>
  <si>
    <t>Less accumulated depreciation</t>
  </si>
  <si>
    <t>LT Investments &amp; Receivables</t>
  </si>
  <si>
    <t>Intangible Assets</t>
  </si>
  <si>
    <t>Other Long Term assets</t>
  </si>
  <si>
    <t>Total non-current assets</t>
  </si>
  <si>
    <t>Liabilities and stockholders' equity</t>
  </si>
  <si>
    <t>Accounts payable</t>
  </si>
  <si>
    <t>Accrued Taxes</t>
  </si>
  <si>
    <t>Other Payables &amp; Accruals</t>
  </si>
  <si>
    <t>Deferred revenue</t>
  </si>
  <si>
    <t>ST Borrowings</t>
  </si>
  <si>
    <t>Current Portion of LT Debt</t>
  </si>
  <si>
    <t>ST Finance Leases</t>
  </si>
  <si>
    <t>Other ST Liabilities</t>
  </si>
  <si>
    <t>Non-current liabilities</t>
  </si>
  <si>
    <t>LT Borrowings</t>
  </si>
  <si>
    <t>LT Finance Leases</t>
  </si>
  <si>
    <t>Deferred Tax Liabilities</t>
  </si>
  <si>
    <t>Other LT Liabilities</t>
  </si>
  <si>
    <t>Total non-current liabilities</t>
  </si>
  <si>
    <t>Stockholders' equity</t>
  </si>
  <si>
    <t>Common stock</t>
  </si>
  <si>
    <t>Equity Issued FV$10</t>
  </si>
  <si>
    <t>Additional paid-in capital</t>
  </si>
  <si>
    <t>Treasury Stock</t>
  </si>
  <si>
    <t>Retained earnings</t>
  </si>
  <si>
    <t>Equity before MI</t>
  </si>
  <si>
    <t>Accumulated other comprehensive income</t>
  </si>
  <si>
    <t>Total stockholders' equity</t>
  </si>
  <si>
    <t>Total liabilities and stockholders' equity</t>
  </si>
  <si>
    <t>Note: we have given the affect of goodwill, number of share issued at premium.</t>
  </si>
  <si>
    <t>Consolidated Income Statemet for AirBnb &amp; Expedia for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</si>
</sst>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\(&quot;$&quot;#,##0\)"/>
    <numFmt numFmtId="165" formatCode="&quot;$&quot;#,##0.00_);\(&quot;$&quot;#,##0.0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(* #,##0_);_(* \(#,##0\);_(* &quot;-&quot;??_);_(@_)"/>
    <numFmt numFmtId="171" formatCode="0.0%"/>
    <numFmt numFmtId="172" formatCode="0.000"/>
    <numFmt numFmtId="173" formatCode="&quot;$&quot;#,##0"/>
    <numFmt numFmtId="174" formatCode="&quot;$&quot;#,##0.00"/>
    <numFmt numFmtId="175" formatCode="0.00\x"/>
    <numFmt numFmtId="176" formatCode="_(* #,##0.0_);_(* \(#,##0.0\);_(* &quot;-&quot;??_);_(@_)"/>
    <numFmt numFmtId="177" formatCode="&quot;$&quot;#,##0.000_);\(&quot;$&quot;#,##0.000\)"/>
    <numFmt numFmtId="178" formatCode="_(* #,##0.00_);_(* \(#,##0.00\);_(* &quot;-&quot;_);_(@_)"/>
  </numFmts>
  <fonts count="56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u val="singleAccounting"/>
      <sz val="11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u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0"/>
      <color rgb="FFC00000"/>
      <name val="Times New Roman"/>
      <family val="1"/>
    </font>
    <font>
      <sz val="10"/>
      <color rgb="FFC00000"/>
      <name val="Times New Roman"/>
      <family val="1"/>
    </font>
    <font>
      <sz val="10"/>
      <color rgb="FF0000FF"/>
      <name val="Times New Roman"/>
      <family val="1"/>
    </font>
    <font>
      <sz val="10"/>
      <color rgb="FF000000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rgb="FF000000"/>
      <name val="Book Antiqua"/>
      <family val="1"/>
    </font>
    <font>
      <sz val="10"/>
      <name val="Verdana"/>
      <family val="2"/>
    </font>
    <font>
      <sz val="11"/>
      <color rgb="FF5F497A"/>
      <name val="Book Antiqua"/>
      <family val="1"/>
    </font>
    <font>
      <sz val="11"/>
      <color rgb="FF000000"/>
      <name val="Book Antiqua"/>
      <family val="1"/>
    </font>
    <font>
      <b/>
      <sz val="11"/>
      <color rgb="FF5F497A"/>
      <name val="Book Antiqua"/>
      <family val="1"/>
    </font>
    <font>
      <b/>
      <u/>
      <sz val="11"/>
      <color theme="1"/>
      <name val="Book Antiqua"/>
      <family val="1"/>
    </font>
    <font>
      <b/>
      <sz val="10"/>
      <color rgb="FF000000"/>
      <name val="Book Antiqua"/>
      <family val="1"/>
    </font>
    <font>
      <b/>
      <sz val="10"/>
      <color theme="1"/>
      <name val="Book Antiqua"/>
      <family val="1"/>
    </font>
    <font>
      <b/>
      <sz val="10"/>
      <color rgb="FF5F497A"/>
      <name val="Book Antiqua"/>
      <family val="1"/>
    </font>
    <font>
      <sz val="10"/>
      <color theme="1"/>
      <name val="Book Antiqua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sz val="10"/>
      <color rgb="FF232A31"/>
      <name val="Arial"/>
      <family val="2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Arial"/>
      <family val="2"/>
    </font>
    <font>
      <sz val="16"/>
      <color rgb="FF000000"/>
      <name val="Calibri"/>
      <family val="2"/>
      <scheme val="minor"/>
    </font>
    <font>
      <b/>
      <sz val="16"/>
      <color theme="0"/>
      <name val="Times New Roman"/>
      <family val="1"/>
    </font>
    <font>
      <b/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20"/>
      <color rgb="FF000000"/>
      <name val="Calibri"/>
      <family val="2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rgb="FFCCCC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0C0C0"/>
      </patternFill>
    </fill>
    <fill>
      <patternFill patternType="solid">
        <fgColor theme="4"/>
        <bgColor theme="0"/>
      </patternFill>
    </fill>
  </fills>
  <borders count="1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6">
    <xf numFmtId="0" fontId="0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43" fillId="0" borderId="0" applyFont="0" applyFill="0" applyBorder="0" applyAlignment="0" applyProtection="0"/>
    <xf numFmtId="0" fontId="52" fillId="0" borderId="0"/>
    <xf numFmtId="169" fontId="52" fillId="0" borderId="0" applyFont="0" applyFill="0" applyBorder="0" applyAlignment="0" applyProtection="0"/>
  </cellStyleXfs>
  <cellXfs count="595">
    <xf numFmtId="0" fontId="0" fillId="0" borderId="0" xfId="0"/>
    <xf numFmtId="0" fontId="3" fillId="0" borderId="0" xfId="0" applyFont="1"/>
    <xf numFmtId="0" fontId="4" fillId="0" borderId="0" xfId="0" applyFont="1"/>
    <xf numFmtId="170" fontId="3" fillId="0" borderId="0" xfId="0" applyNumberFormat="1" applyFont="1"/>
    <xf numFmtId="0" fontId="4" fillId="0" borderId="0" xfId="0" applyFont="1" applyAlignment="1">
      <alignment horizontal="left" indent="1"/>
    </xf>
    <xf numFmtId="167" fontId="4" fillId="0" borderId="0" xfId="0" applyNumberFormat="1" applyFont="1"/>
    <xf numFmtId="167" fontId="3" fillId="0" borderId="0" xfId="0" applyNumberFormat="1" applyFont="1"/>
    <xf numFmtId="0" fontId="6" fillId="0" borderId="0" xfId="0" applyFont="1"/>
    <xf numFmtId="169" fontId="4" fillId="0" borderId="0" xfId="0" applyNumberFormat="1" applyFont="1"/>
    <xf numFmtId="0" fontId="9" fillId="0" borderId="0" xfId="0" applyFont="1"/>
    <xf numFmtId="171" fontId="4" fillId="0" borderId="0" xfId="2" applyNumberFormat="1" applyFont="1"/>
    <xf numFmtId="10" fontId="4" fillId="0" borderId="0" xfId="2" applyNumberFormat="1" applyFont="1"/>
    <xf numFmtId="10" fontId="4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/>
    <xf numFmtId="170" fontId="4" fillId="0" borderId="0" xfId="0" applyNumberFormat="1" applyFont="1"/>
    <xf numFmtId="167" fontId="5" fillId="0" borderId="0" xfId="0" applyNumberFormat="1" applyFont="1"/>
    <xf numFmtId="169" fontId="7" fillId="0" borderId="0" xfId="1" applyFont="1" applyFill="1"/>
    <xf numFmtId="3" fontId="7" fillId="0" borderId="0" xfId="0" applyNumberFormat="1" applyFont="1"/>
    <xf numFmtId="3" fontId="7" fillId="0" borderId="0" xfId="2" applyNumberFormat="1" applyFont="1" applyFill="1"/>
    <xf numFmtId="3" fontId="2" fillId="0" borderId="0" xfId="1" applyNumberFormat="1" applyFont="1" applyFill="1"/>
    <xf numFmtId="3" fontId="8" fillId="0" borderId="0" xfId="1" applyNumberFormat="1" applyFont="1" applyFill="1"/>
    <xf numFmtId="10" fontId="4" fillId="0" borderId="0" xfId="2" applyNumberFormat="1" applyFont="1" applyFill="1"/>
    <xf numFmtId="167" fontId="10" fillId="0" borderId="0" xfId="0" applyNumberFormat="1" applyFont="1"/>
    <xf numFmtId="165" fontId="4" fillId="0" borderId="0" xfId="0" applyNumberFormat="1" applyFont="1"/>
    <xf numFmtId="173" fontId="3" fillId="0" borderId="0" xfId="0" applyNumberFormat="1" applyFont="1"/>
    <xf numFmtId="173" fontId="4" fillId="0" borderId="0" xfId="0" applyNumberFormat="1" applyFont="1"/>
    <xf numFmtId="173" fontId="3" fillId="0" borderId="1" xfId="0" applyNumberFormat="1" applyFont="1" applyBorder="1"/>
    <xf numFmtId="0" fontId="3" fillId="0" borderId="0" xfId="0" applyFont="1" applyAlignment="1">
      <alignment horizontal="left" indent="1"/>
    </xf>
    <xf numFmtId="171" fontId="4" fillId="0" borderId="0" xfId="2" applyNumberFormat="1" applyFont="1" applyFill="1"/>
    <xf numFmtId="171" fontId="3" fillId="0" borderId="0" xfId="2" applyNumberFormat="1" applyFont="1"/>
    <xf numFmtId="169" fontId="3" fillId="0" borderId="0" xfId="0" applyNumberFormat="1" applyFont="1"/>
    <xf numFmtId="10" fontId="3" fillId="0" borderId="0" xfId="2" applyNumberFormat="1" applyFont="1" applyFill="1"/>
    <xf numFmtId="10" fontId="4" fillId="0" borderId="0" xfId="2" applyNumberFormat="1" applyFont="1" applyFill="1" applyBorder="1"/>
    <xf numFmtId="10" fontId="14" fillId="0" borderId="0" xfId="2" applyNumberFormat="1" applyFont="1" applyFill="1" applyBorder="1"/>
    <xf numFmtId="10" fontId="14" fillId="0" borderId="0" xfId="2" applyNumberFormat="1" applyFont="1"/>
    <xf numFmtId="0" fontId="4" fillId="0" borderId="0" xfId="0" applyFont="1" applyAlignment="1">
      <alignment horizontal="right"/>
    </xf>
    <xf numFmtId="165" fontId="9" fillId="0" borderId="0" xfId="0" applyNumberFormat="1" applyFont="1"/>
    <xf numFmtId="175" fontId="4" fillId="0" borderId="0" xfId="0" applyNumberFormat="1" applyFont="1"/>
    <xf numFmtId="176" fontId="4" fillId="0" borderId="0" xfId="1" applyNumberFormat="1" applyFont="1"/>
    <xf numFmtId="0" fontId="6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71" fontId="4" fillId="0" borderId="0" xfId="0" applyNumberFormat="1" applyFont="1" applyAlignment="1">
      <alignment horizontal="center" vertical="center"/>
    </xf>
    <xf numFmtId="0" fontId="2" fillId="0" borderId="0" xfId="0" applyFont="1"/>
    <xf numFmtId="10" fontId="17" fillId="0" borderId="0" xfId="2" applyNumberFormat="1" applyFont="1" applyFill="1"/>
    <xf numFmtId="174" fontId="16" fillId="0" borderId="0" xfId="0" applyNumberFormat="1" applyFont="1"/>
    <xf numFmtId="0" fontId="16" fillId="0" borderId="0" xfId="0" applyFont="1"/>
    <xf numFmtId="0" fontId="18" fillId="0" borderId="0" xfId="0" applyFont="1"/>
    <xf numFmtId="171" fontId="3" fillId="0" borderId="0" xfId="2" applyNumberFormat="1" applyFont="1" applyFill="1"/>
    <xf numFmtId="9" fontId="3" fillId="0" borderId="0" xfId="2" applyFont="1" applyFill="1" applyBorder="1"/>
    <xf numFmtId="14" fontId="3" fillId="0" borderId="0" xfId="0" applyNumberFormat="1" applyFont="1"/>
    <xf numFmtId="175" fontId="9" fillId="0" borderId="0" xfId="0" applyNumberFormat="1" applyFont="1"/>
    <xf numFmtId="176" fontId="9" fillId="0" borderId="0" xfId="1" applyNumberFormat="1" applyFont="1"/>
    <xf numFmtId="171" fontId="9" fillId="0" borderId="0" xfId="2" applyNumberFormat="1" applyFont="1"/>
    <xf numFmtId="171" fontId="14" fillId="0" borderId="0" xfId="2" applyNumberFormat="1" applyFont="1"/>
    <xf numFmtId="170" fontId="2" fillId="0" borderId="0" xfId="1" applyNumberFormat="1" applyFont="1" applyFill="1" applyBorder="1"/>
    <xf numFmtId="171" fontId="22" fillId="0" borderId="0" xfId="2" applyNumberFormat="1" applyFont="1"/>
    <xf numFmtId="0" fontId="22" fillId="0" borderId="0" xfId="0" applyFont="1"/>
    <xf numFmtId="175" fontId="22" fillId="0" borderId="0" xfId="0" applyNumberFormat="1" applyFont="1"/>
    <xf numFmtId="171" fontId="23" fillId="0" borderId="0" xfId="2" applyNumberFormat="1" applyFont="1"/>
    <xf numFmtId="171" fontId="22" fillId="0" borderId="0" xfId="2" applyNumberFormat="1" applyFont="1" applyFill="1"/>
    <xf numFmtId="171" fontId="24" fillId="0" borderId="0" xfId="2" applyNumberFormat="1" applyFont="1" applyFill="1"/>
    <xf numFmtId="0" fontId="25" fillId="0" borderId="0" xfId="0" applyFont="1"/>
    <xf numFmtId="177" fontId="4" fillId="0" borderId="0" xfId="0" applyNumberFormat="1" applyFont="1"/>
    <xf numFmtId="0" fontId="29" fillId="0" borderId="8" xfId="0" applyFont="1" applyBorder="1" applyAlignment="1">
      <alignment horizontal="center" vertical="center"/>
    </xf>
    <xf numFmtId="165" fontId="28" fillId="2" borderId="9" xfId="0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10" xfId="0" applyFont="1" applyBorder="1"/>
    <xf numFmtId="168" fontId="28" fillId="0" borderId="10" xfId="0" applyNumberFormat="1" applyFont="1" applyBorder="1"/>
    <xf numFmtId="170" fontId="4" fillId="5" borderId="0" xfId="0" applyNumberFormat="1" applyFont="1" applyFill="1"/>
    <xf numFmtId="165" fontId="4" fillId="5" borderId="0" xfId="0" applyNumberFormat="1" applyFont="1" applyFill="1"/>
    <xf numFmtId="0" fontId="3" fillId="0" borderId="10" xfId="0" applyFont="1" applyBorder="1"/>
    <xf numFmtId="10" fontId="4" fillId="0" borderId="10" xfId="0" applyNumberFormat="1" applyFont="1" applyBorder="1"/>
    <xf numFmtId="0" fontId="28" fillId="0" borderId="10" xfId="0" applyFont="1" applyBorder="1"/>
    <xf numFmtId="0" fontId="29" fillId="0" borderId="13" xfId="0" applyFont="1" applyBorder="1" applyAlignment="1">
      <alignment horizontal="left"/>
    </xf>
    <xf numFmtId="0" fontId="29" fillId="0" borderId="10" xfId="0" applyFont="1" applyBorder="1" applyAlignment="1">
      <alignment horizontal="center" vertical="center"/>
    </xf>
    <xf numFmtId="0" fontId="28" fillId="0" borderId="15" xfId="0" applyFont="1" applyBorder="1"/>
    <xf numFmtId="0" fontId="28" fillId="0" borderId="14" xfId="0" applyFont="1" applyBorder="1"/>
    <xf numFmtId="174" fontId="29" fillId="0" borderId="15" xfId="0" applyNumberFormat="1" applyFont="1" applyBorder="1"/>
    <xf numFmtId="168" fontId="28" fillId="0" borderId="14" xfId="0" applyNumberFormat="1" applyFont="1" applyBorder="1"/>
    <xf numFmtId="9" fontId="28" fillId="0" borderId="16" xfId="0" applyNumberFormat="1" applyFont="1" applyBorder="1"/>
    <xf numFmtId="174" fontId="28" fillId="0" borderId="5" xfId="0" applyNumberFormat="1" applyFont="1" applyBorder="1"/>
    <xf numFmtId="168" fontId="28" fillId="0" borderId="17" xfId="0" applyNumberFormat="1" applyFont="1" applyBorder="1"/>
    <xf numFmtId="9" fontId="28" fillId="0" borderId="18" xfId="0" applyNumberFormat="1" applyFont="1" applyBorder="1"/>
    <xf numFmtId="10" fontId="28" fillId="0" borderId="10" xfId="0" applyNumberFormat="1" applyFont="1" applyBorder="1"/>
    <xf numFmtId="10" fontId="28" fillId="6" borderId="10" xfId="0" applyNumberFormat="1" applyFont="1" applyFill="1" applyBorder="1"/>
    <xf numFmtId="166" fontId="28" fillId="0" borderId="10" xfId="0" applyNumberFormat="1" applyFont="1" applyBorder="1"/>
    <xf numFmtId="0" fontId="28" fillId="0" borderId="17" xfId="0" applyFont="1" applyBorder="1"/>
    <xf numFmtId="0" fontId="29" fillId="0" borderId="25" xfId="0" applyFont="1" applyBorder="1"/>
    <xf numFmtId="0" fontId="28" fillId="0" borderId="27" xfId="0" applyFont="1" applyBorder="1"/>
    <xf numFmtId="171" fontId="39" fillId="0" borderId="24" xfId="0" applyNumberFormat="1" applyFont="1" applyBorder="1"/>
    <xf numFmtId="0" fontId="3" fillId="5" borderId="10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165" fontId="3" fillId="0" borderId="10" xfId="0" applyNumberFormat="1" applyFont="1" applyBorder="1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40" fillId="8" borderId="0" xfId="0" applyFont="1" applyFill="1"/>
    <xf numFmtId="0" fontId="41" fillId="8" borderId="0" xfId="0" applyFont="1" applyFill="1"/>
    <xf numFmtId="0" fontId="42" fillId="8" borderId="0" xfId="0" applyFont="1" applyFill="1"/>
    <xf numFmtId="0" fontId="40" fillId="8" borderId="6" xfId="0" applyFont="1" applyFill="1" applyBorder="1"/>
    <xf numFmtId="0" fontId="41" fillId="8" borderId="2" xfId="0" applyFont="1" applyFill="1" applyBorder="1"/>
    <xf numFmtId="0" fontId="42" fillId="8" borderId="2" xfId="0" applyFont="1" applyFill="1" applyBorder="1"/>
    <xf numFmtId="0" fontId="42" fillId="8" borderId="7" xfId="0" applyFont="1" applyFill="1" applyBorder="1"/>
    <xf numFmtId="0" fontId="40" fillId="8" borderId="3" xfId="0" applyFont="1" applyFill="1" applyBorder="1"/>
    <xf numFmtId="0" fontId="41" fillId="8" borderId="4" xfId="0" applyFont="1" applyFill="1" applyBorder="1"/>
    <xf numFmtId="0" fontId="42" fillId="8" borderId="4" xfId="0" applyFont="1" applyFill="1" applyBorder="1"/>
    <xf numFmtId="0" fontId="42" fillId="8" borderId="5" xfId="0" applyFont="1" applyFill="1" applyBorder="1"/>
    <xf numFmtId="171" fontId="39" fillId="0" borderId="23" xfId="0" applyNumberFormat="1" applyFont="1" applyBorder="1"/>
    <xf numFmtId="171" fontId="39" fillId="0" borderId="0" xfId="0" applyNumberFormat="1" applyFont="1"/>
    <xf numFmtId="10" fontId="39" fillId="0" borderId="0" xfId="0" applyNumberFormat="1" applyFont="1"/>
    <xf numFmtId="171" fontId="37" fillId="0" borderId="0" xfId="0" applyNumberFormat="1" applyFont="1"/>
    <xf numFmtId="0" fontId="27" fillId="0" borderId="18" xfId="0" applyFont="1" applyBorder="1"/>
    <xf numFmtId="14" fontId="3" fillId="0" borderId="10" xfId="0" applyNumberFormat="1" applyFont="1" applyBorder="1" applyAlignment="1">
      <alignment horizontal="right"/>
    </xf>
    <xf numFmtId="168" fontId="27" fillId="3" borderId="10" xfId="0" applyNumberFormat="1" applyFont="1" applyFill="1" applyBorder="1" applyAlignment="1">
      <alignment horizontal="right"/>
    </xf>
    <xf numFmtId="0" fontId="0" fillId="0" borderId="10" xfId="0" applyBorder="1"/>
    <xf numFmtId="0" fontId="4" fillId="0" borderId="10" xfId="0" applyFont="1" applyBorder="1" applyAlignment="1">
      <alignment horizontal="left" indent="1"/>
    </xf>
    <xf numFmtId="43" fontId="3" fillId="0" borderId="10" xfId="0" applyNumberFormat="1" applyFont="1" applyBorder="1"/>
    <xf numFmtId="169" fontId="3" fillId="0" borderId="10" xfId="0" applyNumberFormat="1" applyFont="1" applyBorder="1"/>
    <xf numFmtId="168" fontId="27" fillId="4" borderId="10" xfId="0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right" indent="1"/>
    </xf>
    <xf numFmtId="0" fontId="3" fillId="0" borderId="10" xfId="0" applyFont="1" applyBorder="1" applyAlignment="1">
      <alignment horizontal="left"/>
    </xf>
    <xf numFmtId="43" fontId="3" fillId="0" borderId="10" xfId="0" applyNumberFormat="1" applyFont="1" applyBorder="1" applyAlignment="1">
      <alignment horizontal="left"/>
    </xf>
    <xf numFmtId="170" fontId="4" fillId="0" borderId="10" xfId="0" applyNumberFormat="1" applyFont="1" applyBorder="1"/>
    <xf numFmtId="0" fontId="3" fillId="0" borderId="10" xfId="0" applyFont="1" applyBorder="1" applyAlignment="1">
      <alignment horizontal="left" wrapText="1"/>
    </xf>
    <xf numFmtId="43" fontId="3" fillId="0" borderId="10" xfId="0" applyNumberFormat="1" applyFont="1" applyBorder="1" applyAlignment="1">
      <alignment horizontal="left" wrapText="1"/>
    </xf>
    <xf numFmtId="170" fontId="3" fillId="0" borderId="10" xfId="0" applyNumberFormat="1" applyFont="1" applyBorder="1"/>
    <xf numFmtId="170" fontId="4" fillId="5" borderId="10" xfId="0" applyNumberFormat="1" applyFont="1" applyFill="1" applyBorder="1"/>
    <xf numFmtId="0" fontId="3" fillId="0" borderId="10" xfId="0" applyFont="1" applyBorder="1" applyAlignment="1">
      <alignment horizontal="right"/>
    </xf>
    <xf numFmtId="167" fontId="4" fillId="0" borderId="10" xfId="0" applyNumberFormat="1" applyFont="1" applyBorder="1"/>
    <xf numFmtId="0" fontId="3" fillId="0" borderId="10" xfId="0" applyFont="1" applyBorder="1" applyAlignment="1">
      <alignment horizontal="left" indent="1"/>
    </xf>
    <xf numFmtId="173" fontId="3" fillId="0" borderId="10" xfId="0" applyNumberFormat="1" applyFont="1" applyBorder="1"/>
    <xf numFmtId="14" fontId="3" fillId="5" borderId="10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left" indent="1"/>
    </xf>
    <xf numFmtId="168" fontId="28" fillId="10" borderId="10" xfId="0" applyNumberFormat="1" applyFont="1" applyFill="1" applyBorder="1" applyAlignment="1">
      <alignment horizontal="right"/>
    </xf>
    <xf numFmtId="168" fontId="28" fillId="10" borderId="10" xfId="0" applyNumberFormat="1" applyFont="1" applyFill="1" applyBorder="1"/>
    <xf numFmtId="168" fontId="28" fillId="10" borderId="10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left" indent="2"/>
    </xf>
    <xf numFmtId="167" fontId="4" fillId="5" borderId="10" xfId="0" applyNumberFormat="1" applyFont="1" applyFill="1" applyBorder="1"/>
    <xf numFmtId="0" fontId="3" fillId="5" borderId="10" xfId="0" applyFont="1" applyFill="1" applyBorder="1" applyAlignment="1">
      <alignment horizontal="left" indent="1"/>
    </xf>
    <xf numFmtId="165" fontId="3" fillId="5" borderId="10" xfId="0" applyNumberFormat="1" applyFont="1" applyFill="1" applyBorder="1"/>
    <xf numFmtId="0" fontId="3" fillId="5" borderId="10" xfId="0" applyFont="1" applyFill="1" applyBorder="1" applyAlignment="1">
      <alignment horizontal="left" indent="3"/>
    </xf>
    <xf numFmtId="173" fontId="3" fillId="5" borderId="10" xfId="0" applyNumberFormat="1" applyFont="1" applyFill="1" applyBorder="1"/>
    <xf numFmtId="174" fontId="3" fillId="5" borderId="10" xfId="0" applyNumberFormat="1" applyFont="1" applyFill="1" applyBorder="1"/>
    <xf numFmtId="0" fontId="28" fillId="5" borderId="10" xfId="0" applyFont="1" applyFill="1" applyBorder="1"/>
    <xf numFmtId="0" fontId="3" fillId="5" borderId="10" xfId="0" applyFont="1" applyFill="1" applyBorder="1" applyAlignment="1">
      <alignment horizontal="left" indent="2"/>
    </xf>
    <xf numFmtId="178" fontId="3" fillId="0" borderId="10" xfId="0" applyNumberFormat="1" applyFont="1" applyBorder="1"/>
    <xf numFmtId="173" fontId="3" fillId="5" borderId="0" xfId="0" applyNumberFormat="1" applyFont="1" applyFill="1"/>
    <xf numFmtId="164" fontId="4" fillId="5" borderId="0" xfId="0" applyNumberFormat="1" applyFont="1" applyFill="1"/>
    <xf numFmtId="10" fontId="32" fillId="11" borderId="10" xfId="0" applyNumberFormat="1" applyFont="1" applyFill="1" applyBorder="1"/>
    <xf numFmtId="2" fontId="32" fillId="11" borderId="10" xfId="0" applyNumberFormat="1" applyFont="1" applyFill="1" applyBorder="1"/>
    <xf numFmtId="168" fontId="28" fillId="5" borderId="10" xfId="0" applyNumberFormat="1" applyFont="1" applyFill="1" applyBorder="1"/>
    <xf numFmtId="0" fontId="32" fillId="11" borderId="10" xfId="0" applyFont="1" applyFill="1" applyBorder="1"/>
    <xf numFmtId="0" fontId="33" fillId="12" borderId="10" xfId="0" applyFont="1" applyFill="1" applyBorder="1" applyAlignment="1">
      <alignment horizontal="right"/>
    </xf>
    <xf numFmtId="0" fontId="29" fillId="5" borderId="10" xfId="0" applyFont="1" applyFill="1" applyBorder="1"/>
    <xf numFmtId="10" fontId="34" fillId="5" borderId="10" xfId="0" applyNumberFormat="1" applyFont="1" applyFill="1" applyBorder="1"/>
    <xf numFmtId="10" fontId="28" fillId="5" borderId="10" xfId="0" applyNumberFormat="1" applyFont="1" applyFill="1" applyBorder="1"/>
    <xf numFmtId="10" fontId="29" fillId="5" borderId="10" xfId="0" applyNumberFormat="1" applyFont="1" applyFill="1" applyBorder="1"/>
    <xf numFmtId="0" fontId="30" fillId="0" borderId="33" xfId="0" applyFont="1" applyBorder="1"/>
    <xf numFmtId="10" fontId="30" fillId="2" borderId="34" xfId="0" applyNumberFormat="1" applyFont="1" applyFill="1" applyBorder="1"/>
    <xf numFmtId="0" fontId="30" fillId="5" borderId="10" xfId="0" applyFont="1" applyFill="1" applyBorder="1"/>
    <xf numFmtId="0" fontId="30" fillId="13" borderId="10" xfId="0" applyFont="1" applyFill="1" applyBorder="1"/>
    <xf numFmtId="168" fontId="28" fillId="13" borderId="10" xfId="0" applyNumberFormat="1" applyFont="1" applyFill="1" applyBorder="1"/>
    <xf numFmtId="168" fontId="28" fillId="14" borderId="10" xfId="0" applyNumberFormat="1" applyFont="1" applyFill="1" applyBorder="1"/>
    <xf numFmtId="168" fontId="28" fillId="14" borderId="17" xfId="0" applyNumberFormat="1" applyFont="1" applyFill="1" applyBorder="1"/>
    <xf numFmtId="168" fontId="28" fillId="14" borderId="27" xfId="0" applyNumberFormat="1" applyFont="1" applyFill="1" applyBorder="1"/>
    <xf numFmtId="169" fontId="28" fillId="5" borderId="27" xfId="1" applyFont="1" applyFill="1" applyBorder="1"/>
    <xf numFmtId="166" fontId="29" fillId="2" borderId="26" xfId="0" applyNumberFormat="1" applyFont="1" applyFill="1" applyBorder="1"/>
    <xf numFmtId="168" fontId="30" fillId="15" borderId="26" xfId="0" applyNumberFormat="1" applyFont="1" applyFill="1" applyBorder="1"/>
    <xf numFmtId="0" fontId="29" fillId="0" borderId="10" xfId="0" applyFont="1" applyBorder="1" applyAlignment="1">
      <alignment horizontal="center"/>
    </xf>
    <xf numFmtId="171" fontId="28" fillId="14" borderId="10" xfId="0" applyNumberFormat="1" applyFont="1" applyFill="1" applyBorder="1" applyAlignment="1">
      <alignment horizontal="center"/>
    </xf>
    <xf numFmtId="171" fontId="32" fillId="12" borderId="10" xfId="0" applyNumberFormat="1" applyFont="1" applyFill="1" applyBorder="1" applyAlignment="1">
      <alignment horizontal="center"/>
    </xf>
    <xf numFmtId="171" fontId="4" fillId="0" borderId="0" xfId="2" applyNumberFormat="1" applyFont="1" applyBorder="1"/>
    <xf numFmtId="10" fontId="16" fillId="0" borderId="0" xfId="0" applyNumberFormat="1" applyFont="1"/>
    <xf numFmtId="10" fontId="14" fillId="0" borderId="0" xfId="0" applyNumberFormat="1" applyFont="1"/>
    <xf numFmtId="10" fontId="4" fillId="0" borderId="0" xfId="2" applyNumberFormat="1" applyFont="1" applyBorder="1"/>
    <xf numFmtId="172" fontId="16" fillId="0" borderId="0" xfId="0" applyNumberFormat="1" applyFont="1"/>
    <xf numFmtId="172" fontId="14" fillId="0" borderId="0" xfId="0" applyNumberFormat="1" applyFont="1"/>
    <xf numFmtId="0" fontId="29" fillId="10" borderId="14" xfId="0" applyFont="1" applyFill="1" applyBorder="1" applyAlignment="1">
      <alignment horizontal="center" vertical="center"/>
    </xf>
    <xf numFmtId="0" fontId="29" fillId="10" borderId="10" xfId="0" applyFont="1" applyFill="1" applyBorder="1" applyAlignment="1">
      <alignment horizontal="center" vertical="center"/>
    </xf>
    <xf numFmtId="38" fontId="28" fillId="0" borderId="10" xfId="0" applyNumberFormat="1" applyFont="1" applyBorder="1"/>
    <xf numFmtId="38" fontId="29" fillId="0" borderId="10" xfId="0" applyNumberFormat="1" applyFont="1" applyBorder="1"/>
    <xf numFmtId="0" fontId="29" fillId="4" borderId="10" xfId="0" applyFont="1" applyFill="1" applyBorder="1" applyAlignment="1">
      <alignment horizontal="center" vertical="center"/>
    </xf>
    <xf numFmtId="0" fontId="35" fillId="0" borderId="10" xfId="0" applyFont="1" applyBorder="1"/>
    <xf numFmtId="38" fontId="35" fillId="0" borderId="10" xfId="0" applyNumberFormat="1" applyFont="1" applyBorder="1"/>
    <xf numFmtId="168" fontId="29" fillId="4" borderId="10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right" wrapText="1"/>
    </xf>
    <xf numFmtId="171" fontId="28" fillId="0" borderId="10" xfId="0" applyNumberFormat="1" applyFont="1" applyBorder="1" applyAlignment="1">
      <alignment horizontal="center"/>
    </xf>
    <xf numFmtId="171" fontId="28" fillId="0" borderId="10" xfId="0" applyNumberFormat="1" applyFont="1" applyBorder="1"/>
    <xf numFmtId="0" fontId="37" fillId="9" borderId="22" xfId="0" applyFont="1" applyFill="1" applyBorder="1" applyAlignment="1">
      <alignment horizontal="center"/>
    </xf>
    <xf numFmtId="0" fontId="37" fillId="9" borderId="0" xfId="0" applyFont="1" applyFill="1" applyAlignment="1">
      <alignment horizontal="center"/>
    </xf>
    <xf numFmtId="0" fontId="38" fillId="7" borderId="0" xfId="0" applyFont="1" applyFill="1" applyAlignment="1">
      <alignment horizontal="center"/>
    </xf>
    <xf numFmtId="0" fontId="36" fillId="9" borderId="21" xfId="0" applyFont="1" applyFill="1" applyBorder="1" applyAlignment="1">
      <alignment horizontal="center"/>
    </xf>
    <xf numFmtId="0" fontId="39" fillId="0" borderId="10" xfId="0" applyFont="1" applyBorder="1"/>
    <xf numFmtId="2" fontId="39" fillId="0" borderId="10" xfId="0" applyNumberFormat="1" applyFont="1" applyBorder="1"/>
    <xf numFmtId="171" fontId="39" fillId="0" borderId="10" xfId="0" applyNumberFormat="1" applyFont="1" applyBorder="1"/>
    <xf numFmtId="168" fontId="1" fillId="0" borderId="31" xfId="3" applyFont="1" applyBorder="1"/>
    <xf numFmtId="168" fontId="1" fillId="0" borderId="32" xfId="3" applyFont="1" applyBorder="1"/>
    <xf numFmtId="0" fontId="45" fillId="0" borderId="0" xfId="0" applyFont="1"/>
    <xf numFmtId="0" fontId="46" fillId="0" borderId="0" xfId="0" applyFont="1"/>
    <xf numFmtId="165" fontId="46" fillId="0" borderId="0" xfId="0" applyNumberFormat="1" applyFont="1"/>
    <xf numFmtId="0" fontId="47" fillId="0" borderId="0" xfId="0" applyFont="1"/>
    <xf numFmtId="0" fontId="48" fillId="0" borderId="19" xfId="0" applyFont="1" applyBorder="1"/>
    <xf numFmtId="0" fontId="49" fillId="0" borderId="30" xfId="0" applyFont="1" applyBorder="1"/>
    <xf numFmtId="0" fontId="47" fillId="0" borderId="30" xfId="0" applyFont="1" applyBorder="1"/>
    <xf numFmtId="0" fontId="48" fillId="0" borderId="22" xfId="0" applyFont="1" applyBorder="1"/>
    <xf numFmtId="0" fontId="48" fillId="0" borderId="31" xfId="0" applyFont="1" applyBorder="1"/>
    <xf numFmtId="0" fontId="47" fillId="0" borderId="31" xfId="0" applyFont="1" applyBorder="1"/>
    <xf numFmtId="165" fontId="48" fillId="0" borderId="31" xfId="0" applyNumberFormat="1" applyFont="1" applyBorder="1"/>
    <xf numFmtId="0" fontId="48" fillId="0" borderId="23" xfId="0" applyFont="1" applyBorder="1"/>
    <xf numFmtId="166" fontId="48" fillId="0" borderId="32" xfId="0" applyNumberFormat="1" applyFont="1" applyBorder="1"/>
    <xf numFmtId="17" fontId="45" fillId="0" borderId="0" xfId="0" applyNumberFormat="1" applyFont="1"/>
    <xf numFmtId="10" fontId="4" fillId="5" borderId="0" xfId="2" applyNumberFormat="1" applyFont="1" applyFill="1" applyBorder="1"/>
    <xf numFmtId="9" fontId="3" fillId="5" borderId="0" xfId="2" applyFont="1" applyFill="1" applyBorder="1"/>
    <xf numFmtId="10" fontId="14" fillId="5" borderId="0" xfId="2" applyNumberFormat="1" applyFont="1" applyFill="1" applyBorder="1"/>
    <xf numFmtId="171" fontId="4" fillId="5" borderId="0" xfId="2" applyNumberFormat="1" applyFont="1" applyFill="1" applyBorder="1"/>
    <xf numFmtId="173" fontId="4" fillId="5" borderId="0" xfId="0" applyNumberFormat="1" applyFont="1" applyFill="1"/>
    <xf numFmtId="1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left" indent="1"/>
    </xf>
    <xf numFmtId="0" fontId="4" fillId="5" borderId="0" xfId="0" applyFont="1" applyFill="1" applyAlignment="1">
      <alignment horizontal="left" indent="1"/>
    </xf>
    <xf numFmtId="167" fontId="4" fillId="5" borderId="0" xfId="0" applyNumberFormat="1" applyFont="1" applyFill="1"/>
    <xf numFmtId="167" fontId="16" fillId="5" borderId="0" xfId="0" applyNumberFormat="1" applyFont="1" applyFill="1"/>
    <xf numFmtId="14" fontId="3" fillId="5" borderId="0" xfId="0" applyNumberFormat="1" applyFont="1" applyFill="1"/>
    <xf numFmtId="173" fontId="3" fillId="5" borderId="0" xfId="0" quotePrefix="1" applyNumberFormat="1" applyFont="1" applyFill="1" applyAlignment="1">
      <alignment horizontal="right"/>
    </xf>
    <xf numFmtId="173" fontId="3" fillId="5" borderId="0" xfId="0" applyNumberFormat="1" applyFont="1" applyFill="1" applyAlignment="1">
      <alignment horizontal="right"/>
    </xf>
    <xf numFmtId="173" fontId="4" fillId="5" borderId="0" xfId="0" applyNumberFormat="1" applyFont="1" applyFill="1" applyAlignment="1">
      <alignment horizontal="right"/>
    </xf>
    <xf numFmtId="164" fontId="3" fillId="5" borderId="0" xfId="0" applyNumberFormat="1" applyFont="1" applyFill="1"/>
    <xf numFmtId="170" fontId="9" fillId="5" borderId="0" xfId="0" applyNumberFormat="1" applyFont="1" applyFill="1"/>
    <xf numFmtId="164" fontId="9" fillId="5" borderId="0" xfId="0" applyNumberFormat="1" applyFont="1" applyFill="1"/>
    <xf numFmtId="173" fontId="6" fillId="5" borderId="0" xfId="0" applyNumberFormat="1" applyFont="1" applyFill="1"/>
    <xf numFmtId="0" fontId="9" fillId="5" borderId="0" xfId="0" applyFont="1" applyFill="1"/>
    <xf numFmtId="170" fontId="3" fillId="5" borderId="0" xfId="0" applyNumberFormat="1" applyFont="1" applyFill="1"/>
    <xf numFmtId="165" fontId="3" fillId="5" borderId="0" xfId="0" applyNumberFormat="1" applyFont="1" applyFill="1"/>
    <xf numFmtId="0" fontId="16" fillId="5" borderId="0" xfId="0" applyFont="1" applyFill="1"/>
    <xf numFmtId="0" fontId="18" fillId="5" borderId="0" xfId="0" applyFont="1" applyFill="1"/>
    <xf numFmtId="0" fontId="4" fillId="5" borderId="0" xfId="0" applyFont="1" applyFill="1" applyAlignment="1">
      <alignment vertical="center"/>
    </xf>
    <xf numFmtId="165" fontId="15" fillId="5" borderId="0" xfId="0" applyNumberFormat="1" applyFont="1" applyFill="1" applyAlignment="1">
      <alignment vertical="center"/>
    </xf>
    <xf numFmtId="171" fontId="4" fillId="5" borderId="0" xfId="0" applyNumberFormat="1" applyFont="1" applyFill="1" applyAlignment="1">
      <alignment horizontal="center" vertical="center"/>
    </xf>
    <xf numFmtId="171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10" fontId="4" fillId="5" borderId="0" xfId="2" applyNumberFormat="1" applyFont="1" applyFill="1" applyBorder="1" applyAlignment="1">
      <alignment horizontal="right"/>
    </xf>
    <xf numFmtId="0" fontId="13" fillId="5" borderId="0" xfId="0" applyFont="1" applyFill="1" applyAlignment="1">
      <alignment horizontal="left" indent="1"/>
    </xf>
    <xf numFmtId="173" fontId="13" fillId="5" borderId="0" xfId="0" applyNumberFormat="1" applyFont="1" applyFill="1"/>
    <xf numFmtId="167" fontId="13" fillId="5" borderId="0" xfId="0" applyNumberFormat="1" applyFont="1" applyFill="1"/>
    <xf numFmtId="0" fontId="4" fillId="5" borderId="0" xfId="0" applyFont="1" applyFill="1" applyAlignment="1">
      <alignment horizontal="left"/>
    </xf>
    <xf numFmtId="10" fontId="14" fillId="5" borderId="0" xfId="2" applyNumberFormat="1" applyFont="1" applyFill="1" applyBorder="1" applyAlignment="1">
      <alignment horizontal="right"/>
    </xf>
    <xf numFmtId="164" fontId="26" fillId="5" borderId="0" xfId="0" applyNumberFormat="1" applyFont="1" applyFill="1"/>
    <xf numFmtId="164" fontId="4" fillId="5" borderId="0" xfId="2" applyNumberFormat="1" applyFont="1" applyFill="1" applyBorder="1" applyAlignment="1">
      <alignment horizontal="right"/>
    </xf>
    <xf numFmtId="167" fontId="4" fillId="5" borderId="0" xfId="2" applyNumberFormat="1" applyFont="1" applyFill="1" applyBorder="1" applyAlignment="1">
      <alignment horizontal="right"/>
    </xf>
    <xf numFmtId="3" fontId="4" fillId="5" borderId="0" xfId="2" applyNumberFormat="1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10" fontId="9" fillId="5" borderId="0" xfId="2" applyNumberFormat="1" applyFont="1" applyFill="1" applyBorder="1" applyAlignment="1">
      <alignment horizontal="right"/>
    </xf>
    <xf numFmtId="170" fontId="4" fillId="5" borderId="0" xfId="2" applyNumberFormat="1" applyFont="1" applyFill="1" applyBorder="1" applyAlignment="1">
      <alignment horizontal="right"/>
    </xf>
    <xf numFmtId="165" fontId="3" fillId="5" borderId="0" xfId="2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75" fontId="3" fillId="5" borderId="0" xfId="0" applyNumberFormat="1" applyFont="1" applyFill="1"/>
    <xf numFmtId="175" fontId="6" fillId="5" borderId="0" xfId="0" applyNumberFormat="1" applyFont="1" applyFill="1"/>
    <xf numFmtId="173" fontId="19" fillId="5" borderId="0" xfId="0" applyNumberFormat="1" applyFont="1" applyFill="1"/>
    <xf numFmtId="170" fontId="13" fillId="5" borderId="0" xfId="0" applyNumberFormat="1" applyFont="1" applyFill="1"/>
    <xf numFmtId="174" fontId="4" fillId="5" borderId="0" xfId="0" applyNumberFormat="1" applyFont="1" applyFill="1"/>
    <xf numFmtId="0" fontId="6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6" fillId="5" borderId="0" xfId="0" applyFont="1" applyFill="1"/>
    <xf numFmtId="175" fontId="4" fillId="5" borderId="0" xfId="0" applyNumberFormat="1" applyFont="1" applyFill="1"/>
    <xf numFmtId="175" fontId="9" fillId="5" borderId="0" xfId="0" applyNumberFormat="1" applyFont="1" applyFill="1"/>
    <xf numFmtId="176" fontId="4" fillId="5" borderId="0" xfId="1" applyNumberFormat="1" applyFont="1" applyFill="1" applyBorder="1"/>
    <xf numFmtId="176" fontId="9" fillId="5" borderId="0" xfId="1" applyNumberFormat="1" applyFont="1" applyFill="1" applyBorder="1"/>
    <xf numFmtId="164" fontId="3" fillId="0" borderId="10" xfId="0" applyNumberFormat="1" applyFont="1" applyBorder="1"/>
    <xf numFmtId="3" fontId="44" fillId="0" borderId="10" xfId="0" applyNumberFormat="1" applyFont="1" applyBorder="1"/>
    <xf numFmtId="165" fontId="4" fillId="0" borderId="10" xfId="0" applyNumberFormat="1" applyFont="1" applyBorder="1"/>
    <xf numFmtId="164" fontId="4" fillId="0" borderId="10" xfId="0" applyNumberFormat="1" applyFont="1" applyBorder="1"/>
    <xf numFmtId="167" fontId="5" fillId="0" borderId="10" xfId="0" applyNumberFormat="1" applyFont="1" applyBorder="1"/>
    <xf numFmtId="0" fontId="4" fillId="0" borderId="10" xfId="0" applyFont="1" applyBorder="1" applyAlignment="1">
      <alignment horizontal="left" indent="2"/>
    </xf>
    <xf numFmtId="167" fontId="3" fillId="0" borderId="10" xfId="0" applyNumberFormat="1" applyFont="1" applyBorder="1"/>
    <xf numFmtId="173" fontId="4" fillId="0" borderId="10" xfId="0" applyNumberFormat="1" applyFont="1" applyBorder="1"/>
    <xf numFmtId="0" fontId="3" fillId="0" borderId="10" xfId="0" applyFont="1" applyBorder="1" applyAlignment="1">
      <alignment horizontal="left" indent="3"/>
    </xf>
    <xf numFmtId="0" fontId="4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indent="2"/>
    </xf>
    <xf numFmtId="171" fontId="4" fillId="0" borderId="10" xfId="2" applyNumberFormat="1" applyFont="1" applyBorder="1"/>
    <xf numFmtId="171" fontId="4" fillId="0" borderId="10" xfId="2" applyNumberFormat="1" applyFont="1" applyFill="1" applyBorder="1"/>
    <xf numFmtId="0" fontId="13" fillId="0" borderId="10" xfId="0" applyFont="1" applyBorder="1"/>
    <xf numFmtId="10" fontId="4" fillId="0" borderId="10" xfId="2" applyNumberFormat="1" applyFont="1" applyFill="1" applyBorder="1"/>
    <xf numFmtId="9" fontId="4" fillId="0" borderId="10" xfId="2" applyFont="1" applyBorder="1"/>
    <xf numFmtId="10" fontId="14" fillId="0" borderId="10" xfId="2" applyNumberFormat="1" applyFont="1" applyFill="1" applyBorder="1"/>
    <xf numFmtId="10" fontId="16" fillId="0" borderId="10" xfId="0" applyNumberFormat="1" applyFont="1" applyBorder="1"/>
    <xf numFmtId="10" fontId="14" fillId="0" borderId="10" xfId="0" applyNumberFormat="1" applyFont="1" applyBorder="1"/>
    <xf numFmtId="10" fontId="4" fillId="0" borderId="10" xfId="2" applyNumberFormat="1" applyFont="1" applyBorder="1"/>
    <xf numFmtId="172" fontId="16" fillId="0" borderId="10" xfId="0" applyNumberFormat="1" applyFont="1" applyBorder="1"/>
    <xf numFmtId="172" fontId="14" fillId="0" borderId="10" xfId="0" applyNumberFormat="1" applyFont="1" applyBorder="1"/>
    <xf numFmtId="174" fontId="16" fillId="0" borderId="10" xfId="0" applyNumberFormat="1" applyFont="1" applyBorder="1"/>
    <xf numFmtId="10" fontId="14" fillId="0" borderId="10" xfId="2" applyNumberFormat="1" applyFont="1" applyBorder="1"/>
    <xf numFmtId="10" fontId="3" fillId="0" borderId="10" xfId="2" applyNumberFormat="1" applyFont="1" applyFill="1" applyBorder="1"/>
    <xf numFmtId="10" fontId="17" fillId="0" borderId="10" xfId="2" applyNumberFormat="1" applyFont="1" applyFill="1" applyBorder="1"/>
    <xf numFmtId="9" fontId="3" fillId="0" borderId="10" xfId="2" applyFont="1" applyFill="1" applyBorder="1"/>
    <xf numFmtId="167" fontId="16" fillId="0" borderId="10" xfId="0" applyNumberFormat="1" applyFont="1" applyBorder="1"/>
    <xf numFmtId="14" fontId="3" fillId="0" borderId="10" xfId="0" applyNumberFormat="1" applyFont="1" applyBorder="1"/>
    <xf numFmtId="173" fontId="3" fillId="0" borderId="10" xfId="0" quotePrefix="1" applyNumberFormat="1" applyFont="1" applyBorder="1" applyAlignment="1">
      <alignment horizontal="right"/>
    </xf>
    <xf numFmtId="173" fontId="3" fillId="0" borderId="10" xfId="0" applyNumberFormat="1" applyFont="1" applyBorder="1" applyAlignment="1">
      <alignment horizontal="right"/>
    </xf>
    <xf numFmtId="173" fontId="4" fillId="0" borderId="10" xfId="0" applyNumberFormat="1" applyFont="1" applyBorder="1" applyAlignment="1">
      <alignment horizontal="right"/>
    </xf>
    <xf numFmtId="170" fontId="9" fillId="0" borderId="10" xfId="0" applyNumberFormat="1" applyFont="1" applyBorder="1"/>
    <xf numFmtId="164" fontId="9" fillId="0" borderId="10" xfId="0" applyNumberFormat="1" applyFont="1" applyBorder="1"/>
    <xf numFmtId="173" fontId="6" fillId="0" borderId="10" xfId="0" applyNumberFormat="1" applyFont="1" applyBorder="1"/>
    <xf numFmtId="0" fontId="16" fillId="0" borderId="10" xfId="0" applyFont="1" applyBorder="1"/>
    <xf numFmtId="0" fontId="18" fillId="0" borderId="10" xfId="0" applyFont="1" applyBorder="1"/>
    <xf numFmtId="0" fontId="4" fillId="0" borderId="10" xfId="0" applyFont="1" applyBorder="1" applyAlignment="1">
      <alignment vertical="center"/>
    </xf>
    <xf numFmtId="165" fontId="15" fillId="0" borderId="10" xfId="0" applyNumberFormat="1" applyFont="1" applyBorder="1" applyAlignment="1">
      <alignment vertical="center"/>
    </xf>
    <xf numFmtId="171" fontId="4" fillId="0" borderId="10" xfId="0" applyNumberFormat="1" applyFont="1" applyBorder="1" applyAlignment="1">
      <alignment horizontal="center" vertical="center"/>
    </xf>
    <xf numFmtId="171" fontId="4" fillId="0" borderId="10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4" fillId="0" borderId="35" xfId="0" applyFont="1" applyBorder="1"/>
    <xf numFmtId="173" fontId="4" fillId="0" borderId="17" xfId="0" applyNumberFormat="1" applyFont="1" applyBorder="1"/>
    <xf numFmtId="173" fontId="3" fillId="0" borderId="17" xfId="0" applyNumberFormat="1" applyFont="1" applyBorder="1"/>
    <xf numFmtId="0" fontId="16" fillId="0" borderId="36" xfId="0" applyFont="1" applyBorder="1"/>
    <xf numFmtId="173" fontId="3" fillId="0" borderId="38" xfId="0" applyNumberFormat="1" applyFont="1" applyBorder="1"/>
    <xf numFmtId="0" fontId="16" fillId="0" borderId="39" xfId="0" applyFont="1" applyBorder="1"/>
    <xf numFmtId="173" fontId="3" fillId="0" borderId="40" xfId="0" applyNumberFormat="1" applyFont="1" applyBorder="1"/>
    <xf numFmtId="0" fontId="4" fillId="0" borderId="39" xfId="0" applyFont="1" applyBorder="1"/>
    <xf numFmtId="0" fontId="4" fillId="0" borderId="39" xfId="0" applyFont="1" applyBorder="1" applyAlignment="1">
      <alignment vertical="center"/>
    </xf>
    <xf numFmtId="171" fontId="4" fillId="0" borderId="42" xfId="0" applyNumberFormat="1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173" fontId="3" fillId="0" borderId="43" xfId="0" applyNumberFormat="1" applyFont="1" applyBorder="1"/>
    <xf numFmtId="10" fontId="4" fillId="0" borderId="10" xfId="2" applyNumberFormat="1" applyFont="1" applyFill="1" applyBorder="1" applyAlignment="1">
      <alignment horizontal="right"/>
    </xf>
    <xf numFmtId="0" fontId="13" fillId="0" borderId="10" xfId="0" applyFont="1" applyBorder="1" applyAlignment="1">
      <alignment horizontal="left" indent="1"/>
    </xf>
    <xf numFmtId="173" fontId="13" fillId="0" borderId="10" xfId="0" applyNumberFormat="1" applyFont="1" applyBorder="1"/>
    <xf numFmtId="167" fontId="13" fillId="0" borderId="10" xfId="0" applyNumberFormat="1" applyFont="1" applyBorder="1"/>
    <xf numFmtId="10" fontId="14" fillId="0" borderId="10" xfId="2" applyNumberFormat="1" applyFont="1" applyFill="1" applyBorder="1" applyAlignment="1">
      <alignment horizontal="right"/>
    </xf>
    <xf numFmtId="164" fontId="26" fillId="0" borderId="10" xfId="0" applyNumberFormat="1" applyFont="1" applyBorder="1"/>
    <xf numFmtId="164" fontId="4" fillId="0" borderId="10" xfId="2" applyNumberFormat="1" applyFont="1" applyFill="1" applyBorder="1" applyAlignment="1">
      <alignment horizontal="right"/>
    </xf>
    <xf numFmtId="167" fontId="4" fillId="0" borderId="10" xfId="2" applyNumberFormat="1" applyFont="1" applyFill="1" applyBorder="1" applyAlignment="1">
      <alignment horizontal="right"/>
    </xf>
    <xf numFmtId="3" fontId="4" fillId="0" borderId="10" xfId="2" applyNumberFormat="1" applyFont="1" applyFill="1" applyBorder="1" applyAlignment="1">
      <alignment horizontal="right"/>
    </xf>
    <xf numFmtId="164" fontId="3" fillId="0" borderId="10" xfId="2" applyNumberFormat="1" applyFont="1" applyFill="1" applyBorder="1" applyAlignment="1">
      <alignment horizontal="right"/>
    </xf>
    <xf numFmtId="0" fontId="9" fillId="0" borderId="10" xfId="0" applyFont="1" applyBorder="1"/>
    <xf numFmtId="10" fontId="9" fillId="0" borderId="10" xfId="2" applyNumberFormat="1" applyFont="1" applyFill="1" applyBorder="1" applyAlignment="1">
      <alignment horizontal="right"/>
    </xf>
    <xf numFmtId="170" fontId="4" fillId="0" borderId="10" xfId="2" applyNumberFormat="1" applyFont="1" applyFill="1" applyBorder="1" applyAlignment="1">
      <alignment horizontal="right"/>
    </xf>
    <xf numFmtId="165" fontId="3" fillId="0" borderId="10" xfId="2" applyNumberFormat="1" applyFont="1" applyFill="1" applyBorder="1" applyAlignment="1">
      <alignment horizontal="right"/>
    </xf>
    <xf numFmtId="0" fontId="50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center" textRotation="90" wrapText="1"/>
    </xf>
    <xf numFmtId="0" fontId="3" fillId="5" borderId="0" xfId="0" applyFont="1" applyFill="1" applyAlignment="1">
      <alignment horizontal="center"/>
    </xf>
    <xf numFmtId="167" fontId="4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11" borderId="10" xfId="0" applyFont="1" applyFill="1" applyBorder="1" applyAlignment="1">
      <alignment horizontal="center"/>
    </xf>
    <xf numFmtId="0" fontId="31" fillId="5" borderId="10" xfId="0" applyFont="1" applyFill="1" applyBorder="1"/>
    <xf numFmtId="0" fontId="29" fillId="0" borderId="28" xfId="0" applyFont="1" applyBorder="1" applyAlignment="1">
      <alignment horizontal="left"/>
    </xf>
    <xf numFmtId="0" fontId="29" fillId="0" borderId="29" xfId="0" applyFont="1" applyBorder="1" applyAlignment="1">
      <alignment horizontal="left"/>
    </xf>
    <xf numFmtId="171" fontId="32" fillId="3" borderId="10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left"/>
    </xf>
    <xf numFmtId="0" fontId="31" fillId="0" borderId="12" xfId="0" applyFont="1" applyBorder="1"/>
    <xf numFmtId="0" fontId="29" fillId="0" borderId="10" xfId="0" applyFont="1" applyBorder="1" applyAlignment="1">
      <alignment horizontal="left"/>
    </xf>
    <xf numFmtId="0" fontId="31" fillId="0" borderId="10" xfId="0" applyFont="1" applyBorder="1"/>
    <xf numFmtId="0" fontId="3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right" vertical="center" textRotation="90" wrapText="1"/>
    </xf>
    <xf numFmtId="0" fontId="3" fillId="0" borderId="10" xfId="0" applyFont="1" applyBorder="1" applyAlignment="1">
      <alignment horizontal="left" wrapText="1"/>
    </xf>
    <xf numFmtId="0" fontId="3" fillId="0" borderId="37" xfId="0" applyFont="1" applyBorder="1" applyAlignment="1">
      <alignment horizontal="center"/>
    </xf>
    <xf numFmtId="0" fontId="9" fillId="0" borderId="39" xfId="0" applyFont="1" applyBorder="1" applyAlignment="1">
      <alignment horizontal="right" vertical="center" textRotation="90" wrapText="1"/>
    </xf>
    <xf numFmtId="0" fontId="9" fillId="0" borderId="41" xfId="0" applyFont="1" applyBorder="1" applyAlignment="1">
      <alignment horizontal="right" vertical="center" textRotation="90" wrapText="1"/>
    </xf>
    <xf numFmtId="167" fontId="4" fillId="0" borderId="10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36" xfId="0" applyFont="1" applyBorder="1"/>
    <xf numFmtId="0" fontId="52" fillId="0" borderId="44" xfId="0" applyFont="1" applyBorder="1"/>
    <xf numFmtId="168" fontId="0" fillId="0" borderId="45" xfId="0" applyNumberFormat="1" applyBorder="1"/>
    <xf numFmtId="0" fontId="53" fillId="0" borderId="46" xfId="0" applyFont="1" applyBorder="1"/>
    <xf numFmtId="168" fontId="53" fillId="0" borderId="47" xfId="0" applyNumberFormat="1" applyFont="1" applyBorder="1"/>
    <xf numFmtId="0" fontId="52" fillId="0" borderId="48" xfId="0" applyFont="1" applyBorder="1"/>
    <xf numFmtId="169" fontId="0" fillId="0" borderId="49" xfId="1" applyFont="1" applyBorder="1"/>
    <xf numFmtId="0" fontId="53" fillId="0" borderId="25" xfId="0" applyFont="1" applyBorder="1"/>
    <xf numFmtId="168" fontId="53" fillId="0" borderId="26" xfId="0" applyNumberFormat="1" applyFont="1" applyBorder="1"/>
    <xf numFmtId="0" fontId="52" fillId="0" borderId="50" xfId="0" applyFont="1" applyBorder="1"/>
    <xf numFmtId="165" fontId="0" fillId="0" borderId="51" xfId="0" applyNumberFormat="1" applyBorder="1"/>
    <xf numFmtId="0" fontId="52" fillId="0" borderId="41" xfId="0" applyFont="1" applyBorder="1"/>
    <xf numFmtId="172" fontId="0" fillId="0" borderId="43" xfId="0" applyNumberFormat="1" applyBorder="1"/>
    <xf numFmtId="0" fontId="52" fillId="0" borderId="52" xfId="0" applyFont="1" applyBorder="1"/>
    <xf numFmtId="168" fontId="0" fillId="0" borderId="30" xfId="3" applyFont="1" applyBorder="1"/>
    <xf numFmtId="165" fontId="0" fillId="0" borderId="32" xfId="0" applyNumberFormat="1" applyBorder="1"/>
    <xf numFmtId="0" fontId="51" fillId="0" borderId="19" xfId="0" applyFont="1" applyBorder="1"/>
    <xf numFmtId="0" fontId="0" fillId="0" borderId="30" xfId="0" applyBorder="1"/>
    <xf numFmtId="0" fontId="52" fillId="0" borderId="22" xfId="0" applyFont="1" applyBorder="1"/>
    <xf numFmtId="168" fontId="0" fillId="0" borderId="31" xfId="0" applyNumberFormat="1" applyBorder="1"/>
    <xf numFmtId="0" fontId="51" fillId="0" borderId="23" xfId="0" applyFont="1" applyBorder="1"/>
    <xf numFmtId="168" fontId="51" fillId="0" borderId="32" xfId="0" applyNumberFormat="1" applyFont="1" applyBorder="1"/>
    <xf numFmtId="0" fontId="54" fillId="0" borderId="0" xfId="0" applyFont="1"/>
    <xf numFmtId="0" fontId="27" fillId="0" borderId="0" xfId="0" applyFont="1"/>
    <xf numFmtId="0" fontId="36" fillId="0" borderId="52" xfId="0" applyFont="1" applyBorder="1"/>
    <xf numFmtId="0" fontId="27" fillId="0" borderId="20" xfId="0" applyFont="1" applyBorder="1"/>
    <xf numFmtId="0" fontId="52" fillId="0" borderId="20" xfId="0" applyFont="1" applyBorder="1"/>
    <xf numFmtId="0" fontId="0" fillId="0" borderId="21" xfId="0" applyBorder="1"/>
    <xf numFmtId="0" fontId="28" fillId="0" borderId="0" xfId="4" applyFont="1"/>
    <xf numFmtId="0" fontId="39" fillId="0" borderId="25" xfId="0" applyFont="1" applyBorder="1"/>
    <xf numFmtId="168" fontId="27" fillId="4" borderId="57" xfId="0" applyNumberFormat="1" applyFont="1" applyFill="1" applyBorder="1" applyAlignment="1">
      <alignment horizontal="right"/>
    </xf>
    <xf numFmtId="168" fontId="27" fillId="4" borderId="58" xfId="4" applyNumberFormat="1" applyFont="1" applyFill="1" applyBorder="1" applyAlignment="1">
      <alignment horizontal="right"/>
    </xf>
    <xf numFmtId="168" fontId="0" fillId="0" borderId="59" xfId="0" applyNumberFormat="1" applyBorder="1"/>
    <xf numFmtId="168" fontId="37" fillId="0" borderId="62" xfId="0" applyNumberFormat="1" applyFont="1" applyBorder="1"/>
    <xf numFmtId="168" fontId="37" fillId="0" borderId="63" xfId="4" applyNumberFormat="1" applyFont="1" applyBorder="1"/>
    <xf numFmtId="168" fontId="37" fillId="0" borderId="64" xfId="4" applyNumberFormat="1" applyFont="1" applyBorder="1"/>
    <xf numFmtId="168" fontId="27" fillId="4" borderId="66" xfId="0" applyNumberFormat="1" applyFont="1" applyFill="1" applyBorder="1" applyAlignment="1">
      <alignment horizontal="right"/>
    </xf>
    <xf numFmtId="168" fontId="27" fillId="4" borderId="2" xfId="4" applyNumberFormat="1" applyFont="1" applyFill="1" applyBorder="1" applyAlignment="1">
      <alignment horizontal="right"/>
    </xf>
    <xf numFmtId="168" fontId="0" fillId="0" borderId="67" xfId="0" applyNumberFormat="1" applyBorder="1"/>
    <xf numFmtId="168" fontId="37" fillId="0" borderId="68" xfId="0" applyNumberFormat="1" applyFont="1" applyBorder="1"/>
    <xf numFmtId="168" fontId="37" fillId="0" borderId="0" xfId="4" applyNumberFormat="1" applyFont="1"/>
    <xf numFmtId="168" fontId="37" fillId="0" borderId="59" xfId="4" applyNumberFormat="1" applyFont="1" applyBorder="1"/>
    <xf numFmtId="168" fontId="27" fillId="3" borderId="57" xfId="0" applyNumberFormat="1" applyFont="1" applyFill="1" applyBorder="1" applyAlignment="1">
      <alignment horizontal="right"/>
    </xf>
    <xf numFmtId="168" fontId="27" fillId="3" borderId="58" xfId="4" applyNumberFormat="1" applyFont="1" applyFill="1" applyBorder="1" applyAlignment="1">
      <alignment horizontal="right"/>
    </xf>
    <xf numFmtId="168" fontId="27" fillId="3" borderId="68" xfId="0" applyNumberFormat="1" applyFont="1" applyFill="1" applyBorder="1" applyAlignment="1">
      <alignment horizontal="right"/>
    </xf>
    <xf numFmtId="168" fontId="27" fillId="3" borderId="0" xfId="4" applyNumberFormat="1" applyFont="1" applyFill="1" applyAlignment="1">
      <alignment horizontal="right"/>
    </xf>
    <xf numFmtId="168" fontId="27" fillId="4" borderId="69" xfId="0" applyNumberFormat="1" applyFont="1" applyFill="1" applyBorder="1" applyAlignment="1">
      <alignment horizontal="right"/>
    </xf>
    <xf numFmtId="168" fontId="27" fillId="4" borderId="70" xfId="4" applyNumberFormat="1" applyFont="1" applyFill="1" applyBorder="1" applyAlignment="1">
      <alignment horizontal="right"/>
    </xf>
    <xf numFmtId="168" fontId="0" fillId="0" borderId="15" xfId="0" applyNumberFormat="1" applyBorder="1"/>
    <xf numFmtId="168" fontId="37" fillId="0" borderId="10" xfId="0" applyNumberFormat="1" applyFont="1" applyBorder="1"/>
    <xf numFmtId="168" fontId="37" fillId="0" borderId="35" xfId="4" applyNumberFormat="1" applyFont="1" applyBorder="1"/>
    <xf numFmtId="168" fontId="37" fillId="0" borderId="15" xfId="4" applyNumberFormat="1" applyFont="1" applyBorder="1"/>
    <xf numFmtId="168" fontId="39" fillId="0" borderId="42" xfId="0" applyNumberFormat="1" applyFont="1" applyBorder="1"/>
    <xf numFmtId="168" fontId="39" fillId="0" borderId="71" xfId="4" applyNumberFormat="1" applyFont="1" applyBorder="1"/>
    <xf numFmtId="0" fontId="0" fillId="0" borderId="18" xfId="0" applyBorder="1"/>
    <xf numFmtId="0" fontId="27" fillId="0" borderId="56" xfId="0" applyFont="1" applyBorder="1" applyAlignment="1">
      <alignment horizontal="left"/>
    </xf>
    <xf numFmtId="0" fontId="39" fillId="0" borderId="60" xfId="0" applyFont="1" applyBorder="1" applyAlignment="1">
      <alignment horizontal="left"/>
    </xf>
    <xf numFmtId="0" fontId="36" fillId="0" borderId="61" xfId="0" applyFont="1" applyBorder="1" applyAlignment="1">
      <alignment horizontal="left"/>
    </xf>
    <xf numFmtId="0" fontId="39" fillId="0" borderId="56" xfId="0" applyFont="1" applyBorder="1" applyAlignment="1">
      <alignment horizontal="left"/>
    </xf>
    <xf numFmtId="0" fontId="39" fillId="0" borderId="65" xfId="0" applyFont="1" applyBorder="1" applyAlignment="1">
      <alignment horizontal="left"/>
    </xf>
    <xf numFmtId="0" fontId="36" fillId="0" borderId="56" xfId="0" applyFont="1" applyBorder="1" applyAlignment="1">
      <alignment horizontal="left"/>
    </xf>
    <xf numFmtId="0" fontId="39" fillId="0" borderId="61" xfId="0" applyFont="1" applyBorder="1" applyAlignment="1">
      <alignment horizontal="left"/>
    </xf>
    <xf numFmtId="0" fontId="36" fillId="0" borderId="39" xfId="0" applyFont="1" applyBorder="1" applyAlignment="1">
      <alignment horizontal="left"/>
    </xf>
    <xf numFmtId="0" fontId="39" fillId="0" borderId="41" xfId="0" applyFont="1" applyBorder="1" applyAlignment="1">
      <alignment horizontal="left"/>
    </xf>
    <xf numFmtId="0" fontId="29" fillId="0" borderId="8" xfId="4" applyFont="1" applyBorder="1" applyAlignment="1">
      <alignment horizontal="center" vertical="center"/>
    </xf>
    <xf numFmtId="165" fontId="28" fillId="2" borderId="9" xfId="4" applyNumberFormat="1" applyFont="1" applyFill="1" applyBorder="1" applyAlignment="1">
      <alignment horizontal="center" vertical="center"/>
    </xf>
    <xf numFmtId="0" fontId="30" fillId="0" borderId="8" xfId="4" applyFont="1" applyBorder="1"/>
    <xf numFmtId="0" fontId="31" fillId="0" borderId="77" xfId="4" applyFont="1" applyBorder="1"/>
    <xf numFmtId="0" fontId="31" fillId="0" borderId="78" xfId="4" applyFont="1" applyBorder="1"/>
    <xf numFmtId="0" fontId="52" fillId="0" borderId="0" xfId="4"/>
    <xf numFmtId="168" fontId="28" fillId="0" borderId="0" xfId="4" applyNumberFormat="1" applyFont="1"/>
    <xf numFmtId="168" fontId="28" fillId="16" borderId="0" xfId="4" applyNumberFormat="1" applyFont="1" applyFill="1"/>
    <xf numFmtId="168" fontId="28" fillId="0" borderId="78" xfId="4" applyNumberFormat="1" applyFont="1" applyBorder="1"/>
    <xf numFmtId="168" fontId="28" fillId="16" borderId="78" xfId="4" applyNumberFormat="1" applyFont="1" applyFill="1" applyBorder="1"/>
    <xf numFmtId="0" fontId="29" fillId="0" borderId="25" xfId="4" applyFont="1" applyBorder="1"/>
    <xf numFmtId="166" fontId="28" fillId="0" borderId="26" xfId="4" applyNumberFormat="1" applyFont="1" applyBorder="1"/>
    <xf numFmtId="0" fontId="28" fillId="0" borderId="79" xfId="4" applyFont="1" applyBorder="1"/>
    <xf numFmtId="168" fontId="28" fillId="7" borderId="79" xfId="4" applyNumberFormat="1" applyFont="1" applyFill="1" applyBorder="1"/>
    <xf numFmtId="0" fontId="28" fillId="0" borderId="17" xfId="4" applyFont="1" applyBorder="1"/>
    <xf numFmtId="168" fontId="28" fillId="7" borderId="17" xfId="4" applyNumberFormat="1" applyFont="1" applyFill="1" applyBorder="1"/>
    <xf numFmtId="166" fontId="29" fillId="0" borderId="26" xfId="4" applyNumberFormat="1" applyFont="1" applyBorder="1"/>
    <xf numFmtId="0" fontId="28" fillId="0" borderId="27" xfId="4" applyFont="1" applyBorder="1"/>
    <xf numFmtId="168" fontId="28" fillId="7" borderId="27" xfId="4" applyNumberFormat="1" applyFont="1" applyFill="1" applyBorder="1"/>
    <xf numFmtId="169" fontId="28" fillId="0" borderId="79" xfId="5" applyFont="1" applyBorder="1"/>
    <xf numFmtId="0" fontId="29" fillId="0" borderId="74" xfId="4" applyFont="1" applyBorder="1"/>
    <xf numFmtId="0" fontId="31" fillId="0" borderId="12" xfId="4" applyFont="1" applyBorder="1"/>
    <xf numFmtId="171" fontId="28" fillId="7" borderId="81" xfId="4" applyNumberFormat="1" applyFont="1" applyFill="1" applyBorder="1" applyAlignment="1">
      <alignment horizontal="center"/>
    </xf>
    <xf numFmtId="0" fontId="31" fillId="0" borderId="29" xfId="4" applyFont="1" applyBorder="1"/>
    <xf numFmtId="168" fontId="28" fillId="5" borderId="0" xfId="4" applyNumberFormat="1" applyFont="1" applyFill="1"/>
    <xf numFmtId="0" fontId="28" fillId="5" borderId="0" xfId="4" applyFont="1" applyFill="1"/>
    <xf numFmtId="0" fontId="35" fillId="0" borderId="82" xfId="4" applyFont="1" applyBorder="1" applyAlignment="1">
      <alignment horizontal="center"/>
    </xf>
    <xf numFmtId="0" fontId="35" fillId="0" borderId="83" xfId="4" applyFont="1" applyBorder="1" applyAlignment="1">
      <alignment horizontal="center"/>
    </xf>
    <xf numFmtId="0" fontId="35" fillId="0" borderId="84" xfId="4" applyFont="1" applyBorder="1" applyAlignment="1">
      <alignment horizontal="center"/>
    </xf>
    <xf numFmtId="165" fontId="28" fillId="0" borderId="19" xfId="4" applyNumberFormat="1" applyFont="1" applyBorder="1"/>
    <xf numFmtId="0" fontId="28" fillId="0" borderId="20" xfId="4" applyFont="1" applyBorder="1"/>
    <xf numFmtId="0" fontId="29" fillId="0" borderId="85" xfId="4" applyFont="1" applyBorder="1" applyAlignment="1">
      <alignment horizontal="center" vertical="center"/>
    </xf>
    <xf numFmtId="0" fontId="31" fillId="0" borderId="20" xfId="4" applyFont="1" applyBorder="1"/>
    <xf numFmtId="0" fontId="31" fillId="0" borderId="30" xfId="4" applyFont="1" applyBorder="1"/>
    <xf numFmtId="0" fontId="28" fillId="0" borderId="22" xfId="4" applyFont="1" applyBorder="1"/>
    <xf numFmtId="0" fontId="31" fillId="0" borderId="86" xfId="4" applyFont="1" applyBorder="1"/>
    <xf numFmtId="0" fontId="28" fillId="0" borderId="23" xfId="4" applyFont="1" applyBorder="1"/>
    <xf numFmtId="0" fontId="28" fillId="0" borderId="87" xfId="4" applyFont="1" applyBorder="1"/>
    <xf numFmtId="10" fontId="28" fillId="0" borderId="88" xfId="0" applyNumberFormat="1" applyFont="1" applyBorder="1" applyAlignment="1">
      <alignment horizontal="center"/>
    </xf>
    <xf numFmtId="171" fontId="32" fillId="3" borderId="88" xfId="0" applyNumberFormat="1" applyFont="1" applyFill="1" applyBorder="1" applyAlignment="1">
      <alignment horizontal="center"/>
    </xf>
    <xf numFmtId="171" fontId="32" fillId="3" borderId="89" xfId="0" applyNumberFormat="1" applyFont="1" applyFill="1" applyBorder="1" applyAlignment="1">
      <alignment horizontal="center"/>
    </xf>
    <xf numFmtId="2" fontId="28" fillId="0" borderId="0" xfId="2" applyNumberFormat="1" applyFont="1" applyBorder="1"/>
    <xf numFmtId="0" fontId="30" fillId="0" borderId="55" xfId="4" applyFont="1" applyBorder="1"/>
    <xf numFmtId="0" fontId="30" fillId="0" borderId="83" xfId="4" applyFont="1" applyBorder="1"/>
    <xf numFmtId="0" fontId="30" fillId="16" borderId="83" xfId="4" applyFont="1" applyFill="1" applyBorder="1"/>
    <xf numFmtId="0" fontId="30" fillId="16" borderId="84" xfId="4" applyFont="1" applyFill="1" applyBorder="1"/>
    <xf numFmtId="0" fontId="28" fillId="0" borderId="55" xfId="4" applyFont="1" applyBorder="1"/>
    <xf numFmtId="0" fontId="28" fillId="0" borderId="59" xfId="4" applyFont="1" applyBorder="1"/>
    <xf numFmtId="168" fontId="28" fillId="16" borderId="31" xfId="4" applyNumberFormat="1" applyFont="1" applyFill="1" applyBorder="1"/>
    <xf numFmtId="168" fontId="28" fillId="16" borderId="0" xfId="3" applyFont="1" applyFill="1" applyBorder="1"/>
    <xf numFmtId="168" fontId="28" fillId="16" borderId="31" xfId="3" applyFont="1" applyFill="1" applyBorder="1"/>
    <xf numFmtId="0" fontId="28" fillId="0" borderId="90" xfId="4" applyFont="1" applyBorder="1"/>
    <xf numFmtId="168" fontId="28" fillId="16" borderId="86" xfId="4" applyNumberFormat="1" applyFont="1" applyFill="1" applyBorder="1"/>
    <xf numFmtId="0" fontId="29" fillId="0" borderId="59" xfId="4" applyFont="1" applyBorder="1"/>
    <xf numFmtId="0" fontId="29" fillId="0" borderId="18" xfId="4" applyFont="1" applyBorder="1"/>
    <xf numFmtId="168" fontId="28" fillId="0" borderId="91" xfId="4" applyNumberFormat="1" applyFont="1" applyBorder="1"/>
    <xf numFmtId="168" fontId="28" fillId="16" borderId="42" xfId="4" applyNumberFormat="1" applyFont="1" applyFill="1" applyBorder="1"/>
    <xf numFmtId="168" fontId="28" fillId="16" borderId="43" xfId="4" applyNumberFormat="1" applyFont="1" applyFill="1" applyBorder="1"/>
    <xf numFmtId="0" fontId="28" fillId="0" borderId="19" xfId="4" applyFont="1" applyBorder="1"/>
    <xf numFmtId="0" fontId="29" fillId="0" borderId="92" xfId="4" applyFont="1" applyBorder="1" applyAlignment="1">
      <alignment horizontal="center"/>
    </xf>
    <xf numFmtId="0" fontId="29" fillId="0" borderId="93" xfId="4" applyFont="1" applyBorder="1" applyAlignment="1">
      <alignment horizontal="center"/>
    </xf>
    <xf numFmtId="0" fontId="29" fillId="0" borderId="94" xfId="4" applyFont="1" applyBorder="1" applyAlignment="1">
      <alignment horizontal="center"/>
    </xf>
    <xf numFmtId="0" fontId="29" fillId="0" borderId="95" xfId="4" applyFont="1" applyBorder="1" applyAlignment="1">
      <alignment horizontal="left"/>
    </xf>
    <xf numFmtId="171" fontId="32" fillId="3" borderId="96" xfId="4" applyNumberFormat="1" applyFont="1" applyFill="1" applyBorder="1" applyAlignment="1">
      <alignment horizontal="center"/>
    </xf>
    <xf numFmtId="171" fontId="32" fillId="3" borderId="29" xfId="4" applyNumberFormat="1" applyFont="1" applyFill="1" applyBorder="1" applyAlignment="1">
      <alignment horizontal="center"/>
    </xf>
    <xf numFmtId="0" fontId="31" fillId="0" borderId="97" xfId="4" applyFont="1" applyBorder="1"/>
    <xf numFmtId="0" fontId="29" fillId="0" borderId="98" xfId="4" applyFont="1" applyBorder="1" applyAlignment="1">
      <alignment horizontal="left"/>
    </xf>
    <xf numFmtId="0" fontId="31" fillId="0" borderId="99" xfId="4" applyFont="1" applyBorder="1"/>
    <xf numFmtId="171" fontId="28" fillId="7" borderId="100" xfId="4" applyNumberFormat="1" applyFont="1" applyFill="1" applyBorder="1" applyAlignment="1">
      <alignment horizontal="center"/>
    </xf>
    <xf numFmtId="171" fontId="32" fillId="3" borderId="101" xfId="4" applyNumberFormat="1" applyFont="1" applyFill="1" applyBorder="1" applyAlignment="1">
      <alignment horizontal="center"/>
    </xf>
    <xf numFmtId="171" fontId="32" fillId="3" borderId="102" xfId="4" applyNumberFormat="1" applyFont="1" applyFill="1" applyBorder="1" applyAlignment="1">
      <alignment horizontal="center"/>
    </xf>
    <xf numFmtId="0" fontId="31" fillId="0" borderId="102" xfId="4" applyFont="1" applyBorder="1"/>
    <xf numFmtId="0" fontId="31" fillId="0" borderId="103" xfId="4" applyFont="1" applyBorder="1"/>
    <xf numFmtId="0" fontId="52" fillId="0" borderId="0" xfId="0" applyFont="1"/>
    <xf numFmtId="0" fontId="29" fillId="0" borderId="57" xfId="0" applyFont="1" applyBorder="1"/>
    <xf numFmtId="0" fontId="28" fillId="0" borderId="57" xfId="0" applyFont="1" applyBorder="1"/>
    <xf numFmtId="0" fontId="29" fillId="0" borderId="76" xfId="0" applyFont="1" applyBorder="1"/>
    <xf numFmtId="168" fontId="29" fillId="0" borderId="68" xfId="0" applyNumberFormat="1" applyFont="1" applyBorder="1"/>
    <xf numFmtId="0" fontId="29" fillId="0" borderId="69" xfId="0" applyFont="1" applyBorder="1"/>
    <xf numFmtId="0" fontId="29" fillId="0" borderId="106" xfId="0" applyFont="1" applyBorder="1"/>
    <xf numFmtId="168" fontId="29" fillId="3" borderId="107" xfId="0" applyNumberFormat="1" applyFont="1" applyFill="1" applyBorder="1"/>
    <xf numFmtId="168" fontId="29" fillId="3" borderId="108" xfId="4" applyNumberFormat="1" applyFont="1" applyFill="1" applyBorder="1"/>
    <xf numFmtId="168" fontId="29" fillId="3" borderId="55" xfId="4" applyNumberFormat="1" applyFont="1" applyFill="1" applyBorder="1"/>
    <xf numFmtId="0" fontId="28" fillId="0" borderId="109" xfId="0" applyFont="1" applyBorder="1"/>
    <xf numFmtId="168" fontId="29" fillId="0" borderId="68" xfId="4" applyNumberFormat="1" applyFont="1" applyBorder="1"/>
    <xf numFmtId="0" fontId="29" fillId="0" borderId="76" xfId="4" applyFont="1" applyBorder="1"/>
    <xf numFmtId="168" fontId="29" fillId="3" borderId="76" xfId="0" applyNumberFormat="1" applyFont="1" applyFill="1" applyBorder="1"/>
    <xf numFmtId="168" fontId="29" fillId="3" borderId="76" xfId="4" applyNumberFormat="1" applyFont="1" applyFill="1" applyBorder="1"/>
    <xf numFmtId="168" fontId="0" fillId="0" borderId="0" xfId="0" applyNumberFormat="1"/>
    <xf numFmtId="0" fontId="55" fillId="0" borderId="0" xfId="0" applyFont="1"/>
    <xf numFmtId="0" fontId="28" fillId="5" borderId="68" xfId="0" applyFont="1" applyFill="1" applyBorder="1"/>
    <xf numFmtId="0" fontId="28" fillId="5" borderId="59" xfId="4" applyFont="1" applyFill="1" applyBorder="1"/>
    <xf numFmtId="168" fontId="28" fillId="10" borderId="68" xfId="0" applyNumberFormat="1" applyFont="1" applyFill="1" applyBorder="1"/>
    <xf numFmtId="168" fontId="28" fillId="10" borderId="0" xfId="4" applyNumberFormat="1" applyFont="1" applyFill="1"/>
    <xf numFmtId="168" fontId="28" fillId="10" borderId="59" xfId="4" applyNumberFormat="1" applyFont="1" applyFill="1" applyBorder="1"/>
    <xf numFmtId="168" fontId="28" fillId="10" borderId="68" xfId="0" applyNumberFormat="1" applyFont="1" applyFill="1" applyBorder="1" applyAlignment="1">
      <alignment horizontal="center"/>
    </xf>
    <xf numFmtId="168" fontId="28" fillId="10" borderId="0" xfId="4" applyNumberFormat="1" applyFont="1" applyFill="1" applyAlignment="1">
      <alignment horizontal="center"/>
    </xf>
    <xf numFmtId="168" fontId="28" fillId="10" borderId="59" xfId="4" applyNumberFormat="1" applyFont="1" applyFill="1" applyBorder="1" applyAlignment="1">
      <alignment horizontal="center"/>
    </xf>
    <xf numFmtId="168" fontId="29" fillId="5" borderId="76" xfId="0" applyNumberFormat="1" applyFont="1" applyFill="1" applyBorder="1"/>
    <xf numFmtId="168" fontId="29" fillId="5" borderId="8" xfId="4" applyNumberFormat="1" applyFont="1" applyFill="1" applyBorder="1"/>
    <xf numFmtId="168" fontId="29" fillId="5" borderId="105" xfId="4" applyNumberFormat="1" applyFont="1" applyFill="1" applyBorder="1"/>
    <xf numFmtId="168" fontId="29" fillId="5" borderId="68" xfId="0" applyNumberFormat="1" applyFont="1" applyFill="1" applyBorder="1"/>
    <xf numFmtId="168" fontId="29" fillId="5" borderId="0" xfId="4" applyNumberFormat="1" applyFont="1" applyFill="1"/>
    <xf numFmtId="168" fontId="29" fillId="5" borderId="59" xfId="4" applyNumberFormat="1" applyFont="1" applyFill="1" applyBorder="1"/>
    <xf numFmtId="168" fontId="28" fillId="5" borderId="68" xfId="0" applyNumberFormat="1" applyFont="1" applyFill="1" applyBorder="1"/>
    <xf numFmtId="168" fontId="28" fillId="5" borderId="59" xfId="4" applyNumberFormat="1" applyFont="1" applyFill="1" applyBorder="1"/>
    <xf numFmtId="168" fontId="29" fillId="12" borderId="107" xfId="0" applyNumberFormat="1" applyFont="1" applyFill="1" applyBorder="1"/>
    <xf numFmtId="168" fontId="29" fillId="12" borderId="108" xfId="4" applyNumberFormat="1" applyFont="1" applyFill="1" applyBorder="1"/>
    <xf numFmtId="168" fontId="29" fillId="12" borderId="55" xfId="4" applyNumberFormat="1" applyFont="1" applyFill="1" applyBorder="1"/>
    <xf numFmtId="168" fontId="29" fillId="5" borderId="104" xfId="0" applyNumberFormat="1" applyFont="1" applyFill="1" applyBorder="1"/>
    <xf numFmtId="168" fontId="29" fillId="5" borderId="83" xfId="4" applyNumberFormat="1" applyFont="1" applyFill="1" applyBorder="1"/>
    <xf numFmtId="168" fontId="29" fillId="5" borderId="55" xfId="4" applyNumberFormat="1" applyFont="1" applyFill="1" applyBorder="1"/>
    <xf numFmtId="168" fontId="29" fillId="5" borderId="69" xfId="0" applyNumberFormat="1" applyFont="1" applyFill="1" applyBorder="1"/>
    <xf numFmtId="168" fontId="29" fillId="5" borderId="70" xfId="4" applyNumberFormat="1" applyFont="1" applyFill="1" applyBorder="1"/>
    <xf numFmtId="168" fontId="29" fillId="5" borderId="64" xfId="4" applyNumberFormat="1" applyFont="1" applyFill="1" applyBorder="1"/>
    <xf numFmtId="168" fontId="29" fillId="5" borderId="107" xfId="0" applyNumberFormat="1" applyFont="1" applyFill="1" applyBorder="1"/>
    <xf numFmtId="168" fontId="29" fillId="5" borderId="108" xfId="4" applyNumberFormat="1" applyFont="1" applyFill="1" applyBorder="1"/>
    <xf numFmtId="168" fontId="28" fillId="10" borderId="59" xfId="0" applyNumberFormat="1" applyFont="1" applyFill="1" applyBorder="1"/>
    <xf numFmtId="165" fontId="28" fillId="10" borderId="59" xfId="0" applyNumberFormat="1" applyFont="1" applyFill="1" applyBorder="1"/>
    <xf numFmtId="168" fontId="28" fillId="10" borderId="66" xfId="0" applyNumberFormat="1" applyFont="1" applyFill="1" applyBorder="1"/>
    <xf numFmtId="168" fontId="28" fillId="10" borderId="2" xfId="4" applyNumberFormat="1" applyFont="1" applyFill="1" applyBorder="1"/>
    <xf numFmtId="168" fontId="28" fillId="10" borderId="67" xfId="0" applyNumberFormat="1" applyFont="1" applyFill="1" applyBorder="1"/>
    <xf numFmtId="168" fontId="28" fillId="10" borderId="68" xfId="4" applyNumberFormat="1" applyFont="1" applyFill="1" applyBorder="1" applyAlignment="1">
      <alignment horizontal="right"/>
    </xf>
    <xf numFmtId="168" fontId="28" fillId="10" borderId="0" xfId="4" applyNumberFormat="1" applyFont="1" applyFill="1" applyAlignment="1">
      <alignment horizontal="right"/>
    </xf>
    <xf numFmtId="168" fontId="28" fillId="10" borderId="59" xfId="4" applyNumberFormat="1" applyFont="1" applyFill="1" applyBorder="1" applyAlignment="1">
      <alignment horizontal="right"/>
    </xf>
    <xf numFmtId="168" fontId="30" fillId="15" borderId="80" xfId="4" applyNumberFormat="1" applyFont="1" applyFill="1" applyBorder="1"/>
    <xf numFmtId="0" fontId="30" fillId="11" borderId="72" xfId="4" applyFont="1" applyFill="1" applyBorder="1" applyAlignment="1">
      <alignment horizontal="center"/>
    </xf>
    <xf numFmtId="0" fontId="31" fillId="5" borderId="73" xfId="4" applyFont="1" applyFill="1" applyBorder="1"/>
    <xf numFmtId="0" fontId="28" fillId="5" borderId="74" xfId="4" applyFont="1" applyFill="1" applyBorder="1"/>
    <xf numFmtId="10" fontId="32" fillId="11" borderId="75" xfId="4" applyNumberFormat="1" applyFont="1" applyFill="1" applyBorder="1"/>
    <xf numFmtId="0" fontId="28" fillId="5" borderId="70" xfId="4" applyFont="1" applyFill="1" applyBorder="1"/>
    <xf numFmtId="2" fontId="32" fillId="11" borderId="76" xfId="4" applyNumberFormat="1" applyFont="1" applyFill="1" applyBorder="1"/>
    <xf numFmtId="0" fontId="28" fillId="5" borderId="58" xfId="4" applyFont="1" applyFill="1" applyBorder="1"/>
    <xf numFmtId="168" fontId="28" fillId="5" borderId="76" xfId="4" applyNumberFormat="1" applyFont="1" applyFill="1" applyBorder="1"/>
    <xf numFmtId="0" fontId="28" fillId="5" borderId="77" xfId="4" applyFont="1" applyFill="1" applyBorder="1"/>
    <xf numFmtId="0" fontId="32" fillId="11" borderId="76" xfId="4" applyFont="1" applyFill="1" applyBorder="1"/>
    <xf numFmtId="0" fontId="33" fillId="12" borderId="76" xfId="4" applyFont="1" applyFill="1" applyBorder="1" applyAlignment="1">
      <alignment horizontal="right"/>
    </xf>
    <xf numFmtId="0" fontId="29" fillId="5" borderId="77" xfId="4" applyFont="1" applyFill="1" applyBorder="1"/>
    <xf numFmtId="10" fontId="34" fillId="5" borderId="76" xfId="4" applyNumberFormat="1" applyFont="1" applyFill="1" applyBorder="1"/>
    <xf numFmtId="10" fontId="28" fillId="5" borderId="76" xfId="4" applyNumberFormat="1" applyFont="1" applyFill="1" applyBorder="1"/>
    <xf numFmtId="10" fontId="32" fillId="11" borderId="76" xfId="4" applyNumberFormat="1" applyFont="1" applyFill="1" applyBorder="1"/>
    <xf numFmtId="10" fontId="29" fillId="5" borderId="76" xfId="4" applyNumberFormat="1" applyFont="1" applyFill="1" applyBorder="1"/>
    <xf numFmtId="10" fontId="30" fillId="2" borderId="9" xfId="4" applyNumberFormat="1" applyFont="1" applyFill="1" applyBorder="1"/>
    <xf numFmtId="0" fontId="29" fillId="0" borderId="23" xfId="0" applyFont="1" applyBorder="1"/>
    <xf numFmtId="0" fontId="29" fillId="10" borderId="110" xfId="0" applyFont="1" applyFill="1" applyBorder="1" applyAlignment="1">
      <alignment horizontal="center" vertical="center"/>
    </xf>
    <xf numFmtId="0" fontId="29" fillId="10" borderId="87" xfId="4" applyFont="1" applyFill="1" applyBorder="1" applyAlignment="1">
      <alignment horizontal="center" vertical="center"/>
    </xf>
    <xf numFmtId="0" fontId="29" fillId="10" borderId="24" xfId="4" applyFont="1" applyFill="1" applyBorder="1" applyAlignment="1">
      <alignment horizontal="center" vertical="center"/>
    </xf>
    <xf numFmtId="0" fontId="53" fillId="0" borderId="10" xfId="0" applyFont="1" applyBorder="1"/>
    <xf numFmtId="0" fontId="37" fillId="17" borderId="53" xfId="0" applyFont="1" applyFill="1" applyBorder="1" applyAlignment="1">
      <alignment horizontal="center"/>
    </xf>
    <xf numFmtId="0" fontId="37" fillId="17" borderId="54" xfId="4" applyFont="1" applyFill="1" applyBorder="1" applyAlignment="1">
      <alignment horizontal="center"/>
    </xf>
    <xf numFmtId="0" fontId="37" fillId="17" borderId="55" xfId="4" applyFont="1" applyFill="1" applyBorder="1" applyAlignment="1">
      <alignment horizontal="center"/>
    </xf>
    <xf numFmtId="0" fontId="30" fillId="18" borderId="83" xfId="4" applyFont="1" applyFill="1" applyBorder="1"/>
    <xf numFmtId="0" fontId="30" fillId="19" borderId="83" xfId="4" applyFont="1" applyFill="1" applyBorder="1"/>
    <xf numFmtId="0" fontId="30" fillId="19" borderId="84" xfId="4" applyFont="1" applyFill="1" applyBorder="1"/>
    <xf numFmtId="168" fontId="29" fillId="20" borderId="69" xfId="0" applyNumberFormat="1" applyFont="1" applyFill="1" applyBorder="1"/>
    <xf numFmtId="168" fontId="29" fillId="20" borderId="70" xfId="4" applyNumberFormat="1" applyFont="1" applyFill="1" applyBorder="1"/>
    <xf numFmtId="168" fontId="29" fillId="20" borderId="64" xfId="4" applyNumberFormat="1" applyFont="1" applyFill="1" applyBorder="1"/>
  </cellXfs>
  <cellStyles count="6">
    <cellStyle name="Comma" xfId="1" builtinId="3"/>
    <cellStyle name="Comma 2" xfId="5" xr:uid="{8A838B44-FF47-4497-B0A2-9DAD0DE89332}"/>
    <cellStyle name="Currency" xfId="3" builtinId="4"/>
    <cellStyle name="Normal" xfId="0" builtinId="0"/>
    <cellStyle name="Normal 2" xfId="4" xr:uid="{B0FF163E-0549-4332-B136-F93AB87894E5}"/>
    <cellStyle name="Percent" xfId="2" builtinId="5"/>
  </cellStyles>
  <dxfs count="4">
    <dxf>
      <font>
        <color rgb="FF632423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358658</xdr:colOff>
      <xdr:row>139</xdr:row>
      <xdr:rowOff>86925</xdr:rowOff>
    </xdr:from>
    <xdr:to>
      <xdr:col>14</xdr:col>
      <xdr:colOff>428391</xdr:colOff>
      <xdr:row>139</xdr:row>
      <xdr:rowOff>132644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 flipV="1">
          <a:off x="12688241" y="27441902"/>
          <a:ext cx="69733" cy="4571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352777</xdr:colOff>
      <xdr:row>144</xdr:row>
      <xdr:rowOff>9525</xdr:rowOff>
    </xdr:from>
    <xdr:to>
      <xdr:col>8</xdr:col>
      <xdr:colOff>466725</xdr:colOff>
      <xdr:row>144</xdr:row>
      <xdr:rowOff>55244</xdr:rowOff>
    </xdr:to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8810625" y="28211169"/>
          <a:ext cx="113948" cy="45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900" b="0" i="0" strike="noStrike">
            <a:solidFill>
              <a:srgbClr val="0000FF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14</xdr:col>
      <xdr:colOff>626181</xdr:colOff>
      <xdr:row>147</xdr:row>
      <xdr:rowOff>173449</xdr:rowOff>
    </xdr:from>
    <xdr:to>
      <xdr:col>15</xdr:col>
      <xdr:colOff>37629</xdr:colOff>
      <xdr:row>148</xdr:row>
      <xdr:rowOff>13816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flipV="1">
          <a:off x="12955764" y="28927778"/>
          <a:ext cx="69967" cy="11671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13</xdr:col>
      <xdr:colOff>161346</xdr:colOff>
      <xdr:row>207</xdr:row>
      <xdr:rowOff>73344</xdr:rowOff>
    </xdr:from>
    <xdr:to>
      <xdr:col>13</xdr:col>
      <xdr:colOff>207065</xdr:colOff>
      <xdr:row>207</xdr:row>
      <xdr:rowOff>119063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V="1">
          <a:off x="15476544" y="40089087"/>
          <a:ext cx="45719" cy="4571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run%20Jain\Downloads\Project%20Valuation%20ABNB%20EXPE.xlsx" TargetMode="External"/><Relationship Id="rId1" Type="http://schemas.openxmlformats.org/officeDocument/2006/relationships/externalLinkPath" Target="/Users/Varun%20Jain/Downloads/Project%20Valuation%20ABNB%20EX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BNB IS"/>
      <sheetName val="ABNB BS"/>
      <sheetName val="ABNB FCFF"/>
      <sheetName val="EXPE IS"/>
      <sheetName val="EXPE BS "/>
      <sheetName val="EXPE FCFF"/>
      <sheetName val="EXPE HistPE"/>
      <sheetName val="Goodwill "/>
      <sheetName val="Merged IS"/>
      <sheetName val="Merged BS"/>
      <sheetName val="Citations"/>
    </sheetNames>
    <sheetDataSet>
      <sheetData sheetId="0"/>
      <sheetData sheetId="1">
        <row r="8">
          <cell r="G8">
            <v>8399</v>
          </cell>
        </row>
      </sheetData>
      <sheetData sheetId="2"/>
      <sheetData sheetId="3">
        <row r="7">
          <cell r="C7">
            <v>640</v>
          </cell>
        </row>
        <row r="12">
          <cell r="F12">
            <v>-257.72499999999991</v>
          </cell>
        </row>
        <row r="20">
          <cell r="F20">
            <v>2244</v>
          </cell>
        </row>
        <row r="21">
          <cell r="F21">
            <v>0</v>
          </cell>
        </row>
        <row r="23">
          <cell r="F23">
            <v>-2341</v>
          </cell>
        </row>
      </sheetData>
      <sheetData sheetId="4"/>
      <sheetData sheetId="5"/>
      <sheetData sheetId="6">
        <row r="13">
          <cell r="F13">
            <v>-1296</v>
          </cell>
        </row>
        <row r="20">
          <cell r="F20">
            <v>48</v>
          </cell>
        </row>
        <row r="21">
          <cell r="F21">
            <v>-73</v>
          </cell>
        </row>
        <row r="23">
          <cell r="F23">
            <v>-6552</v>
          </cell>
        </row>
      </sheetData>
      <sheetData sheetId="7"/>
      <sheetData sheetId="8">
        <row r="10">
          <cell r="B10">
            <v>163.32656280701752</v>
          </cell>
        </row>
      </sheetData>
      <sheetData sheetId="9">
        <row r="11">
          <cell r="E11">
            <v>834.6</v>
          </cell>
        </row>
        <row r="21">
          <cell r="E21">
            <v>0</v>
          </cell>
        </row>
      </sheetData>
      <sheetData sheetId="10">
        <row r="62">
          <cell r="E62">
            <v>2740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F1CA-3944-4685-A9E4-B273CD7ED3B8}">
  <dimension ref="F3:N14"/>
  <sheetViews>
    <sheetView topLeftCell="H1" zoomScale="147" workbookViewId="0">
      <selection activeCell="F12" sqref="F12"/>
    </sheetView>
  </sheetViews>
  <sheetFormatPr defaultRowHeight="12.75" x14ac:dyDescent="0.35"/>
  <cols>
    <col min="6" max="6" width="13.6640625" customWidth="1"/>
    <col min="7" max="7" width="31.06640625" bestFit="1" customWidth="1"/>
    <col min="8" max="8" width="29.53125" bestFit="1" customWidth="1"/>
    <col min="9" max="9" width="15.19921875" customWidth="1"/>
    <col min="10" max="10" width="31.06640625" bestFit="1" customWidth="1"/>
    <col min="11" max="11" width="29.53125" bestFit="1" customWidth="1"/>
  </cols>
  <sheetData>
    <row r="3" spans="6:14" ht="19.899999999999999" x14ac:dyDescent="0.5">
      <c r="F3" s="101"/>
      <c r="G3" s="344" t="s">
        <v>150</v>
      </c>
      <c r="H3" s="344"/>
      <c r="I3" s="344"/>
      <c r="J3" s="344"/>
      <c r="K3" s="344"/>
      <c r="L3" s="103"/>
      <c r="M3" s="103"/>
      <c r="N3" s="103"/>
    </row>
    <row r="4" spans="6:14" ht="13.9" x14ac:dyDescent="0.4">
      <c r="F4" s="101"/>
      <c r="G4" s="102"/>
      <c r="H4" s="103"/>
      <c r="I4" s="103"/>
      <c r="J4" s="103"/>
      <c r="K4" s="103"/>
      <c r="L4" s="103"/>
      <c r="M4" s="103"/>
      <c r="N4" s="103"/>
    </row>
    <row r="5" spans="6:14" ht="15.4" x14ac:dyDescent="0.45">
      <c r="F5" s="219" t="s">
        <v>268</v>
      </c>
      <c r="G5" s="206" t="s">
        <v>151</v>
      </c>
      <c r="H5" s="206" t="s">
        <v>152</v>
      </c>
      <c r="I5" s="206" t="s">
        <v>153</v>
      </c>
      <c r="J5" s="206" t="s">
        <v>154</v>
      </c>
      <c r="K5" s="2"/>
      <c r="L5" s="2"/>
      <c r="M5" s="2"/>
      <c r="N5" s="2"/>
    </row>
    <row r="6" spans="6:14" ht="13.15" x14ac:dyDescent="0.4">
      <c r="F6" s="2"/>
      <c r="G6" s="2"/>
      <c r="H6" s="2"/>
      <c r="I6" s="2"/>
      <c r="J6" s="2"/>
      <c r="K6" s="2"/>
      <c r="L6" s="2"/>
      <c r="M6" s="2"/>
      <c r="N6" s="2"/>
    </row>
    <row r="7" spans="6:14" ht="13.15" x14ac:dyDescent="0.4">
      <c r="F7" s="2"/>
      <c r="G7" s="2"/>
      <c r="H7" s="27"/>
      <c r="I7" s="2"/>
      <c r="J7" s="2"/>
      <c r="K7" s="2"/>
      <c r="L7" s="2"/>
      <c r="M7" s="2"/>
      <c r="N7" s="2"/>
    </row>
    <row r="8" spans="6:14" ht="20.65" thickBot="1" x14ac:dyDescent="0.6">
      <c r="F8" s="2"/>
      <c r="G8" s="207" t="s">
        <v>166</v>
      </c>
      <c r="H8" s="208"/>
      <c r="I8" s="207"/>
      <c r="J8" s="207" t="s">
        <v>165</v>
      </c>
      <c r="K8" s="209"/>
      <c r="L8" s="2"/>
      <c r="M8" s="2"/>
      <c r="N8" s="2"/>
    </row>
    <row r="9" spans="6:14" ht="21" x14ac:dyDescent="0.65">
      <c r="F9" s="2"/>
      <c r="G9" s="210" t="s">
        <v>155</v>
      </c>
      <c r="H9" s="211" t="s">
        <v>156</v>
      </c>
      <c r="I9" s="209"/>
      <c r="J9" s="210" t="s">
        <v>155</v>
      </c>
      <c r="K9" s="212" t="s">
        <v>163</v>
      </c>
      <c r="L9" s="2"/>
      <c r="M9" s="2"/>
      <c r="N9" s="2"/>
    </row>
    <row r="10" spans="6:14" ht="20.25" x14ac:dyDescent="0.55000000000000004">
      <c r="F10" s="2"/>
      <c r="G10" s="213" t="s">
        <v>157</v>
      </c>
      <c r="H10" s="214" t="s">
        <v>158</v>
      </c>
      <c r="I10" s="209"/>
      <c r="J10" s="213" t="s">
        <v>157</v>
      </c>
      <c r="K10" s="215" t="s">
        <v>164</v>
      </c>
      <c r="L10" s="2"/>
      <c r="M10" s="2"/>
      <c r="N10" s="2"/>
    </row>
    <row r="11" spans="6:14" ht="20.25" x14ac:dyDescent="0.55000000000000004">
      <c r="F11" s="1"/>
      <c r="G11" s="213" t="s">
        <v>159</v>
      </c>
      <c r="H11" s="214" t="s">
        <v>160</v>
      </c>
      <c r="I11" s="209"/>
      <c r="J11" s="213" t="s">
        <v>159</v>
      </c>
      <c r="K11" s="214" t="s">
        <v>160</v>
      </c>
      <c r="L11" s="2"/>
      <c r="M11" s="2"/>
      <c r="N11" s="2"/>
    </row>
    <row r="12" spans="6:14" ht="20.25" x14ac:dyDescent="0.55000000000000004">
      <c r="F12" s="2"/>
      <c r="G12" s="213" t="s">
        <v>161</v>
      </c>
      <c r="H12" s="216">
        <f>AIRBNB!B144</f>
        <v>127.96</v>
      </c>
      <c r="I12" s="209"/>
      <c r="J12" s="213" t="s">
        <v>161</v>
      </c>
      <c r="K12" s="204">
        <v>104.5</v>
      </c>
      <c r="L12" s="2"/>
      <c r="M12" s="2"/>
      <c r="N12" s="2"/>
    </row>
    <row r="13" spans="6:14" ht="20.65" thickBot="1" x14ac:dyDescent="0.6">
      <c r="F13" s="2"/>
      <c r="G13" s="217" t="s">
        <v>162</v>
      </c>
      <c r="H13" s="218">
        <f>AIRBNB!B201</f>
        <v>33240.192312821891</v>
      </c>
      <c r="I13" s="209"/>
      <c r="J13" s="217" t="s">
        <v>162</v>
      </c>
      <c r="K13" s="205">
        <v>104.7</v>
      </c>
      <c r="L13" s="2"/>
      <c r="M13" s="2"/>
      <c r="N13" s="2"/>
    </row>
    <row r="14" spans="6:14" ht="13.15" x14ac:dyDescent="0.4">
      <c r="F14" s="2"/>
      <c r="G14" s="2"/>
      <c r="H14" s="27"/>
      <c r="I14" s="2"/>
      <c r="J14" s="345"/>
      <c r="K14" s="345"/>
      <c r="L14" s="345"/>
      <c r="M14" s="345"/>
      <c r="N14" s="345"/>
    </row>
  </sheetData>
  <mergeCells count="2">
    <mergeCell ref="G3:K3"/>
    <mergeCell ref="J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508"/>
  <sheetViews>
    <sheetView showGridLines="0" topLeftCell="A134" zoomScale="103" zoomScaleNormal="80" zoomScaleSheetLayoutView="80" workbookViewId="0">
      <selection activeCell="D172" sqref="D172"/>
    </sheetView>
  </sheetViews>
  <sheetFormatPr defaultColWidth="9.1328125" defaultRowHeight="13.15" x14ac:dyDescent="0.4"/>
  <cols>
    <col min="1" max="1" width="35.59765625" style="2" customWidth="1"/>
    <col min="2" max="2" width="19.73046875" style="2" bestFit="1" customWidth="1"/>
    <col min="3" max="3" width="18.59765625" style="2" bestFit="1" customWidth="1"/>
    <col min="4" max="4" width="12" style="2" customWidth="1"/>
    <col min="5" max="5" width="19.73046875" style="2" bestFit="1" customWidth="1"/>
    <col min="6" max="6" width="18.59765625" style="2" bestFit="1" customWidth="1"/>
    <col min="7" max="7" width="12.3984375" style="2" customWidth="1"/>
    <col min="8" max="8" width="11.265625" style="2" customWidth="1"/>
    <col min="9" max="9" width="10.86328125" style="2" customWidth="1"/>
    <col min="10" max="10" width="29.73046875" style="2" bestFit="1" customWidth="1"/>
    <col min="11" max="11" width="9.86328125" style="2" bestFit="1" customWidth="1"/>
    <col min="12" max="15" width="11.59765625" style="2" bestFit="1" customWidth="1"/>
    <col min="16" max="16" width="13.59765625" style="2" bestFit="1" customWidth="1"/>
    <col min="17" max="16384" width="9.1328125" style="2"/>
  </cols>
  <sheetData>
    <row r="2" spans="1:16" ht="13.9" x14ac:dyDescent="0.4">
      <c r="A2" s="104" t="s">
        <v>86</v>
      </c>
      <c r="B2" s="105"/>
      <c r="C2" s="106"/>
      <c r="D2" s="106"/>
      <c r="E2" s="106"/>
      <c r="F2" s="106"/>
      <c r="G2" s="106"/>
      <c r="H2" s="106"/>
      <c r="I2" s="106"/>
    </row>
    <row r="3" spans="1:16" ht="13.9" x14ac:dyDescent="0.4">
      <c r="A3" s="107" t="s">
        <v>0</v>
      </c>
      <c r="B3" s="108"/>
      <c r="C3" s="109"/>
      <c r="D3" s="109"/>
      <c r="E3" s="109"/>
      <c r="F3" s="109"/>
      <c r="G3" s="109"/>
      <c r="H3" s="109"/>
      <c r="I3" s="110"/>
    </row>
    <row r="4" spans="1:16" ht="13.5" thickBot="1" x14ac:dyDescent="0.45"/>
    <row r="5" spans="1:16" ht="13.5" thickBot="1" x14ac:dyDescent="0.45">
      <c r="A5" s="77" t="s">
        <v>1</v>
      </c>
      <c r="B5" s="77"/>
      <c r="C5" s="120"/>
      <c r="D5" s="120"/>
      <c r="E5" s="120"/>
      <c r="F5" s="120"/>
      <c r="G5" s="99"/>
      <c r="H5" s="15"/>
      <c r="I5" s="15"/>
      <c r="J5" s="346" t="s">
        <v>167</v>
      </c>
      <c r="K5" s="347"/>
      <c r="L5" s="347"/>
      <c r="M5" s="347"/>
      <c r="N5" s="347"/>
      <c r="O5" s="348"/>
      <c r="P5" s="119"/>
    </row>
    <row r="6" spans="1:16" x14ac:dyDescent="0.4">
      <c r="A6" s="99" t="s">
        <v>2</v>
      </c>
      <c r="B6" s="99">
        <v>2018</v>
      </c>
      <c r="C6" s="99">
        <f>(B6+1)</f>
        <v>2019</v>
      </c>
      <c r="D6" s="99">
        <f t="shared" ref="D6:G6" si="0">(C6+1)</f>
        <v>2020</v>
      </c>
      <c r="E6" s="99">
        <f t="shared" si="0"/>
        <v>2021</v>
      </c>
      <c r="F6" s="99">
        <f t="shared" si="0"/>
        <v>2022</v>
      </c>
      <c r="G6" s="99">
        <f t="shared" si="0"/>
        <v>2023</v>
      </c>
      <c r="H6" s="14"/>
      <c r="I6" s="14"/>
      <c r="J6" s="197">
        <v>2018</v>
      </c>
      <c r="K6" s="198">
        <v>2019</v>
      </c>
      <c r="L6" s="198">
        <v>2020</v>
      </c>
      <c r="M6" s="198">
        <v>2021</v>
      </c>
      <c r="N6" s="198">
        <v>2022</v>
      </c>
      <c r="O6" s="199">
        <v>2023</v>
      </c>
      <c r="P6" s="200" t="s">
        <v>76</v>
      </c>
    </row>
    <row r="7" spans="1:16" x14ac:dyDescent="0.4">
      <c r="A7" s="77" t="s">
        <v>3</v>
      </c>
      <c r="B7" s="121">
        <v>3651.9850000000001</v>
      </c>
      <c r="C7" s="122">
        <v>4805.2389999999996</v>
      </c>
      <c r="D7" s="122">
        <v>3378.1990000000001</v>
      </c>
      <c r="E7" s="122">
        <v>5992</v>
      </c>
      <c r="F7" s="122">
        <v>8399</v>
      </c>
      <c r="G7" s="122">
        <v>8708.5169999999998</v>
      </c>
      <c r="H7" s="16"/>
      <c r="I7" s="16"/>
      <c r="J7" s="201"/>
      <c r="K7" s="202">
        <f>(D7-C7)/C7</f>
        <v>-0.29697586321929037</v>
      </c>
      <c r="L7" s="202">
        <f t="shared" ref="L7:N7" si="1">(E7-D7)/D7</f>
        <v>0.77372617776513453</v>
      </c>
      <c r="M7" s="202">
        <f t="shared" si="1"/>
        <v>0.40170226969292389</v>
      </c>
      <c r="N7" s="202">
        <f t="shared" si="1"/>
        <v>3.6851649005834007E-2</v>
      </c>
      <c r="O7" s="202">
        <f>(H7-G7)/G7</f>
        <v>-1</v>
      </c>
      <c r="P7" s="202">
        <f>AVERAGE(K7:O7)</f>
        <v>-1.6939153351079584E-2</v>
      </c>
    </row>
    <row r="8" spans="1:16" x14ac:dyDescent="0.4">
      <c r="A8" s="123" t="s">
        <v>4</v>
      </c>
      <c r="B8" s="121">
        <v>-864.03200000000004</v>
      </c>
      <c r="C8" s="122">
        <v>1196.3130000000001</v>
      </c>
      <c r="D8" s="122">
        <v>876.04200000000003</v>
      </c>
      <c r="E8" s="122">
        <v>1156</v>
      </c>
      <c r="F8" s="122">
        <v>1499</v>
      </c>
      <c r="G8" s="122">
        <v>1564.2560000000001</v>
      </c>
      <c r="H8" s="18"/>
      <c r="I8" s="18"/>
      <c r="J8" s="203">
        <f>B8/$B$7</f>
        <v>-0.23659242850121237</v>
      </c>
      <c r="K8" s="203">
        <f>C8/$C$7</f>
        <v>0.24896014537466299</v>
      </c>
      <c r="L8" s="203">
        <f>D8/$D$7</f>
        <v>0.25932220097158282</v>
      </c>
      <c r="M8" s="203">
        <f>E8/$E$7</f>
        <v>0.19292389853137518</v>
      </c>
      <c r="N8" s="203">
        <f>F8/$F$7</f>
        <v>0.17847362781283485</v>
      </c>
      <c r="O8" s="203">
        <f>G8/$G$7</f>
        <v>0.17962369482657037</v>
      </c>
      <c r="P8" s="203">
        <f>AVERAGE(J8:O8)</f>
        <v>0.13711852316930231</v>
      </c>
    </row>
    <row r="9" spans="1:16" x14ac:dyDescent="0.4">
      <c r="A9" s="77" t="s">
        <v>5</v>
      </c>
      <c r="B9" s="124">
        <f>(B7+B8)</f>
        <v>2787.953</v>
      </c>
      <c r="C9" s="125">
        <f>C7-C8</f>
        <v>3608.9259999999995</v>
      </c>
      <c r="D9" s="125">
        <f t="shared" ref="D9:G9" si="2">D7-D8</f>
        <v>2502.1570000000002</v>
      </c>
      <c r="E9" s="125">
        <f t="shared" si="2"/>
        <v>4836</v>
      </c>
      <c r="F9" s="125">
        <f t="shared" si="2"/>
        <v>6900</v>
      </c>
      <c r="G9" s="125">
        <f t="shared" si="2"/>
        <v>7144.2609999999995</v>
      </c>
      <c r="H9" s="3"/>
      <c r="I9" s="3"/>
      <c r="J9" s="203">
        <f>B9/$B$7</f>
        <v>0.76340757149878757</v>
      </c>
      <c r="K9" s="203">
        <f t="shared" ref="K9:K20" si="3">C9/$C$7</f>
        <v>0.75103985462533696</v>
      </c>
      <c r="L9" s="203">
        <f t="shared" ref="L9:L20" si="4">D9/$D$7</f>
        <v>0.74067779902841724</v>
      </c>
      <c r="M9" s="203">
        <f t="shared" ref="M9:M20" si="5">E9/$E$7</f>
        <v>0.80707610146862485</v>
      </c>
      <c r="N9" s="203">
        <f t="shared" ref="N9:N20" si="6">F9/$F$7</f>
        <v>0.82152637218716518</v>
      </c>
      <c r="O9" s="203">
        <f t="shared" ref="O9:O20" si="7">G9/$G$7</f>
        <v>0.82037630517342963</v>
      </c>
      <c r="P9" s="203">
        <f t="shared" ref="P9:P13" si="8">AVERAGE(J9:O9)</f>
        <v>0.78401733399696028</v>
      </c>
    </row>
    <row r="10" spans="1:16" x14ac:dyDescent="0.4">
      <c r="A10" s="123" t="s">
        <v>6</v>
      </c>
      <c r="B10" s="121">
        <v>2160.0070000000001</v>
      </c>
      <c r="C10" s="122">
        <v>3295.4</v>
      </c>
      <c r="D10" s="121">
        <v>5063.0479999999998</v>
      </c>
      <c r="E10" s="121">
        <v>3435.4560000000001</v>
      </c>
      <c r="F10" s="126">
        <v>3980</v>
      </c>
      <c r="G10" s="122">
        <v>2616.029</v>
      </c>
      <c r="H10" s="18"/>
      <c r="I10" s="18"/>
      <c r="J10" s="203">
        <f t="shared" ref="J10:J20" si="9">B10/$B$7</f>
        <v>0.59146108212383131</v>
      </c>
      <c r="K10" s="203">
        <f t="shared" si="3"/>
        <v>0.68579315201595603</v>
      </c>
      <c r="L10" s="203">
        <f t="shared" si="4"/>
        <v>1.4987417851938265</v>
      </c>
      <c r="M10" s="203">
        <f t="shared" si="5"/>
        <v>0.57334045393858479</v>
      </c>
      <c r="N10" s="203">
        <f t="shared" si="6"/>
        <v>0.4738659364210025</v>
      </c>
      <c r="O10" s="203">
        <f t="shared" si="7"/>
        <v>0.30039890833307209</v>
      </c>
      <c r="P10" s="203">
        <f t="shared" si="8"/>
        <v>0.68726688633771227</v>
      </c>
    </row>
    <row r="11" spans="1:16" x14ac:dyDescent="0.4">
      <c r="A11" s="123" t="s">
        <v>7</v>
      </c>
      <c r="B11" s="127">
        <v>609.20000000000005</v>
      </c>
      <c r="C11" s="122">
        <v>815.07</v>
      </c>
      <c r="D11" s="122">
        <v>877.90099999999995</v>
      </c>
      <c r="E11" s="122">
        <v>354.18299999999999</v>
      </c>
      <c r="F11" s="122">
        <v>952</v>
      </c>
      <c r="G11" s="122">
        <v>1000.203</v>
      </c>
      <c r="H11" s="18"/>
      <c r="I11" s="18"/>
      <c r="J11" s="203">
        <f t="shared" si="9"/>
        <v>0.16681339052597424</v>
      </c>
      <c r="K11" s="203">
        <f t="shared" si="3"/>
        <v>0.16962111561984744</v>
      </c>
      <c r="L11" s="203">
        <f t="shared" si="4"/>
        <v>0.25987249418995151</v>
      </c>
      <c r="M11" s="203">
        <f t="shared" si="5"/>
        <v>5.9109312416555405E-2</v>
      </c>
      <c r="N11" s="203">
        <f t="shared" si="6"/>
        <v>0.11334682700321466</v>
      </c>
      <c r="O11" s="203">
        <f t="shared" si="7"/>
        <v>0.11485342452681668</v>
      </c>
      <c r="P11" s="203">
        <f t="shared" si="8"/>
        <v>0.14726942738039331</v>
      </c>
    </row>
    <row r="12" spans="1:16" x14ac:dyDescent="0.4">
      <c r="A12" s="128" t="s">
        <v>8</v>
      </c>
      <c r="B12" s="129">
        <f>B9-B10-B11</f>
        <v>18.745999999999867</v>
      </c>
      <c r="C12" s="125">
        <f>C9-C10-C11</f>
        <v>-501.54400000000066</v>
      </c>
      <c r="D12" s="125">
        <f t="shared" ref="D12:G12" si="10">D9-D10-D11</f>
        <v>-3438.7919999999995</v>
      </c>
      <c r="E12" s="125">
        <f t="shared" si="10"/>
        <v>1046.3609999999999</v>
      </c>
      <c r="F12" s="125">
        <f t="shared" si="10"/>
        <v>1968</v>
      </c>
      <c r="G12" s="125">
        <f t="shared" si="10"/>
        <v>3528.029</v>
      </c>
      <c r="H12" s="3"/>
      <c r="I12" s="3"/>
      <c r="J12" s="203">
        <f t="shared" si="9"/>
        <v>5.1330988489820921E-3</v>
      </c>
      <c r="K12" s="203">
        <f t="shared" si="3"/>
        <v>-0.10437441301046643</v>
      </c>
      <c r="L12" s="203">
        <f t="shared" si="4"/>
        <v>-1.0179364803553608</v>
      </c>
      <c r="M12" s="203">
        <f t="shared" si="5"/>
        <v>0.17462633511348463</v>
      </c>
      <c r="N12" s="203">
        <f t="shared" si="6"/>
        <v>0.23431360876294796</v>
      </c>
      <c r="O12" s="203">
        <f t="shared" si="7"/>
        <v>0.40512397231354086</v>
      </c>
      <c r="P12" s="203">
        <f t="shared" si="8"/>
        <v>-5.0518979721145267E-2</v>
      </c>
    </row>
    <row r="13" spans="1:16" x14ac:dyDescent="0.4">
      <c r="A13" s="123" t="s">
        <v>80</v>
      </c>
      <c r="B13" s="127">
        <v>0</v>
      </c>
      <c r="C13" s="134">
        <v>0</v>
      </c>
      <c r="D13" s="134">
        <v>0</v>
      </c>
      <c r="E13" s="134">
        <v>0</v>
      </c>
      <c r="F13" s="134">
        <v>0</v>
      </c>
      <c r="G13" s="134">
        <v>0</v>
      </c>
      <c r="H13" s="18"/>
      <c r="I13" s="18"/>
      <c r="J13" s="203">
        <f t="shared" si="9"/>
        <v>0</v>
      </c>
      <c r="K13" s="203">
        <f t="shared" si="3"/>
        <v>0</v>
      </c>
      <c r="L13" s="203">
        <f t="shared" si="4"/>
        <v>0</v>
      </c>
      <c r="M13" s="203">
        <f t="shared" si="5"/>
        <v>0</v>
      </c>
      <c r="N13" s="203">
        <f t="shared" si="6"/>
        <v>0</v>
      </c>
      <c r="O13" s="203">
        <f t="shared" si="7"/>
        <v>0</v>
      </c>
      <c r="P13" s="203">
        <f t="shared" si="8"/>
        <v>0</v>
      </c>
    </row>
    <row r="14" spans="1:16" x14ac:dyDescent="0.4">
      <c r="A14" s="123" t="s">
        <v>9</v>
      </c>
      <c r="B14" s="121">
        <v>40.65</v>
      </c>
      <c r="C14" s="121">
        <v>75.933999999999997</v>
      </c>
      <c r="D14" s="121">
        <v>-144.571</v>
      </c>
      <c r="E14" s="121">
        <v>-424.86500000000001</v>
      </c>
      <c r="F14" s="126">
        <v>162</v>
      </c>
      <c r="G14" s="122">
        <f>G7*P14</f>
        <v>-53.740464599480006</v>
      </c>
      <c r="H14" s="18"/>
      <c r="I14" s="18"/>
      <c r="J14" s="203">
        <f t="shared" si="9"/>
        <v>1.1130932903612691E-2</v>
      </c>
      <c r="K14" s="203">
        <f t="shared" si="3"/>
        <v>1.580233574230127E-2</v>
      </c>
      <c r="L14" s="203">
        <f t="shared" si="4"/>
        <v>-4.2795288258625379E-2</v>
      </c>
      <c r="M14" s="203">
        <f t="shared" si="5"/>
        <v>-7.0905373831775698E-2</v>
      </c>
      <c r="N14" s="203">
        <f t="shared" si="6"/>
        <v>1.9288010477437788E-2</v>
      </c>
      <c r="O14" s="203">
        <f t="shared" si="7"/>
        <v>-6.1710236771059879E-3</v>
      </c>
      <c r="P14" s="203">
        <f>AVERAGE(J14:K14,M14:N14)</f>
        <v>-6.1710236771059879E-3</v>
      </c>
    </row>
    <row r="15" spans="1:16" x14ac:dyDescent="0.4">
      <c r="A15" s="123" t="s">
        <v>87</v>
      </c>
      <c r="B15" s="121">
        <v>-3.2</v>
      </c>
      <c r="C15" s="121">
        <v>-6</v>
      </c>
      <c r="D15" s="121">
        <v>-8.1999999999999993</v>
      </c>
      <c r="E15" s="121">
        <v>-3.5</v>
      </c>
      <c r="F15" s="121">
        <v>-5.4</v>
      </c>
      <c r="G15" s="122">
        <f t="shared" ref="G15:G17" si="11">G8*P15</f>
        <v>-1.3108147725104875</v>
      </c>
      <c r="H15" s="18"/>
      <c r="I15" s="18"/>
      <c r="J15" s="203">
        <f t="shared" si="9"/>
        <v>-8.7623580053039648E-4</v>
      </c>
      <c r="K15" s="203">
        <f t="shared" si="3"/>
        <v>-1.2486371645614297E-3</v>
      </c>
      <c r="L15" s="203">
        <f t="shared" si="4"/>
        <v>-2.4273288814542896E-3</v>
      </c>
      <c r="M15" s="203">
        <f t="shared" si="5"/>
        <v>-5.8411214953271024E-4</v>
      </c>
      <c r="N15" s="203">
        <f t="shared" si="6"/>
        <v>-6.4293368258125968E-4</v>
      </c>
      <c r="O15" s="203">
        <f t="shared" si="7"/>
        <v>-1.5052100977818467E-4</v>
      </c>
      <c r="P15" s="203">
        <f t="shared" ref="P15:P20" si="12">AVERAGE(J15:K15,M15:N15)</f>
        <v>-8.3797969930144909E-4</v>
      </c>
    </row>
    <row r="16" spans="1:16" x14ac:dyDescent="0.4">
      <c r="A16" s="123" t="s">
        <v>10</v>
      </c>
      <c r="B16" s="121">
        <v>-9.1609999999999996</v>
      </c>
      <c r="C16" s="121">
        <v>19.905999999999999</v>
      </c>
      <c r="D16" s="121">
        <v>-939.02</v>
      </c>
      <c r="E16" s="121">
        <v>-309.41199999999998</v>
      </c>
      <c r="F16" s="126">
        <v>28.4</v>
      </c>
      <c r="G16" s="122">
        <f t="shared" si="11"/>
        <v>-83.270110314401904</v>
      </c>
      <c r="H16" s="18"/>
      <c r="I16" s="18"/>
      <c r="J16" s="203">
        <f t="shared" si="9"/>
        <v>-2.5084988027059257E-3</v>
      </c>
      <c r="K16" s="203">
        <f t="shared" si="3"/>
        <v>4.1425618996266365E-3</v>
      </c>
      <c r="L16" s="203">
        <f t="shared" si="4"/>
        <v>-0.27796467881258624</v>
      </c>
      <c r="M16" s="203">
        <f t="shared" si="5"/>
        <v>-5.1637516688918556E-2</v>
      </c>
      <c r="N16" s="203">
        <f t="shared" si="6"/>
        <v>3.3813549232051435E-3</v>
      </c>
      <c r="O16" s="203">
        <f t="shared" si="7"/>
        <v>-9.5619162613338072E-3</v>
      </c>
      <c r="P16" s="203">
        <f t="shared" si="12"/>
        <v>-1.1655524667198176E-2</v>
      </c>
    </row>
    <row r="17" spans="1:16" x14ac:dyDescent="0.4">
      <c r="A17" s="123" t="s">
        <v>88</v>
      </c>
      <c r="B17" s="121">
        <v>0</v>
      </c>
      <c r="C17" s="121">
        <v>0</v>
      </c>
      <c r="D17" s="121">
        <v>-151.35499999999999</v>
      </c>
      <c r="E17" s="121">
        <v>-608.71799999999996</v>
      </c>
      <c r="F17" s="121">
        <v>-164</v>
      </c>
      <c r="G17" s="122">
        <f t="shared" si="11"/>
        <v>-79.209816887830328</v>
      </c>
      <c r="H17" s="18"/>
      <c r="I17" s="18"/>
      <c r="J17" s="203">
        <f t="shared" si="9"/>
        <v>0</v>
      </c>
      <c r="K17" s="203">
        <f t="shared" si="3"/>
        <v>0</v>
      </c>
      <c r="L17" s="203">
        <f t="shared" si="4"/>
        <v>-4.4803458884452925E-2</v>
      </c>
      <c r="M17" s="203">
        <f t="shared" si="5"/>
        <v>-0.1015884512683578</v>
      </c>
      <c r="N17" s="203">
        <f t="shared" si="6"/>
        <v>-1.9526134063578997E-2</v>
      </c>
      <c r="O17" s="203">
        <f t="shared" si="7"/>
        <v>-9.0956723042316303E-3</v>
      </c>
      <c r="P17" s="203">
        <f t="shared" si="12"/>
        <v>-3.0278646332984202E-2</v>
      </c>
    </row>
    <row r="18" spans="1:16" x14ac:dyDescent="0.4">
      <c r="A18" s="77" t="s">
        <v>11</v>
      </c>
      <c r="B18" s="124">
        <f>B12+B13+B14+B15+B16+B17</f>
        <v>47.034999999999862</v>
      </c>
      <c r="C18" s="125">
        <f>C12+C13+C14+C15+C16+C17</f>
        <v>-411.70400000000069</v>
      </c>
      <c r="D18" s="125">
        <f t="shared" ref="D18:F18" si="13">D12+D13+D14+D15+D16+D17</f>
        <v>-4681.9379999999983</v>
      </c>
      <c r="E18" s="125">
        <f t="shared" si="13"/>
        <v>-300.13400000000007</v>
      </c>
      <c r="F18" s="125">
        <f t="shared" si="13"/>
        <v>1989</v>
      </c>
      <c r="G18" s="125">
        <f>G12+G13+G14+G15+G16+G17</f>
        <v>3310.4977934257772</v>
      </c>
      <c r="H18" s="3"/>
      <c r="I18" s="3"/>
      <c r="J18" s="203">
        <f t="shared" si="9"/>
        <v>1.2879297149358461E-2</v>
      </c>
      <c r="K18" s="203">
        <f t="shared" si="3"/>
        <v>-8.567815253309996E-2</v>
      </c>
      <c r="L18" s="203">
        <f t="shared" si="4"/>
        <v>-1.3859272351924792</v>
      </c>
      <c r="M18" s="203">
        <f t="shared" si="5"/>
        <v>-5.0089118825100143E-2</v>
      </c>
      <c r="N18" s="203">
        <f t="shared" si="6"/>
        <v>0.23681390641743064</v>
      </c>
      <c r="O18" s="203">
        <f t="shared" si="7"/>
        <v>0.38014483906109126</v>
      </c>
      <c r="P18" s="203">
        <f t="shared" si="12"/>
        <v>2.8481483052147247E-2</v>
      </c>
    </row>
    <row r="19" spans="1:16" x14ac:dyDescent="0.4">
      <c r="A19" s="123" t="s">
        <v>12</v>
      </c>
      <c r="B19" s="121">
        <v>-63.893000000000001</v>
      </c>
      <c r="C19" s="121">
        <v>-262.63600000000002</v>
      </c>
      <c r="D19" s="121">
        <v>97.221999999999994</v>
      </c>
      <c r="E19" s="121">
        <v>-51.826999999999998</v>
      </c>
      <c r="F19" s="126">
        <v>-96</v>
      </c>
      <c r="G19" s="130">
        <f>AVERAGE(B19:F19)</f>
        <v>-75.4268</v>
      </c>
      <c r="H19" s="18"/>
      <c r="I19" s="18"/>
      <c r="J19" s="203">
        <f t="shared" si="9"/>
        <v>-1.7495416876027695E-2</v>
      </c>
      <c r="K19" s="203">
        <f t="shared" si="3"/>
        <v>-5.4656178391959284E-2</v>
      </c>
      <c r="L19" s="203">
        <f t="shared" si="4"/>
        <v>2.8779240062530357E-2</v>
      </c>
      <c r="M19" s="203">
        <f t="shared" si="5"/>
        <v>-8.649365821094792E-3</v>
      </c>
      <c r="N19" s="203">
        <f t="shared" si="6"/>
        <v>-1.142993213477795E-2</v>
      </c>
      <c r="O19" s="203">
        <f t="shared" si="7"/>
        <v>-8.6612680436864275E-3</v>
      </c>
      <c r="P19" s="203">
        <f t="shared" si="12"/>
        <v>-2.3057723305964929E-2</v>
      </c>
    </row>
    <row r="20" spans="1:16" ht="28.5" customHeight="1" thickBot="1" x14ac:dyDescent="0.45">
      <c r="A20" s="131" t="s">
        <v>13</v>
      </c>
      <c r="B20" s="132">
        <f>B18+B19</f>
        <v>-16.858000000000139</v>
      </c>
      <c r="C20" s="133">
        <f>C18+C19</f>
        <v>-674.34000000000071</v>
      </c>
      <c r="D20" s="133">
        <f t="shared" ref="D20:G20" si="14">D18+D19</f>
        <v>-4584.7159999999985</v>
      </c>
      <c r="E20" s="133">
        <f t="shared" si="14"/>
        <v>-351.96100000000007</v>
      </c>
      <c r="F20" s="133">
        <f t="shared" si="14"/>
        <v>1893</v>
      </c>
      <c r="G20" s="133">
        <f t="shared" si="14"/>
        <v>3235.070993425777</v>
      </c>
      <c r="H20" s="3"/>
      <c r="I20" s="3"/>
      <c r="J20" s="115">
        <f t="shared" si="9"/>
        <v>-4.6161197266692327E-3</v>
      </c>
      <c r="K20" s="115">
        <f t="shared" si="3"/>
        <v>-0.14033433092505926</v>
      </c>
      <c r="L20" s="115">
        <f t="shared" si="4"/>
        <v>-1.357147995129949</v>
      </c>
      <c r="M20" s="115">
        <f t="shared" si="5"/>
        <v>-5.8738484646194938E-2</v>
      </c>
      <c r="N20" s="115">
        <f t="shared" si="6"/>
        <v>0.22538397428265269</v>
      </c>
      <c r="O20" s="115">
        <f t="shared" si="7"/>
        <v>0.37148357101740481</v>
      </c>
      <c r="P20" s="96">
        <f t="shared" si="12"/>
        <v>5.4237597461823175E-3</v>
      </c>
    </row>
    <row r="21" spans="1:16" ht="33" customHeight="1" x14ac:dyDescent="0.4">
      <c r="A21" s="353"/>
      <c r="B21" s="353"/>
      <c r="C21" s="3"/>
      <c r="D21" s="3"/>
      <c r="E21" s="3"/>
      <c r="F21" s="3"/>
      <c r="G21" s="3"/>
      <c r="H21" s="16"/>
      <c r="I21" s="16"/>
      <c r="J21" s="116"/>
      <c r="K21" s="117"/>
      <c r="L21" s="117"/>
      <c r="M21" s="117"/>
      <c r="N21" s="117"/>
      <c r="O21" s="117"/>
      <c r="P21" s="116"/>
    </row>
    <row r="22" spans="1:16" x14ac:dyDescent="0.4">
      <c r="A22" s="1"/>
      <c r="B22" s="1"/>
      <c r="C22" s="3"/>
      <c r="D22" s="3"/>
      <c r="E22" s="3"/>
      <c r="F22" s="3"/>
      <c r="G22" s="3"/>
      <c r="H22" s="3"/>
      <c r="I22" s="3"/>
      <c r="J22" s="118"/>
      <c r="K22" s="118"/>
      <c r="L22" s="118"/>
      <c r="M22" s="118"/>
      <c r="N22" s="118"/>
      <c r="O22" s="118"/>
      <c r="P22" s="116"/>
    </row>
    <row r="23" spans="1:16" x14ac:dyDescent="0.4">
      <c r="C23" s="75"/>
      <c r="D23" s="75"/>
      <c r="E23" s="75"/>
      <c r="F23" s="75"/>
      <c r="G23" s="18"/>
      <c r="H23" s="18"/>
      <c r="I23" s="18"/>
    </row>
    <row r="24" spans="1:16" x14ac:dyDescent="0.4">
      <c r="C24" s="76"/>
      <c r="D24" s="76"/>
      <c r="E24" s="76"/>
      <c r="F24" s="76"/>
      <c r="G24" s="27"/>
      <c r="H24" s="27"/>
      <c r="I24" s="27"/>
    </row>
    <row r="25" spans="1:16" x14ac:dyDescent="0.4">
      <c r="C25" s="76"/>
      <c r="D25" s="76"/>
      <c r="E25" s="76"/>
      <c r="F25" s="76"/>
      <c r="G25" s="27"/>
      <c r="H25" s="69"/>
      <c r="I25" s="27"/>
    </row>
    <row r="26" spans="1:16" x14ac:dyDescent="0.4">
      <c r="A26" s="1"/>
      <c r="B26" s="1"/>
      <c r="C26" s="3"/>
      <c r="D26" s="3"/>
      <c r="E26" s="3"/>
      <c r="F26" s="3"/>
      <c r="H26" s="3"/>
      <c r="I26" s="3"/>
    </row>
    <row r="27" spans="1:16" x14ac:dyDescent="0.4">
      <c r="A27" s="1"/>
      <c r="B27" s="1"/>
      <c r="C27" s="3"/>
      <c r="D27" s="3"/>
      <c r="E27" s="3"/>
      <c r="F27" s="3"/>
      <c r="H27" s="3"/>
      <c r="I27" s="3"/>
    </row>
    <row r="28" spans="1:16" ht="13.9" x14ac:dyDescent="0.4">
      <c r="A28" s="111" t="s">
        <v>86</v>
      </c>
      <c r="B28" s="112"/>
      <c r="C28" s="112"/>
      <c r="D28" s="112"/>
      <c r="E28" s="113"/>
      <c r="F28" s="113"/>
      <c r="G28" s="113"/>
      <c r="H28" s="112"/>
      <c r="I28" s="114"/>
    </row>
    <row r="29" spans="1:16" ht="13.9" x14ac:dyDescent="0.4">
      <c r="A29" s="107" t="s">
        <v>14</v>
      </c>
      <c r="B29" s="108"/>
      <c r="C29" s="108"/>
      <c r="D29" s="108"/>
      <c r="E29" s="109"/>
      <c r="F29" s="109"/>
      <c r="G29" s="109"/>
      <c r="H29" s="108"/>
      <c r="I29" s="110"/>
    </row>
    <row r="31" spans="1:16" x14ac:dyDescent="0.4">
      <c r="A31" s="97" t="s">
        <v>1</v>
      </c>
      <c r="B31" s="139"/>
      <c r="C31" s="139"/>
      <c r="D31" s="139"/>
      <c r="E31" s="139"/>
      <c r="F31" s="139"/>
      <c r="H31" s="15"/>
      <c r="I31" s="15"/>
    </row>
    <row r="32" spans="1:16" x14ac:dyDescent="0.4">
      <c r="A32" s="98" t="s">
        <v>2</v>
      </c>
      <c r="B32" s="140">
        <v>2018</v>
      </c>
      <c r="C32" s="140">
        <f>(B32+1)</f>
        <v>2019</v>
      </c>
      <c r="D32" s="140">
        <f t="shared" ref="D32:F32" si="15">(C32+1)</f>
        <v>2020</v>
      </c>
      <c r="E32" s="140">
        <f t="shared" si="15"/>
        <v>2021</v>
      </c>
      <c r="F32" s="140">
        <f t="shared" si="15"/>
        <v>2022</v>
      </c>
      <c r="H32" s="14"/>
      <c r="I32" s="14"/>
    </row>
    <row r="33" spans="1:16" x14ac:dyDescent="0.4">
      <c r="A33" s="97"/>
      <c r="B33" s="98"/>
      <c r="C33" s="98"/>
      <c r="D33" s="98"/>
      <c r="E33" s="98"/>
      <c r="F33" s="98"/>
    </row>
    <row r="34" spans="1:16" ht="14.65" thickBot="1" x14ac:dyDescent="0.5">
      <c r="A34" s="97" t="s">
        <v>50</v>
      </c>
      <c r="B34" s="98"/>
      <c r="C34" s="98"/>
      <c r="D34" s="98"/>
      <c r="E34" s="98"/>
      <c r="F34" s="98"/>
      <c r="J34" s="361" t="s">
        <v>128</v>
      </c>
      <c r="K34" s="362"/>
      <c r="L34" s="79"/>
      <c r="M34" s="79"/>
      <c r="N34" s="79"/>
      <c r="O34" s="79"/>
      <c r="P34" s="72"/>
    </row>
    <row r="35" spans="1:16" ht="18" customHeight="1" x14ac:dyDescent="0.45">
      <c r="A35" s="141" t="s">
        <v>15</v>
      </c>
      <c r="B35" s="142">
        <v>2140.877</v>
      </c>
      <c r="C35" s="142">
        <v>2013.547</v>
      </c>
      <c r="D35" s="142">
        <v>5480.5569999999998</v>
      </c>
      <c r="E35" s="142">
        <v>6067.4380000000001</v>
      </c>
      <c r="F35" s="143">
        <v>7378</v>
      </c>
      <c r="G35" s="17"/>
      <c r="H35" s="17"/>
      <c r="I35" s="17"/>
      <c r="J35" s="80"/>
      <c r="K35" s="186">
        <v>2018</v>
      </c>
      <c r="L35" s="187">
        <v>2019</v>
      </c>
      <c r="M35" s="187">
        <v>2020</v>
      </c>
      <c r="N35" s="187">
        <v>2021</v>
      </c>
      <c r="O35" s="187">
        <v>2022</v>
      </c>
      <c r="P35" s="81">
        <v>2023</v>
      </c>
    </row>
    <row r="36" spans="1:16" ht="15" x14ac:dyDescent="0.55000000000000004">
      <c r="A36" s="141" t="s">
        <v>83</v>
      </c>
      <c r="B36" s="142">
        <v>1188.431</v>
      </c>
      <c r="C36" s="142">
        <v>1060.7260000000001</v>
      </c>
      <c r="D36" s="142">
        <v>910.7</v>
      </c>
      <c r="E36" s="142">
        <v>2255.038</v>
      </c>
      <c r="F36" s="144">
        <v>2244</v>
      </c>
      <c r="G36" s="19"/>
      <c r="H36" s="19"/>
      <c r="I36" s="19"/>
      <c r="J36" s="82"/>
      <c r="K36" s="83"/>
      <c r="L36" s="79"/>
      <c r="M36" s="79"/>
      <c r="N36" s="79"/>
      <c r="O36" s="79"/>
      <c r="P36" s="79"/>
    </row>
    <row r="37" spans="1:16" ht="14.25" x14ac:dyDescent="0.45">
      <c r="A37" s="145" t="s">
        <v>16</v>
      </c>
      <c r="B37" s="146">
        <f>B35+B36</f>
        <v>3329.308</v>
      </c>
      <c r="C37" s="146">
        <f>C35+C36</f>
        <v>3074.2730000000001</v>
      </c>
      <c r="D37" s="146">
        <f>D35+D36</f>
        <v>6391.2569999999996</v>
      </c>
      <c r="E37" s="146">
        <f>E35+E36</f>
        <v>8322.4760000000006</v>
      </c>
      <c r="F37" s="146">
        <f>F35+F36</f>
        <v>9622</v>
      </c>
      <c r="G37" s="5"/>
      <c r="H37" s="5"/>
      <c r="I37" s="5"/>
      <c r="J37" s="84" t="s">
        <v>129</v>
      </c>
      <c r="K37" s="85">
        <f>(B47+B57)</f>
        <v>771.7360000000001</v>
      </c>
      <c r="L37" s="85">
        <f t="shared" ref="L37:O37" si="16">(C47+C57)</f>
        <v>1620.6019999999999</v>
      </c>
      <c r="M37" s="85">
        <f t="shared" si="16"/>
        <v>1653.8000000000002</v>
      </c>
      <c r="N37" s="85">
        <f t="shared" si="16"/>
        <v>1512.7249999999999</v>
      </c>
      <c r="O37" s="85">
        <f t="shared" si="16"/>
        <v>1255</v>
      </c>
      <c r="P37" s="74"/>
    </row>
    <row r="38" spans="1:16" ht="18.75" customHeight="1" x14ac:dyDescent="0.45">
      <c r="A38" s="141" t="s">
        <v>17</v>
      </c>
      <c r="B38" s="142">
        <v>0</v>
      </c>
      <c r="C38" s="142">
        <v>0</v>
      </c>
      <c r="D38" s="142">
        <v>0</v>
      </c>
      <c r="E38" s="142">
        <v>0</v>
      </c>
      <c r="F38" s="143">
        <v>0</v>
      </c>
      <c r="G38" s="5"/>
      <c r="H38" s="5"/>
      <c r="I38" s="5"/>
      <c r="J38" s="86" t="s">
        <v>130</v>
      </c>
      <c r="K38" s="87">
        <v>0</v>
      </c>
      <c r="L38" s="88">
        <f>(L37-K37)</f>
        <v>848.86599999999976</v>
      </c>
      <c r="M38" s="88">
        <f t="shared" ref="M38:O38" si="17">(M37-L37)</f>
        <v>33.19800000000032</v>
      </c>
      <c r="N38" s="88">
        <f t="shared" si="17"/>
        <v>-141.07500000000027</v>
      </c>
      <c r="O38" s="88">
        <f t="shared" si="17"/>
        <v>-257.72499999999991</v>
      </c>
      <c r="P38" s="79"/>
    </row>
    <row r="39" spans="1:16" ht="14.65" thickBot="1" x14ac:dyDescent="0.5">
      <c r="A39" s="141" t="s">
        <v>18</v>
      </c>
      <c r="B39" s="142">
        <v>0</v>
      </c>
      <c r="C39" s="142">
        <v>0</v>
      </c>
      <c r="D39" s="142">
        <v>0</v>
      </c>
      <c r="E39" s="142">
        <v>0</v>
      </c>
      <c r="F39" s="143">
        <v>0</v>
      </c>
      <c r="G39" s="5"/>
      <c r="H39" s="5"/>
      <c r="I39" s="5"/>
      <c r="J39" s="89" t="s">
        <v>131</v>
      </c>
      <c r="K39" s="83">
        <v>0</v>
      </c>
      <c r="L39" s="90">
        <f>(L38/C7)</f>
        <v>0.17665427255543373</v>
      </c>
      <c r="M39" s="90">
        <f t="shared" ref="M39:O39" si="18">(M38/D7)</f>
        <v>9.8271297812829624E-3</v>
      </c>
      <c r="N39" s="90">
        <f t="shared" si="18"/>
        <v>-2.354389185580779E-2</v>
      </c>
      <c r="O39" s="90">
        <f t="shared" si="18"/>
        <v>-3.0685200619121313E-2</v>
      </c>
      <c r="P39" s="91">
        <f>AVERAGE(K39:O39)</f>
        <v>2.6450461972357519E-2</v>
      </c>
    </row>
    <row r="40" spans="1:16" ht="14.25" x14ac:dyDescent="0.45">
      <c r="A40" s="141" t="s">
        <v>19</v>
      </c>
      <c r="B40" s="142">
        <v>2545.2240000000002</v>
      </c>
      <c r="C40" s="142">
        <v>3487.17</v>
      </c>
      <c r="D40" s="142">
        <v>2525.1289999999999</v>
      </c>
      <c r="E40" s="142">
        <v>4063.904</v>
      </c>
      <c r="F40" s="143">
        <v>5239</v>
      </c>
      <c r="G40" s="5"/>
      <c r="H40" s="5"/>
      <c r="I40" s="5"/>
    </row>
    <row r="41" spans="1:16" x14ac:dyDescent="0.4">
      <c r="A41" s="147" t="s">
        <v>20</v>
      </c>
      <c r="B41" s="148">
        <f>SUM(B37:B40)</f>
        <v>5874.5320000000002</v>
      </c>
      <c r="C41" s="148">
        <f>SUM(C37:C40)</f>
        <v>6561.4430000000002</v>
      </c>
      <c r="D41" s="148">
        <f>SUM(D37:D40)</f>
        <v>8916.3859999999986</v>
      </c>
      <c r="E41" s="148">
        <f>SUM(E37:E40)</f>
        <v>12386.380000000001</v>
      </c>
      <c r="F41" s="148">
        <f>SUM(F37:F40)</f>
        <v>14861</v>
      </c>
      <c r="G41" s="16"/>
      <c r="H41" s="16"/>
      <c r="I41" s="16"/>
    </row>
    <row r="42" spans="1:16" ht="14.25" x14ac:dyDescent="0.45">
      <c r="A42" s="98"/>
      <c r="B42" s="146"/>
      <c r="C42" s="146"/>
      <c r="D42" s="146"/>
      <c r="E42" s="146"/>
      <c r="F42" s="146"/>
      <c r="G42" s="5"/>
      <c r="H42" s="20"/>
      <c r="I42" s="5"/>
      <c r="J42" s="363" t="s">
        <v>132</v>
      </c>
      <c r="K42" s="364"/>
      <c r="L42" s="188"/>
      <c r="M42" s="189"/>
      <c r="N42" s="189"/>
      <c r="O42" s="189"/>
      <c r="P42" s="190" t="s">
        <v>133</v>
      </c>
    </row>
    <row r="43" spans="1:16" ht="14.25" x14ac:dyDescent="0.45">
      <c r="A43" s="147" t="s">
        <v>81</v>
      </c>
      <c r="B43" s="142">
        <v>0</v>
      </c>
      <c r="C43" s="142">
        <v>0</v>
      </c>
      <c r="D43" s="142">
        <v>0</v>
      </c>
      <c r="E43" s="142">
        <v>0</v>
      </c>
      <c r="F43" s="143">
        <v>0</v>
      </c>
      <c r="G43" s="16"/>
      <c r="H43" s="16"/>
      <c r="I43" s="16"/>
      <c r="J43" s="73" t="s">
        <v>134</v>
      </c>
      <c r="K43" s="189">
        <v>2018</v>
      </c>
      <c r="L43" s="189">
        <v>2019</v>
      </c>
      <c r="M43" s="189">
        <f>(L43+1)</f>
        <v>2020</v>
      </c>
      <c r="N43" s="189">
        <f t="shared" ref="N43:O43" si="19">(M43+1)</f>
        <v>2021</v>
      </c>
      <c r="O43" s="189">
        <f t="shared" si="19"/>
        <v>2022</v>
      </c>
      <c r="P43" s="79"/>
    </row>
    <row r="44" spans="1:16" ht="14.25" x14ac:dyDescent="0.45">
      <c r="A44" s="145" t="s">
        <v>21</v>
      </c>
      <c r="B44" s="143">
        <v>110.53200000000001</v>
      </c>
      <c r="C44" s="143">
        <v>306.80900000000003</v>
      </c>
      <c r="D44" s="143">
        <v>189.16399999999999</v>
      </c>
      <c r="E44" s="143">
        <v>188.56300000000002</v>
      </c>
      <c r="F44" s="143">
        <v>234</v>
      </c>
      <c r="G44" s="29"/>
      <c r="H44" s="5"/>
      <c r="I44" s="5"/>
      <c r="J44" s="191"/>
      <c r="K44" s="192"/>
      <c r="L44" s="192"/>
      <c r="M44" s="192" t="s">
        <v>138</v>
      </c>
      <c r="N44" s="192"/>
      <c r="O44" s="189"/>
      <c r="P44" s="79"/>
    </row>
    <row r="45" spans="1:16" ht="14.25" x14ac:dyDescent="0.45">
      <c r="A45" s="149" t="s">
        <v>22</v>
      </c>
      <c r="B45" s="150">
        <f>SUM(B43:B44)</f>
        <v>110.53200000000001</v>
      </c>
      <c r="C45" s="150">
        <f>SUM(C43:C44)</f>
        <v>306.80900000000003</v>
      </c>
      <c r="D45" s="150">
        <f>SUM(D43:D44)</f>
        <v>189.16399999999999</v>
      </c>
      <c r="E45" s="150">
        <f>SUM(E43:E44)</f>
        <v>188.56300000000002</v>
      </c>
      <c r="F45" s="150">
        <f>SUM(F43:F44)</f>
        <v>234</v>
      </c>
      <c r="G45" s="28"/>
      <c r="H45" s="28"/>
      <c r="I45" s="28"/>
      <c r="J45" s="79" t="s">
        <v>135</v>
      </c>
      <c r="K45" s="74">
        <f>(B35+B38+B40)-(B63+B65+B67)</f>
        <v>950.09100000000035</v>
      </c>
      <c r="L45" s="74">
        <f t="shared" ref="L45:O45" si="20">(C35+C38+C40)-(C63+C65+C67)</f>
        <v>304.97500000000036</v>
      </c>
      <c r="M45" s="74">
        <f t="shared" si="20"/>
        <v>2922.4930000000004</v>
      </c>
      <c r="N45" s="74">
        <f t="shared" si="20"/>
        <v>3835.5390000000007</v>
      </c>
      <c r="O45" s="74">
        <f t="shared" si="20"/>
        <v>4698</v>
      </c>
      <c r="P45" s="193">
        <f>AVERAGE(L45:O45)</f>
        <v>2940.2517500000004</v>
      </c>
    </row>
    <row r="46" spans="1:16" ht="14.25" x14ac:dyDescent="0.45">
      <c r="A46" s="98"/>
      <c r="B46" s="146"/>
      <c r="C46" s="146"/>
      <c r="D46" s="146"/>
      <c r="E46" s="146"/>
      <c r="F46" s="146"/>
      <c r="G46" s="5"/>
      <c r="H46" s="6"/>
      <c r="I46" s="5"/>
      <c r="J46" s="79"/>
      <c r="K46" s="79"/>
      <c r="L46" s="79"/>
      <c r="M46" s="79"/>
      <c r="N46" s="79"/>
      <c r="O46" s="79"/>
      <c r="P46" s="193"/>
    </row>
    <row r="47" spans="1:16" ht="14.25" x14ac:dyDescent="0.45">
      <c r="A47" s="147" t="s">
        <v>23</v>
      </c>
      <c r="B47" s="142">
        <v>453.11900000000003</v>
      </c>
      <c r="C47" s="142">
        <v>865.60199999999998</v>
      </c>
      <c r="D47" s="142">
        <v>922.11300000000006</v>
      </c>
      <c r="E47" s="142">
        <v>807.81500000000005</v>
      </c>
      <c r="F47" s="143">
        <v>571</v>
      </c>
      <c r="G47" s="5"/>
      <c r="H47" s="6"/>
      <c r="I47" s="5"/>
      <c r="J47" s="79" t="s">
        <v>136</v>
      </c>
      <c r="K47" s="79"/>
      <c r="L47" s="74">
        <f>(L45-K45)</f>
        <v>-645.11599999999999</v>
      </c>
      <c r="M47" s="74">
        <f t="shared" ref="M47:O47" si="21">(M45-L45)</f>
        <v>2617.518</v>
      </c>
      <c r="N47" s="74">
        <f t="shared" si="21"/>
        <v>913.04600000000028</v>
      </c>
      <c r="O47" s="74">
        <f t="shared" si="21"/>
        <v>862.46099999999933</v>
      </c>
      <c r="P47" s="193">
        <f>AVERAGE(L47:O47)</f>
        <v>936.97724999999991</v>
      </c>
    </row>
    <row r="48" spans="1:16" ht="14.25" x14ac:dyDescent="0.45">
      <c r="A48" s="145" t="s">
        <v>24</v>
      </c>
      <c r="B48" s="146">
        <v>0</v>
      </c>
      <c r="C48" s="146">
        <v>0</v>
      </c>
      <c r="D48" s="146">
        <v>0</v>
      </c>
      <c r="E48" s="146">
        <v>0</v>
      </c>
      <c r="F48" s="146">
        <v>0</v>
      </c>
      <c r="G48" s="5"/>
      <c r="H48" s="5"/>
      <c r="I48" s="5"/>
      <c r="J48" s="79"/>
      <c r="K48" s="79"/>
      <c r="L48" s="194"/>
      <c r="M48" s="194"/>
      <c r="N48" s="194"/>
      <c r="O48" s="194"/>
      <c r="P48" s="193"/>
    </row>
    <row r="49" spans="1:16" ht="14.25" x14ac:dyDescent="0.45">
      <c r="A49" s="145" t="s">
        <v>25</v>
      </c>
      <c r="B49" s="146">
        <v>0</v>
      </c>
      <c r="C49" s="146">
        <v>0</v>
      </c>
      <c r="D49" s="146">
        <v>0</v>
      </c>
      <c r="E49" s="146">
        <v>0</v>
      </c>
      <c r="F49" s="146">
        <v>0</v>
      </c>
      <c r="G49" s="5"/>
      <c r="H49" s="5"/>
      <c r="I49" s="5"/>
      <c r="J49" s="79" t="s">
        <v>137</v>
      </c>
      <c r="K49" s="79"/>
      <c r="L49" s="195">
        <f>(L47/C7)</f>
        <v>-0.13425263550886857</v>
      </c>
      <c r="M49" s="195">
        <f t="shared" ref="M49:O49" si="22">(M47/D7)</f>
        <v>0.77482646818615486</v>
      </c>
      <c r="N49" s="195">
        <f t="shared" si="22"/>
        <v>0.15237750333778377</v>
      </c>
      <c r="O49" s="195">
        <f t="shared" si="22"/>
        <v>0.10268615311346581</v>
      </c>
      <c r="P49" s="196">
        <f>AVERAGE(L49:O49)</f>
        <v>0.22390937228213398</v>
      </c>
    </row>
    <row r="50" spans="1:16" ht="14.25" x14ac:dyDescent="0.45">
      <c r="A50" s="145" t="s">
        <v>26</v>
      </c>
      <c r="B50" s="146">
        <v>0</v>
      </c>
      <c r="C50" s="146">
        <v>0</v>
      </c>
      <c r="D50" s="146">
        <v>0</v>
      </c>
      <c r="E50" s="146">
        <v>0</v>
      </c>
      <c r="F50" s="146">
        <v>0</v>
      </c>
      <c r="G50" s="5"/>
      <c r="H50" s="5"/>
      <c r="I50" s="5"/>
      <c r="J50" s="79"/>
      <c r="K50" s="79"/>
      <c r="L50" s="79"/>
      <c r="M50" s="79"/>
      <c r="N50" s="79"/>
      <c r="O50" s="196"/>
      <c r="P50" s="79"/>
    </row>
    <row r="51" spans="1:16" x14ac:dyDescent="0.4">
      <c r="A51" s="145" t="s">
        <v>27</v>
      </c>
      <c r="B51" s="146">
        <v>0</v>
      </c>
      <c r="C51" s="146">
        <v>0</v>
      </c>
      <c r="D51" s="146">
        <v>0</v>
      </c>
      <c r="E51" s="146">
        <v>0</v>
      </c>
      <c r="F51" s="146">
        <v>0</v>
      </c>
      <c r="G51" s="5"/>
      <c r="H51" s="5"/>
      <c r="I51" s="5"/>
    </row>
    <row r="52" spans="1:16" x14ac:dyDescent="0.4">
      <c r="A52" s="149" t="s">
        <v>51</v>
      </c>
      <c r="B52" s="150">
        <f>SUM(B47:B51)</f>
        <v>453.11900000000003</v>
      </c>
      <c r="C52" s="150">
        <f t="shared" ref="C52:F52" si="23">SUM(C47:C51)</f>
        <v>865.60199999999998</v>
      </c>
      <c r="D52" s="150">
        <f t="shared" si="23"/>
        <v>922.11300000000006</v>
      </c>
      <c r="E52" s="150">
        <f t="shared" si="23"/>
        <v>807.81500000000005</v>
      </c>
      <c r="F52" s="150">
        <f t="shared" si="23"/>
        <v>571</v>
      </c>
      <c r="G52" s="28"/>
      <c r="H52" s="28"/>
      <c r="I52" s="28"/>
    </row>
    <row r="53" spans="1:16" ht="14.25" x14ac:dyDescent="0.45">
      <c r="A53" s="145" t="s">
        <v>28</v>
      </c>
      <c r="B53" s="142">
        <v>143.71100000000001</v>
      </c>
      <c r="C53" s="142">
        <v>178.73500000000001</v>
      </c>
      <c r="D53" s="142">
        <v>267.851</v>
      </c>
      <c r="E53" s="142">
        <v>379.19400000000002</v>
      </c>
      <c r="F53" s="143">
        <v>312</v>
      </c>
      <c r="G53" s="5"/>
      <c r="H53" s="5"/>
      <c r="I53" s="5"/>
    </row>
    <row r="54" spans="1:16" x14ac:dyDescent="0.4">
      <c r="A54" s="149" t="s">
        <v>52</v>
      </c>
      <c r="B54" s="150">
        <f>B52-B53</f>
        <v>309.40800000000002</v>
      </c>
      <c r="C54" s="150">
        <f>C52-C53</f>
        <v>686.86699999999996</v>
      </c>
      <c r="D54" s="150">
        <f>D52-D53</f>
        <v>654.26200000000006</v>
      </c>
      <c r="E54" s="150">
        <f>E52-E53</f>
        <v>428.62100000000004</v>
      </c>
      <c r="F54" s="150">
        <f>F52-F53</f>
        <v>259</v>
      </c>
      <c r="G54" s="28"/>
      <c r="H54" s="28"/>
      <c r="I54" s="28"/>
    </row>
    <row r="55" spans="1:16" ht="13.9" x14ac:dyDescent="0.4">
      <c r="A55" s="97"/>
      <c r="B55" s="146"/>
      <c r="C55" s="146"/>
      <c r="D55" s="146"/>
      <c r="E55" s="146"/>
      <c r="F55" s="146"/>
      <c r="G55" s="5"/>
      <c r="H55" s="21"/>
      <c r="I55" s="5"/>
    </row>
    <row r="56" spans="1:16" x14ac:dyDescent="0.4">
      <c r="A56" s="141" t="s">
        <v>29</v>
      </c>
      <c r="B56" s="146">
        <v>0</v>
      </c>
      <c r="C56" s="146">
        <v>0</v>
      </c>
      <c r="D56" s="146">
        <v>0</v>
      </c>
      <c r="E56" s="146">
        <v>0</v>
      </c>
      <c r="F56" s="146">
        <v>0</v>
      </c>
      <c r="G56" s="5"/>
      <c r="H56" s="5"/>
      <c r="I56" s="5"/>
    </row>
    <row r="57" spans="1:16" ht="14.25" x14ac:dyDescent="0.45">
      <c r="A57" s="141" t="s">
        <v>82</v>
      </c>
      <c r="B57" s="142">
        <v>318.61700000000002</v>
      </c>
      <c r="C57" s="142">
        <v>755</v>
      </c>
      <c r="D57" s="142">
        <v>731.68700000000001</v>
      </c>
      <c r="E57" s="142">
        <v>704.91</v>
      </c>
      <c r="F57" s="143">
        <v>684</v>
      </c>
      <c r="G57" s="5"/>
      <c r="H57" s="5"/>
      <c r="I57" s="5"/>
    </row>
    <row r="58" spans="1:16" ht="13.9" x14ac:dyDescent="0.4">
      <c r="A58" s="98"/>
      <c r="B58" s="146"/>
      <c r="C58" s="146"/>
      <c r="D58" s="146"/>
      <c r="E58" s="146"/>
      <c r="F58" s="146"/>
      <c r="G58" s="5"/>
      <c r="H58" s="61"/>
      <c r="I58" s="5"/>
    </row>
    <row r="59" spans="1:16" x14ac:dyDescent="0.4">
      <c r="A59" s="97" t="s">
        <v>30</v>
      </c>
      <c r="B59" s="151">
        <f>B41+B45+B54+B56+B57</f>
        <v>6613.0890000000009</v>
      </c>
      <c r="C59" s="151">
        <f>C41+C45+C54+C56+C57</f>
        <v>8310.1190000000006</v>
      </c>
      <c r="D59" s="151">
        <f>D41+D45+D54+D56+D57</f>
        <v>10491.499</v>
      </c>
      <c r="E59" s="151">
        <f>E41+E45+E54+E56+E57</f>
        <v>13708.474</v>
      </c>
      <c r="F59" s="151">
        <f>F41+F45+F54+F56+F57</f>
        <v>16038</v>
      </c>
      <c r="G59" s="28"/>
      <c r="H59" s="28"/>
      <c r="I59" s="28"/>
    </row>
    <row r="60" spans="1:16" ht="8.25" customHeight="1" x14ac:dyDescent="0.4">
      <c r="A60" s="98"/>
      <c r="B60" s="146"/>
      <c r="C60" s="146"/>
      <c r="D60" s="146"/>
      <c r="E60" s="146"/>
      <c r="F60" s="146"/>
      <c r="G60" s="5"/>
      <c r="H60" s="6"/>
      <c r="I60" s="5"/>
    </row>
    <row r="61" spans="1:16" x14ac:dyDescent="0.4">
      <c r="A61" s="98"/>
      <c r="B61" s="140"/>
      <c r="C61" s="140"/>
      <c r="D61" s="140"/>
      <c r="E61" s="140"/>
      <c r="F61" s="140"/>
      <c r="G61" s="14"/>
      <c r="H61" s="14"/>
      <c r="I61" s="14"/>
    </row>
    <row r="62" spans="1:16" ht="13.9" x14ac:dyDescent="0.4">
      <c r="A62" s="97" t="s">
        <v>31</v>
      </c>
      <c r="B62" s="146"/>
      <c r="C62" s="146"/>
      <c r="D62" s="146"/>
      <c r="E62" s="146"/>
      <c r="F62" s="146"/>
      <c r="G62" s="5"/>
      <c r="H62" s="22"/>
      <c r="I62" s="5"/>
    </row>
    <row r="63" spans="1:16" ht="14.25" x14ac:dyDescent="0.45">
      <c r="A63" s="141" t="s">
        <v>53</v>
      </c>
      <c r="B63" s="142">
        <v>70.63</v>
      </c>
      <c r="C63" s="142">
        <v>151.417</v>
      </c>
      <c r="D63" s="142">
        <v>79.897999999999996</v>
      </c>
      <c r="E63" s="142">
        <v>118.361</v>
      </c>
      <c r="F63" s="143">
        <v>137</v>
      </c>
      <c r="G63" s="17"/>
      <c r="H63" s="17"/>
      <c r="I63" s="17"/>
    </row>
    <row r="64" spans="1:16" ht="14.25" x14ac:dyDescent="0.45">
      <c r="A64" s="152" t="s">
        <v>90</v>
      </c>
      <c r="B64" s="142" t="s">
        <v>91</v>
      </c>
      <c r="C64" s="142">
        <v>38.021999999999998</v>
      </c>
      <c r="D64" s="142">
        <v>56.585999999999999</v>
      </c>
      <c r="E64" s="142">
        <v>63.478999999999999</v>
      </c>
      <c r="F64" s="143">
        <v>59</v>
      </c>
      <c r="G64" s="17"/>
      <c r="H64" s="17"/>
      <c r="I64" s="17"/>
    </row>
    <row r="65" spans="1:9" ht="14.25" x14ac:dyDescent="0.45">
      <c r="A65" s="141" t="s">
        <v>89</v>
      </c>
      <c r="B65" s="142">
        <v>3169.1410000000001</v>
      </c>
      <c r="C65" s="142">
        <v>4369.0619999999999</v>
      </c>
      <c r="D65" s="142">
        <v>4563.1499999999996</v>
      </c>
      <c r="E65" s="142">
        <v>5247.7960000000003</v>
      </c>
      <c r="F65" s="143">
        <v>6445</v>
      </c>
      <c r="G65" s="5"/>
      <c r="H65" s="5"/>
      <c r="I65" s="5"/>
    </row>
    <row r="66" spans="1:9" ht="14.25" x14ac:dyDescent="0.45">
      <c r="A66" s="141" t="s">
        <v>32</v>
      </c>
      <c r="B66" s="142">
        <v>0</v>
      </c>
      <c r="C66" s="142">
        <v>0</v>
      </c>
      <c r="D66" s="142">
        <v>0</v>
      </c>
      <c r="E66" s="142">
        <v>0</v>
      </c>
      <c r="F66" s="143">
        <v>0</v>
      </c>
      <c r="G66" s="5"/>
      <c r="H66" s="5"/>
      <c r="I66" s="5"/>
    </row>
    <row r="67" spans="1:9" ht="14.25" x14ac:dyDescent="0.45">
      <c r="A67" s="141" t="s">
        <v>84</v>
      </c>
      <c r="B67" s="142">
        <v>496.23899999999998</v>
      </c>
      <c r="C67" s="142">
        <v>675.26300000000003</v>
      </c>
      <c r="D67" s="142">
        <v>440.14499999999998</v>
      </c>
      <c r="E67" s="142">
        <v>929.64599999999996</v>
      </c>
      <c r="F67" s="143">
        <v>1337</v>
      </c>
      <c r="G67" s="5"/>
      <c r="H67" s="5"/>
      <c r="I67" s="5"/>
    </row>
    <row r="68" spans="1:9" x14ac:dyDescent="0.4">
      <c r="A68" s="153" t="s">
        <v>33</v>
      </c>
      <c r="B68" s="151">
        <f>SUM(B63:B67)</f>
        <v>3736.01</v>
      </c>
      <c r="C68" s="151">
        <f>SUM(C63:C67)</f>
        <v>5233.7640000000001</v>
      </c>
      <c r="D68" s="151">
        <f>SUM(D63:D67)</f>
        <v>5139.7790000000005</v>
      </c>
      <c r="E68" s="151">
        <f>SUM(E63:E67)</f>
        <v>6359.2820000000002</v>
      </c>
      <c r="F68" s="151">
        <f>SUM(F63:F67)</f>
        <v>7978</v>
      </c>
      <c r="G68" s="28"/>
      <c r="H68" s="28"/>
      <c r="I68" s="28"/>
    </row>
    <row r="69" spans="1:9" x14ac:dyDescent="0.4">
      <c r="A69" s="98"/>
      <c r="B69" s="146"/>
      <c r="C69" s="146"/>
      <c r="D69" s="146"/>
      <c r="E69" s="146"/>
      <c r="F69" s="146"/>
      <c r="G69" s="5"/>
      <c r="H69" s="6"/>
      <c r="I69" s="5"/>
    </row>
    <row r="70" spans="1:9" ht="14.25" x14ac:dyDescent="0.45">
      <c r="A70" s="141" t="s">
        <v>34</v>
      </c>
      <c r="B70" s="142" t="s">
        <v>91</v>
      </c>
      <c r="C70" s="142">
        <v>0</v>
      </c>
      <c r="D70" s="142">
        <v>1815.5619999999999</v>
      </c>
      <c r="E70" s="142">
        <v>1982.537</v>
      </c>
      <c r="F70" s="143">
        <v>1987</v>
      </c>
      <c r="G70" s="5"/>
      <c r="H70" s="5"/>
      <c r="I70" s="5"/>
    </row>
    <row r="71" spans="1:9" ht="14.25" x14ac:dyDescent="0.45">
      <c r="A71" s="152" t="s">
        <v>92</v>
      </c>
      <c r="B71" s="142" t="s">
        <v>91</v>
      </c>
      <c r="C71" s="142">
        <v>381.37400000000002</v>
      </c>
      <c r="D71" s="142">
        <v>430.90499999999997</v>
      </c>
      <c r="E71" s="142">
        <v>372.483</v>
      </c>
      <c r="F71" s="143">
        <v>295</v>
      </c>
      <c r="G71" s="5"/>
      <c r="H71" s="5"/>
      <c r="I71" s="5"/>
    </row>
    <row r="72" spans="1:9" ht="14.25" x14ac:dyDescent="0.45">
      <c r="A72" s="141" t="s">
        <v>35</v>
      </c>
      <c r="B72" s="142">
        <v>162.88499999999999</v>
      </c>
      <c r="C72" s="142">
        <v>271.16399999999999</v>
      </c>
      <c r="D72" s="142">
        <v>203.47</v>
      </c>
      <c r="E72" s="142">
        <v>218.459</v>
      </c>
      <c r="F72" s="143">
        <v>218</v>
      </c>
      <c r="G72" s="5"/>
      <c r="H72" s="5"/>
      <c r="I72" s="5"/>
    </row>
    <row r="73" spans="1:9" ht="14.25" x14ac:dyDescent="0.45">
      <c r="A73" s="141" t="s">
        <v>36</v>
      </c>
      <c r="B73" s="142">
        <v>0</v>
      </c>
      <c r="C73" s="142">
        <v>0</v>
      </c>
      <c r="D73" s="142">
        <v>0</v>
      </c>
      <c r="E73" s="142">
        <v>0</v>
      </c>
      <c r="F73" s="143">
        <v>0</v>
      </c>
      <c r="G73" s="5"/>
      <c r="H73" s="5"/>
      <c r="I73" s="5"/>
    </row>
    <row r="74" spans="1:9" x14ac:dyDescent="0.4">
      <c r="A74" s="153" t="s">
        <v>37</v>
      </c>
      <c r="B74" s="150">
        <f>SUM(B70:B73)</f>
        <v>162.88499999999999</v>
      </c>
      <c r="C74" s="150">
        <f>SUM(C70:C73)</f>
        <v>652.53800000000001</v>
      </c>
      <c r="D74" s="150">
        <f>SUM(D70:D73)</f>
        <v>2449.9369999999994</v>
      </c>
      <c r="E74" s="150">
        <f>SUM(E70:E73)</f>
        <v>2573.4789999999998</v>
      </c>
      <c r="F74" s="150">
        <f>SUM(F70:F73)</f>
        <v>2500</v>
      </c>
      <c r="G74" s="28"/>
      <c r="H74" s="28"/>
      <c r="I74" s="28"/>
    </row>
    <row r="75" spans="1:9" ht="13.9" x14ac:dyDescent="0.4">
      <c r="A75" s="97"/>
      <c r="B75" s="146"/>
      <c r="C75" s="146"/>
      <c r="D75" s="146"/>
      <c r="E75" s="146"/>
      <c r="F75" s="146"/>
      <c r="G75" s="5"/>
      <c r="H75" s="23"/>
      <c r="I75" s="5"/>
    </row>
    <row r="76" spans="1:9" x14ac:dyDescent="0.4">
      <c r="A76" s="147" t="s">
        <v>38</v>
      </c>
      <c r="B76" s="151">
        <f>B68+B74</f>
        <v>3898.8950000000004</v>
      </c>
      <c r="C76" s="151">
        <f>C68+C74</f>
        <v>5886.3019999999997</v>
      </c>
      <c r="D76" s="151">
        <f>D68+D74</f>
        <v>7589.7160000000003</v>
      </c>
      <c r="E76" s="151">
        <f>E68+E74</f>
        <v>8932.7610000000004</v>
      </c>
      <c r="F76" s="151">
        <f>F68+F74</f>
        <v>10478</v>
      </c>
      <c r="G76" s="28"/>
      <c r="H76" s="28"/>
      <c r="I76" s="28"/>
    </row>
    <row r="77" spans="1:9" ht="15" x14ac:dyDescent="0.55000000000000004">
      <c r="A77" s="97"/>
      <c r="B77" s="146"/>
      <c r="C77" s="146"/>
      <c r="D77" s="146"/>
      <c r="E77" s="146"/>
      <c r="F77" s="146"/>
      <c r="G77" s="5"/>
      <c r="H77" s="24"/>
      <c r="I77" s="5"/>
    </row>
    <row r="78" spans="1:9" ht="13.9" x14ac:dyDescent="0.4">
      <c r="A78" s="97" t="s">
        <v>39</v>
      </c>
      <c r="B78" s="146"/>
      <c r="C78" s="146"/>
      <c r="D78" s="146"/>
      <c r="E78" s="146"/>
      <c r="F78" s="146"/>
      <c r="G78" s="5"/>
      <c r="H78" s="23"/>
      <c r="I78" s="5"/>
    </row>
    <row r="79" spans="1:9" ht="16.5" customHeight="1" x14ac:dyDescent="0.45">
      <c r="A79" s="141" t="s">
        <v>40</v>
      </c>
      <c r="B79" s="142">
        <v>2.5999999999999999E-2</v>
      </c>
      <c r="C79" s="142">
        <v>2.5999999999999999E-2</v>
      </c>
      <c r="D79" s="142">
        <v>0.06</v>
      </c>
      <c r="E79" s="142">
        <v>6.3E-2</v>
      </c>
      <c r="F79" s="143">
        <v>0</v>
      </c>
      <c r="G79" s="5"/>
      <c r="H79" s="5"/>
      <c r="I79" s="5"/>
    </row>
    <row r="80" spans="1:9" ht="16.5" customHeight="1" x14ac:dyDescent="0.45">
      <c r="A80" s="152" t="s">
        <v>93</v>
      </c>
      <c r="B80" s="142">
        <v>3250.665</v>
      </c>
      <c r="C80" s="142">
        <v>3250.665</v>
      </c>
      <c r="D80" s="142">
        <v>0</v>
      </c>
      <c r="E80" s="142">
        <v>0</v>
      </c>
      <c r="F80" s="143">
        <v>0</v>
      </c>
      <c r="G80" s="5"/>
      <c r="H80" s="5"/>
      <c r="I80" s="5"/>
    </row>
    <row r="81" spans="1:9" ht="16.5" customHeight="1" x14ac:dyDescent="0.45">
      <c r="A81" s="152" t="s">
        <v>94</v>
      </c>
      <c r="B81" s="142">
        <v>-7.9119999999999999</v>
      </c>
      <c r="C81" s="142">
        <v>-4.41</v>
      </c>
      <c r="D81" s="142">
        <v>2.6389999999999998</v>
      </c>
      <c r="E81" s="142">
        <v>-6.8929999999999998</v>
      </c>
      <c r="F81" s="143">
        <v>-32</v>
      </c>
      <c r="G81" s="5"/>
      <c r="H81" s="5"/>
      <c r="I81" s="5"/>
    </row>
    <row r="82" spans="1:9" ht="14.25" x14ac:dyDescent="0.45">
      <c r="A82" s="141" t="s">
        <v>41</v>
      </c>
      <c r="B82" s="142">
        <v>240.303</v>
      </c>
      <c r="C82" s="142">
        <v>598.52700000000004</v>
      </c>
      <c r="D82" s="142">
        <v>8904.7909999999993</v>
      </c>
      <c r="E82" s="142">
        <v>11140.284</v>
      </c>
      <c r="F82" s="143">
        <v>11557</v>
      </c>
      <c r="G82" s="5"/>
      <c r="H82" s="5"/>
      <c r="I82" s="5"/>
    </row>
    <row r="83" spans="1:9" ht="14.25" x14ac:dyDescent="0.45">
      <c r="A83" s="141" t="s">
        <v>42</v>
      </c>
      <c r="B83" s="142">
        <v>-768.88800000000003</v>
      </c>
      <c r="C83" s="142">
        <v>-1420.991</v>
      </c>
      <c r="D83" s="142">
        <v>-6005.7070000000003</v>
      </c>
      <c r="E83" s="142">
        <v>-6357.741</v>
      </c>
      <c r="F83" s="143">
        <v>-5965</v>
      </c>
      <c r="G83" s="5"/>
      <c r="H83" s="5"/>
      <c r="I83" s="5"/>
    </row>
    <row r="84" spans="1:9" ht="14.25" x14ac:dyDescent="0.45">
      <c r="A84" s="141" t="s">
        <v>43</v>
      </c>
      <c r="B84" s="143">
        <v>0</v>
      </c>
      <c r="C84" s="143">
        <v>0</v>
      </c>
      <c r="D84" s="143">
        <v>0</v>
      </c>
      <c r="E84" s="143">
        <v>0</v>
      </c>
      <c r="F84" s="143">
        <v>0</v>
      </c>
      <c r="G84" s="5"/>
      <c r="H84" s="5"/>
      <c r="I84" s="5"/>
    </row>
    <row r="85" spans="1:9" ht="14.25" x14ac:dyDescent="0.45">
      <c r="A85" s="141" t="s">
        <v>54</v>
      </c>
      <c r="B85" s="142">
        <v>0</v>
      </c>
      <c r="C85" s="142">
        <v>0</v>
      </c>
      <c r="D85" s="142">
        <v>0</v>
      </c>
      <c r="E85" s="142">
        <v>0</v>
      </c>
      <c r="F85" s="143">
        <v>0</v>
      </c>
      <c r="G85" s="5"/>
      <c r="H85" s="5"/>
      <c r="I85" s="5"/>
    </row>
    <row r="86" spans="1:9" x14ac:dyDescent="0.4">
      <c r="A86" s="97" t="s">
        <v>39</v>
      </c>
      <c r="B86" s="151">
        <f>SUM(B79:B85)</f>
        <v>2714.194</v>
      </c>
      <c r="C86" s="151">
        <f>SUM(C79:C85)</f>
        <v>2423.817</v>
      </c>
      <c r="D86" s="151">
        <f>SUM(D79:D85)</f>
        <v>2901.7829999999994</v>
      </c>
      <c r="E86" s="151">
        <f>SUM(E79:E85)</f>
        <v>4775.7129999999997</v>
      </c>
      <c r="F86" s="151">
        <f>SUM(F79:F85)</f>
        <v>5560</v>
      </c>
      <c r="G86" s="28"/>
      <c r="H86" s="28"/>
      <c r="I86" s="28"/>
    </row>
    <row r="87" spans="1:9" x14ac:dyDescent="0.4">
      <c r="A87" s="97"/>
      <c r="B87" s="146"/>
      <c r="C87" s="146"/>
      <c r="D87" s="146"/>
      <c r="E87" s="146"/>
      <c r="F87" s="146"/>
      <c r="G87" s="5"/>
      <c r="H87" s="6"/>
      <c r="I87" s="5"/>
    </row>
    <row r="88" spans="1:9" ht="13.5" thickBot="1" x14ac:dyDescent="0.45">
      <c r="A88" s="97" t="s">
        <v>55</v>
      </c>
      <c r="B88" s="150">
        <f>B76+B86</f>
        <v>6613.0889999999999</v>
      </c>
      <c r="C88" s="150">
        <f>C76+C86</f>
        <v>8310.1189999999988</v>
      </c>
      <c r="D88" s="150">
        <f>D76+D86</f>
        <v>10491.499</v>
      </c>
      <c r="E88" s="150">
        <f>E76+E86</f>
        <v>13708.474</v>
      </c>
      <c r="F88" s="150">
        <f>F76+F86</f>
        <v>16038</v>
      </c>
      <c r="G88" s="30"/>
      <c r="H88" s="28"/>
      <c r="I88" s="28"/>
    </row>
    <row r="89" spans="1:9" ht="13.5" thickTop="1" x14ac:dyDescent="0.4">
      <c r="A89" s="1"/>
      <c r="B89" s="28"/>
      <c r="C89" s="28"/>
      <c r="D89" s="28"/>
      <c r="E89" s="28"/>
      <c r="F89" s="28"/>
      <c r="G89" s="29"/>
      <c r="H89" s="28"/>
      <c r="I89" s="28"/>
    </row>
    <row r="90" spans="1:9" x14ac:dyDescent="0.4">
      <c r="A90" s="1"/>
      <c r="B90" s="28"/>
      <c r="C90" s="28"/>
      <c r="D90" s="28"/>
      <c r="E90" s="28"/>
      <c r="F90" s="28"/>
      <c r="G90" s="29"/>
      <c r="H90" s="28"/>
      <c r="I90" s="28"/>
    </row>
    <row r="91" spans="1:9" x14ac:dyDescent="0.4">
      <c r="A91" s="1"/>
      <c r="B91" s="28"/>
      <c r="C91" s="28"/>
      <c r="D91" s="28"/>
      <c r="E91" s="28"/>
      <c r="F91" s="28"/>
      <c r="G91" s="29"/>
      <c r="H91" s="28"/>
      <c r="I91" s="28"/>
    </row>
    <row r="92" spans="1:9" ht="13.9" x14ac:dyDescent="0.4">
      <c r="A92" s="111" t="s">
        <v>86</v>
      </c>
      <c r="B92" s="112"/>
      <c r="C92" s="112"/>
      <c r="D92" s="112"/>
      <c r="E92" s="113"/>
      <c r="F92" s="113"/>
      <c r="G92" s="113"/>
      <c r="H92" s="112"/>
      <c r="I92" s="114"/>
    </row>
    <row r="93" spans="1:9" ht="13.9" x14ac:dyDescent="0.4">
      <c r="A93" s="107" t="s">
        <v>59</v>
      </c>
      <c r="B93" s="108"/>
      <c r="C93" s="108"/>
      <c r="D93" s="108"/>
      <c r="E93" s="109"/>
      <c r="F93" s="109"/>
      <c r="G93" s="109"/>
      <c r="H93" s="108"/>
      <c r="I93" s="110"/>
    </row>
    <row r="94" spans="1:9" ht="13.9" x14ac:dyDescent="0.4">
      <c r="A94" s="49"/>
      <c r="B94" s="1"/>
      <c r="C94" s="1"/>
      <c r="D94" s="1"/>
      <c r="H94" s="1"/>
    </row>
    <row r="95" spans="1:9" x14ac:dyDescent="0.4">
      <c r="A95" s="77" t="s">
        <v>1</v>
      </c>
      <c r="B95" s="122"/>
      <c r="C95" s="120"/>
      <c r="D95" s="120"/>
      <c r="E95" s="120"/>
      <c r="F95" s="120"/>
      <c r="H95" s="15"/>
      <c r="I95" s="15"/>
    </row>
    <row r="96" spans="1:9" x14ac:dyDescent="0.4">
      <c r="A96" s="99" t="s">
        <v>2</v>
      </c>
      <c r="B96" s="122"/>
      <c r="C96" s="135">
        <v>2019</v>
      </c>
      <c r="D96" s="135">
        <f>(C96+1)</f>
        <v>2020</v>
      </c>
      <c r="E96" s="135">
        <f t="shared" ref="E96:F96" si="24">(D96+1)</f>
        <v>2021</v>
      </c>
      <c r="F96" s="135">
        <f t="shared" si="24"/>
        <v>2022</v>
      </c>
      <c r="H96" s="14"/>
      <c r="I96" s="14"/>
    </row>
    <row r="97" spans="1:9" x14ac:dyDescent="0.4">
      <c r="A97" s="77"/>
      <c r="B97" s="138"/>
      <c r="C97" s="138"/>
      <c r="D97" s="138"/>
      <c r="E97" s="138"/>
      <c r="F97" s="138"/>
      <c r="G97" s="29"/>
      <c r="H97" s="28"/>
      <c r="I97" s="28"/>
    </row>
    <row r="98" spans="1:9" x14ac:dyDescent="0.4">
      <c r="A98" s="77" t="s">
        <v>64</v>
      </c>
      <c r="B98" s="138"/>
      <c r="C98" s="138"/>
      <c r="D98" s="138"/>
      <c r="E98" s="138"/>
      <c r="F98" s="138"/>
      <c r="G98" s="29"/>
      <c r="H98" s="28"/>
      <c r="I98" s="28"/>
    </row>
    <row r="99" spans="1:9" ht="8.25" customHeight="1" x14ac:dyDescent="0.4">
      <c r="A99" s="77"/>
      <c r="B99" s="138"/>
      <c r="C99" s="138"/>
      <c r="D99" s="138"/>
      <c r="E99" s="138"/>
      <c r="F99" s="138"/>
      <c r="G99" s="29"/>
      <c r="H99" s="28"/>
      <c r="I99" s="28"/>
    </row>
    <row r="100" spans="1:9" x14ac:dyDescent="0.4">
      <c r="A100" s="123" t="s">
        <v>44</v>
      </c>
      <c r="B100" s="138"/>
      <c r="C100" s="122">
        <v>-674.33900000000006</v>
      </c>
      <c r="D100" s="122">
        <v>-4584.7160000000003</v>
      </c>
      <c r="E100" s="122">
        <v>-352</v>
      </c>
      <c r="F100" s="122">
        <v>1893</v>
      </c>
      <c r="G100"/>
      <c r="H100" s="29"/>
      <c r="I100" s="29"/>
    </row>
    <row r="101" spans="1:9" x14ac:dyDescent="0.4">
      <c r="A101" s="123" t="s">
        <v>60</v>
      </c>
      <c r="B101" s="138"/>
      <c r="C101" s="122">
        <v>114.16200000000001</v>
      </c>
      <c r="D101" s="122">
        <v>125.876</v>
      </c>
      <c r="E101" s="122">
        <v>138</v>
      </c>
      <c r="F101" s="122">
        <v>81</v>
      </c>
      <c r="G101"/>
      <c r="H101" s="5"/>
      <c r="I101" s="5"/>
    </row>
    <row r="102" spans="1:9" x14ac:dyDescent="0.4">
      <c r="A102" s="123" t="s">
        <v>61</v>
      </c>
      <c r="B102" s="138"/>
      <c r="C102" s="122">
        <v>97.546999999999997</v>
      </c>
      <c r="D102" s="122">
        <v>3001.9479999999999</v>
      </c>
      <c r="E102" s="122">
        <v>899</v>
      </c>
      <c r="F102" s="122">
        <v>930</v>
      </c>
      <c r="G102" s="5"/>
      <c r="H102" s="5"/>
      <c r="I102" s="5"/>
    </row>
    <row r="103" spans="1:9" x14ac:dyDescent="0.4">
      <c r="A103" s="123" t="s">
        <v>62</v>
      </c>
      <c r="B103" s="138"/>
      <c r="C103" s="122">
        <v>-5.6269999999999998</v>
      </c>
      <c r="D103" s="122">
        <v>-19.600999999999999</v>
      </c>
      <c r="E103" s="122">
        <v>11</v>
      </c>
      <c r="F103" s="122">
        <v>-1</v>
      </c>
      <c r="G103" s="5"/>
      <c r="H103" s="5"/>
      <c r="I103" s="5"/>
    </row>
    <row r="104" spans="1:9" x14ac:dyDescent="0.4">
      <c r="A104" s="123" t="s">
        <v>98</v>
      </c>
      <c r="B104" s="122"/>
      <c r="C104" s="122">
        <v>254.059</v>
      </c>
      <c r="D104" s="122">
        <v>891.97900000000004</v>
      </c>
      <c r="E104" s="122">
        <v>1343</v>
      </c>
      <c r="F104" s="122">
        <v>460</v>
      </c>
      <c r="G104"/>
      <c r="H104"/>
      <c r="I104" s="5"/>
    </row>
    <row r="105" spans="1:9" x14ac:dyDescent="0.4">
      <c r="A105" s="123" t="s">
        <v>99</v>
      </c>
      <c r="B105" s="122"/>
      <c r="C105" s="122">
        <v>75.715999999999994</v>
      </c>
      <c r="D105" s="122">
        <v>-73.111000000000004</v>
      </c>
      <c r="E105" s="122">
        <v>40</v>
      </c>
      <c r="F105" s="122">
        <v>20</v>
      </c>
      <c r="G105"/>
      <c r="H105"/>
      <c r="I105" s="5"/>
    </row>
    <row r="106" spans="1:9" x14ac:dyDescent="0.4">
      <c r="A106" s="123" t="s">
        <v>100</v>
      </c>
      <c r="B106" s="122"/>
      <c r="C106" s="122">
        <v>361.209</v>
      </c>
      <c r="D106" s="122">
        <v>27.893000000000001</v>
      </c>
      <c r="E106" s="122">
        <v>234</v>
      </c>
      <c r="F106" s="122">
        <v>47</v>
      </c>
      <c r="G106"/>
      <c r="H106"/>
      <c r="I106" s="5"/>
    </row>
    <row r="107" spans="1:9" x14ac:dyDescent="0.4">
      <c r="A107" s="123" t="s">
        <v>101</v>
      </c>
      <c r="B107" s="122"/>
      <c r="C107" s="122">
        <v>0</v>
      </c>
      <c r="D107" s="122">
        <v>0</v>
      </c>
      <c r="E107" s="122">
        <v>0</v>
      </c>
      <c r="F107" s="122">
        <v>0</v>
      </c>
      <c r="G107"/>
      <c r="H107"/>
      <c r="I107" s="5"/>
    </row>
    <row r="108" spans="1:9" x14ac:dyDescent="0.4">
      <c r="A108" s="122"/>
      <c r="B108" s="122"/>
      <c r="C108" s="122"/>
      <c r="D108" s="122"/>
      <c r="E108" s="122"/>
      <c r="F108" s="122"/>
      <c r="G108"/>
      <c r="H108"/>
      <c r="I108" s="5"/>
    </row>
    <row r="109" spans="1:9" x14ac:dyDescent="0.4">
      <c r="A109" s="123" t="s">
        <v>45</v>
      </c>
      <c r="B109" s="138"/>
      <c r="C109" s="136">
        <v>0</v>
      </c>
      <c r="D109" s="136">
        <v>0</v>
      </c>
      <c r="E109" s="136">
        <v>0</v>
      </c>
      <c r="F109" s="136">
        <v>0</v>
      </c>
      <c r="G109" s="5"/>
      <c r="H109" s="5"/>
      <c r="I109" s="5"/>
    </row>
    <row r="110" spans="1:9" x14ac:dyDescent="0.4">
      <c r="A110" s="123"/>
      <c r="B110" s="138"/>
      <c r="C110" s="136"/>
      <c r="D110" s="136"/>
      <c r="E110" s="136"/>
      <c r="F110" s="136"/>
      <c r="G110" s="5"/>
      <c r="H110" s="5"/>
      <c r="I110" s="5"/>
    </row>
    <row r="111" spans="1:9" x14ac:dyDescent="0.4">
      <c r="A111" s="137" t="s">
        <v>63</v>
      </c>
      <c r="B111" s="138"/>
      <c r="C111" s="154">
        <f>SUM(C100:C110)</f>
        <v>222.72699999999998</v>
      </c>
      <c r="D111" s="154">
        <f>SUM(D100:D110)</f>
        <v>-629.73200000000031</v>
      </c>
      <c r="E111" s="154">
        <f>SUM(E100:E110)</f>
        <v>2313</v>
      </c>
      <c r="F111" s="154">
        <f>SUM(F100:F110)</f>
        <v>3430</v>
      </c>
      <c r="G111" s="6"/>
      <c r="H111" s="28"/>
      <c r="I111" s="28"/>
    </row>
    <row r="112" spans="1:9" x14ac:dyDescent="0.4">
      <c r="A112" s="77"/>
      <c r="B112" s="138"/>
      <c r="C112" s="136"/>
      <c r="D112" s="136"/>
      <c r="E112" s="136"/>
      <c r="F112" s="136"/>
      <c r="G112" s="5"/>
      <c r="H112" s="28"/>
      <c r="I112" s="28"/>
    </row>
    <row r="113" spans="1:9" x14ac:dyDescent="0.4">
      <c r="A113" s="77" t="s">
        <v>65</v>
      </c>
      <c r="B113" s="138"/>
      <c r="C113" s="136"/>
      <c r="D113" s="136"/>
      <c r="E113" s="136"/>
      <c r="F113" s="136"/>
      <c r="G113" s="5"/>
      <c r="H113" s="28"/>
      <c r="I113" s="28"/>
    </row>
    <row r="114" spans="1:9" ht="6.75" customHeight="1" x14ac:dyDescent="0.4">
      <c r="A114" s="77"/>
      <c r="B114" s="138"/>
      <c r="C114" s="136"/>
      <c r="D114" s="136"/>
      <c r="E114" s="136"/>
      <c r="F114" s="136"/>
      <c r="G114" s="5"/>
      <c r="H114" s="28"/>
      <c r="I114" s="28"/>
    </row>
    <row r="115" spans="1:9" x14ac:dyDescent="0.4">
      <c r="A115" s="123" t="s">
        <v>78</v>
      </c>
      <c r="B115" s="138"/>
      <c r="C115" s="136">
        <v>0</v>
      </c>
      <c r="D115" s="136">
        <v>0</v>
      </c>
      <c r="E115" s="136">
        <v>0</v>
      </c>
      <c r="F115" s="136">
        <v>0</v>
      </c>
      <c r="G115" s="5"/>
      <c r="H115" s="5"/>
      <c r="I115" s="5"/>
    </row>
    <row r="116" spans="1:9" x14ac:dyDescent="0.4">
      <c r="A116" s="123" t="s">
        <v>66</v>
      </c>
      <c r="B116" s="138"/>
      <c r="C116" s="136">
        <v>0</v>
      </c>
      <c r="D116" s="136">
        <v>0</v>
      </c>
      <c r="E116" s="136">
        <v>0</v>
      </c>
      <c r="F116" s="136">
        <v>0</v>
      </c>
      <c r="G116" s="5"/>
      <c r="H116" s="5"/>
      <c r="I116" s="5"/>
    </row>
    <row r="117" spans="1:9" x14ac:dyDescent="0.4">
      <c r="A117" s="123" t="s">
        <v>67</v>
      </c>
      <c r="B117" s="138"/>
      <c r="C117" s="122">
        <v>0</v>
      </c>
      <c r="D117" s="122">
        <v>0</v>
      </c>
      <c r="E117" s="122">
        <v>0</v>
      </c>
      <c r="F117" s="122">
        <v>0</v>
      </c>
      <c r="G117" s="5"/>
      <c r="H117" s="5"/>
      <c r="I117" s="5"/>
    </row>
    <row r="118" spans="1:9" x14ac:dyDescent="0.4">
      <c r="A118" s="123" t="s">
        <v>68</v>
      </c>
      <c r="B118" s="138"/>
      <c r="C118" s="122">
        <v>-125.452</v>
      </c>
      <c r="D118" s="122">
        <v>-37.371000000000002</v>
      </c>
      <c r="E118" s="122">
        <v>-25</v>
      </c>
      <c r="F118" s="122">
        <v>-25</v>
      </c>
      <c r="G118" s="5"/>
      <c r="H118" s="5"/>
      <c r="I118" s="5"/>
    </row>
    <row r="119" spans="1:9" x14ac:dyDescent="0.4">
      <c r="A119" s="123" t="s">
        <v>95</v>
      </c>
      <c r="B119" s="138"/>
      <c r="C119" s="122">
        <v>-192.11600000000001</v>
      </c>
      <c r="D119" s="122">
        <v>0</v>
      </c>
      <c r="E119" s="122">
        <v>0</v>
      </c>
      <c r="F119" s="122">
        <v>0</v>
      </c>
      <c r="G119" s="5"/>
      <c r="H119" s="5"/>
      <c r="I119" s="5"/>
    </row>
    <row r="120" spans="1:9" x14ac:dyDescent="0.4">
      <c r="A120" s="123" t="s">
        <v>69</v>
      </c>
      <c r="B120" s="138"/>
      <c r="C120" s="122">
        <v>-29.587</v>
      </c>
      <c r="D120" s="122">
        <v>116.961</v>
      </c>
      <c r="E120" s="122">
        <v>-1327</v>
      </c>
      <c r="F120" s="122">
        <v>-3</v>
      </c>
      <c r="G120" s="5"/>
      <c r="H120" s="5"/>
      <c r="I120" s="5"/>
    </row>
    <row r="121" spans="1:9" x14ac:dyDescent="0.4">
      <c r="A121" s="137" t="s">
        <v>70</v>
      </c>
      <c r="B121" s="138"/>
      <c r="C121" s="154">
        <f>SUM(C115:C120)</f>
        <v>-347.15499999999997</v>
      </c>
      <c r="D121" s="154">
        <f>SUM(D115:D120)</f>
        <v>79.59</v>
      </c>
      <c r="E121" s="154">
        <f>SUM(E115:E120)</f>
        <v>-1352</v>
      </c>
      <c r="F121" s="154">
        <f>SUM(F115:F120)</f>
        <v>-28</v>
      </c>
      <c r="G121" s="6"/>
      <c r="H121" s="6"/>
      <c r="I121" s="6"/>
    </row>
    <row r="122" spans="1:9" x14ac:dyDescent="0.4">
      <c r="A122" s="77"/>
      <c r="B122" s="138"/>
      <c r="C122" s="136"/>
      <c r="D122" s="136"/>
      <c r="E122" s="136"/>
      <c r="F122" s="136"/>
      <c r="G122" s="5"/>
      <c r="H122" s="28"/>
      <c r="I122" s="28"/>
    </row>
    <row r="123" spans="1:9" x14ac:dyDescent="0.4">
      <c r="A123" s="77" t="s">
        <v>46</v>
      </c>
      <c r="B123" s="138"/>
      <c r="C123" s="136"/>
      <c r="D123" s="136"/>
      <c r="E123" s="136"/>
      <c r="F123" s="136"/>
      <c r="G123" s="5"/>
      <c r="H123" s="28"/>
      <c r="I123" s="28"/>
    </row>
    <row r="124" spans="1:9" ht="6" customHeight="1" x14ac:dyDescent="0.4">
      <c r="A124" s="77"/>
      <c r="B124" s="138"/>
      <c r="C124" s="136"/>
      <c r="D124" s="136"/>
      <c r="E124" s="136"/>
      <c r="F124" s="136"/>
      <c r="G124" s="5"/>
      <c r="H124" s="28"/>
      <c r="I124" s="28"/>
    </row>
    <row r="125" spans="1:9" x14ac:dyDescent="0.4">
      <c r="A125" s="123" t="s">
        <v>71</v>
      </c>
      <c r="B125" s="138"/>
      <c r="C125" s="136">
        <v>0</v>
      </c>
      <c r="D125" s="136">
        <v>0</v>
      </c>
      <c r="E125" s="136">
        <v>0</v>
      </c>
      <c r="F125" s="136">
        <v>0</v>
      </c>
      <c r="G125" s="5"/>
      <c r="H125" s="5"/>
      <c r="I125" s="5"/>
    </row>
    <row r="126" spans="1:9" x14ac:dyDescent="0.4">
      <c r="A126" s="123" t="s">
        <v>72</v>
      </c>
      <c r="B126" s="138"/>
      <c r="C126" s="122">
        <v>0</v>
      </c>
      <c r="D126" s="122">
        <v>5574.75</v>
      </c>
      <c r="E126" s="122">
        <v>-229</v>
      </c>
      <c r="F126" s="122">
        <v>0</v>
      </c>
      <c r="G126" s="5"/>
      <c r="H126" s="5"/>
      <c r="I126" s="5"/>
    </row>
    <row r="127" spans="1:9" x14ac:dyDescent="0.4">
      <c r="A127" s="123" t="s">
        <v>73</v>
      </c>
      <c r="B127" s="138"/>
      <c r="C127" s="136">
        <v>0</v>
      </c>
      <c r="D127" s="136">
        <v>0</v>
      </c>
      <c r="E127" s="136">
        <v>0</v>
      </c>
      <c r="F127" s="136">
        <v>0</v>
      </c>
      <c r="G127" s="5"/>
      <c r="H127" s="5"/>
      <c r="I127" s="5"/>
    </row>
    <row r="128" spans="1:9" x14ac:dyDescent="0.4">
      <c r="A128" s="123" t="s">
        <v>96</v>
      </c>
      <c r="B128" s="138"/>
      <c r="C128" s="122">
        <v>5.8730000000000002</v>
      </c>
      <c r="D128" s="122">
        <v>15.074</v>
      </c>
      <c r="E128" s="122">
        <v>189</v>
      </c>
      <c r="F128" s="122">
        <v>-1412</v>
      </c>
      <c r="G128" s="5"/>
      <c r="H128" s="5"/>
      <c r="I128" s="5"/>
    </row>
    <row r="129" spans="1:9" x14ac:dyDescent="0.4">
      <c r="A129" s="123" t="s">
        <v>97</v>
      </c>
      <c r="B129" s="138"/>
      <c r="C129" s="122">
        <v>848.70600000000002</v>
      </c>
      <c r="D129" s="122">
        <v>-2649.01</v>
      </c>
      <c r="E129" s="122">
        <v>1348</v>
      </c>
      <c r="F129" s="122">
        <v>723</v>
      </c>
      <c r="G129" s="5"/>
      <c r="H129" s="5"/>
      <c r="I129" s="5"/>
    </row>
    <row r="130" spans="1:9" x14ac:dyDescent="0.4">
      <c r="A130" s="137" t="s">
        <v>74</v>
      </c>
      <c r="B130" s="138"/>
      <c r="C130" s="154">
        <f>SUM(C125:C129)</f>
        <v>854.57900000000006</v>
      </c>
      <c r="D130" s="154">
        <f t="shared" ref="D130:F130" si="25">SUM(D125:D129)</f>
        <v>2940.8139999999994</v>
      </c>
      <c r="E130" s="154">
        <f t="shared" si="25"/>
        <v>1308</v>
      </c>
      <c r="F130" s="154">
        <f t="shared" si="25"/>
        <v>-689</v>
      </c>
      <c r="G130" s="6"/>
      <c r="H130" s="6"/>
      <c r="I130" s="6"/>
    </row>
    <row r="131" spans="1:9" x14ac:dyDescent="0.4">
      <c r="A131" s="77"/>
      <c r="B131" s="138"/>
      <c r="C131" s="136"/>
      <c r="D131" s="136"/>
      <c r="E131" s="136"/>
      <c r="F131" s="136"/>
      <c r="G131" s="5"/>
      <c r="H131" s="28"/>
      <c r="I131" s="28"/>
    </row>
    <row r="132" spans="1:9" x14ac:dyDescent="0.4">
      <c r="A132" s="99" t="s">
        <v>77</v>
      </c>
      <c r="B132" s="138"/>
      <c r="C132" s="122">
        <v>-25.283999999999999</v>
      </c>
      <c r="D132" s="122">
        <v>134.137</v>
      </c>
      <c r="E132" s="122">
        <v>-210</v>
      </c>
      <c r="F132" s="122">
        <v>-337</v>
      </c>
      <c r="G132" s="5"/>
      <c r="H132" s="5"/>
      <c r="I132" s="5"/>
    </row>
    <row r="133" spans="1:9" x14ac:dyDescent="0.4">
      <c r="A133" s="99" t="s">
        <v>85</v>
      </c>
      <c r="B133" s="138"/>
      <c r="C133" s="136">
        <v>0</v>
      </c>
      <c r="D133" s="136">
        <v>0</v>
      </c>
      <c r="E133" s="136">
        <v>0</v>
      </c>
      <c r="F133" s="136">
        <v>0</v>
      </c>
      <c r="G133" s="28"/>
      <c r="H133" s="28"/>
      <c r="I133" s="28"/>
    </row>
    <row r="134" spans="1:9" ht="20.25" customHeight="1" x14ac:dyDescent="0.4">
      <c r="A134" s="99" t="s">
        <v>75</v>
      </c>
      <c r="B134" s="138"/>
      <c r="C134" s="100">
        <f>C111+C121+C130+C132+C133</f>
        <v>704.86700000000008</v>
      </c>
      <c r="D134" s="100">
        <f>D111+D121+D130+D132+D133</f>
        <v>2524.8089999999993</v>
      </c>
      <c r="E134" s="100">
        <f>E111+E121+E130+E132+E133</f>
        <v>2059</v>
      </c>
      <c r="F134" s="100">
        <f>F111+F121+F130+F132+F133</f>
        <v>2376</v>
      </c>
      <c r="G134" s="28"/>
      <c r="H134" s="5"/>
      <c r="I134" s="29"/>
    </row>
    <row r="135" spans="1:9" ht="19.5" customHeight="1" x14ac:dyDescent="0.4">
      <c r="A135" s="103"/>
      <c r="B135" s="155"/>
      <c r="C135" s="156"/>
      <c r="D135" s="156"/>
      <c r="E135" s="156"/>
      <c r="F135" s="156"/>
      <c r="G135" s="17"/>
      <c r="H135" s="5"/>
      <c r="I135" s="5"/>
    </row>
    <row r="136" spans="1:9" x14ac:dyDescent="0.4">
      <c r="A136" s="102"/>
      <c r="B136" s="155"/>
      <c r="C136" s="155"/>
      <c r="D136" s="155"/>
      <c r="E136" s="155"/>
      <c r="F136" s="155"/>
      <c r="G136" s="28"/>
      <c r="H136" s="28"/>
      <c r="I136" s="28"/>
    </row>
    <row r="137" spans="1:9" x14ac:dyDescent="0.4">
      <c r="A137" s="1"/>
      <c r="B137" s="28"/>
      <c r="C137" s="28"/>
      <c r="D137" s="28"/>
      <c r="E137" s="28"/>
      <c r="F137" s="28"/>
      <c r="G137" s="29"/>
      <c r="H137" s="28"/>
      <c r="I137" s="28"/>
    </row>
    <row r="138" spans="1:9" ht="13.9" x14ac:dyDescent="0.4">
      <c r="A138" s="111" t="s">
        <v>86</v>
      </c>
      <c r="B138" s="112"/>
      <c r="C138" s="112"/>
      <c r="D138" s="112"/>
      <c r="E138" s="113"/>
      <c r="F138" s="113"/>
      <c r="G138" s="113"/>
      <c r="H138" s="112"/>
      <c r="I138" s="114"/>
    </row>
    <row r="139" spans="1:9" ht="13.9" x14ac:dyDescent="0.4">
      <c r="A139" s="107" t="s">
        <v>58</v>
      </c>
      <c r="B139" s="108"/>
      <c r="C139" s="108"/>
      <c r="D139" s="108"/>
      <c r="E139" s="109"/>
      <c r="F139" s="109"/>
      <c r="G139" s="109"/>
      <c r="H139" s="108"/>
      <c r="I139" s="110"/>
    </row>
    <row r="140" spans="1:9" customFormat="1" ht="12.75" x14ac:dyDescent="0.35"/>
    <row r="141" spans="1:9" x14ac:dyDescent="0.4">
      <c r="C141" s="15"/>
      <c r="D141" s="15"/>
      <c r="E141" s="15"/>
      <c r="F141" s="15"/>
      <c r="G141" s="14"/>
    </row>
    <row r="142" spans="1:9" x14ac:dyDescent="0.4">
      <c r="C142" s="14"/>
      <c r="D142" s="14"/>
      <c r="E142" s="14"/>
      <c r="F142" s="14"/>
      <c r="G142" s="14"/>
    </row>
    <row r="143" spans="1:9" x14ac:dyDescent="0.4">
      <c r="G143" s="14"/>
    </row>
    <row r="144" spans="1:9" ht="14.25" x14ac:dyDescent="0.4">
      <c r="A144" s="70" t="s">
        <v>102</v>
      </c>
      <c r="B144" s="71">
        <v>127.96</v>
      </c>
    </row>
    <row r="145" spans="1:9" s="10" customFormat="1" ht="14.25" x14ac:dyDescent="0.45">
      <c r="A145" s="72"/>
      <c r="B145" s="72"/>
      <c r="C145" s="32"/>
      <c r="D145" s="32"/>
      <c r="E145" s="32"/>
      <c r="F145" s="32"/>
      <c r="G145" s="32"/>
      <c r="H145" s="32"/>
      <c r="I145" s="32"/>
    </row>
    <row r="146" spans="1:9" ht="13.9" x14ac:dyDescent="0.4">
      <c r="A146" s="356" t="s">
        <v>103</v>
      </c>
      <c r="B146" s="357"/>
      <c r="C146" s="180"/>
      <c r="D146" s="180"/>
      <c r="E146" s="180"/>
      <c r="F146" s="180"/>
    </row>
    <row r="147" spans="1:9" ht="14.25" x14ac:dyDescent="0.45">
      <c r="A147" s="152" t="s">
        <v>104</v>
      </c>
      <c r="B147" s="157">
        <v>2.5000000000000001E-2</v>
      </c>
      <c r="C147" s="36"/>
      <c r="D147" s="36"/>
      <c r="E147" s="36"/>
      <c r="F147" s="36"/>
      <c r="H147" s="25"/>
    </row>
    <row r="148" spans="1:9" ht="21.75" customHeight="1" x14ac:dyDescent="0.45">
      <c r="A148" s="152"/>
      <c r="B148" s="152"/>
      <c r="C148" s="36"/>
      <c r="D148" s="36"/>
      <c r="E148" s="36"/>
      <c r="F148" s="36"/>
      <c r="G148" s="37"/>
      <c r="H148" s="25"/>
    </row>
    <row r="149" spans="1:9" ht="14.25" x14ac:dyDescent="0.45">
      <c r="A149" s="152" t="s">
        <v>105</v>
      </c>
      <c r="B149" s="158">
        <v>630</v>
      </c>
      <c r="C149" s="181"/>
      <c r="D149" s="181"/>
      <c r="E149" s="181"/>
      <c r="F149" s="181"/>
      <c r="G149" s="182"/>
    </row>
    <row r="150" spans="1:9" ht="14.25" x14ac:dyDescent="0.45">
      <c r="A150" s="152" t="s">
        <v>106</v>
      </c>
      <c r="B150" s="159">
        <f>B144*B149</f>
        <v>80614.8</v>
      </c>
      <c r="C150" s="183"/>
      <c r="D150" s="183"/>
      <c r="E150" s="183"/>
      <c r="F150" s="183"/>
      <c r="G150" s="183"/>
      <c r="H150" s="25"/>
    </row>
    <row r="151" spans="1:9" ht="20.25" customHeight="1" x14ac:dyDescent="0.45">
      <c r="A151" s="152" t="s">
        <v>107</v>
      </c>
      <c r="B151" s="159">
        <f>(F70+F72)</f>
        <v>2205</v>
      </c>
      <c r="C151" s="36"/>
      <c r="D151" s="36"/>
      <c r="E151" s="36"/>
      <c r="F151" s="36"/>
      <c r="G151" s="37"/>
      <c r="H151" s="36"/>
    </row>
    <row r="152" spans="1:9" ht="17.25" customHeight="1" x14ac:dyDescent="0.45">
      <c r="A152" s="152" t="s">
        <v>108</v>
      </c>
      <c r="B152" s="160">
        <v>1.33</v>
      </c>
      <c r="C152" s="183"/>
      <c r="D152" s="183"/>
      <c r="E152" s="183"/>
      <c r="F152" s="183"/>
      <c r="G152" s="183"/>
      <c r="H152" s="25"/>
    </row>
    <row r="153" spans="1:9" ht="14.25" x14ac:dyDescent="0.45">
      <c r="A153" s="152" t="s">
        <v>109</v>
      </c>
      <c r="B153" s="160">
        <v>4.5</v>
      </c>
    </row>
    <row r="154" spans="1:9" ht="21.75" customHeight="1" x14ac:dyDescent="0.45">
      <c r="A154" s="152" t="s">
        <v>110</v>
      </c>
      <c r="B154" s="161">
        <v>3.6</v>
      </c>
      <c r="C154" s="184"/>
      <c r="D154" s="184"/>
      <c r="E154" s="184"/>
      <c r="F154" s="184"/>
      <c r="G154" s="185"/>
      <c r="H154" s="13"/>
    </row>
    <row r="155" spans="1:9" ht="13.9" x14ac:dyDescent="0.4">
      <c r="A155" s="162" t="s">
        <v>48</v>
      </c>
      <c r="B155" s="163">
        <f>(B153+(B152*B154))/100</f>
        <v>9.2880000000000004E-2</v>
      </c>
      <c r="C155" s="36"/>
      <c r="D155" s="36"/>
      <c r="E155" s="36"/>
      <c r="F155" s="36"/>
      <c r="G155" s="36"/>
      <c r="H155" s="25"/>
    </row>
    <row r="156" spans="1:9" ht="14.25" x14ac:dyDescent="0.45">
      <c r="A156" s="152" t="s">
        <v>111</v>
      </c>
      <c r="B156" s="164">
        <f>B150/(B150+B151)</f>
        <v>0.97337593184238547</v>
      </c>
      <c r="C156" s="36"/>
      <c r="D156" s="36"/>
      <c r="E156" s="36"/>
      <c r="F156" s="36"/>
      <c r="G156" s="36"/>
      <c r="H156" s="25"/>
    </row>
    <row r="157" spans="1:9" ht="18" customHeight="1" x14ac:dyDescent="0.45">
      <c r="A157" s="152" t="s">
        <v>112</v>
      </c>
      <c r="B157" s="164">
        <f>1-B156</f>
        <v>2.6624068157614533E-2</v>
      </c>
      <c r="C157" s="51"/>
      <c r="D157" s="51"/>
      <c r="E157" s="51"/>
      <c r="F157" s="51"/>
      <c r="G157" s="51"/>
    </row>
    <row r="158" spans="1:9" ht="14.25" x14ac:dyDescent="0.45">
      <c r="A158" s="152" t="s">
        <v>113</v>
      </c>
      <c r="B158" s="160">
        <v>1.38</v>
      </c>
      <c r="C158" s="18"/>
      <c r="D158" s="18"/>
      <c r="E158" s="18"/>
      <c r="F158" s="18"/>
      <c r="G158"/>
      <c r="H158" s="18"/>
    </row>
    <row r="159" spans="1:9" ht="18.75" customHeight="1" x14ac:dyDescent="0.45">
      <c r="A159" s="152" t="s">
        <v>47</v>
      </c>
      <c r="B159" s="164">
        <f>(B158*B153)/100</f>
        <v>6.2099999999999989E-2</v>
      </c>
      <c r="C159" s="17"/>
      <c r="D159" s="17"/>
      <c r="E159" s="17"/>
      <c r="F159" s="17"/>
      <c r="G159"/>
      <c r="H159" s="18"/>
    </row>
    <row r="160" spans="1:9" ht="14.25" x14ac:dyDescent="0.45">
      <c r="A160" s="152" t="s">
        <v>56</v>
      </c>
      <c r="B160" s="157">
        <v>0.123</v>
      </c>
      <c r="C160" s="5"/>
      <c r="D160" s="5"/>
      <c r="E160" s="5"/>
      <c r="F160" s="5"/>
      <c r="G160"/>
      <c r="H160" s="26"/>
    </row>
    <row r="161" spans="1:9" ht="13.9" x14ac:dyDescent="0.4">
      <c r="A161" s="162" t="s">
        <v>114</v>
      </c>
      <c r="B161" s="165">
        <f>(1-B160)*B159</f>
        <v>5.4461699999999988E-2</v>
      </c>
      <c r="C161" s="17"/>
      <c r="D161" s="17"/>
      <c r="E161" s="17"/>
      <c r="F161" s="17"/>
      <c r="G161"/>
      <c r="H161" s="26"/>
    </row>
    <row r="162" spans="1:9" ht="14.25" x14ac:dyDescent="0.45">
      <c r="A162" s="72"/>
      <c r="B162" s="72"/>
      <c r="C162" s="5"/>
      <c r="D162" s="5"/>
      <c r="E162" s="5"/>
      <c r="F162" s="5"/>
      <c r="G162" s="5"/>
      <c r="H162" s="26"/>
    </row>
    <row r="163" spans="1:9" ht="14.25" x14ac:dyDescent="0.45">
      <c r="A163" s="72"/>
      <c r="B163" s="72"/>
      <c r="C163" s="11"/>
      <c r="D163" s="11"/>
      <c r="E163" s="11"/>
      <c r="F163" s="11"/>
      <c r="G163" s="38"/>
      <c r="H163" s="8"/>
    </row>
    <row r="164" spans="1:9" ht="14.25" x14ac:dyDescent="0.45">
      <c r="A164" s="72"/>
      <c r="B164" s="72"/>
      <c r="C164" s="11"/>
      <c r="D164" s="11"/>
      <c r="E164" s="11"/>
      <c r="F164" s="11"/>
      <c r="G164" s="38"/>
      <c r="H164" s="8"/>
    </row>
    <row r="165" spans="1:9" s="1" customFormat="1" ht="17.25" customHeight="1" thickBot="1" x14ac:dyDescent="0.45">
      <c r="A165" s="166" t="s">
        <v>49</v>
      </c>
      <c r="B165" s="167">
        <f>((B157*B161)+(B156*B155))</f>
        <v>9.1857148562300317E-2</v>
      </c>
      <c r="C165" s="35"/>
      <c r="D165" s="35"/>
      <c r="E165" s="35"/>
      <c r="F165" s="35"/>
      <c r="G165" s="50"/>
      <c r="H165" s="34"/>
    </row>
    <row r="166" spans="1:9" ht="13.5" thickTop="1" x14ac:dyDescent="0.4"/>
    <row r="168" spans="1:9" ht="13.9" x14ac:dyDescent="0.4">
      <c r="A168" s="111" t="s">
        <v>57</v>
      </c>
      <c r="B168" s="112"/>
      <c r="C168" s="112"/>
      <c r="D168" s="112"/>
      <c r="E168" s="113"/>
      <c r="F168" s="113"/>
      <c r="G168" s="113"/>
      <c r="H168" s="112"/>
      <c r="I168" s="114"/>
    </row>
    <row r="169" spans="1:9" ht="13.9" x14ac:dyDescent="0.4">
      <c r="A169" s="107" t="s">
        <v>115</v>
      </c>
      <c r="B169" s="108"/>
      <c r="C169" s="108"/>
      <c r="D169" s="108"/>
      <c r="E169" s="109"/>
      <c r="F169" s="109"/>
      <c r="G169" s="109"/>
      <c r="H169" s="108"/>
      <c r="I169" s="110"/>
    </row>
    <row r="170" spans="1:9" x14ac:dyDescent="0.4">
      <c r="A170" s="1"/>
    </row>
    <row r="171" spans="1:9" x14ac:dyDescent="0.4">
      <c r="A171" s="77" t="s">
        <v>125</v>
      </c>
      <c r="B171" s="78"/>
      <c r="C171" s="78">
        <v>0.15</v>
      </c>
      <c r="D171" s="78">
        <v>0.17</v>
      </c>
      <c r="E171" s="78">
        <v>0.2</v>
      </c>
      <c r="F171" s="78">
        <v>0.35</v>
      </c>
      <c r="G171" s="78">
        <v>0.4</v>
      </c>
    </row>
    <row r="172" spans="1:9" x14ac:dyDescent="0.4">
      <c r="A172" s="1" t="s">
        <v>126</v>
      </c>
    </row>
    <row r="173" spans="1:9" x14ac:dyDescent="0.4">
      <c r="A173" s="1" t="s">
        <v>127</v>
      </c>
    </row>
    <row r="174" spans="1:9" x14ac:dyDescent="0.4">
      <c r="B174" s="12"/>
    </row>
    <row r="175" spans="1:9" ht="13.9" x14ac:dyDescent="0.4">
      <c r="A175" s="168" t="s">
        <v>116</v>
      </c>
      <c r="B175" s="168"/>
      <c r="C175" s="169"/>
      <c r="D175" s="169"/>
      <c r="E175" s="169"/>
      <c r="F175" s="169"/>
      <c r="G175" s="169"/>
    </row>
    <row r="176" spans="1:9" ht="14.25" x14ac:dyDescent="0.45">
      <c r="A176" s="152" t="s">
        <v>117</v>
      </c>
      <c r="B176" s="168">
        <v>2022</v>
      </c>
      <c r="C176" s="169">
        <v>2023</v>
      </c>
      <c r="D176" s="169">
        <v>2024</v>
      </c>
      <c r="E176" s="169">
        <v>2025</v>
      </c>
      <c r="F176" s="169">
        <f t="shared" ref="F176:G176" si="26">E176+1</f>
        <v>2026</v>
      </c>
      <c r="G176" s="169">
        <f t="shared" si="26"/>
        <v>2027</v>
      </c>
    </row>
    <row r="177" spans="1:10" ht="14.25" x14ac:dyDescent="0.45">
      <c r="A177" s="152" t="s">
        <v>79</v>
      </c>
      <c r="B177" s="159">
        <f>F7</f>
        <v>8399</v>
      </c>
      <c r="C177" s="170">
        <f>B177*(1+C171)</f>
        <v>9658.8499999999985</v>
      </c>
      <c r="D177" s="170">
        <f t="shared" ref="D177:G177" si="27">C177*(1+D171)</f>
        <v>11300.854499999998</v>
      </c>
      <c r="E177" s="170">
        <f t="shared" si="27"/>
        <v>13561.025399999997</v>
      </c>
      <c r="F177" s="170">
        <f t="shared" si="27"/>
        <v>18307.384289999998</v>
      </c>
      <c r="G177" s="170">
        <f t="shared" si="27"/>
        <v>25630.338005999994</v>
      </c>
    </row>
    <row r="178" spans="1:10" ht="14.25" x14ac:dyDescent="0.45">
      <c r="A178" s="152" t="s">
        <v>118</v>
      </c>
      <c r="B178" s="159">
        <f>F12</f>
        <v>1968</v>
      </c>
      <c r="C178" s="170">
        <f>C177*C$191</f>
        <v>3913.0316799806437</v>
      </c>
      <c r="D178" s="170">
        <f t="shared" ref="D178" si="28">D177*D$191</f>
        <v>3955.299074999999</v>
      </c>
      <c r="E178" s="170">
        <f>E177*$E$191</f>
        <v>5560.0204139999987</v>
      </c>
      <c r="F178" s="170">
        <f t="shared" ref="F178:G178" si="29">F177*$E$191</f>
        <v>7506.0275588999984</v>
      </c>
      <c r="G178" s="170">
        <f t="shared" si="29"/>
        <v>10508.438582459998</v>
      </c>
    </row>
    <row r="179" spans="1:10" ht="14.25" x14ac:dyDescent="0.45">
      <c r="A179" s="152" t="s">
        <v>119</v>
      </c>
      <c r="B179" s="159">
        <f>B178*(1-$B$160)</f>
        <v>1725.9359999999999</v>
      </c>
      <c r="C179" s="159">
        <f t="shared" ref="C179:G179" si="30">C178*(1-$B$160)</f>
        <v>3431.7287833430246</v>
      </c>
      <c r="D179" s="159">
        <f t="shared" si="30"/>
        <v>3468.7972887749993</v>
      </c>
      <c r="E179" s="159">
        <f t="shared" si="30"/>
        <v>4876.137903077999</v>
      </c>
      <c r="F179" s="159">
        <f t="shared" si="30"/>
        <v>6582.7861691552989</v>
      </c>
      <c r="G179" s="159">
        <f t="shared" si="30"/>
        <v>9215.9006368174178</v>
      </c>
      <c r="H179" s="56"/>
      <c r="I179" s="56"/>
    </row>
    <row r="180" spans="1:10" ht="14.25" x14ac:dyDescent="0.45">
      <c r="A180" s="152" t="s">
        <v>120</v>
      </c>
      <c r="B180" s="159">
        <v>42.6</v>
      </c>
      <c r="C180" s="170">
        <f>C177*C$190</f>
        <v>57.953099999999992</v>
      </c>
      <c r="D180" s="170">
        <f t="shared" ref="D180" si="31">D177*D$190</f>
        <v>79.105981499999984</v>
      </c>
      <c r="E180" s="170">
        <f>E177*$E$190</f>
        <v>54.244101599999986</v>
      </c>
      <c r="F180" s="170">
        <f t="shared" ref="F180:G180" si="32">F177*$E$190</f>
        <v>73.229537159999992</v>
      </c>
      <c r="G180" s="170">
        <f t="shared" si="32"/>
        <v>102.52135202399998</v>
      </c>
      <c r="H180" s="14"/>
      <c r="I180" s="14"/>
    </row>
    <row r="181" spans="1:10" ht="14.25" x14ac:dyDescent="0.45">
      <c r="A181" s="152" t="s">
        <v>121</v>
      </c>
      <c r="B181" s="159">
        <f>O38</f>
        <v>-257.72499999999991</v>
      </c>
      <c r="C181" s="170">
        <f>C177*C$192</f>
        <v>255.48104462170539</v>
      </c>
      <c r="D181" s="170">
        <f t="shared" ref="D181" si="33">D177*D$192</f>
        <v>293.82221699999991</v>
      </c>
      <c r="E181" s="170">
        <f>E177*$E$192</f>
        <v>352.58666039999991</v>
      </c>
      <c r="F181" s="170">
        <f t="shared" ref="F181:G181" si="34">F177*$E$192</f>
        <v>475.99199153999996</v>
      </c>
      <c r="G181" s="170">
        <f t="shared" si="34"/>
        <v>666.3887881559998</v>
      </c>
    </row>
    <row r="182" spans="1:10" ht="14.25" x14ac:dyDescent="0.45">
      <c r="A182" s="152" t="s">
        <v>122</v>
      </c>
      <c r="B182" s="159">
        <f>O47</f>
        <v>862.46099999999933</v>
      </c>
      <c r="C182" s="170">
        <f>C177*C$193</f>
        <v>2162.7070404672895</v>
      </c>
      <c r="D182" s="170">
        <f t="shared" ref="D182" si="35">D177*D$193</f>
        <v>2260.1708999999996</v>
      </c>
      <c r="E182" s="170">
        <f>E177*$E$193</f>
        <v>3119.0358419999993</v>
      </c>
      <c r="F182" s="170">
        <f t="shared" ref="F182:G182" si="36">F177*$E$193</f>
        <v>4210.6983866999999</v>
      </c>
      <c r="G182" s="170">
        <f t="shared" si="36"/>
        <v>5894.9777413799993</v>
      </c>
      <c r="H182" s="60"/>
      <c r="I182" s="60"/>
    </row>
    <row r="183" spans="1:10" ht="14.25" x14ac:dyDescent="0.45">
      <c r="A183" s="162" t="s">
        <v>123</v>
      </c>
      <c r="B183" s="159">
        <f t="shared" ref="B183:G183" si="37">B179+B180-B181-B182</f>
        <v>1163.8000000000004</v>
      </c>
      <c r="C183" s="170">
        <f t="shared" si="37"/>
        <v>1071.49379825403</v>
      </c>
      <c r="D183" s="170">
        <f t="shared" si="37"/>
        <v>993.91015327499963</v>
      </c>
      <c r="E183" s="170">
        <f t="shared" si="37"/>
        <v>1458.7595022779997</v>
      </c>
      <c r="F183" s="170">
        <f t="shared" si="37"/>
        <v>1969.3253280752997</v>
      </c>
      <c r="G183" s="170">
        <f t="shared" si="37"/>
        <v>2757.0554593054176</v>
      </c>
      <c r="H183" s="60"/>
      <c r="I183" s="60"/>
    </row>
    <row r="184" spans="1:10" ht="14.25" x14ac:dyDescent="0.45">
      <c r="A184" s="152"/>
      <c r="B184" s="159"/>
      <c r="C184" s="170"/>
      <c r="D184" s="170"/>
      <c r="E184" s="170"/>
      <c r="F184" s="170"/>
      <c r="G184" s="170">
        <f>G183*(1+B147)/(B165-B147)</f>
        <v>42268.955624912473</v>
      </c>
      <c r="H184" s="32"/>
      <c r="I184" s="32"/>
    </row>
    <row r="185" spans="1:10" ht="14.25" x14ac:dyDescent="0.45">
      <c r="A185" s="162" t="s">
        <v>124</v>
      </c>
      <c r="B185" s="159"/>
      <c r="C185" s="170">
        <f t="shared" ref="C185:G185" si="38">SUM(C183:C184)</f>
        <v>1071.49379825403</v>
      </c>
      <c r="D185" s="170">
        <f t="shared" si="38"/>
        <v>993.91015327499963</v>
      </c>
      <c r="E185" s="170">
        <f t="shared" si="38"/>
        <v>1458.7595022779997</v>
      </c>
      <c r="F185" s="170">
        <f t="shared" si="38"/>
        <v>1969.3253280752997</v>
      </c>
      <c r="G185" s="170">
        <f t="shared" si="38"/>
        <v>45026.011084217891</v>
      </c>
      <c r="J185" s="39"/>
    </row>
    <row r="186" spans="1:10" ht="14.25" x14ac:dyDescent="0.45">
      <c r="A186" s="162"/>
      <c r="B186" s="159"/>
      <c r="C186" s="170"/>
      <c r="D186" s="170"/>
      <c r="E186" s="170"/>
      <c r="F186" s="170"/>
      <c r="G186" s="170"/>
      <c r="H186" s="27"/>
      <c r="I186" s="27"/>
    </row>
    <row r="187" spans="1:10" s="9" customFormat="1" ht="18" customHeight="1" x14ac:dyDescent="0.4">
      <c r="D187" s="40"/>
      <c r="E187" s="40"/>
      <c r="F187" s="40"/>
      <c r="G187" s="40"/>
      <c r="H187" s="40"/>
      <c r="I187" s="40"/>
    </row>
    <row r="188" spans="1:10" ht="21" customHeight="1" x14ac:dyDescent="0.4">
      <c r="D188" s="27"/>
      <c r="E188" s="27"/>
      <c r="F188" s="27"/>
      <c r="G188" s="27"/>
      <c r="H188" s="27"/>
      <c r="I188" s="27"/>
    </row>
    <row r="189" spans="1:10" s="9" customFormat="1" ht="15.75" customHeight="1" x14ac:dyDescent="0.45">
      <c r="A189" s="72"/>
      <c r="B189" s="72"/>
      <c r="C189" s="177">
        <v>2023</v>
      </c>
      <c r="D189" s="177">
        <f>(C189+1)</f>
        <v>2024</v>
      </c>
      <c r="E189" s="177">
        <f t="shared" ref="E189" si="39">(D189+1)</f>
        <v>2025</v>
      </c>
      <c r="F189" s="177">
        <v>206</v>
      </c>
      <c r="G189" s="177">
        <v>2027</v>
      </c>
      <c r="H189" s="40"/>
      <c r="I189" s="40"/>
    </row>
    <row r="190" spans="1:10" ht="14.25" x14ac:dyDescent="0.45">
      <c r="A190" s="358" t="s">
        <v>147</v>
      </c>
      <c r="B190" s="359"/>
      <c r="C190" s="178">
        <v>6.0000000000000001E-3</v>
      </c>
      <c r="D190" s="179">
        <v>7.0000000000000001E-3</v>
      </c>
      <c r="E190" s="360">
        <v>4.0000000000000001E-3</v>
      </c>
      <c r="F190" s="360"/>
      <c r="G190" s="360"/>
      <c r="H190" s="27"/>
      <c r="I190" s="27"/>
    </row>
    <row r="191" spans="1:10" ht="14.25" x14ac:dyDescent="0.45">
      <c r="A191" s="358" t="s">
        <v>148</v>
      </c>
      <c r="B191" s="359"/>
      <c r="C191" s="178">
        <f>G12/G7</f>
        <v>0.40512397231354086</v>
      </c>
      <c r="D191" s="179">
        <v>0.35</v>
      </c>
      <c r="E191" s="360">
        <v>0.41</v>
      </c>
      <c r="F191" s="360"/>
      <c r="G191" s="360"/>
      <c r="H191" s="27"/>
      <c r="I191" s="27"/>
    </row>
    <row r="192" spans="1:10" ht="14.25" x14ac:dyDescent="0.45">
      <c r="A192" s="358" t="s">
        <v>128</v>
      </c>
      <c r="B192" s="359"/>
      <c r="C192" s="178">
        <f>P39</f>
        <v>2.6450461972357519E-2</v>
      </c>
      <c r="D192" s="178">
        <v>2.5999999999999999E-2</v>
      </c>
      <c r="E192" s="360">
        <v>2.5999999999999999E-2</v>
      </c>
      <c r="F192" s="360"/>
      <c r="G192" s="360"/>
    </row>
    <row r="193" spans="1:15" ht="14.25" x14ac:dyDescent="0.45">
      <c r="A193" s="358" t="s">
        <v>149</v>
      </c>
      <c r="B193" s="359"/>
      <c r="C193" s="178">
        <f>P49</f>
        <v>0.22390937228213398</v>
      </c>
      <c r="D193" s="179">
        <v>0.2</v>
      </c>
      <c r="E193" s="360">
        <v>0.23</v>
      </c>
      <c r="F193" s="360"/>
      <c r="G193" s="360"/>
    </row>
    <row r="194" spans="1:15" x14ac:dyDescent="0.4">
      <c r="B194" s="52"/>
      <c r="C194" s="355"/>
      <c r="D194" s="355"/>
      <c r="E194" s="355"/>
      <c r="F194" s="355"/>
      <c r="G194" s="355"/>
      <c r="H194" s="355"/>
    </row>
    <row r="195" spans="1:15" x14ac:dyDescent="0.4">
      <c r="B195" s="52"/>
      <c r="C195" s="53"/>
    </row>
    <row r="196" spans="1:15" ht="14.25" x14ac:dyDescent="0.45">
      <c r="A196" s="73" t="s">
        <v>139</v>
      </c>
      <c r="B196" s="92">
        <f>NPV(B165,C185:G185)</f>
        <v>33337.192312821891</v>
      </c>
      <c r="D196" s="354"/>
      <c r="E196" s="354"/>
      <c r="F196" s="354"/>
      <c r="G196" s="354"/>
      <c r="H196" s="354"/>
    </row>
    <row r="197" spans="1:15" s="46" customFormat="1" ht="17.25" customHeight="1" x14ac:dyDescent="0.45">
      <c r="A197" s="79" t="s">
        <v>140</v>
      </c>
      <c r="B197" s="171">
        <f>F36</f>
        <v>2244</v>
      </c>
      <c r="C197" s="47"/>
      <c r="D197" s="48"/>
      <c r="E197" s="48"/>
      <c r="F197" s="48"/>
      <c r="G197" s="48"/>
      <c r="H197" s="48"/>
    </row>
    <row r="198" spans="1:15" ht="14.65" thickBot="1" x14ac:dyDescent="0.5">
      <c r="A198" s="93" t="s">
        <v>141</v>
      </c>
      <c r="B198" s="172">
        <v>0</v>
      </c>
      <c r="C198" s="45"/>
      <c r="D198" s="44"/>
      <c r="E198" s="44"/>
      <c r="F198" s="44"/>
      <c r="G198" s="44"/>
      <c r="H198" s="44"/>
    </row>
    <row r="199" spans="1:15" ht="14.25" thickBot="1" x14ac:dyDescent="0.45">
      <c r="A199" s="94" t="s">
        <v>142</v>
      </c>
      <c r="B199" s="175">
        <f>B196+B197+B198</f>
        <v>35581.192312821891</v>
      </c>
      <c r="C199" s="45"/>
      <c r="D199" s="44"/>
      <c r="E199" s="44"/>
      <c r="F199" s="44"/>
      <c r="G199" s="44"/>
      <c r="H199" s="44"/>
    </row>
    <row r="200" spans="1:15" ht="14.65" thickBot="1" x14ac:dyDescent="0.5">
      <c r="A200" s="95" t="s">
        <v>143</v>
      </c>
      <c r="B200" s="173">
        <v>-2341</v>
      </c>
      <c r="C200" s="45"/>
      <c r="D200" s="44"/>
      <c r="E200" s="44"/>
      <c r="F200" s="44"/>
      <c r="G200" s="44"/>
      <c r="H200" s="44"/>
    </row>
    <row r="201" spans="1:15" ht="14.25" thickBot="1" x14ac:dyDescent="0.45">
      <c r="A201" s="94" t="s">
        <v>144</v>
      </c>
      <c r="B201" s="175">
        <f>B199+B200</f>
        <v>33240.192312821891</v>
      </c>
      <c r="C201" s="45"/>
      <c r="D201" s="44"/>
      <c r="E201" s="44"/>
      <c r="F201" s="44"/>
      <c r="G201" s="44"/>
      <c r="H201" s="44"/>
    </row>
    <row r="202" spans="1:15" ht="14.65" thickBot="1" x14ac:dyDescent="0.5">
      <c r="A202" s="95" t="s">
        <v>145</v>
      </c>
      <c r="B202" s="174">
        <f>B149</f>
        <v>630</v>
      </c>
      <c r="C202" s="45"/>
      <c r="D202" s="44"/>
      <c r="E202" s="44"/>
      <c r="F202" s="44"/>
      <c r="G202" s="44"/>
      <c r="H202" s="44"/>
    </row>
    <row r="203" spans="1:15" ht="14.25" thickBot="1" x14ac:dyDescent="0.45">
      <c r="A203" s="94" t="s">
        <v>146</v>
      </c>
      <c r="B203" s="176">
        <f>B201/B202*(1+B155)</f>
        <v>57.662764087042525</v>
      </c>
    </row>
    <row r="204" spans="1:15" x14ac:dyDescent="0.4">
      <c r="A204" s="1"/>
      <c r="B204" s="28"/>
      <c r="C204" s="28"/>
      <c r="D204" s="28"/>
      <c r="E204" s="28"/>
      <c r="F204" s="28"/>
      <c r="G204" s="29"/>
      <c r="H204" s="28"/>
      <c r="I204" s="28"/>
    </row>
    <row r="205" spans="1:15" ht="13.9" x14ac:dyDescent="0.4">
      <c r="A205" s="101"/>
      <c r="B205" s="102"/>
      <c r="C205" s="102"/>
      <c r="D205" s="102"/>
      <c r="E205" s="103"/>
      <c r="F205" s="103"/>
      <c r="G205" s="103"/>
      <c r="H205" s="102"/>
      <c r="I205" s="103"/>
      <c r="J205" s="103"/>
      <c r="K205" s="103"/>
      <c r="L205" s="103"/>
      <c r="M205" s="103"/>
      <c r="N205" s="103"/>
      <c r="O205" s="103"/>
    </row>
    <row r="206" spans="1:15" ht="13.9" x14ac:dyDescent="0.4">
      <c r="A206" s="101"/>
      <c r="B206" s="102"/>
      <c r="C206" s="102"/>
      <c r="D206" s="102"/>
      <c r="E206" s="103"/>
      <c r="F206" s="103"/>
      <c r="G206" s="103"/>
      <c r="H206" s="102"/>
      <c r="I206" s="103"/>
      <c r="J206" s="103"/>
      <c r="K206" s="103"/>
      <c r="L206" s="103"/>
      <c r="M206" s="103"/>
      <c r="N206" s="103"/>
      <c r="O206" s="103"/>
    </row>
    <row r="207" spans="1:15" x14ac:dyDescent="0.4">
      <c r="A207" s="102"/>
      <c r="B207" s="155"/>
      <c r="C207" s="155"/>
      <c r="D207" s="155"/>
      <c r="E207" s="155"/>
      <c r="F207" s="155"/>
      <c r="G207" s="224"/>
      <c r="H207" s="155"/>
      <c r="I207" s="155"/>
      <c r="J207" s="103"/>
      <c r="K207" s="103"/>
      <c r="L207" s="103"/>
      <c r="M207" s="103"/>
      <c r="N207" s="103"/>
      <c r="O207" s="103"/>
    </row>
    <row r="208" spans="1:15" x14ac:dyDescent="0.4">
      <c r="A208" s="102"/>
      <c r="B208" s="155"/>
      <c r="C208" s="155"/>
      <c r="D208" s="155"/>
      <c r="E208" s="155"/>
      <c r="F208" s="155"/>
      <c r="G208" s="224"/>
      <c r="H208" s="155"/>
      <c r="I208" s="155"/>
      <c r="J208" s="103"/>
      <c r="K208" s="103"/>
      <c r="L208" s="103"/>
      <c r="M208" s="103"/>
      <c r="N208" s="103"/>
      <c r="O208" s="103"/>
    </row>
    <row r="209" spans="1:15" x14ac:dyDescent="0.4">
      <c r="A209" s="102"/>
      <c r="B209" s="155"/>
      <c r="C209" s="225"/>
      <c r="D209" s="225"/>
      <c r="E209" s="225"/>
      <c r="F209" s="225"/>
      <c r="G209" s="224"/>
      <c r="H209" s="155"/>
      <c r="I209" s="155"/>
      <c r="J209" s="103"/>
      <c r="K209" s="103"/>
      <c r="L209" s="103"/>
      <c r="M209" s="103"/>
      <c r="N209" s="103"/>
      <c r="O209" s="103"/>
    </row>
    <row r="210" spans="1:15" x14ac:dyDescent="0.4">
      <c r="A210" s="102"/>
      <c r="B210" s="155"/>
      <c r="C210" s="226"/>
      <c r="D210" s="226"/>
      <c r="E210" s="226"/>
      <c r="F210" s="226"/>
      <c r="G210" s="224"/>
      <c r="H210" s="155"/>
      <c r="I210" s="155"/>
      <c r="J210" s="103"/>
      <c r="K210" s="103"/>
      <c r="L210" s="103"/>
      <c r="M210" s="103"/>
      <c r="N210" s="103"/>
      <c r="O210" s="103"/>
    </row>
    <row r="211" spans="1:15" x14ac:dyDescent="0.4">
      <c r="A211" s="227"/>
      <c r="B211" s="155"/>
      <c r="C211" s="226"/>
      <c r="D211" s="226"/>
      <c r="E211" s="226"/>
      <c r="F211" s="226"/>
      <c r="G211" s="224"/>
      <c r="H211" s="155"/>
      <c r="I211" s="155"/>
      <c r="J211" s="103"/>
      <c r="K211" s="103"/>
      <c r="L211" s="103"/>
      <c r="M211" s="103"/>
      <c r="N211" s="103"/>
      <c r="O211" s="103"/>
    </row>
    <row r="212" spans="1:15" x14ac:dyDescent="0.4">
      <c r="A212" s="228"/>
      <c r="B212" s="155"/>
      <c r="C212" s="220"/>
      <c r="D212" s="220"/>
      <c r="E212" s="220"/>
      <c r="F212" s="220"/>
      <c r="G212" s="224"/>
      <c r="H212" s="221"/>
      <c r="I212" s="221"/>
      <c r="J212" s="221"/>
      <c r="K212" s="221"/>
      <c r="L212" s="103"/>
      <c r="M212" s="103"/>
      <c r="N212" s="103"/>
      <c r="O212" s="103"/>
    </row>
    <row r="213" spans="1:15" x14ac:dyDescent="0.4">
      <c r="A213" s="228"/>
      <c r="B213" s="155"/>
      <c r="C213" s="220"/>
      <c r="D213" s="220"/>
      <c r="E213" s="220"/>
      <c r="F213" s="220"/>
      <c r="G213" s="224"/>
      <c r="H213" s="155"/>
      <c r="I213" s="155"/>
      <c r="J213" s="103"/>
      <c r="K213" s="103"/>
      <c r="L213" s="103"/>
      <c r="M213" s="103"/>
      <c r="N213" s="103"/>
      <c r="O213" s="103"/>
    </row>
    <row r="214" spans="1:15" x14ac:dyDescent="0.4">
      <c r="A214" s="228"/>
      <c r="B214" s="155"/>
      <c r="C214" s="220"/>
      <c r="D214" s="220"/>
      <c r="E214" s="220"/>
      <c r="F214" s="220"/>
      <c r="G214" s="224"/>
      <c r="H214" s="155"/>
      <c r="I214" s="155"/>
      <c r="J214" s="103"/>
      <c r="K214" s="103"/>
      <c r="L214" s="103"/>
      <c r="M214" s="103"/>
      <c r="N214" s="103"/>
      <c r="O214" s="103"/>
    </row>
    <row r="215" spans="1:15" x14ac:dyDescent="0.4">
      <c r="A215" s="228"/>
      <c r="B215" s="155"/>
      <c r="C215" s="220"/>
      <c r="D215" s="220"/>
      <c r="E215" s="220"/>
      <c r="F215" s="220"/>
      <c r="G215" s="224"/>
      <c r="H215" s="155"/>
      <c r="I215" s="155"/>
      <c r="J215" s="103"/>
      <c r="K215" s="103"/>
      <c r="L215" s="103"/>
      <c r="M215" s="103"/>
      <c r="N215" s="103"/>
      <c r="O215" s="103"/>
    </row>
    <row r="216" spans="1:15" x14ac:dyDescent="0.4">
      <c r="A216" s="228"/>
      <c r="B216" s="155"/>
      <c r="C216" s="220"/>
      <c r="D216" s="220"/>
      <c r="E216" s="220"/>
      <c r="F216" s="220"/>
      <c r="G216" s="224"/>
      <c r="H216" s="155"/>
      <c r="I216" s="155"/>
      <c r="J216" s="103"/>
      <c r="K216" s="103"/>
      <c r="L216" s="103"/>
      <c r="M216" s="103"/>
      <c r="N216" s="103"/>
      <c r="O216" s="103"/>
    </row>
    <row r="217" spans="1:15" x14ac:dyDescent="0.4">
      <c r="A217" s="228"/>
      <c r="B217" s="155"/>
      <c r="C217" s="220"/>
      <c r="D217" s="220"/>
      <c r="E217" s="220"/>
      <c r="F217" s="220"/>
      <c r="G217" s="224"/>
      <c r="H217" s="155"/>
      <c r="I217" s="155"/>
      <c r="J217" s="103"/>
      <c r="K217" s="103"/>
      <c r="L217" s="103"/>
      <c r="M217" s="103"/>
      <c r="N217" s="103"/>
      <c r="O217" s="103"/>
    </row>
    <row r="218" spans="1:15" x14ac:dyDescent="0.4">
      <c r="A218" s="103"/>
      <c r="B218" s="155"/>
      <c r="C218" s="220"/>
      <c r="D218" s="220"/>
      <c r="E218" s="220"/>
      <c r="F218" s="220"/>
      <c r="G218" s="224"/>
      <c r="H218" s="155"/>
      <c r="I218" s="155"/>
      <c r="J218" s="103"/>
      <c r="K218" s="103"/>
      <c r="L218" s="103"/>
      <c r="M218" s="103"/>
      <c r="N218" s="103"/>
      <c r="O218" s="103"/>
    </row>
    <row r="219" spans="1:15" x14ac:dyDescent="0.4">
      <c r="A219" s="103"/>
      <c r="B219" s="155"/>
      <c r="C219" s="220"/>
      <c r="D219" s="220"/>
      <c r="E219" s="220"/>
      <c r="F219" s="220"/>
      <c r="G219" s="224"/>
      <c r="H219" s="155"/>
      <c r="I219" s="155"/>
      <c r="J219" s="103"/>
      <c r="K219" s="103"/>
      <c r="L219" s="103"/>
      <c r="M219" s="103"/>
      <c r="N219" s="103"/>
      <c r="O219" s="103"/>
    </row>
    <row r="220" spans="1:15" x14ac:dyDescent="0.4">
      <c r="A220" s="102"/>
      <c r="B220" s="155"/>
      <c r="C220" s="220"/>
      <c r="D220" s="220"/>
      <c r="E220" s="220"/>
      <c r="F220" s="220"/>
      <c r="G220" s="224"/>
      <c r="H220" s="155"/>
      <c r="I220" s="155"/>
      <c r="J220" s="103"/>
      <c r="K220" s="103"/>
      <c r="L220" s="103"/>
      <c r="M220" s="103"/>
      <c r="N220" s="103"/>
      <c r="O220" s="103"/>
    </row>
    <row r="221" spans="1:15" ht="20.25" customHeight="1" x14ac:dyDescent="0.4">
      <c r="A221" s="228"/>
      <c r="B221" s="155"/>
      <c r="C221" s="75"/>
      <c r="D221" s="75"/>
      <c r="E221" s="75"/>
      <c r="F221" s="75"/>
      <c r="G221" s="224"/>
      <c r="H221" s="155"/>
      <c r="I221" s="155"/>
      <c r="J221" s="103"/>
      <c r="K221" s="103"/>
      <c r="L221" s="103"/>
      <c r="M221" s="103"/>
      <c r="N221" s="103"/>
      <c r="O221" s="103"/>
    </row>
    <row r="222" spans="1:15" x14ac:dyDescent="0.4">
      <c r="A222" s="228"/>
      <c r="B222" s="155"/>
      <c r="C222" s="75"/>
      <c r="D222" s="75"/>
      <c r="E222" s="75"/>
      <c r="F222" s="75"/>
      <c r="G222" s="224"/>
      <c r="H222" s="155"/>
      <c r="I222" s="155"/>
      <c r="J222" s="103"/>
      <c r="K222" s="103"/>
      <c r="L222" s="103"/>
      <c r="M222" s="103"/>
      <c r="N222" s="103"/>
      <c r="O222" s="103"/>
    </row>
    <row r="223" spans="1:15" x14ac:dyDescent="0.4">
      <c r="A223" s="228"/>
      <c r="B223" s="224"/>
      <c r="C223" s="229"/>
      <c r="D223" s="229"/>
      <c r="E223" s="229"/>
      <c r="F223" s="229"/>
      <c r="G223" s="224"/>
      <c r="H223" s="155"/>
      <c r="I223" s="155"/>
      <c r="J223" s="103"/>
      <c r="K223" s="103"/>
      <c r="L223" s="103"/>
      <c r="M223" s="103"/>
      <c r="N223" s="103"/>
      <c r="O223" s="103"/>
    </row>
    <row r="224" spans="1:15" x14ac:dyDescent="0.4">
      <c r="A224" s="228"/>
      <c r="B224" s="224"/>
      <c r="C224" s="229"/>
      <c r="D224" s="229"/>
      <c r="E224" s="229"/>
      <c r="F224" s="229"/>
      <c r="G224" s="224"/>
      <c r="H224" s="155"/>
      <c r="I224" s="155"/>
      <c r="J224" s="103"/>
      <c r="K224" s="103"/>
      <c r="L224" s="103"/>
      <c r="M224" s="103"/>
      <c r="N224" s="103"/>
      <c r="O224" s="103"/>
    </row>
    <row r="225" spans="1:15" x14ac:dyDescent="0.4">
      <c r="A225" s="228"/>
      <c r="B225" s="224"/>
      <c r="C225" s="230"/>
      <c r="D225" s="230"/>
      <c r="E225" s="230"/>
      <c r="F225" s="230"/>
      <c r="G225" s="224"/>
      <c r="H225" s="155"/>
      <c r="I225" s="155"/>
      <c r="J225" s="103"/>
      <c r="K225" s="103"/>
      <c r="L225" s="103"/>
      <c r="M225" s="103"/>
      <c r="N225" s="103"/>
      <c r="O225" s="103"/>
    </row>
    <row r="226" spans="1:15" x14ac:dyDescent="0.4">
      <c r="A226" s="227"/>
      <c r="B226" s="155"/>
      <c r="C226" s="155"/>
      <c r="D226" s="155"/>
      <c r="E226" s="155"/>
      <c r="F226" s="155"/>
      <c r="G226" s="224"/>
      <c r="H226" s="155"/>
      <c r="I226" s="155"/>
      <c r="J226" s="103"/>
      <c r="K226" s="103"/>
      <c r="L226" s="103"/>
      <c r="M226" s="103"/>
      <c r="N226" s="103"/>
      <c r="O226" s="103"/>
    </row>
    <row r="227" spans="1:15" x14ac:dyDescent="0.4">
      <c r="A227" s="103"/>
      <c r="B227" s="224"/>
      <c r="C227" s="224"/>
      <c r="D227" s="224"/>
      <c r="E227" s="224"/>
      <c r="F227" s="224"/>
      <c r="G227" s="224"/>
      <c r="H227" s="155"/>
      <c r="I227" s="155"/>
      <c r="J227" s="103"/>
      <c r="K227" s="103"/>
      <c r="L227" s="103"/>
      <c r="M227" s="103"/>
      <c r="N227" s="103"/>
      <c r="O227" s="103"/>
    </row>
    <row r="228" spans="1:15" x14ac:dyDescent="0.4">
      <c r="A228" s="103"/>
      <c r="B228" s="224"/>
      <c r="C228" s="224"/>
      <c r="D228" s="224"/>
      <c r="E228" s="224"/>
      <c r="F228" s="224"/>
      <c r="G228" s="224"/>
      <c r="H228" s="155"/>
      <c r="I228" s="155"/>
      <c r="J228" s="103"/>
      <c r="K228" s="103"/>
      <c r="L228" s="103"/>
      <c r="M228" s="103"/>
      <c r="N228" s="103"/>
      <c r="O228" s="103"/>
    </row>
    <row r="229" spans="1:15" x14ac:dyDescent="0.4">
      <c r="A229" s="103"/>
      <c r="B229" s="224"/>
      <c r="C229" s="224"/>
      <c r="D229" s="224"/>
      <c r="E229" s="224"/>
      <c r="F229" s="224"/>
      <c r="G229" s="224"/>
      <c r="H229" s="155"/>
      <c r="I229" s="155"/>
      <c r="J229" s="103"/>
      <c r="K229" s="103"/>
      <c r="L229" s="103"/>
      <c r="M229" s="103"/>
      <c r="N229" s="103"/>
      <c r="O229" s="103"/>
    </row>
    <row r="230" spans="1:15" x14ac:dyDescent="0.4">
      <c r="A230" s="102"/>
      <c r="B230" s="224"/>
      <c r="C230" s="231"/>
      <c r="D230" s="231"/>
      <c r="E230" s="231"/>
      <c r="F230" s="231"/>
      <c r="G230" s="231"/>
      <c r="H230" s="232"/>
      <c r="I230" s="232"/>
      <c r="J230" s="103"/>
      <c r="K230" s="103"/>
      <c r="L230" s="103"/>
      <c r="M230" s="103"/>
      <c r="N230" s="103"/>
      <c r="O230" s="103"/>
    </row>
    <row r="231" spans="1:15" x14ac:dyDescent="0.4">
      <c r="A231" s="102"/>
      <c r="B231" s="224"/>
      <c r="C231" s="233"/>
      <c r="D231" s="233"/>
      <c r="E231" s="233"/>
      <c r="F231" s="233"/>
      <c r="G231" s="233"/>
      <c r="H231" s="155"/>
      <c r="I231" s="155"/>
      <c r="J231" s="103"/>
      <c r="K231" s="103"/>
      <c r="L231" s="103"/>
      <c r="M231" s="103"/>
      <c r="N231" s="103"/>
      <c r="O231" s="103"/>
    </row>
    <row r="232" spans="1:15" x14ac:dyDescent="0.4">
      <c r="A232" s="102"/>
      <c r="B232" s="224"/>
      <c r="C232" s="233"/>
      <c r="D232" s="233"/>
      <c r="E232" s="233"/>
      <c r="F232" s="233"/>
      <c r="G232" s="233"/>
      <c r="H232" s="155"/>
      <c r="I232" s="155"/>
      <c r="J232" s="103"/>
      <c r="K232" s="103"/>
      <c r="L232" s="103"/>
      <c r="M232" s="103"/>
      <c r="N232" s="103"/>
      <c r="O232" s="103"/>
    </row>
    <row r="233" spans="1:15" x14ac:dyDescent="0.4">
      <c r="A233" s="103"/>
      <c r="B233" s="224"/>
      <c r="C233" s="233"/>
      <c r="D233" s="233"/>
      <c r="E233" s="233"/>
      <c r="F233" s="233"/>
      <c r="G233" s="233"/>
      <c r="H233" s="155"/>
      <c r="I233" s="155"/>
      <c r="J233" s="103"/>
      <c r="K233" s="103"/>
      <c r="L233" s="103"/>
      <c r="M233" s="103"/>
      <c r="N233" s="103"/>
      <c r="O233" s="103"/>
    </row>
    <row r="234" spans="1:15" x14ac:dyDescent="0.4">
      <c r="A234" s="228"/>
      <c r="B234" s="155"/>
      <c r="C234" s="220"/>
      <c r="D234" s="222"/>
      <c r="E234" s="222"/>
      <c r="F234" s="222"/>
      <c r="G234" s="222"/>
      <c r="H234" s="155"/>
      <c r="I234" s="155"/>
      <c r="J234" s="103"/>
      <c r="K234" s="103"/>
      <c r="L234" s="103"/>
      <c r="M234" s="103"/>
      <c r="N234" s="103"/>
      <c r="O234" s="103"/>
    </row>
    <row r="235" spans="1:15" x14ac:dyDescent="0.4">
      <c r="A235" s="228"/>
      <c r="B235" s="155"/>
      <c r="C235" s="220"/>
      <c r="D235" s="222"/>
      <c r="E235" s="222"/>
      <c r="F235" s="222"/>
      <c r="G235" s="222"/>
      <c r="H235" s="155"/>
      <c r="I235" s="155"/>
      <c r="J235" s="103"/>
      <c r="K235" s="103"/>
      <c r="L235" s="103"/>
      <c r="M235" s="103"/>
      <c r="N235" s="103"/>
      <c r="O235" s="103"/>
    </row>
    <row r="236" spans="1:15" x14ac:dyDescent="0.4">
      <c r="A236" s="228"/>
      <c r="B236" s="155"/>
      <c r="C236" s="220"/>
      <c r="D236" s="222"/>
      <c r="E236" s="222"/>
      <c r="F236" s="222"/>
      <c r="G236" s="222"/>
      <c r="H236" s="155"/>
      <c r="I236" s="155"/>
      <c r="J236" s="103"/>
      <c r="K236" s="103"/>
      <c r="L236" s="103"/>
      <c r="M236" s="103"/>
      <c r="N236" s="103"/>
      <c r="O236" s="103"/>
    </row>
    <row r="237" spans="1:15" x14ac:dyDescent="0.4">
      <c r="A237" s="228"/>
      <c r="B237" s="155"/>
      <c r="C237" s="220"/>
      <c r="D237" s="222"/>
      <c r="E237" s="222"/>
      <c r="F237" s="222"/>
      <c r="G237" s="222"/>
      <c r="H237" s="155"/>
      <c r="I237" s="155"/>
      <c r="J237" s="103"/>
      <c r="K237" s="103"/>
      <c r="L237" s="103"/>
      <c r="M237" s="103"/>
      <c r="N237" s="103"/>
      <c r="O237" s="103"/>
    </row>
    <row r="238" spans="1:15" x14ac:dyDescent="0.4">
      <c r="A238" s="228"/>
      <c r="B238" s="155"/>
      <c r="C238" s="220"/>
      <c r="D238" s="222"/>
      <c r="E238" s="222"/>
      <c r="F238" s="222"/>
      <c r="G238" s="222"/>
      <c r="H238" s="155"/>
      <c r="I238" s="155"/>
      <c r="J238" s="103"/>
      <c r="K238" s="103"/>
      <c r="L238" s="103"/>
      <c r="M238" s="103"/>
      <c r="N238" s="103"/>
      <c r="O238" s="103"/>
    </row>
    <row r="239" spans="1:15" x14ac:dyDescent="0.4">
      <c r="A239" s="228"/>
      <c r="B239" s="155"/>
      <c r="C239" s="220"/>
      <c r="D239" s="222"/>
      <c r="E239" s="222"/>
      <c r="F239" s="222"/>
      <c r="G239" s="222"/>
      <c r="H239" s="155"/>
      <c r="I239" s="155"/>
      <c r="J239" s="103"/>
      <c r="K239" s="103"/>
      <c r="L239" s="103"/>
      <c r="M239" s="103"/>
      <c r="N239" s="103"/>
      <c r="O239" s="103"/>
    </row>
    <row r="240" spans="1:15" x14ac:dyDescent="0.4">
      <c r="A240" s="103"/>
      <c r="B240" s="224"/>
      <c r="C240" s="234"/>
      <c r="D240" s="224"/>
      <c r="E240" s="224"/>
      <c r="F240" s="224"/>
      <c r="G240" s="224"/>
      <c r="H240" s="155"/>
      <c r="I240" s="155"/>
      <c r="J240" s="103"/>
      <c r="K240" s="103"/>
      <c r="L240" s="103"/>
      <c r="M240" s="103"/>
      <c r="N240" s="103"/>
      <c r="O240" s="103"/>
    </row>
    <row r="241" spans="1:15" x14ac:dyDescent="0.4">
      <c r="A241" s="228"/>
      <c r="B241" s="224"/>
      <c r="C241" s="156"/>
      <c r="D241" s="156"/>
      <c r="E241" s="156"/>
      <c r="F241" s="156"/>
      <c r="G241" s="156"/>
      <c r="H241" s="155"/>
      <c r="I241" s="155"/>
      <c r="J241" s="103"/>
      <c r="K241" s="103"/>
      <c r="L241" s="103"/>
      <c r="M241" s="103"/>
      <c r="N241" s="103"/>
      <c r="O241" s="103"/>
    </row>
    <row r="242" spans="1:15" ht="21.75" customHeight="1" x14ac:dyDescent="0.4">
      <c r="A242" s="228"/>
      <c r="B242" s="224"/>
      <c r="C242" s="156"/>
      <c r="D242" s="156"/>
      <c r="E242" s="156"/>
      <c r="F242" s="156"/>
      <c r="G242" s="156"/>
      <c r="H242" s="155"/>
      <c r="I242" s="155"/>
      <c r="J242" s="103"/>
      <c r="K242" s="103"/>
      <c r="L242" s="103"/>
      <c r="M242" s="103"/>
      <c r="N242" s="103"/>
      <c r="O242" s="103"/>
    </row>
    <row r="243" spans="1:15" x14ac:dyDescent="0.4">
      <c r="A243" s="228"/>
      <c r="B243" s="224"/>
      <c r="C243" s="75"/>
      <c r="D243" s="75"/>
      <c r="E243" s="75"/>
      <c r="F243" s="75"/>
      <c r="G243" s="75"/>
      <c r="H243" s="155"/>
      <c r="I243" s="155"/>
      <c r="J243" s="103"/>
      <c r="K243" s="103"/>
      <c r="L243" s="103"/>
      <c r="M243" s="103"/>
      <c r="N243" s="103"/>
      <c r="O243" s="103"/>
    </row>
    <row r="244" spans="1:15" x14ac:dyDescent="0.4">
      <c r="A244" s="228"/>
      <c r="B244" s="224"/>
      <c r="C244" s="75"/>
      <c r="D244" s="75"/>
      <c r="E244" s="75"/>
      <c r="F244" s="75"/>
      <c r="G244" s="75"/>
      <c r="H244" s="155"/>
      <c r="I244" s="155"/>
      <c r="J244" s="103"/>
      <c r="K244" s="103"/>
      <c r="L244" s="103"/>
      <c r="M244" s="103"/>
      <c r="N244" s="103"/>
      <c r="O244" s="103"/>
    </row>
    <row r="245" spans="1:15" x14ac:dyDescent="0.4">
      <c r="A245" s="228"/>
      <c r="B245" s="224"/>
      <c r="C245" s="75"/>
      <c r="D245" s="75"/>
      <c r="E245" s="75"/>
      <c r="F245" s="75"/>
      <c r="G245" s="75"/>
      <c r="H245" s="155"/>
      <c r="I245" s="155"/>
      <c r="J245" s="103"/>
      <c r="K245" s="103"/>
      <c r="L245" s="103"/>
      <c r="M245" s="103"/>
      <c r="N245" s="103"/>
      <c r="O245" s="103"/>
    </row>
    <row r="246" spans="1:15" x14ac:dyDescent="0.4">
      <c r="A246" s="228"/>
      <c r="B246" s="224"/>
      <c r="C246" s="75"/>
      <c r="D246" s="75"/>
      <c r="E246" s="75"/>
      <c r="F246" s="75"/>
      <c r="G246" s="75"/>
      <c r="H246" s="155"/>
      <c r="I246" s="155"/>
      <c r="J246" s="103"/>
      <c r="K246" s="103"/>
      <c r="L246" s="103"/>
      <c r="M246" s="103"/>
      <c r="N246" s="103"/>
      <c r="O246" s="103"/>
    </row>
    <row r="247" spans="1:15" x14ac:dyDescent="0.4">
      <c r="A247" s="227"/>
      <c r="B247" s="224"/>
      <c r="C247" s="235"/>
      <c r="D247" s="235"/>
      <c r="E247" s="235"/>
      <c r="F247" s="235"/>
      <c r="G247" s="235"/>
      <c r="H247" s="235"/>
      <c r="I247" s="155"/>
      <c r="J247" s="103"/>
      <c r="K247" s="103"/>
      <c r="L247" s="103"/>
      <c r="M247" s="103"/>
      <c r="N247" s="103"/>
      <c r="O247" s="103"/>
    </row>
    <row r="248" spans="1:15" x14ac:dyDescent="0.4">
      <c r="A248" s="103"/>
      <c r="B248" s="224"/>
      <c r="C248" s="75"/>
      <c r="D248" s="75"/>
      <c r="E248" s="75"/>
      <c r="F248" s="75"/>
      <c r="G248" s="75"/>
      <c r="H248" s="155"/>
      <c r="I248" s="155"/>
      <c r="J248" s="103"/>
      <c r="K248" s="103"/>
      <c r="L248" s="103"/>
      <c r="M248" s="103"/>
      <c r="N248" s="103"/>
      <c r="O248" s="103"/>
    </row>
    <row r="249" spans="1:15" x14ac:dyDescent="0.4">
      <c r="A249" s="103"/>
      <c r="B249" s="224"/>
      <c r="C249" s="75"/>
      <c r="D249" s="75"/>
      <c r="E249" s="75"/>
      <c r="F249" s="75"/>
      <c r="G249" s="75"/>
      <c r="H249" s="155"/>
      <c r="I249" s="155"/>
      <c r="J249" s="103"/>
      <c r="K249" s="103"/>
      <c r="L249" s="103"/>
      <c r="M249" s="103"/>
      <c r="N249" s="103"/>
      <c r="O249" s="103"/>
    </row>
    <row r="250" spans="1:15" x14ac:dyDescent="0.4">
      <c r="A250" s="102"/>
      <c r="B250" s="224"/>
      <c r="C250" s="75"/>
      <c r="D250" s="224"/>
      <c r="E250" s="224"/>
      <c r="F250" s="224"/>
      <c r="G250" s="224"/>
      <c r="H250" s="155"/>
      <c r="I250" s="155"/>
      <c r="J250" s="103"/>
      <c r="K250" s="103"/>
      <c r="L250" s="103"/>
      <c r="M250" s="103"/>
      <c r="N250" s="103"/>
      <c r="O250" s="103"/>
    </row>
    <row r="251" spans="1:15" x14ac:dyDescent="0.4">
      <c r="A251" s="103"/>
      <c r="B251" s="224"/>
      <c r="C251" s="224"/>
      <c r="D251" s="224"/>
      <c r="E251" s="224"/>
      <c r="F251" s="224"/>
      <c r="G251" s="224"/>
      <c r="H251" s="155"/>
      <c r="I251" s="155"/>
      <c r="J251" s="103"/>
      <c r="K251" s="103"/>
      <c r="L251" s="103"/>
      <c r="M251" s="103"/>
      <c r="N251" s="103"/>
      <c r="O251" s="103"/>
    </row>
    <row r="252" spans="1:15" x14ac:dyDescent="0.4">
      <c r="A252" s="228"/>
      <c r="B252" s="223"/>
      <c r="C252" s="224"/>
      <c r="D252" s="224"/>
      <c r="E252" s="224"/>
      <c r="F252" s="224"/>
      <c r="G252" s="224"/>
      <c r="H252" s="155"/>
      <c r="I252" s="155"/>
      <c r="J252" s="103"/>
      <c r="K252" s="103"/>
      <c r="L252" s="103"/>
      <c r="M252" s="103"/>
      <c r="N252" s="103"/>
      <c r="O252" s="103"/>
    </row>
    <row r="253" spans="1:15" x14ac:dyDescent="0.4">
      <c r="A253" s="228"/>
      <c r="B253" s="223"/>
      <c r="C253" s="224"/>
      <c r="D253" s="224"/>
      <c r="E253" s="224"/>
      <c r="F253" s="224"/>
      <c r="G253" s="224"/>
      <c r="H253" s="155"/>
      <c r="I253" s="155"/>
      <c r="J253" s="103"/>
      <c r="K253" s="103"/>
      <c r="L253" s="103"/>
      <c r="M253" s="103"/>
      <c r="N253" s="103"/>
      <c r="O253" s="103"/>
    </row>
    <row r="254" spans="1:15" x14ac:dyDescent="0.4">
      <c r="A254" s="103"/>
      <c r="B254" s="223"/>
      <c r="C254" s="224"/>
      <c r="D254" s="224"/>
      <c r="E254" s="224"/>
      <c r="F254" s="224"/>
      <c r="G254" s="224"/>
      <c r="H254" s="155"/>
      <c r="I254" s="155"/>
      <c r="J254" s="103"/>
      <c r="K254" s="103"/>
      <c r="L254" s="103"/>
      <c r="M254" s="103"/>
      <c r="N254" s="103"/>
      <c r="O254" s="103"/>
    </row>
    <row r="255" spans="1:15" x14ac:dyDescent="0.4">
      <c r="A255" s="103"/>
      <c r="B255" s="103"/>
      <c r="C255" s="231"/>
      <c r="D255" s="231"/>
      <c r="E255" s="231"/>
      <c r="F255" s="231"/>
      <c r="G255" s="231"/>
      <c r="H255" s="231"/>
      <c r="I255" s="231"/>
      <c r="J255" s="103"/>
      <c r="K255" s="103"/>
      <c r="L255" s="103"/>
      <c r="M255" s="103"/>
      <c r="N255" s="103"/>
      <c r="O255" s="103"/>
    </row>
    <row r="256" spans="1:15" x14ac:dyDescent="0.4">
      <c r="A256" s="103"/>
      <c r="B256" s="102"/>
      <c r="C256" s="226"/>
      <c r="D256" s="226"/>
      <c r="E256" s="226"/>
      <c r="F256" s="226"/>
      <c r="G256" s="226"/>
      <c r="H256" s="226"/>
      <c r="I256" s="226"/>
      <c r="J256" s="103"/>
      <c r="K256" s="103"/>
      <c r="L256" s="103"/>
      <c r="M256" s="103"/>
      <c r="N256" s="103"/>
      <c r="O256" s="103"/>
    </row>
    <row r="257" spans="1:15" x14ac:dyDescent="0.4">
      <c r="A257" s="103"/>
      <c r="B257" s="224"/>
      <c r="C257" s="224"/>
      <c r="D257" s="224"/>
      <c r="E257" s="224"/>
      <c r="F257" s="224"/>
      <c r="G257" s="224"/>
      <c r="H257" s="155"/>
      <c r="I257" s="155"/>
      <c r="J257" s="103"/>
      <c r="K257" s="103"/>
      <c r="L257" s="103"/>
      <c r="M257" s="103"/>
      <c r="N257" s="103"/>
      <c r="O257" s="103"/>
    </row>
    <row r="258" spans="1:15" x14ac:dyDescent="0.4">
      <c r="A258" s="75"/>
      <c r="B258" s="75"/>
      <c r="C258" s="156"/>
      <c r="D258" s="156"/>
      <c r="E258" s="156"/>
      <c r="F258" s="156"/>
      <c r="G258" s="156"/>
      <c r="H258" s="155"/>
      <c r="I258" s="155"/>
      <c r="J258" s="103"/>
      <c r="K258" s="103"/>
      <c r="L258" s="103"/>
      <c r="M258" s="103"/>
      <c r="N258" s="103"/>
      <c r="O258" s="103"/>
    </row>
    <row r="259" spans="1:15" s="9" customFormat="1" x14ac:dyDescent="0.4">
      <c r="A259" s="236"/>
      <c r="B259" s="236"/>
      <c r="C259" s="236"/>
      <c r="D259" s="237"/>
      <c r="E259" s="237"/>
      <c r="F259" s="237"/>
      <c r="G259" s="237"/>
      <c r="H259" s="238"/>
      <c r="I259" s="238"/>
      <c r="J259" s="239"/>
      <c r="K259" s="239"/>
      <c r="L259" s="239"/>
      <c r="M259" s="239"/>
      <c r="N259" s="239"/>
      <c r="O259" s="239"/>
    </row>
    <row r="260" spans="1:15" x14ac:dyDescent="0.4">
      <c r="A260" s="75"/>
      <c r="B260" s="75"/>
      <c r="C260" s="75"/>
      <c r="D260" s="156"/>
      <c r="E260" s="156"/>
      <c r="F260" s="156"/>
      <c r="G260" s="156"/>
      <c r="H260" s="155"/>
      <c r="I260" s="155"/>
      <c r="J260" s="103"/>
      <c r="K260" s="103"/>
      <c r="L260" s="103"/>
      <c r="M260" s="103"/>
      <c r="N260" s="103"/>
      <c r="O260" s="103"/>
    </row>
    <row r="261" spans="1:15" x14ac:dyDescent="0.4">
      <c r="A261" s="75"/>
      <c r="B261" s="75"/>
      <c r="C261" s="75"/>
      <c r="D261" s="156"/>
      <c r="E261" s="156"/>
      <c r="F261" s="156"/>
      <c r="G261" s="156"/>
      <c r="H261" s="155"/>
      <c r="I261" s="155"/>
      <c r="J261" s="103"/>
      <c r="K261" s="103"/>
      <c r="L261" s="103"/>
      <c r="M261" s="103"/>
      <c r="N261" s="103"/>
      <c r="O261" s="103"/>
    </row>
    <row r="262" spans="1:15" s="9" customFormat="1" x14ac:dyDescent="0.4">
      <c r="A262" s="236"/>
      <c r="B262" s="236"/>
      <c r="C262" s="236"/>
      <c r="D262" s="156"/>
      <c r="E262" s="156"/>
      <c r="F262" s="156"/>
      <c r="G262" s="156"/>
      <c r="H262" s="238"/>
      <c r="I262" s="238"/>
      <c r="J262" s="239"/>
      <c r="K262" s="239"/>
      <c r="L262" s="239"/>
      <c r="M262" s="239"/>
      <c r="N262" s="239"/>
      <c r="O262" s="239"/>
    </row>
    <row r="263" spans="1:15" x14ac:dyDescent="0.4">
      <c r="A263" s="75"/>
      <c r="B263" s="156"/>
      <c r="C263" s="75"/>
      <c r="D263" s="75"/>
      <c r="E263" s="75"/>
      <c r="F263" s="75"/>
      <c r="G263" s="75"/>
      <c r="H263" s="155"/>
      <c r="I263" s="155"/>
      <c r="J263" s="103"/>
      <c r="K263" s="103"/>
      <c r="L263" s="103"/>
      <c r="M263" s="103"/>
      <c r="N263" s="103"/>
      <c r="O263" s="103"/>
    </row>
    <row r="264" spans="1:15" x14ac:dyDescent="0.4">
      <c r="A264" s="75"/>
      <c r="B264" s="156"/>
      <c r="C264" s="75"/>
      <c r="D264" s="75"/>
      <c r="E264" s="75"/>
      <c r="F264" s="75"/>
      <c r="G264" s="75"/>
      <c r="H264" s="155"/>
      <c r="I264" s="155"/>
      <c r="J264" s="103"/>
      <c r="K264" s="103"/>
      <c r="L264" s="103"/>
      <c r="M264" s="103"/>
      <c r="N264" s="103"/>
      <c r="O264" s="103"/>
    </row>
    <row r="265" spans="1:15" x14ac:dyDescent="0.4">
      <c r="A265" s="75"/>
      <c r="B265" s="229"/>
      <c r="C265" s="75"/>
      <c r="D265" s="75"/>
      <c r="E265" s="75"/>
      <c r="F265" s="75"/>
      <c r="G265" s="75"/>
      <c r="H265" s="155"/>
      <c r="I265" s="155"/>
      <c r="J265" s="103"/>
      <c r="K265" s="103"/>
      <c r="L265" s="103"/>
      <c r="M265" s="103"/>
      <c r="N265" s="103"/>
      <c r="O265" s="103"/>
    </row>
    <row r="266" spans="1:15" x14ac:dyDescent="0.4">
      <c r="A266" s="75"/>
      <c r="B266" s="156"/>
      <c r="C266" s="75"/>
      <c r="D266" s="75"/>
      <c r="E266" s="75"/>
      <c r="F266" s="75"/>
      <c r="G266" s="75"/>
      <c r="H266" s="155"/>
      <c r="I266" s="155"/>
      <c r="J266" s="103"/>
      <c r="K266" s="103"/>
      <c r="L266" s="103"/>
      <c r="M266" s="103"/>
      <c r="N266" s="103"/>
      <c r="O266" s="103"/>
    </row>
    <row r="267" spans="1:15" x14ac:dyDescent="0.4">
      <c r="A267" s="75"/>
      <c r="B267" s="75"/>
      <c r="C267" s="75"/>
      <c r="D267" s="75"/>
      <c r="E267" s="75"/>
      <c r="F267" s="75"/>
      <c r="G267" s="75"/>
      <c r="H267" s="155"/>
      <c r="I267" s="155"/>
      <c r="J267" s="103"/>
      <c r="K267" s="103"/>
      <c r="L267" s="103"/>
      <c r="M267" s="103"/>
      <c r="N267" s="103"/>
      <c r="O267" s="103"/>
    </row>
    <row r="268" spans="1:15" x14ac:dyDescent="0.4">
      <c r="A268" s="75"/>
      <c r="B268" s="75"/>
      <c r="C268" s="75"/>
      <c r="D268" s="75"/>
      <c r="E268" s="75"/>
      <c r="F268" s="75"/>
      <c r="G268" s="75"/>
      <c r="H268" s="155"/>
      <c r="I268" s="155"/>
      <c r="J268" s="103"/>
      <c r="K268" s="103"/>
      <c r="L268" s="103"/>
      <c r="M268" s="103"/>
      <c r="N268" s="103"/>
      <c r="O268" s="103"/>
    </row>
    <row r="269" spans="1:15" x14ac:dyDescent="0.4">
      <c r="A269" s="240"/>
      <c r="B269" s="241"/>
      <c r="C269" s="75"/>
      <c r="D269" s="75"/>
      <c r="E269" s="75"/>
      <c r="F269" s="75"/>
      <c r="G269" s="75"/>
      <c r="H269" s="155"/>
      <c r="I269" s="155"/>
      <c r="J269" s="103"/>
      <c r="K269" s="103"/>
      <c r="L269" s="103"/>
      <c r="M269" s="103"/>
      <c r="N269" s="103"/>
      <c r="O269" s="103"/>
    </row>
    <row r="270" spans="1:15" x14ac:dyDescent="0.4">
      <c r="A270" s="103"/>
      <c r="B270" s="224"/>
      <c r="C270" s="224"/>
      <c r="D270" s="224"/>
      <c r="E270" s="224"/>
      <c r="F270" s="224"/>
      <c r="G270" s="224"/>
      <c r="H270" s="155"/>
      <c r="I270" s="155"/>
      <c r="J270" s="103"/>
      <c r="K270" s="103"/>
      <c r="L270" s="103"/>
      <c r="M270" s="103"/>
      <c r="N270" s="103"/>
      <c r="O270" s="103"/>
    </row>
    <row r="271" spans="1:15" x14ac:dyDescent="0.4">
      <c r="A271" s="103"/>
      <c r="B271" s="224"/>
      <c r="C271" s="224"/>
      <c r="D271" s="224"/>
      <c r="E271" s="224"/>
      <c r="F271" s="224"/>
      <c r="G271" s="224"/>
      <c r="H271" s="155"/>
      <c r="I271" s="155"/>
      <c r="J271" s="103"/>
      <c r="K271" s="103"/>
      <c r="L271" s="103"/>
      <c r="M271" s="103"/>
      <c r="N271" s="103"/>
      <c r="O271" s="103"/>
    </row>
    <row r="272" spans="1:15" x14ac:dyDescent="0.4">
      <c r="A272" s="103"/>
      <c r="B272" s="242"/>
      <c r="C272" s="351"/>
      <c r="D272" s="351"/>
      <c r="E272" s="351"/>
      <c r="F272" s="351"/>
      <c r="G272" s="351"/>
      <c r="H272" s="351"/>
      <c r="I272" s="155"/>
      <c r="J272" s="103"/>
      <c r="K272" s="103"/>
      <c r="L272" s="103"/>
      <c r="M272" s="103"/>
      <c r="N272" s="103"/>
      <c r="O272" s="103"/>
    </row>
    <row r="273" spans="1:15" x14ac:dyDescent="0.4">
      <c r="A273" s="103"/>
      <c r="B273" s="242"/>
      <c r="C273" s="243"/>
      <c r="D273" s="103"/>
      <c r="E273" s="103"/>
      <c r="F273" s="103"/>
      <c r="G273" s="103"/>
      <c r="H273" s="103"/>
      <c r="I273" s="155"/>
      <c r="J273" s="103"/>
      <c r="K273" s="103"/>
      <c r="L273" s="103"/>
      <c r="M273" s="103"/>
      <c r="N273" s="103"/>
      <c r="O273" s="103"/>
    </row>
    <row r="274" spans="1:15" x14ac:dyDescent="0.4">
      <c r="A274" s="103"/>
      <c r="B274" s="103"/>
      <c r="C274" s="103"/>
      <c r="D274" s="349"/>
      <c r="E274" s="349"/>
      <c r="F274" s="349"/>
      <c r="G274" s="349"/>
      <c r="H274" s="349"/>
      <c r="I274" s="155"/>
      <c r="J274" s="103"/>
      <c r="K274" s="103"/>
      <c r="L274" s="103"/>
      <c r="M274" s="103"/>
      <c r="N274" s="103"/>
      <c r="O274" s="103"/>
    </row>
    <row r="275" spans="1:15" x14ac:dyDescent="0.4">
      <c r="A275" s="103"/>
      <c r="B275" s="244"/>
      <c r="C275" s="245"/>
      <c r="D275" s="246"/>
      <c r="E275" s="246"/>
      <c r="F275" s="246"/>
      <c r="G275" s="246"/>
      <c r="H275" s="246"/>
      <c r="I275" s="155"/>
      <c r="J275" s="103"/>
      <c r="K275" s="103"/>
      <c r="L275" s="103"/>
      <c r="M275" s="103"/>
      <c r="N275" s="103"/>
      <c r="O275" s="103"/>
    </row>
    <row r="276" spans="1:15" x14ac:dyDescent="0.4">
      <c r="A276" s="103"/>
      <c r="B276" s="350"/>
      <c r="C276" s="247"/>
      <c r="D276" s="248"/>
      <c r="E276" s="248"/>
      <c r="F276" s="248"/>
      <c r="G276" s="248"/>
      <c r="H276" s="248"/>
      <c r="I276" s="155"/>
      <c r="J276" s="103"/>
      <c r="K276" s="103"/>
      <c r="L276" s="103"/>
      <c r="M276" s="103"/>
      <c r="N276" s="103"/>
      <c r="O276" s="103"/>
    </row>
    <row r="277" spans="1:15" x14ac:dyDescent="0.4">
      <c r="A277" s="103"/>
      <c r="B277" s="350"/>
      <c r="C277" s="247"/>
      <c r="D277" s="248"/>
      <c r="E277" s="248"/>
      <c r="F277" s="248"/>
      <c r="G277" s="248"/>
      <c r="H277" s="248"/>
      <c r="I277" s="155"/>
      <c r="J277" s="103"/>
      <c r="K277" s="103"/>
      <c r="L277" s="103"/>
      <c r="M277" s="103"/>
      <c r="N277" s="103"/>
      <c r="O277" s="103"/>
    </row>
    <row r="278" spans="1:15" x14ac:dyDescent="0.4">
      <c r="A278" s="103"/>
      <c r="B278" s="350"/>
      <c r="C278" s="247"/>
      <c r="D278" s="248"/>
      <c r="E278" s="248"/>
      <c r="F278" s="248"/>
      <c r="G278" s="248"/>
      <c r="H278" s="248"/>
      <c r="I278" s="155"/>
      <c r="J278" s="103"/>
      <c r="K278" s="103"/>
      <c r="L278" s="103"/>
      <c r="M278" s="103"/>
      <c r="N278" s="103"/>
      <c r="O278" s="103"/>
    </row>
    <row r="279" spans="1:15" x14ac:dyDescent="0.4">
      <c r="A279" s="103"/>
      <c r="B279" s="350"/>
      <c r="C279" s="247"/>
      <c r="D279" s="248"/>
      <c r="E279" s="248"/>
      <c r="F279" s="248"/>
      <c r="G279" s="248"/>
      <c r="H279" s="248"/>
      <c r="I279" s="155"/>
      <c r="J279" s="103"/>
      <c r="K279" s="103"/>
      <c r="L279" s="103"/>
      <c r="M279" s="103"/>
      <c r="N279" s="103"/>
      <c r="O279" s="103"/>
    </row>
    <row r="280" spans="1:15" x14ac:dyDescent="0.4">
      <c r="A280" s="103"/>
      <c r="B280" s="350"/>
      <c r="C280" s="247"/>
      <c r="D280" s="248"/>
      <c r="E280" s="248"/>
      <c r="F280" s="248"/>
      <c r="G280" s="248"/>
      <c r="H280" s="248"/>
      <c r="I280" s="155"/>
      <c r="J280" s="103"/>
      <c r="K280" s="103"/>
      <c r="L280" s="103"/>
      <c r="M280" s="103"/>
      <c r="N280" s="103"/>
      <c r="O280" s="103"/>
    </row>
    <row r="281" spans="1:15" x14ac:dyDescent="0.4">
      <c r="A281" s="103"/>
      <c r="B281" s="224"/>
      <c r="C281" s="224"/>
      <c r="D281" s="224"/>
      <c r="E281" s="224"/>
      <c r="F281" s="224"/>
      <c r="G281" s="224"/>
      <c r="H281" s="155"/>
      <c r="I281" s="155"/>
      <c r="J281" s="103"/>
      <c r="K281" s="103"/>
      <c r="L281" s="103"/>
      <c r="M281" s="103"/>
      <c r="N281" s="103"/>
      <c r="O281" s="103"/>
    </row>
    <row r="282" spans="1:15" ht="13.9" x14ac:dyDescent="0.4">
      <c r="A282" s="101"/>
      <c r="B282" s="102"/>
      <c r="C282" s="102"/>
      <c r="D282" s="102"/>
      <c r="E282" s="103"/>
      <c r="F282" s="103"/>
      <c r="G282" s="103"/>
      <c r="H282" s="102"/>
      <c r="I282" s="103"/>
      <c r="J282" s="103"/>
      <c r="K282" s="103"/>
      <c r="L282" s="103"/>
      <c r="M282" s="103"/>
      <c r="N282" s="103"/>
      <c r="O282" s="103"/>
    </row>
    <row r="283" spans="1:15" ht="13.9" x14ac:dyDescent="0.4">
      <c r="A283" s="101"/>
      <c r="B283" s="102"/>
      <c r="C283" s="102"/>
      <c r="D283" s="102"/>
      <c r="E283" s="103"/>
      <c r="F283" s="103"/>
      <c r="G283" s="103"/>
      <c r="H283" s="102"/>
      <c r="I283" s="103"/>
      <c r="J283" s="103"/>
      <c r="K283" s="103"/>
      <c r="L283" s="103"/>
      <c r="M283" s="103"/>
      <c r="N283" s="103"/>
      <c r="O283" s="103"/>
    </row>
    <row r="284" spans="1:15" x14ac:dyDescent="0.4">
      <c r="A284" s="103"/>
      <c r="B284" s="224"/>
      <c r="C284" s="224"/>
      <c r="D284" s="224"/>
      <c r="E284" s="224"/>
      <c r="F284" s="224"/>
      <c r="G284" s="224"/>
      <c r="H284" s="155"/>
      <c r="I284" s="155"/>
      <c r="J284" s="103"/>
      <c r="K284" s="103"/>
      <c r="L284" s="103"/>
      <c r="M284" s="103"/>
      <c r="N284" s="103"/>
      <c r="O284" s="103"/>
    </row>
    <row r="285" spans="1:15" x14ac:dyDescent="0.4">
      <c r="A285" s="103"/>
      <c r="B285" s="224"/>
      <c r="C285" s="224"/>
      <c r="D285" s="224"/>
      <c r="E285" s="224"/>
      <c r="F285" s="224"/>
      <c r="G285" s="224"/>
      <c r="H285" s="155"/>
      <c r="I285" s="155"/>
      <c r="J285" s="103"/>
      <c r="K285" s="103"/>
      <c r="L285" s="103"/>
      <c r="M285" s="103"/>
      <c r="N285" s="103"/>
      <c r="O285" s="103"/>
    </row>
    <row r="286" spans="1:15" x14ac:dyDescent="0.4">
      <c r="A286" s="102"/>
      <c r="B286" s="155"/>
      <c r="C286" s="225"/>
      <c r="D286" s="225"/>
      <c r="E286" s="225"/>
      <c r="F286" s="225"/>
      <c r="G286" s="224"/>
      <c r="H286" s="155"/>
      <c r="I286" s="155"/>
      <c r="J286" s="103"/>
      <c r="K286" s="103"/>
      <c r="L286" s="103"/>
      <c r="M286" s="103"/>
      <c r="N286" s="103"/>
      <c r="O286" s="103"/>
    </row>
    <row r="287" spans="1:15" x14ac:dyDescent="0.4">
      <c r="A287" s="102"/>
      <c r="B287" s="155"/>
      <c r="C287" s="226"/>
      <c r="D287" s="226"/>
      <c r="E287" s="226"/>
      <c r="F287" s="226"/>
      <c r="G287" s="224"/>
      <c r="H287" s="155"/>
      <c r="I287" s="155"/>
      <c r="J287" s="103"/>
      <c r="K287" s="103"/>
      <c r="L287" s="103"/>
      <c r="M287" s="103"/>
      <c r="N287" s="103"/>
      <c r="O287" s="103"/>
    </row>
    <row r="288" spans="1:15" x14ac:dyDescent="0.4">
      <c r="A288" s="102"/>
      <c r="B288" s="155"/>
      <c r="C288" s="226"/>
      <c r="D288" s="226"/>
      <c r="E288" s="226"/>
      <c r="F288" s="226"/>
      <c r="G288" s="224"/>
      <c r="H288" s="155"/>
      <c r="I288" s="155"/>
      <c r="J288" s="103"/>
      <c r="K288" s="103"/>
      <c r="L288" s="103"/>
      <c r="M288" s="103"/>
      <c r="N288" s="103"/>
      <c r="O288" s="103"/>
    </row>
    <row r="289" spans="1:15" x14ac:dyDescent="0.4">
      <c r="A289" s="103"/>
      <c r="B289" s="155"/>
      <c r="C289" s="249"/>
      <c r="D289" s="249"/>
      <c r="E289" s="249"/>
      <c r="F289" s="249"/>
      <c r="G289" s="224"/>
      <c r="H289" s="155"/>
      <c r="I289" s="155"/>
      <c r="J289" s="103"/>
      <c r="K289" s="103"/>
      <c r="L289" s="103"/>
      <c r="M289" s="103"/>
      <c r="N289" s="103"/>
      <c r="O289" s="103"/>
    </row>
    <row r="290" spans="1:15" x14ac:dyDescent="0.4">
      <c r="A290" s="103"/>
      <c r="B290" s="155"/>
      <c r="C290" s="249"/>
      <c r="D290" s="249"/>
      <c r="E290" s="249"/>
      <c r="F290" s="249"/>
      <c r="G290" s="224"/>
      <c r="H290" s="155"/>
      <c r="I290" s="155"/>
      <c r="J290" s="103"/>
      <c r="K290" s="103"/>
      <c r="L290" s="103"/>
      <c r="M290" s="103"/>
      <c r="N290" s="103"/>
      <c r="O290" s="103"/>
    </row>
    <row r="291" spans="1:15" x14ac:dyDescent="0.4">
      <c r="A291" s="103"/>
      <c r="B291" s="155"/>
      <c r="C291" s="249"/>
      <c r="D291" s="249"/>
      <c r="E291" s="249"/>
      <c r="F291" s="249"/>
      <c r="G291" s="224"/>
      <c r="H291" s="155"/>
      <c r="I291" s="155"/>
      <c r="J291" s="103"/>
      <c r="K291" s="103"/>
      <c r="L291" s="103"/>
      <c r="M291" s="103"/>
      <c r="N291" s="103"/>
      <c r="O291" s="103"/>
    </row>
    <row r="292" spans="1:15" x14ac:dyDescent="0.4">
      <c r="A292" s="103"/>
      <c r="B292" s="155"/>
      <c r="C292" s="249"/>
      <c r="D292" s="249"/>
      <c r="E292" s="249"/>
      <c r="F292" s="249"/>
      <c r="G292" s="224"/>
      <c r="H292" s="155"/>
      <c r="I292" s="155"/>
      <c r="J292" s="103"/>
      <c r="K292" s="103"/>
      <c r="L292" s="103"/>
      <c r="M292" s="103"/>
      <c r="N292" s="103"/>
      <c r="O292" s="103"/>
    </row>
    <row r="293" spans="1:15" x14ac:dyDescent="0.4">
      <c r="A293" s="103"/>
      <c r="B293" s="155"/>
      <c r="C293" s="352"/>
      <c r="D293" s="352"/>
      <c r="E293" s="352"/>
      <c r="F293" s="352"/>
      <c r="G293" s="224"/>
      <c r="H293" s="155"/>
      <c r="I293" s="155"/>
      <c r="J293" s="103"/>
      <c r="K293" s="103"/>
      <c r="L293" s="103"/>
      <c r="M293" s="103"/>
      <c r="N293" s="103"/>
      <c r="O293" s="103"/>
    </row>
    <row r="294" spans="1:15" x14ac:dyDescent="0.4">
      <c r="A294" s="102"/>
      <c r="B294" s="155"/>
      <c r="C294" s="226"/>
      <c r="D294" s="226"/>
      <c r="E294" s="226"/>
      <c r="F294" s="226"/>
      <c r="G294" s="224"/>
      <c r="H294" s="155"/>
      <c r="I294" s="155"/>
      <c r="J294" s="103"/>
      <c r="K294" s="103"/>
      <c r="L294" s="103"/>
      <c r="M294" s="103"/>
      <c r="N294" s="103"/>
      <c r="O294" s="103"/>
    </row>
    <row r="295" spans="1:15" x14ac:dyDescent="0.4">
      <c r="A295" s="102"/>
      <c r="B295" s="155"/>
      <c r="C295" s="226"/>
      <c r="D295" s="226"/>
      <c r="E295" s="226"/>
      <c r="F295" s="226"/>
      <c r="G295" s="224"/>
      <c r="H295" s="155"/>
      <c r="I295" s="155"/>
      <c r="J295" s="103"/>
      <c r="K295" s="103"/>
      <c r="L295" s="103"/>
      <c r="M295" s="103"/>
      <c r="N295" s="103"/>
      <c r="O295" s="103"/>
    </row>
    <row r="296" spans="1:15" x14ac:dyDescent="0.4">
      <c r="A296" s="103"/>
      <c r="B296" s="224"/>
      <c r="C296" s="224"/>
      <c r="D296" s="224"/>
      <c r="E296" s="224"/>
      <c r="F296" s="224"/>
      <c r="G296" s="224"/>
      <c r="H296" s="155"/>
      <c r="I296" s="155"/>
      <c r="J296" s="103"/>
      <c r="K296" s="103"/>
      <c r="L296" s="103"/>
      <c r="M296" s="103"/>
      <c r="N296" s="103"/>
      <c r="O296" s="103"/>
    </row>
    <row r="297" spans="1:15" x14ac:dyDescent="0.4">
      <c r="A297" s="103"/>
      <c r="B297" s="224"/>
      <c r="C297" s="75"/>
      <c r="D297" s="75"/>
      <c r="E297" s="75"/>
      <c r="F297" s="75"/>
      <c r="G297" s="229"/>
      <c r="H297" s="155"/>
      <c r="I297" s="155"/>
      <c r="J297" s="103"/>
      <c r="K297" s="103"/>
      <c r="L297" s="103"/>
      <c r="M297" s="103"/>
      <c r="N297" s="103"/>
      <c r="O297" s="103"/>
    </row>
    <row r="298" spans="1:15" x14ac:dyDescent="0.4">
      <c r="A298" s="103"/>
      <c r="B298" s="224"/>
      <c r="C298" s="229"/>
      <c r="D298" s="229"/>
      <c r="E298" s="229"/>
      <c r="F298" s="229"/>
      <c r="G298" s="229"/>
      <c r="H298" s="155"/>
      <c r="I298" s="155"/>
      <c r="J298" s="103"/>
      <c r="K298" s="103"/>
      <c r="L298" s="103"/>
      <c r="M298" s="103"/>
      <c r="N298" s="103"/>
      <c r="O298" s="103"/>
    </row>
    <row r="299" spans="1:15" x14ac:dyDescent="0.4">
      <c r="A299" s="103"/>
      <c r="B299" s="224"/>
      <c r="C299" s="229"/>
      <c r="D299" s="229"/>
      <c r="E299" s="229"/>
      <c r="F299" s="229"/>
      <c r="G299" s="229"/>
      <c r="H299" s="155"/>
      <c r="I299" s="155"/>
      <c r="J299" s="103"/>
      <c r="K299" s="103"/>
      <c r="L299" s="103"/>
      <c r="M299" s="103"/>
      <c r="N299" s="103"/>
      <c r="O299" s="103"/>
    </row>
    <row r="300" spans="1:15" x14ac:dyDescent="0.4">
      <c r="A300" s="103"/>
      <c r="B300" s="224"/>
      <c r="C300" s="229"/>
      <c r="D300" s="229"/>
      <c r="E300" s="229"/>
      <c r="F300" s="229"/>
      <c r="G300" s="229"/>
      <c r="H300" s="155"/>
      <c r="I300" s="155"/>
      <c r="J300" s="103"/>
      <c r="K300" s="103"/>
      <c r="L300" s="103"/>
      <c r="M300" s="103"/>
      <c r="N300" s="103"/>
      <c r="O300" s="103"/>
    </row>
    <row r="301" spans="1:15" ht="24" customHeight="1" x14ac:dyDescent="0.4">
      <c r="A301" s="228"/>
      <c r="B301" s="224"/>
      <c r="C301" s="229"/>
      <c r="D301" s="229"/>
      <c r="E301" s="229"/>
      <c r="F301" s="229"/>
      <c r="G301" s="229"/>
      <c r="H301" s="155"/>
      <c r="I301" s="155"/>
      <c r="J301" s="103"/>
      <c r="K301" s="103"/>
      <c r="L301" s="103"/>
      <c r="M301" s="103"/>
      <c r="N301" s="103"/>
      <c r="O301" s="103"/>
    </row>
    <row r="302" spans="1:15" x14ac:dyDescent="0.4">
      <c r="A302" s="250"/>
      <c r="B302" s="251"/>
      <c r="C302" s="252"/>
      <c r="D302" s="252"/>
      <c r="E302" s="252"/>
      <c r="F302" s="252"/>
      <c r="G302" s="229"/>
      <c r="H302" s="155"/>
      <c r="I302" s="155"/>
      <c r="J302" s="103"/>
      <c r="K302" s="103"/>
      <c r="L302" s="103"/>
      <c r="M302" s="103"/>
      <c r="N302" s="103"/>
      <c r="O302" s="103"/>
    </row>
    <row r="303" spans="1:15" ht="14.25" customHeight="1" x14ac:dyDescent="0.4">
      <c r="A303" s="253"/>
      <c r="B303" s="224"/>
      <c r="C303" s="229"/>
      <c r="D303" s="229"/>
      <c r="E303" s="229"/>
      <c r="F303" s="229"/>
      <c r="G303" s="229"/>
      <c r="H303" s="155"/>
      <c r="I303" s="155"/>
      <c r="J303" s="103"/>
      <c r="K303" s="103"/>
      <c r="L303" s="103"/>
      <c r="M303" s="103"/>
      <c r="N303" s="103"/>
      <c r="O303" s="103"/>
    </row>
    <row r="304" spans="1:15" ht="18.75" customHeight="1" x14ac:dyDescent="0.4">
      <c r="A304" s="102"/>
      <c r="B304" s="155"/>
      <c r="C304" s="235"/>
      <c r="D304" s="235"/>
      <c r="E304" s="235"/>
      <c r="F304" s="235"/>
      <c r="G304" s="229"/>
      <c r="H304" s="155"/>
      <c r="I304" s="155"/>
      <c r="J304" s="103"/>
      <c r="K304" s="103"/>
      <c r="L304" s="103"/>
      <c r="M304" s="103"/>
      <c r="N304" s="103"/>
      <c r="O304" s="103"/>
    </row>
    <row r="305" spans="1:15" x14ac:dyDescent="0.4">
      <c r="A305" s="103"/>
      <c r="B305" s="224"/>
      <c r="C305" s="224"/>
      <c r="D305" s="224"/>
      <c r="E305" s="224"/>
      <c r="F305" s="224"/>
      <c r="G305" s="224"/>
      <c r="H305" s="155"/>
      <c r="I305" s="155"/>
      <c r="J305" s="103"/>
      <c r="K305" s="103"/>
      <c r="L305" s="103"/>
      <c r="M305" s="103"/>
      <c r="N305" s="103"/>
      <c r="O305" s="103"/>
    </row>
    <row r="306" spans="1:15" x14ac:dyDescent="0.4">
      <c r="A306" s="103"/>
      <c r="B306" s="224"/>
      <c r="C306" s="224"/>
      <c r="D306" s="224"/>
      <c r="E306" s="224"/>
      <c r="F306" s="224"/>
      <c r="G306" s="224"/>
      <c r="H306" s="155"/>
      <c r="I306" s="155"/>
      <c r="J306" s="103"/>
      <c r="K306" s="103"/>
      <c r="L306" s="103"/>
      <c r="M306" s="103"/>
      <c r="N306" s="103"/>
      <c r="O306" s="103"/>
    </row>
    <row r="307" spans="1:15" x14ac:dyDescent="0.4">
      <c r="A307" s="102"/>
      <c r="B307" s="224"/>
      <c r="C307" s="231"/>
      <c r="D307" s="231"/>
      <c r="E307" s="231"/>
      <c r="F307" s="231"/>
      <c r="G307" s="231"/>
      <c r="H307" s="155"/>
      <c r="I307" s="155"/>
      <c r="J307" s="103"/>
      <c r="K307" s="103"/>
      <c r="L307" s="103"/>
      <c r="M307" s="103"/>
      <c r="N307" s="103"/>
      <c r="O307" s="103"/>
    </row>
    <row r="308" spans="1:15" x14ac:dyDescent="0.4">
      <c r="A308" s="102"/>
      <c r="B308" s="224"/>
      <c r="C308" s="233"/>
      <c r="D308" s="233"/>
      <c r="E308" s="233"/>
      <c r="F308" s="233"/>
      <c r="G308" s="233"/>
      <c r="H308" s="155"/>
      <c r="I308" s="155"/>
      <c r="J308" s="103"/>
      <c r="K308" s="103"/>
      <c r="L308" s="103"/>
      <c r="M308" s="103"/>
      <c r="N308" s="103"/>
      <c r="O308" s="103"/>
    </row>
    <row r="309" spans="1:15" x14ac:dyDescent="0.4">
      <c r="A309" s="102"/>
      <c r="B309" s="224"/>
      <c r="C309" s="233"/>
      <c r="D309" s="233"/>
      <c r="E309" s="233"/>
      <c r="F309" s="233"/>
      <c r="G309" s="233"/>
      <c r="H309" s="155"/>
      <c r="I309" s="155"/>
      <c r="J309" s="103"/>
      <c r="K309" s="103"/>
      <c r="L309" s="103"/>
      <c r="M309" s="103"/>
      <c r="N309" s="103"/>
      <c r="O309" s="103"/>
    </row>
    <row r="310" spans="1:15" x14ac:dyDescent="0.4">
      <c r="A310" s="102"/>
      <c r="B310" s="224"/>
      <c r="C310" s="233"/>
      <c r="D310" s="233"/>
      <c r="E310" s="233"/>
      <c r="F310" s="233"/>
      <c r="G310" s="233"/>
      <c r="H310" s="155"/>
      <c r="I310" s="155"/>
      <c r="J310" s="103"/>
      <c r="K310" s="103"/>
      <c r="L310" s="103"/>
      <c r="M310" s="103"/>
      <c r="N310" s="103"/>
      <c r="O310" s="103"/>
    </row>
    <row r="311" spans="1:15" x14ac:dyDescent="0.4">
      <c r="A311" s="102"/>
      <c r="B311" s="224"/>
      <c r="C311" s="233"/>
      <c r="D311" s="233"/>
      <c r="E311" s="233"/>
      <c r="F311" s="233"/>
      <c r="G311" s="233"/>
      <c r="H311" s="155"/>
      <c r="I311" s="155"/>
      <c r="J311" s="103"/>
      <c r="K311" s="103"/>
      <c r="L311" s="103"/>
      <c r="M311" s="103"/>
      <c r="N311" s="103"/>
      <c r="O311" s="103"/>
    </row>
    <row r="312" spans="1:15" x14ac:dyDescent="0.4">
      <c r="A312" s="103"/>
      <c r="B312" s="224"/>
      <c r="C312" s="249"/>
      <c r="D312" s="254"/>
      <c r="E312" s="254"/>
      <c r="F312" s="254"/>
      <c r="G312" s="254"/>
      <c r="H312" s="155"/>
      <c r="I312" s="155"/>
      <c r="J312" s="103"/>
      <c r="K312" s="103"/>
      <c r="L312" s="103"/>
      <c r="M312" s="103"/>
      <c r="N312" s="103"/>
      <c r="O312" s="103"/>
    </row>
    <row r="313" spans="1:15" x14ac:dyDescent="0.4">
      <c r="A313" s="103"/>
      <c r="B313" s="224"/>
      <c r="C313" s="249"/>
      <c r="D313" s="254"/>
      <c r="E313" s="254"/>
      <c r="F313" s="254"/>
      <c r="G313" s="254"/>
      <c r="H313" s="155"/>
      <c r="I313" s="155"/>
      <c r="J313" s="103"/>
      <c r="K313" s="103"/>
      <c r="L313" s="103"/>
      <c r="M313" s="103"/>
      <c r="N313" s="103"/>
      <c r="O313" s="103"/>
    </row>
    <row r="314" spans="1:15" x14ac:dyDescent="0.4">
      <c r="A314" s="103"/>
      <c r="B314" s="224"/>
      <c r="C314" s="249"/>
      <c r="D314" s="254"/>
      <c r="E314" s="254"/>
      <c r="F314" s="254"/>
      <c r="G314" s="254"/>
      <c r="H314" s="155"/>
      <c r="I314" s="155"/>
      <c r="J314" s="103"/>
      <c r="K314" s="103"/>
      <c r="L314" s="103"/>
      <c r="M314" s="103"/>
      <c r="N314" s="103"/>
      <c r="O314" s="103"/>
    </row>
    <row r="315" spans="1:15" x14ac:dyDescent="0.4">
      <c r="A315" s="103"/>
      <c r="B315" s="224"/>
      <c r="C315" s="249"/>
      <c r="D315" s="254"/>
      <c r="E315" s="254"/>
      <c r="F315" s="254"/>
      <c r="G315" s="254"/>
      <c r="H315" s="155"/>
      <c r="I315" s="155"/>
      <c r="J315" s="103"/>
      <c r="K315" s="103"/>
      <c r="L315" s="103"/>
      <c r="M315" s="103"/>
      <c r="N315" s="103"/>
      <c r="O315" s="103"/>
    </row>
    <row r="316" spans="1:15" x14ac:dyDescent="0.4">
      <c r="A316" s="103"/>
      <c r="B316" s="224"/>
      <c r="C316" s="249"/>
      <c r="D316" s="254"/>
      <c r="E316" s="254"/>
      <c r="F316" s="254"/>
      <c r="G316" s="254"/>
      <c r="H316" s="155"/>
      <c r="I316" s="155"/>
      <c r="J316" s="103"/>
      <c r="K316" s="103"/>
      <c r="L316" s="103"/>
      <c r="M316" s="103"/>
      <c r="N316" s="103"/>
      <c r="O316" s="103"/>
    </row>
    <row r="317" spans="1:15" x14ac:dyDescent="0.4">
      <c r="A317" s="103"/>
      <c r="B317" s="224"/>
      <c r="C317" s="75"/>
      <c r="D317" s="255"/>
      <c r="E317" s="255"/>
      <c r="F317" s="255"/>
      <c r="G317" s="255"/>
      <c r="H317" s="155"/>
      <c r="I317" s="155"/>
      <c r="J317" s="103"/>
      <c r="K317" s="103"/>
      <c r="L317" s="103"/>
      <c r="M317" s="103"/>
      <c r="N317" s="103"/>
      <c r="O317" s="103"/>
    </row>
    <row r="318" spans="1:15" x14ac:dyDescent="0.4">
      <c r="A318" s="103"/>
      <c r="B318" s="224"/>
      <c r="C318" s="249"/>
      <c r="D318" s="249"/>
      <c r="E318" s="249"/>
      <c r="F318" s="249"/>
      <c r="G318" s="249"/>
      <c r="H318" s="155"/>
      <c r="I318" s="155"/>
      <c r="J318" s="103"/>
      <c r="K318" s="103"/>
      <c r="L318" s="103"/>
      <c r="M318" s="103"/>
      <c r="N318" s="103"/>
      <c r="O318" s="103"/>
    </row>
    <row r="319" spans="1:15" x14ac:dyDescent="0.4">
      <c r="A319" s="103"/>
      <c r="B319" s="224"/>
      <c r="C319" s="256"/>
      <c r="D319" s="257"/>
      <c r="E319" s="257"/>
      <c r="F319" s="257"/>
      <c r="G319" s="257"/>
      <c r="H319" s="155"/>
      <c r="I319" s="155"/>
      <c r="J319" s="103"/>
      <c r="K319" s="103"/>
      <c r="L319" s="103"/>
      <c r="M319" s="103"/>
      <c r="N319" s="103"/>
      <c r="O319" s="103"/>
    </row>
    <row r="320" spans="1:15" x14ac:dyDescent="0.4">
      <c r="A320" s="103"/>
      <c r="B320" s="224"/>
      <c r="C320" s="103"/>
      <c r="D320" s="249"/>
      <c r="E320" s="249"/>
      <c r="F320" s="249"/>
      <c r="G320" s="249"/>
      <c r="H320" s="155"/>
      <c r="I320" s="155"/>
      <c r="J320" s="103"/>
      <c r="K320" s="103"/>
      <c r="L320" s="103"/>
      <c r="M320" s="103"/>
      <c r="N320" s="103"/>
      <c r="O320" s="103"/>
    </row>
    <row r="321" spans="1:15" x14ac:dyDescent="0.4">
      <c r="A321" s="103"/>
      <c r="B321" s="224"/>
      <c r="C321" s="256"/>
      <c r="D321" s="256"/>
      <c r="E321" s="256"/>
      <c r="F321" s="256"/>
      <c r="G321" s="256"/>
      <c r="H321" s="155"/>
      <c r="I321" s="155"/>
      <c r="J321" s="103"/>
      <c r="K321" s="103"/>
      <c r="L321" s="103"/>
      <c r="M321" s="103"/>
      <c r="N321" s="103"/>
      <c r="O321" s="103"/>
    </row>
    <row r="322" spans="1:15" x14ac:dyDescent="0.4">
      <c r="A322" s="103"/>
      <c r="B322" s="224"/>
      <c r="C322" s="257"/>
      <c r="D322" s="257"/>
      <c r="E322" s="257"/>
      <c r="F322" s="257"/>
      <c r="G322" s="257"/>
      <c r="H322" s="155"/>
      <c r="I322" s="155"/>
      <c r="J322" s="103"/>
      <c r="K322" s="103"/>
      <c r="L322" s="103"/>
      <c r="M322" s="103"/>
      <c r="N322" s="103"/>
      <c r="O322" s="103"/>
    </row>
    <row r="323" spans="1:15" x14ac:dyDescent="0.4">
      <c r="A323" s="103"/>
      <c r="B323" s="224"/>
      <c r="C323" s="257"/>
      <c r="D323" s="257"/>
      <c r="E323" s="257"/>
      <c r="F323" s="257"/>
      <c r="G323" s="257"/>
      <c r="H323" s="155"/>
      <c r="I323" s="155"/>
      <c r="J323" s="103"/>
      <c r="K323" s="103"/>
      <c r="L323" s="103"/>
      <c r="M323" s="103"/>
      <c r="N323" s="103"/>
      <c r="O323" s="103"/>
    </row>
    <row r="324" spans="1:15" x14ac:dyDescent="0.4">
      <c r="A324" s="103"/>
      <c r="B324" s="224"/>
      <c r="C324" s="257"/>
      <c r="D324" s="257"/>
      <c r="E324" s="257"/>
      <c r="F324" s="257"/>
      <c r="G324" s="257"/>
      <c r="H324" s="155"/>
      <c r="I324" s="155"/>
      <c r="J324" s="103"/>
      <c r="K324" s="103"/>
      <c r="L324" s="103"/>
      <c r="M324" s="103"/>
      <c r="N324" s="103"/>
      <c r="O324" s="103"/>
    </row>
    <row r="325" spans="1:15" x14ac:dyDescent="0.4">
      <c r="A325" s="103"/>
      <c r="B325" s="224"/>
      <c r="C325" s="258"/>
      <c r="D325" s="258"/>
      <c r="E325" s="258"/>
      <c r="F325" s="258"/>
      <c r="G325" s="258"/>
      <c r="H325" s="155"/>
      <c r="I325" s="155"/>
      <c r="J325" s="103"/>
      <c r="K325" s="103"/>
      <c r="L325" s="103"/>
      <c r="M325" s="103"/>
      <c r="N325" s="103"/>
      <c r="O325" s="103"/>
    </row>
    <row r="326" spans="1:15" x14ac:dyDescent="0.4">
      <c r="A326" s="102"/>
      <c r="B326" s="155"/>
      <c r="C326" s="259"/>
      <c r="D326" s="259"/>
      <c r="E326" s="259"/>
      <c r="F326" s="259"/>
      <c r="G326" s="259"/>
      <c r="H326" s="155"/>
      <c r="I326" s="155"/>
      <c r="J326" s="103"/>
      <c r="K326" s="103"/>
      <c r="L326" s="103"/>
      <c r="M326" s="103"/>
      <c r="N326" s="103"/>
      <c r="O326" s="103"/>
    </row>
    <row r="327" spans="1:15" x14ac:dyDescent="0.4">
      <c r="A327" s="103"/>
      <c r="B327" s="224"/>
      <c r="C327" s="249"/>
      <c r="D327" s="249"/>
      <c r="E327" s="249"/>
      <c r="F327" s="249"/>
      <c r="G327" s="249"/>
      <c r="H327" s="155"/>
      <c r="I327" s="155"/>
      <c r="J327" s="103"/>
      <c r="K327" s="103"/>
      <c r="L327" s="103"/>
      <c r="M327" s="103"/>
      <c r="N327" s="103"/>
      <c r="O327" s="103"/>
    </row>
    <row r="328" spans="1:15" x14ac:dyDescent="0.4">
      <c r="A328" s="103"/>
      <c r="B328" s="224"/>
      <c r="C328" s="249"/>
      <c r="D328" s="249"/>
      <c r="E328" s="249"/>
      <c r="F328" s="249"/>
      <c r="G328" s="249"/>
      <c r="H328" s="155"/>
      <c r="I328" s="155"/>
      <c r="J328" s="103"/>
      <c r="K328" s="103"/>
      <c r="L328" s="103"/>
      <c r="M328" s="103"/>
      <c r="N328" s="103"/>
      <c r="O328" s="103"/>
    </row>
    <row r="329" spans="1:15" x14ac:dyDescent="0.4">
      <c r="A329" s="102"/>
      <c r="B329" s="224"/>
      <c r="C329" s="249"/>
      <c r="D329" s="249"/>
      <c r="E329" s="249"/>
      <c r="F329" s="249"/>
      <c r="G329" s="249"/>
      <c r="H329" s="155"/>
      <c r="I329" s="155"/>
      <c r="J329" s="103"/>
      <c r="K329" s="103"/>
      <c r="L329" s="103"/>
      <c r="M329" s="103"/>
      <c r="N329" s="103"/>
      <c r="O329" s="103"/>
    </row>
    <row r="330" spans="1:15" x14ac:dyDescent="0.4">
      <c r="A330" s="103"/>
      <c r="B330" s="224"/>
      <c r="C330" s="249"/>
      <c r="D330" s="249"/>
      <c r="E330" s="249"/>
      <c r="F330" s="249"/>
      <c r="G330" s="249"/>
      <c r="H330" s="155"/>
      <c r="I330" s="155"/>
      <c r="J330" s="103"/>
      <c r="K330" s="103"/>
      <c r="L330" s="103"/>
      <c r="M330" s="103"/>
      <c r="N330" s="103"/>
      <c r="O330" s="103"/>
    </row>
    <row r="331" spans="1:15" x14ac:dyDescent="0.4">
      <c r="A331" s="103"/>
      <c r="B331" s="249"/>
      <c r="C331" s="249"/>
      <c r="D331" s="249"/>
      <c r="E331" s="249"/>
      <c r="F331" s="249"/>
      <c r="G331" s="249"/>
      <c r="H331" s="155"/>
      <c r="I331" s="155"/>
      <c r="J331" s="103"/>
      <c r="K331" s="103"/>
      <c r="L331" s="103"/>
      <c r="M331" s="103"/>
      <c r="N331" s="103"/>
      <c r="O331" s="103"/>
    </row>
    <row r="332" spans="1:15" x14ac:dyDescent="0.4">
      <c r="A332" s="103"/>
      <c r="B332" s="249"/>
      <c r="C332" s="249"/>
      <c r="D332" s="249"/>
      <c r="E332" s="249"/>
      <c r="F332" s="249"/>
      <c r="G332" s="249"/>
      <c r="H332" s="155"/>
      <c r="I332" s="155"/>
      <c r="J332" s="103"/>
      <c r="K332" s="103"/>
      <c r="L332" s="103"/>
      <c r="M332" s="103"/>
      <c r="N332" s="103"/>
      <c r="O332" s="103"/>
    </row>
    <row r="333" spans="1:15" x14ac:dyDescent="0.4">
      <c r="A333" s="103"/>
      <c r="B333" s="249"/>
      <c r="C333" s="249"/>
      <c r="D333" s="249"/>
      <c r="E333" s="249"/>
      <c r="F333" s="249"/>
      <c r="G333" s="249"/>
      <c r="H333" s="155"/>
      <c r="I333" s="155"/>
      <c r="J333" s="103"/>
      <c r="K333" s="103"/>
      <c r="L333" s="103"/>
      <c r="M333" s="103"/>
      <c r="N333" s="103"/>
      <c r="O333" s="103"/>
    </row>
    <row r="334" spans="1:15" x14ac:dyDescent="0.4">
      <c r="A334" s="103"/>
      <c r="B334" s="103"/>
      <c r="C334" s="231"/>
      <c r="D334" s="231"/>
      <c r="E334" s="231"/>
      <c r="F334" s="231"/>
      <c r="G334" s="231"/>
      <c r="H334" s="155"/>
      <c r="I334" s="155"/>
      <c r="J334" s="103"/>
      <c r="K334" s="103"/>
      <c r="L334" s="103"/>
      <c r="M334" s="103"/>
      <c r="N334" s="103"/>
      <c r="O334" s="103"/>
    </row>
    <row r="335" spans="1:15" x14ac:dyDescent="0.4">
      <c r="A335" s="103"/>
      <c r="B335" s="102"/>
      <c r="C335" s="226"/>
      <c r="D335" s="226"/>
      <c r="E335" s="226"/>
      <c r="F335" s="226"/>
      <c r="G335" s="226"/>
      <c r="H335" s="155"/>
      <c r="I335" s="155"/>
      <c r="J335" s="103"/>
      <c r="K335" s="103"/>
      <c r="L335" s="103"/>
      <c r="M335" s="103"/>
      <c r="N335" s="103"/>
      <c r="O335" s="103"/>
    </row>
    <row r="336" spans="1:15" x14ac:dyDescent="0.4">
      <c r="A336" s="103"/>
      <c r="B336" s="249"/>
      <c r="C336" s="249"/>
      <c r="D336" s="249"/>
      <c r="E336" s="249"/>
      <c r="F336" s="249"/>
      <c r="G336" s="249"/>
      <c r="H336" s="155"/>
      <c r="I336" s="155"/>
      <c r="J336" s="103"/>
      <c r="K336" s="103"/>
      <c r="L336" s="103"/>
      <c r="M336" s="103"/>
      <c r="N336" s="103"/>
      <c r="O336" s="103"/>
    </row>
    <row r="337" spans="1:15" x14ac:dyDescent="0.4">
      <c r="A337" s="103"/>
      <c r="B337" s="249"/>
      <c r="C337" s="156"/>
      <c r="D337" s="156"/>
      <c r="E337" s="156"/>
      <c r="F337" s="156"/>
      <c r="G337" s="156"/>
      <c r="H337" s="155"/>
      <c r="I337" s="155"/>
      <c r="J337" s="103"/>
      <c r="K337" s="103"/>
      <c r="L337" s="103"/>
      <c r="M337" s="103"/>
      <c r="N337" s="103"/>
      <c r="O337" s="103"/>
    </row>
    <row r="338" spans="1:15" s="9" customFormat="1" x14ac:dyDescent="0.4">
      <c r="A338" s="239"/>
      <c r="B338" s="260"/>
      <c r="C338" s="260"/>
      <c r="D338" s="237"/>
      <c r="E338" s="237"/>
      <c r="F338" s="237"/>
      <c r="G338" s="237"/>
      <c r="H338" s="238"/>
      <c r="I338" s="238"/>
      <c r="J338" s="239"/>
      <c r="K338" s="239"/>
      <c r="L338" s="239"/>
      <c r="M338" s="239"/>
      <c r="N338" s="239"/>
      <c r="O338" s="239"/>
    </row>
    <row r="339" spans="1:15" x14ac:dyDescent="0.4">
      <c r="A339" s="103"/>
      <c r="B339" s="249"/>
      <c r="C339" s="249"/>
      <c r="D339" s="156"/>
      <c r="E339" s="156"/>
      <c r="F339" s="156"/>
      <c r="G339" s="156"/>
      <c r="H339" s="155"/>
      <c r="I339" s="155"/>
      <c r="J339" s="103"/>
      <c r="K339" s="103"/>
      <c r="L339" s="103"/>
      <c r="M339" s="103"/>
      <c r="N339" s="103"/>
      <c r="O339" s="103"/>
    </row>
    <row r="340" spans="1:15" x14ac:dyDescent="0.4">
      <c r="A340" s="103"/>
      <c r="B340" s="249"/>
      <c r="C340" s="249"/>
      <c r="D340" s="156"/>
      <c r="E340" s="156"/>
      <c r="F340" s="156"/>
      <c r="G340" s="156"/>
      <c r="H340" s="155"/>
      <c r="I340" s="155"/>
      <c r="J340" s="103"/>
      <c r="K340" s="103"/>
      <c r="L340" s="103"/>
      <c r="M340" s="103"/>
      <c r="N340" s="103"/>
      <c r="O340" s="103"/>
    </row>
    <row r="341" spans="1:15" s="9" customFormat="1" x14ac:dyDescent="0.4">
      <c r="A341" s="239"/>
      <c r="B341" s="260"/>
      <c r="C341" s="260"/>
      <c r="D341" s="237"/>
      <c r="E341" s="237"/>
      <c r="F341" s="237"/>
      <c r="G341" s="237"/>
      <c r="H341" s="238"/>
      <c r="I341" s="238"/>
      <c r="J341" s="239"/>
      <c r="K341" s="239"/>
      <c r="L341" s="239"/>
      <c r="M341" s="239"/>
      <c r="N341" s="239"/>
      <c r="O341" s="239"/>
    </row>
    <row r="342" spans="1:15" x14ac:dyDescent="0.4">
      <c r="A342" s="103"/>
      <c r="B342" s="249"/>
      <c r="C342" s="249"/>
      <c r="D342" s="249"/>
      <c r="E342" s="249"/>
      <c r="F342" s="249"/>
      <c r="G342" s="249"/>
      <c r="H342" s="155"/>
      <c r="I342" s="155"/>
      <c r="J342" s="103"/>
      <c r="K342" s="103"/>
      <c r="L342" s="103"/>
      <c r="M342" s="103"/>
      <c r="N342" s="103"/>
      <c r="O342" s="103"/>
    </row>
    <row r="343" spans="1:15" x14ac:dyDescent="0.4">
      <c r="A343" s="103"/>
      <c r="B343" s="256"/>
      <c r="C343" s="249"/>
      <c r="D343" s="249"/>
      <c r="E343" s="249"/>
      <c r="F343" s="249"/>
      <c r="G343" s="249"/>
      <c r="H343" s="155"/>
      <c r="I343" s="155"/>
      <c r="J343" s="103"/>
      <c r="K343" s="103"/>
      <c r="L343" s="103"/>
      <c r="M343" s="103"/>
      <c r="N343" s="103"/>
      <c r="O343" s="103"/>
    </row>
    <row r="344" spans="1:15" ht="16.5" customHeight="1" x14ac:dyDescent="0.4">
      <c r="A344" s="103"/>
      <c r="B344" s="261"/>
      <c r="C344" s="249"/>
      <c r="D344" s="249"/>
      <c r="E344" s="249"/>
      <c r="F344" s="249"/>
      <c r="G344" s="249"/>
      <c r="H344" s="155"/>
      <c r="I344" s="155"/>
      <c r="J344" s="103"/>
      <c r="K344" s="103"/>
      <c r="L344" s="103"/>
      <c r="M344" s="103"/>
      <c r="N344" s="103"/>
      <c r="O344" s="103"/>
    </row>
    <row r="345" spans="1:15" x14ac:dyDescent="0.4">
      <c r="A345" s="102"/>
      <c r="B345" s="262"/>
      <c r="C345" s="249"/>
      <c r="D345" s="249"/>
      <c r="E345" s="249"/>
      <c r="F345" s="249"/>
      <c r="G345" s="249"/>
      <c r="H345" s="155"/>
      <c r="I345" s="155"/>
      <c r="J345" s="103"/>
      <c r="K345" s="103"/>
      <c r="L345" s="103"/>
      <c r="M345" s="103"/>
      <c r="N345" s="103"/>
      <c r="O345" s="103"/>
    </row>
    <row r="346" spans="1:15" x14ac:dyDescent="0.4">
      <c r="A346" s="103"/>
      <c r="B346" s="249"/>
      <c r="C346" s="249"/>
      <c r="D346" s="249"/>
      <c r="E346" s="249"/>
      <c r="F346" s="249"/>
      <c r="G346" s="249"/>
      <c r="H346" s="155"/>
      <c r="I346" s="155"/>
      <c r="J346" s="103"/>
      <c r="K346" s="103"/>
      <c r="L346" s="103"/>
      <c r="M346" s="103"/>
      <c r="N346" s="103"/>
      <c r="O346" s="103"/>
    </row>
    <row r="347" spans="1:15" x14ac:dyDescent="0.4">
      <c r="A347" s="103"/>
      <c r="B347" s="249"/>
      <c r="C347" s="249"/>
      <c r="D347" s="249"/>
      <c r="E347" s="249"/>
      <c r="F347" s="249"/>
      <c r="G347" s="249"/>
      <c r="H347" s="155"/>
      <c r="I347" s="155"/>
      <c r="J347" s="103"/>
      <c r="K347" s="103"/>
      <c r="L347" s="103"/>
      <c r="M347" s="103"/>
      <c r="N347" s="103"/>
      <c r="O347" s="103"/>
    </row>
    <row r="348" spans="1:15" x14ac:dyDescent="0.4">
      <c r="A348" s="103"/>
      <c r="B348" s="242"/>
      <c r="C348" s="351"/>
      <c r="D348" s="351"/>
      <c r="E348" s="351"/>
      <c r="F348" s="351"/>
      <c r="G348" s="351"/>
      <c r="H348" s="351"/>
      <c r="I348" s="155"/>
      <c r="J348" s="103"/>
      <c r="K348" s="103"/>
      <c r="L348" s="103"/>
      <c r="M348" s="103"/>
      <c r="N348" s="103"/>
      <c r="O348" s="103"/>
    </row>
    <row r="349" spans="1:15" x14ac:dyDescent="0.4">
      <c r="A349" s="103"/>
      <c r="B349" s="242"/>
      <c r="C349" s="243"/>
      <c r="D349" s="103"/>
      <c r="E349" s="103"/>
      <c r="F349" s="103"/>
      <c r="G349" s="103"/>
      <c r="H349" s="103"/>
      <c r="I349" s="155"/>
      <c r="J349" s="103"/>
      <c r="K349" s="103"/>
      <c r="L349" s="103"/>
      <c r="M349" s="103"/>
      <c r="N349" s="103"/>
      <c r="O349" s="103"/>
    </row>
    <row r="350" spans="1:15" x14ac:dyDescent="0.4">
      <c r="A350" s="103"/>
      <c r="B350" s="103"/>
      <c r="C350" s="103"/>
      <c r="D350" s="349"/>
      <c r="E350" s="349"/>
      <c r="F350" s="349"/>
      <c r="G350" s="349"/>
      <c r="H350" s="349"/>
      <c r="I350" s="155"/>
      <c r="J350" s="103"/>
      <c r="K350" s="103"/>
      <c r="L350" s="103"/>
      <c r="M350" s="103"/>
      <c r="N350" s="103"/>
      <c r="O350" s="103"/>
    </row>
    <row r="351" spans="1:15" x14ac:dyDescent="0.4">
      <c r="A351" s="103"/>
      <c r="B351" s="244"/>
      <c r="C351" s="245"/>
      <c r="D351" s="246"/>
      <c r="E351" s="246"/>
      <c r="F351" s="246"/>
      <c r="G351" s="246"/>
      <c r="H351" s="246"/>
      <c r="I351" s="155"/>
      <c r="J351" s="103"/>
      <c r="K351" s="103"/>
      <c r="L351" s="103"/>
      <c r="M351" s="103"/>
      <c r="N351" s="103"/>
      <c r="O351" s="103"/>
    </row>
    <row r="352" spans="1:15" x14ac:dyDescent="0.4">
      <c r="A352" s="103"/>
      <c r="B352" s="350"/>
      <c r="C352" s="247"/>
      <c r="D352" s="248"/>
      <c r="E352" s="248"/>
      <c r="F352" s="248"/>
      <c r="G352" s="248"/>
      <c r="H352" s="248"/>
      <c r="I352" s="155"/>
      <c r="J352" s="103"/>
      <c r="K352" s="103"/>
      <c r="L352" s="103"/>
      <c r="M352" s="103"/>
      <c r="N352" s="103"/>
      <c r="O352" s="103"/>
    </row>
    <row r="353" spans="1:15" x14ac:dyDescent="0.4">
      <c r="A353" s="103"/>
      <c r="B353" s="350"/>
      <c r="C353" s="247"/>
      <c r="D353" s="248"/>
      <c r="E353" s="248"/>
      <c r="F353" s="248"/>
      <c r="G353" s="248"/>
      <c r="H353" s="248"/>
      <c r="I353" s="155"/>
      <c r="J353" s="103"/>
      <c r="K353" s="103"/>
      <c r="L353" s="103"/>
      <c r="M353" s="103"/>
      <c r="N353" s="103"/>
      <c r="O353" s="103"/>
    </row>
    <row r="354" spans="1:15" x14ac:dyDescent="0.4">
      <c r="A354" s="103"/>
      <c r="B354" s="350"/>
      <c r="C354" s="247"/>
      <c r="D354" s="248"/>
      <c r="E354" s="248"/>
      <c r="F354" s="248"/>
      <c r="G354" s="248"/>
      <c r="H354" s="248"/>
      <c r="I354" s="155"/>
      <c r="J354" s="103"/>
      <c r="K354" s="103"/>
      <c r="L354" s="103"/>
      <c r="M354" s="103"/>
      <c r="N354" s="103"/>
      <c r="O354" s="103"/>
    </row>
    <row r="355" spans="1:15" x14ac:dyDescent="0.4">
      <c r="A355" s="103"/>
      <c r="B355" s="350"/>
      <c r="C355" s="247"/>
      <c r="D355" s="248"/>
      <c r="E355" s="248"/>
      <c r="F355" s="248"/>
      <c r="G355" s="248"/>
      <c r="H355" s="248"/>
      <c r="I355" s="155"/>
      <c r="J355" s="103"/>
      <c r="K355" s="103"/>
      <c r="L355" s="103"/>
      <c r="M355" s="103"/>
      <c r="N355" s="103"/>
      <c r="O355" s="103"/>
    </row>
    <row r="356" spans="1:15" x14ac:dyDescent="0.4">
      <c r="A356" s="103"/>
      <c r="B356" s="350"/>
      <c r="C356" s="247"/>
      <c r="D356" s="248"/>
      <c r="E356" s="248"/>
      <c r="F356" s="248"/>
      <c r="G356" s="248"/>
      <c r="H356" s="248"/>
      <c r="I356" s="155"/>
      <c r="J356" s="103"/>
      <c r="K356" s="103"/>
      <c r="L356" s="103"/>
      <c r="M356" s="103"/>
      <c r="N356" s="103"/>
      <c r="O356" s="103"/>
    </row>
    <row r="357" spans="1:15" x14ac:dyDescent="0.4">
      <c r="A357" s="103"/>
      <c r="B357" s="224"/>
      <c r="C357" s="224"/>
      <c r="D357" s="224"/>
      <c r="E357" s="224"/>
      <c r="F357" s="224"/>
      <c r="G357" s="224"/>
      <c r="H357" s="155"/>
      <c r="I357" s="155"/>
      <c r="J357" s="103"/>
      <c r="K357" s="103"/>
      <c r="L357" s="103"/>
      <c r="M357" s="103"/>
      <c r="N357" s="103"/>
      <c r="O357" s="103"/>
    </row>
    <row r="358" spans="1:15" ht="13.9" x14ac:dyDescent="0.4">
      <c r="A358" s="101"/>
      <c r="B358" s="102"/>
      <c r="C358" s="102"/>
      <c r="D358" s="102"/>
      <c r="E358" s="103"/>
      <c r="F358" s="103"/>
      <c r="G358" s="103"/>
      <c r="H358" s="102"/>
      <c r="I358" s="103"/>
      <c r="J358" s="103"/>
      <c r="K358" s="103"/>
      <c r="L358" s="103"/>
      <c r="M358" s="103"/>
      <c r="N358" s="103"/>
      <c r="O358" s="103"/>
    </row>
    <row r="359" spans="1:15" ht="13.9" x14ac:dyDescent="0.4">
      <c r="A359" s="101"/>
      <c r="B359" s="102"/>
      <c r="C359" s="102"/>
      <c r="D359" s="102"/>
      <c r="E359" s="103"/>
      <c r="F359" s="103"/>
      <c r="G359" s="103"/>
      <c r="H359" s="102"/>
      <c r="I359" s="103"/>
      <c r="J359" s="103"/>
      <c r="K359" s="103"/>
      <c r="L359" s="103"/>
      <c r="M359" s="103"/>
      <c r="N359" s="103"/>
      <c r="O359" s="103"/>
    </row>
    <row r="360" spans="1:15" ht="13.9" x14ac:dyDescent="0.4">
      <c r="A360" s="101"/>
      <c r="B360" s="102"/>
      <c r="C360" s="102"/>
      <c r="D360" s="102"/>
      <c r="E360" s="103"/>
      <c r="F360" s="103"/>
      <c r="G360" s="103"/>
      <c r="H360" s="102"/>
      <c r="I360" s="103"/>
      <c r="J360" s="103"/>
      <c r="K360" s="103"/>
      <c r="L360" s="103"/>
      <c r="M360" s="103"/>
      <c r="N360" s="103"/>
      <c r="O360" s="103"/>
    </row>
    <row r="361" spans="1:15" ht="13.9" x14ac:dyDescent="0.4">
      <c r="A361" s="101"/>
      <c r="B361" s="102"/>
      <c r="C361" s="225"/>
      <c r="D361" s="225"/>
      <c r="E361" s="225"/>
      <c r="F361" s="225"/>
      <c r="G361" s="226"/>
      <c r="H361" s="102"/>
      <c r="I361" s="103"/>
      <c r="J361" s="103"/>
      <c r="K361" s="103"/>
      <c r="L361" s="103"/>
      <c r="M361" s="103"/>
      <c r="N361" s="103"/>
      <c r="O361" s="103"/>
    </row>
    <row r="362" spans="1:15" ht="13.9" x14ac:dyDescent="0.4">
      <c r="A362" s="101"/>
      <c r="B362" s="102"/>
      <c r="C362" s="226"/>
      <c r="D362" s="226"/>
      <c r="E362" s="226"/>
      <c r="F362" s="226"/>
      <c r="G362" s="226"/>
      <c r="H362" s="102"/>
      <c r="I362" s="103"/>
      <c r="J362" s="103"/>
      <c r="K362" s="103"/>
      <c r="L362" s="103"/>
      <c r="M362" s="103"/>
      <c r="N362" s="103"/>
      <c r="O362" s="103"/>
    </row>
    <row r="363" spans="1:15" ht="13.9" x14ac:dyDescent="0.4">
      <c r="A363" s="101"/>
      <c r="B363" s="102"/>
      <c r="C363" s="102"/>
      <c r="D363" s="103"/>
      <c r="E363" s="103"/>
      <c r="F363" s="103"/>
      <c r="G363" s="103"/>
      <c r="H363" s="102"/>
      <c r="I363" s="103"/>
      <c r="J363" s="103"/>
      <c r="K363" s="103"/>
      <c r="L363" s="103"/>
      <c r="M363" s="103"/>
      <c r="N363" s="103"/>
      <c r="O363" s="103"/>
    </row>
    <row r="364" spans="1:15" x14ac:dyDescent="0.4">
      <c r="A364" s="102"/>
      <c r="B364" s="155"/>
      <c r="C364" s="155"/>
      <c r="D364" s="155"/>
      <c r="E364" s="155"/>
      <c r="F364" s="103"/>
      <c r="G364" s="224"/>
      <c r="H364" s="155"/>
      <c r="I364" s="155"/>
      <c r="J364" s="103"/>
      <c r="K364" s="103"/>
      <c r="L364" s="103"/>
      <c r="M364" s="103"/>
      <c r="N364" s="103"/>
      <c r="O364" s="103"/>
    </row>
    <row r="365" spans="1:15" x14ac:dyDescent="0.4">
      <c r="A365" s="103"/>
      <c r="B365" s="155"/>
      <c r="C365" s="155"/>
      <c r="D365" s="155"/>
      <c r="E365" s="155"/>
      <c r="F365" s="103"/>
      <c r="G365" s="224"/>
      <c r="H365" s="155"/>
      <c r="I365" s="155"/>
      <c r="J365" s="103"/>
      <c r="K365" s="103"/>
      <c r="L365" s="103"/>
      <c r="M365" s="103"/>
      <c r="N365" s="103"/>
      <c r="O365" s="103"/>
    </row>
    <row r="366" spans="1:15" x14ac:dyDescent="0.4">
      <c r="A366" s="228"/>
      <c r="B366" s="155"/>
      <c r="C366" s="263"/>
      <c r="D366" s="263"/>
      <c r="E366" s="263"/>
      <c r="F366" s="263"/>
      <c r="G366" s="224"/>
      <c r="H366" s="155"/>
      <c r="I366" s="155"/>
      <c r="J366" s="103"/>
      <c r="K366" s="103"/>
      <c r="L366" s="103"/>
      <c r="M366" s="103"/>
      <c r="N366" s="103"/>
      <c r="O366" s="103"/>
    </row>
    <row r="367" spans="1:15" x14ac:dyDescent="0.4">
      <c r="A367" s="228"/>
      <c r="B367" s="155"/>
      <c r="C367" s="263"/>
      <c r="D367" s="263"/>
      <c r="E367" s="263"/>
      <c r="F367" s="263"/>
      <c r="G367" s="224"/>
      <c r="H367" s="155"/>
      <c r="I367" s="155"/>
      <c r="J367" s="103"/>
      <c r="K367" s="103"/>
      <c r="L367" s="103"/>
      <c r="M367" s="103"/>
      <c r="N367" s="103"/>
      <c r="O367" s="103"/>
    </row>
    <row r="368" spans="1:15" x14ac:dyDescent="0.4">
      <c r="A368" s="228"/>
      <c r="B368" s="155"/>
      <c r="C368" s="155"/>
      <c r="D368" s="155"/>
      <c r="E368" s="155"/>
      <c r="F368" s="155"/>
      <c r="G368" s="224"/>
      <c r="H368" s="155"/>
      <c r="I368" s="155"/>
      <c r="J368" s="103"/>
      <c r="K368" s="103"/>
      <c r="L368" s="103"/>
      <c r="M368" s="103"/>
      <c r="N368" s="103"/>
      <c r="O368" s="103"/>
    </row>
    <row r="369" spans="1:15" x14ac:dyDescent="0.4">
      <c r="A369" s="227"/>
      <c r="B369" s="155"/>
      <c r="C369" s="264"/>
      <c r="D369" s="264"/>
      <c r="E369" s="264"/>
      <c r="F369" s="264"/>
      <c r="G369" s="265"/>
      <c r="H369" s="155"/>
      <c r="I369" s="155"/>
      <c r="J369" s="103"/>
      <c r="K369" s="103"/>
      <c r="L369" s="103"/>
      <c r="M369" s="103"/>
      <c r="N369" s="103"/>
      <c r="O369" s="103"/>
    </row>
    <row r="370" spans="1:15" ht="8.25" customHeight="1" x14ac:dyDescent="0.4">
      <c r="A370" s="103"/>
      <c r="B370" s="155"/>
      <c r="C370" s="155"/>
      <c r="D370" s="155"/>
      <c r="E370" s="155"/>
      <c r="F370" s="155"/>
      <c r="G370" s="224"/>
      <c r="H370" s="155"/>
      <c r="I370" s="155"/>
      <c r="J370" s="103"/>
      <c r="K370" s="103"/>
      <c r="L370" s="103"/>
      <c r="M370" s="103"/>
      <c r="N370" s="103"/>
      <c r="O370" s="103"/>
    </row>
    <row r="371" spans="1:15" x14ac:dyDescent="0.4">
      <c r="A371" s="103"/>
      <c r="B371" s="155"/>
      <c r="C371" s="155"/>
      <c r="D371" s="155"/>
      <c r="E371" s="155"/>
      <c r="F371" s="155"/>
      <c r="G371" s="224"/>
      <c r="H371" s="155"/>
      <c r="I371" s="155"/>
      <c r="J371" s="103"/>
      <c r="K371" s="103"/>
      <c r="L371" s="103"/>
      <c r="M371" s="103"/>
      <c r="N371" s="103"/>
      <c r="O371" s="103"/>
    </row>
    <row r="372" spans="1:15" x14ac:dyDescent="0.4">
      <c r="A372" s="102"/>
      <c r="B372" s="155"/>
      <c r="C372" s="155"/>
      <c r="D372" s="155"/>
      <c r="E372" s="155"/>
      <c r="F372" s="155"/>
      <c r="G372" s="224"/>
      <c r="H372" s="155"/>
      <c r="I372" s="155"/>
      <c r="J372" s="103"/>
      <c r="K372" s="103"/>
      <c r="L372" s="103"/>
      <c r="M372" s="103"/>
      <c r="N372" s="103"/>
      <c r="O372" s="103"/>
    </row>
    <row r="373" spans="1:15" x14ac:dyDescent="0.4">
      <c r="A373" s="103"/>
      <c r="B373" s="155"/>
      <c r="C373" s="155"/>
      <c r="D373" s="155"/>
      <c r="E373" s="155"/>
      <c r="F373" s="155"/>
      <c r="G373" s="224"/>
      <c r="H373" s="155"/>
      <c r="I373" s="155"/>
      <c r="J373" s="103"/>
      <c r="K373" s="103"/>
      <c r="L373" s="103"/>
      <c r="M373" s="103"/>
      <c r="N373" s="103"/>
      <c r="O373" s="103"/>
    </row>
    <row r="374" spans="1:15" x14ac:dyDescent="0.4">
      <c r="A374" s="228"/>
      <c r="B374" s="155"/>
      <c r="C374" s="224"/>
      <c r="D374" s="224"/>
      <c r="E374" s="224"/>
      <c r="F374" s="224"/>
      <c r="G374" s="224"/>
      <c r="H374" s="155"/>
      <c r="I374" s="155"/>
      <c r="J374" s="103"/>
      <c r="K374" s="103"/>
      <c r="L374" s="103"/>
      <c r="M374" s="103"/>
      <c r="N374" s="103"/>
      <c r="O374" s="103"/>
    </row>
    <row r="375" spans="1:15" x14ac:dyDescent="0.4">
      <c r="A375" s="250"/>
      <c r="B375" s="266"/>
      <c r="C375" s="267"/>
      <c r="D375" s="267"/>
      <c r="E375" s="267"/>
      <c r="F375" s="267"/>
      <c r="G375" s="224"/>
      <c r="H375" s="155"/>
      <c r="I375" s="155"/>
      <c r="J375" s="103"/>
      <c r="K375" s="103"/>
      <c r="L375" s="103"/>
      <c r="M375" s="103"/>
      <c r="N375" s="103"/>
      <c r="O375" s="103"/>
    </row>
    <row r="376" spans="1:15" x14ac:dyDescent="0.4">
      <c r="A376" s="228"/>
      <c r="B376" s="155"/>
      <c r="C376" s="268"/>
      <c r="D376" s="268"/>
      <c r="E376" s="268"/>
      <c r="F376" s="268"/>
      <c r="G376" s="224"/>
      <c r="H376" s="155"/>
      <c r="I376" s="155"/>
      <c r="J376" s="103"/>
      <c r="K376" s="103"/>
      <c r="L376" s="103"/>
      <c r="M376" s="103"/>
      <c r="N376" s="103"/>
      <c r="O376" s="103"/>
    </row>
    <row r="377" spans="1:15" ht="21" customHeight="1" x14ac:dyDescent="0.4">
      <c r="A377" s="228"/>
      <c r="B377" s="155"/>
      <c r="C377" s="268"/>
      <c r="D377" s="268"/>
      <c r="E377" s="268"/>
      <c r="F377" s="268"/>
      <c r="G377" s="224"/>
      <c r="H377" s="155"/>
      <c r="I377" s="155"/>
      <c r="J377" s="103"/>
      <c r="K377" s="103"/>
      <c r="L377" s="103"/>
      <c r="M377" s="103"/>
      <c r="N377" s="103"/>
      <c r="O377" s="103"/>
    </row>
    <row r="378" spans="1:15" ht="8.25" customHeight="1" x14ac:dyDescent="0.4">
      <c r="A378" s="228"/>
      <c r="B378" s="155"/>
      <c r="C378" s="155"/>
      <c r="D378" s="155"/>
      <c r="E378" s="155"/>
      <c r="F378" s="155"/>
      <c r="G378" s="224"/>
      <c r="H378" s="155"/>
      <c r="I378" s="155"/>
      <c r="J378" s="103"/>
      <c r="K378" s="103"/>
      <c r="L378" s="103"/>
      <c r="M378" s="103"/>
      <c r="N378" s="103"/>
      <c r="O378" s="103"/>
    </row>
    <row r="379" spans="1:15" x14ac:dyDescent="0.4">
      <c r="A379" s="227"/>
      <c r="B379" s="155"/>
      <c r="C379" s="264"/>
      <c r="D379" s="264"/>
      <c r="E379" s="264"/>
      <c r="F379" s="264"/>
      <c r="G379" s="265"/>
      <c r="H379" s="155"/>
      <c r="I379" s="155"/>
      <c r="J379" s="103"/>
      <c r="K379" s="103"/>
      <c r="L379" s="103"/>
      <c r="M379" s="103"/>
      <c r="N379" s="103"/>
      <c r="O379" s="103"/>
    </row>
    <row r="380" spans="1:15" x14ac:dyDescent="0.4">
      <c r="A380" s="103"/>
      <c r="B380" s="155"/>
      <c r="C380" s="155"/>
      <c r="D380" s="155"/>
      <c r="E380" s="155"/>
      <c r="F380" s="155"/>
      <c r="G380" s="224"/>
      <c r="H380" s="155"/>
      <c r="I380" s="155"/>
      <c r="J380" s="103"/>
      <c r="K380" s="103"/>
      <c r="L380" s="103"/>
      <c r="M380" s="103"/>
      <c r="N380" s="103"/>
      <c r="O380" s="103"/>
    </row>
    <row r="381" spans="1:15" x14ac:dyDescent="0.4">
      <c r="A381" s="103"/>
      <c r="B381" s="155"/>
      <c r="C381" s="155"/>
      <c r="D381" s="155"/>
      <c r="E381" s="155"/>
      <c r="F381" s="155"/>
      <c r="G381" s="224"/>
      <c r="H381" s="155"/>
      <c r="I381" s="155"/>
      <c r="J381" s="103"/>
      <c r="K381" s="103"/>
      <c r="L381" s="103"/>
      <c r="M381" s="103"/>
      <c r="N381" s="103"/>
      <c r="O381" s="103"/>
    </row>
    <row r="382" spans="1:15" x14ac:dyDescent="0.4">
      <c r="A382" s="102"/>
      <c r="B382" s="155"/>
      <c r="C382" s="155"/>
      <c r="D382" s="155"/>
      <c r="E382" s="155"/>
      <c r="F382" s="155"/>
      <c r="G382" s="224"/>
      <c r="H382" s="155"/>
      <c r="I382" s="155"/>
      <c r="J382" s="103"/>
      <c r="K382" s="103"/>
      <c r="L382" s="103"/>
      <c r="M382" s="103"/>
      <c r="N382" s="103"/>
      <c r="O382" s="103"/>
    </row>
    <row r="383" spans="1:15" x14ac:dyDescent="0.4">
      <c r="A383" s="103"/>
      <c r="B383" s="155"/>
      <c r="C383" s="155"/>
      <c r="D383" s="155"/>
      <c r="E383" s="155"/>
      <c r="F383" s="155"/>
      <c r="G383" s="224"/>
      <c r="H383" s="155"/>
      <c r="I383" s="155"/>
      <c r="J383" s="103"/>
      <c r="K383" s="103"/>
      <c r="L383" s="103"/>
      <c r="M383" s="103"/>
      <c r="N383" s="103"/>
      <c r="O383" s="103"/>
    </row>
    <row r="384" spans="1:15" x14ac:dyDescent="0.4">
      <c r="A384" s="228"/>
      <c r="B384" s="155"/>
      <c r="C384" s="224"/>
      <c r="D384" s="224"/>
      <c r="E384" s="224"/>
      <c r="F384" s="224"/>
      <c r="G384" s="224"/>
      <c r="H384" s="155"/>
      <c r="I384" s="155"/>
      <c r="J384" s="103"/>
      <c r="K384" s="103"/>
      <c r="L384" s="103"/>
      <c r="M384" s="103"/>
      <c r="N384" s="103"/>
      <c r="O384" s="103"/>
    </row>
    <row r="385" spans="1:15" x14ac:dyDescent="0.4">
      <c r="A385" s="250"/>
      <c r="B385" s="266"/>
      <c r="C385" s="267"/>
      <c r="D385" s="267"/>
      <c r="E385" s="267"/>
      <c r="F385" s="267"/>
      <c r="G385" s="224"/>
      <c r="H385" s="155"/>
      <c r="I385" s="155"/>
      <c r="J385" s="103"/>
      <c r="K385" s="103"/>
      <c r="L385" s="103"/>
      <c r="M385" s="103"/>
      <c r="N385" s="103"/>
      <c r="O385" s="103"/>
    </row>
    <row r="386" spans="1:15" x14ac:dyDescent="0.4">
      <c r="A386" s="228"/>
      <c r="B386" s="155"/>
      <c r="C386" s="268"/>
      <c r="D386" s="268"/>
      <c r="E386" s="268"/>
      <c r="F386" s="268"/>
      <c r="G386" s="224"/>
      <c r="H386" s="155"/>
      <c r="I386" s="155"/>
      <c r="J386" s="103"/>
      <c r="K386" s="103"/>
      <c r="L386" s="103"/>
      <c r="M386" s="103"/>
      <c r="N386" s="103"/>
      <c r="O386" s="103"/>
    </row>
    <row r="387" spans="1:15" ht="15.75" customHeight="1" x14ac:dyDescent="0.4">
      <c r="A387" s="228"/>
      <c r="B387" s="155"/>
      <c r="C387" s="268"/>
      <c r="D387" s="268"/>
      <c r="E387" s="268"/>
      <c r="F387" s="268"/>
      <c r="G387" s="224"/>
      <c r="H387" s="155"/>
      <c r="I387" s="155"/>
      <c r="J387" s="103"/>
      <c r="K387" s="103"/>
      <c r="L387" s="103"/>
      <c r="M387" s="103"/>
      <c r="N387" s="103"/>
      <c r="O387" s="103"/>
    </row>
    <row r="388" spans="1:15" ht="9.75" customHeight="1" x14ac:dyDescent="0.4">
      <c r="A388" s="228"/>
      <c r="B388" s="155"/>
      <c r="C388" s="155"/>
      <c r="D388" s="155"/>
      <c r="E388" s="155"/>
      <c r="F388" s="155"/>
      <c r="G388" s="224"/>
      <c r="H388" s="155"/>
      <c r="I388" s="155"/>
      <c r="J388" s="103"/>
      <c r="K388" s="103"/>
      <c r="L388" s="103"/>
      <c r="M388" s="103"/>
      <c r="N388" s="103"/>
      <c r="O388" s="103"/>
    </row>
    <row r="389" spans="1:15" s="1" customFormat="1" ht="12.75" x14ac:dyDescent="0.35">
      <c r="A389" s="227"/>
      <c r="B389" s="155"/>
      <c r="C389" s="264"/>
      <c r="D389" s="264"/>
      <c r="E389" s="264"/>
      <c r="F389" s="264"/>
      <c r="G389" s="265"/>
      <c r="H389" s="155"/>
      <c r="I389" s="155"/>
      <c r="J389" s="102"/>
      <c r="K389" s="102"/>
      <c r="L389" s="102"/>
      <c r="M389" s="102"/>
      <c r="N389" s="102"/>
      <c r="O389" s="102"/>
    </row>
    <row r="390" spans="1:15" x14ac:dyDescent="0.4">
      <c r="A390" s="103"/>
      <c r="B390" s="155"/>
      <c r="C390" s="264"/>
      <c r="D390" s="264"/>
      <c r="E390" s="264"/>
      <c r="F390" s="264"/>
      <c r="G390" s="265"/>
      <c r="H390" s="155"/>
      <c r="I390" s="155"/>
      <c r="J390" s="103"/>
      <c r="K390" s="103"/>
      <c r="L390" s="103"/>
      <c r="M390" s="103"/>
      <c r="N390" s="103"/>
      <c r="O390" s="103"/>
    </row>
    <row r="391" spans="1:15" x14ac:dyDescent="0.4">
      <c r="A391" s="103"/>
      <c r="B391" s="155"/>
      <c r="C391" s="155"/>
      <c r="D391" s="155"/>
      <c r="E391" s="155"/>
      <c r="F391" s="155"/>
      <c r="G391" s="224"/>
      <c r="H391" s="155"/>
      <c r="I391" s="155"/>
      <c r="J391" s="103"/>
      <c r="K391" s="103"/>
      <c r="L391" s="103"/>
      <c r="M391" s="103"/>
      <c r="N391" s="103"/>
      <c r="O391" s="103"/>
    </row>
    <row r="392" spans="1:15" x14ac:dyDescent="0.4">
      <c r="A392" s="102"/>
      <c r="B392" s="155"/>
      <c r="C392" s="155"/>
      <c r="D392" s="155"/>
      <c r="E392" s="155"/>
      <c r="F392" s="155"/>
      <c r="G392" s="224"/>
      <c r="H392" s="155"/>
      <c r="I392" s="155"/>
      <c r="J392" s="103"/>
      <c r="K392" s="103"/>
      <c r="L392" s="103"/>
      <c r="M392" s="103"/>
      <c r="N392" s="103"/>
      <c r="O392" s="103"/>
    </row>
    <row r="393" spans="1:15" x14ac:dyDescent="0.4">
      <c r="A393" s="103"/>
      <c r="B393" s="155"/>
      <c r="C393" s="155"/>
      <c r="D393" s="155"/>
      <c r="E393" s="155"/>
      <c r="F393" s="155"/>
      <c r="G393" s="224"/>
      <c r="H393" s="155"/>
      <c r="I393" s="155"/>
      <c r="J393" s="103"/>
      <c r="K393" s="103"/>
      <c r="L393" s="103"/>
      <c r="M393" s="103"/>
      <c r="N393" s="103"/>
      <c r="O393" s="103"/>
    </row>
    <row r="394" spans="1:15" x14ac:dyDescent="0.4">
      <c r="A394" s="228"/>
      <c r="B394" s="155"/>
      <c r="C394" s="224"/>
      <c r="D394" s="224"/>
      <c r="E394" s="224"/>
      <c r="F394" s="224"/>
      <c r="G394" s="224"/>
      <c r="H394" s="155"/>
      <c r="I394" s="155"/>
      <c r="J394" s="103"/>
      <c r="K394" s="103"/>
      <c r="L394" s="103"/>
      <c r="M394" s="103"/>
      <c r="N394" s="103"/>
      <c r="O394" s="103"/>
    </row>
    <row r="395" spans="1:15" x14ac:dyDescent="0.4">
      <c r="A395" s="250"/>
      <c r="B395" s="266"/>
      <c r="C395" s="267"/>
      <c r="D395" s="267"/>
      <c r="E395" s="267"/>
      <c r="F395" s="267"/>
      <c r="G395" s="224"/>
      <c r="H395" s="155"/>
      <c r="I395" s="155"/>
      <c r="J395" s="103"/>
      <c r="K395" s="103"/>
      <c r="L395" s="103"/>
      <c r="M395" s="103"/>
      <c r="N395" s="103"/>
      <c r="O395" s="103"/>
    </row>
    <row r="396" spans="1:15" x14ac:dyDescent="0.4">
      <c r="A396" s="228"/>
      <c r="B396" s="155"/>
      <c r="C396" s="268"/>
      <c r="D396" s="268"/>
      <c r="E396" s="268"/>
      <c r="F396" s="268"/>
      <c r="G396" s="224"/>
      <c r="H396" s="155"/>
      <c r="I396" s="155"/>
      <c r="J396" s="103"/>
      <c r="K396" s="103"/>
      <c r="L396" s="103"/>
      <c r="M396" s="103"/>
      <c r="N396" s="103"/>
      <c r="O396" s="103"/>
    </row>
    <row r="397" spans="1:15" ht="16.5" customHeight="1" x14ac:dyDescent="0.4">
      <c r="A397" s="228"/>
      <c r="B397" s="155"/>
      <c r="C397" s="268"/>
      <c r="D397" s="268"/>
      <c r="E397" s="268"/>
      <c r="F397" s="268"/>
      <c r="G397" s="224"/>
      <c r="H397" s="155"/>
      <c r="I397" s="155"/>
      <c r="J397" s="103"/>
      <c r="K397" s="103"/>
      <c r="L397" s="103"/>
      <c r="M397" s="103"/>
      <c r="N397" s="103"/>
      <c r="O397" s="103"/>
    </row>
    <row r="398" spans="1:15" x14ac:dyDescent="0.4">
      <c r="A398" s="228"/>
      <c r="B398" s="155"/>
      <c r="C398" s="268"/>
      <c r="D398" s="268"/>
      <c r="E398" s="268"/>
      <c r="F398" s="268"/>
      <c r="G398" s="224"/>
      <c r="H398" s="155"/>
      <c r="I398" s="155"/>
      <c r="J398" s="103"/>
      <c r="K398" s="103"/>
      <c r="L398" s="103"/>
      <c r="M398" s="103"/>
      <c r="N398" s="103"/>
      <c r="O398" s="103"/>
    </row>
    <row r="399" spans="1:15" x14ac:dyDescent="0.4">
      <c r="A399" s="227"/>
      <c r="B399" s="155"/>
      <c r="C399" s="264"/>
      <c r="D399" s="264"/>
      <c r="E399" s="264"/>
      <c r="F399" s="264"/>
      <c r="G399" s="265"/>
      <c r="H399" s="155"/>
      <c r="I399" s="155"/>
      <c r="J399" s="103"/>
      <c r="K399" s="103"/>
      <c r="L399" s="103"/>
      <c r="M399" s="103"/>
      <c r="N399" s="103"/>
      <c r="O399" s="103"/>
    </row>
    <row r="400" spans="1:15" x14ac:dyDescent="0.4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</row>
    <row r="401" spans="1:15" ht="13.9" x14ac:dyDescent="0.4">
      <c r="A401" s="101"/>
      <c r="B401" s="102"/>
      <c r="C401" s="102"/>
      <c r="D401" s="102"/>
      <c r="E401" s="103"/>
      <c r="F401" s="103"/>
      <c r="G401" s="103"/>
      <c r="H401" s="102"/>
      <c r="I401" s="103"/>
      <c r="J401" s="103"/>
      <c r="K401" s="103"/>
      <c r="L401" s="103"/>
      <c r="M401" s="103"/>
      <c r="N401" s="103"/>
      <c r="O401" s="103"/>
    </row>
    <row r="402" spans="1:15" ht="13.9" x14ac:dyDescent="0.4">
      <c r="A402" s="101"/>
      <c r="B402" s="102"/>
      <c r="C402" s="102"/>
      <c r="D402" s="102"/>
      <c r="E402" s="103"/>
      <c r="F402" s="103"/>
      <c r="G402" s="103"/>
      <c r="H402" s="102"/>
      <c r="I402" s="103"/>
      <c r="J402" s="103"/>
      <c r="K402" s="103"/>
      <c r="L402" s="103"/>
      <c r="M402" s="103"/>
      <c r="N402" s="103"/>
      <c r="O402" s="103"/>
    </row>
    <row r="403" spans="1:15" x14ac:dyDescent="0.4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</row>
    <row r="404" spans="1:15" x14ac:dyDescent="0.4">
      <c r="A404" s="103"/>
      <c r="B404" s="103"/>
      <c r="C404" s="225"/>
      <c r="D404" s="225"/>
      <c r="E404" s="225"/>
      <c r="F404" s="225"/>
      <c r="G404" s="269"/>
      <c r="H404" s="103"/>
      <c r="I404" s="103"/>
      <c r="J404" s="103"/>
      <c r="K404" s="103"/>
      <c r="L404" s="103"/>
      <c r="M404" s="103"/>
      <c r="N404" s="103"/>
      <c r="O404" s="103"/>
    </row>
    <row r="405" spans="1:15" x14ac:dyDescent="0.4">
      <c r="A405" s="103"/>
      <c r="B405" s="103"/>
      <c r="C405" s="226"/>
      <c r="D405" s="226"/>
      <c r="E405" s="226"/>
      <c r="F405" s="226"/>
      <c r="G405" s="269"/>
      <c r="H405" s="103"/>
      <c r="I405" s="103"/>
      <c r="J405" s="103"/>
      <c r="K405" s="103"/>
      <c r="L405" s="103"/>
      <c r="M405" s="103"/>
      <c r="N405" s="103"/>
      <c r="O405" s="103"/>
    </row>
    <row r="406" spans="1:15" x14ac:dyDescent="0.4">
      <c r="A406" s="103"/>
      <c r="B406" s="103"/>
      <c r="C406" s="270"/>
      <c r="D406" s="270"/>
      <c r="E406" s="270"/>
      <c r="F406" s="103"/>
      <c r="G406" s="239"/>
      <c r="H406" s="103"/>
      <c r="I406" s="103"/>
      <c r="J406" s="103"/>
      <c r="K406" s="103"/>
      <c r="L406" s="103"/>
      <c r="M406" s="103"/>
      <c r="N406" s="103"/>
      <c r="O406" s="103"/>
    </row>
    <row r="407" spans="1:15" x14ac:dyDescent="0.4">
      <c r="A407" s="271"/>
      <c r="B407" s="103"/>
      <c r="C407" s="103"/>
      <c r="D407" s="103"/>
      <c r="E407" s="103"/>
      <c r="F407" s="103"/>
      <c r="G407" s="239"/>
      <c r="H407" s="103"/>
      <c r="I407" s="103"/>
      <c r="J407" s="103"/>
      <c r="K407" s="103"/>
      <c r="L407" s="103"/>
      <c r="M407" s="103"/>
      <c r="N407" s="103"/>
      <c r="O407" s="103"/>
    </row>
    <row r="408" spans="1:15" x14ac:dyDescent="0.4">
      <c r="A408" s="228"/>
      <c r="B408" s="76"/>
      <c r="C408" s="272"/>
      <c r="D408" s="272"/>
      <c r="E408" s="272"/>
      <c r="F408" s="272"/>
      <c r="G408" s="273"/>
      <c r="H408" s="272"/>
      <c r="I408" s="103"/>
      <c r="J408" s="103"/>
      <c r="K408" s="103"/>
      <c r="L408" s="103"/>
      <c r="M408" s="103"/>
      <c r="N408" s="103"/>
      <c r="O408" s="103"/>
    </row>
    <row r="409" spans="1:15" x14ac:dyDescent="0.4">
      <c r="A409" s="228"/>
      <c r="B409" s="103"/>
      <c r="C409" s="272"/>
      <c r="D409" s="272"/>
      <c r="E409" s="272"/>
      <c r="F409" s="272"/>
      <c r="G409" s="273"/>
      <c r="H409" s="272"/>
      <c r="I409" s="103"/>
      <c r="J409" s="103"/>
      <c r="K409" s="103"/>
      <c r="L409" s="103"/>
      <c r="M409" s="103"/>
      <c r="N409" s="103"/>
      <c r="O409" s="103"/>
    </row>
    <row r="410" spans="1:15" x14ac:dyDescent="0.4">
      <c r="A410" s="228"/>
      <c r="B410" s="103"/>
      <c r="C410" s="272"/>
      <c r="D410" s="272"/>
      <c r="E410" s="272"/>
      <c r="F410" s="272"/>
      <c r="G410" s="273"/>
      <c r="H410" s="272"/>
      <c r="I410" s="103"/>
      <c r="J410" s="103"/>
      <c r="K410" s="103"/>
      <c r="L410" s="103"/>
      <c r="M410" s="103"/>
      <c r="N410" s="103"/>
      <c r="O410" s="103"/>
    </row>
    <row r="411" spans="1:15" ht="18" customHeight="1" x14ac:dyDescent="0.4">
      <c r="A411" s="228"/>
      <c r="B411" s="103"/>
      <c r="C411" s="272"/>
      <c r="D411" s="272"/>
      <c r="E411" s="272"/>
      <c r="F411" s="272"/>
      <c r="G411" s="273"/>
      <c r="H411" s="272"/>
      <c r="I411" s="103"/>
      <c r="J411" s="103"/>
      <c r="K411" s="103"/>
      <c r="L411" s="103"/>
      <c r="M411" s="103"/>
      <c r="N411" s="103"/>
      <c r="O411" s="103"/>
    </row>
    <row r="412" spans="1:15" x14ac:dyDescent="0.4">
      <c r="A412" s="228"/>
      <c r="B412" s="103"/>
      <c r="C412" s="274"/>
      <c r="D412" s="274"/>
      <c r="E412" s="274"/>
      <c r="F412" s="274"/>
      <c r="G412" s="275"/>
      <c r="H412" s="274"/>
      <c r="I412" s="103"/>
      <c r="J412" s="103"/>
      <c r="K412" s="103"/>
      <c r="L412" s="103"/>
      <c r="M412" s="103"/>
      <c r="N412" s="103"/>
      <c r="O412" s="103"/>
    </row>
    <row r="413" spans="1:15" ht="17.25" customHeight="1" x14ac:dyDescent="0.4">
      <c r="A413" s="228"/>
      <c r="B413" s="103"/>
      <c r="C413" s="272"/>
      <c r="D413" s="272"/>
      <c r="E413" s="272"/>
      <c r="F413" s="272"/>
      <c r="G413" s="273"/>
      <c r="H413" s="272"/>
      <c r="I413" s="103"/>
      <c r="J413" s="103"/>
      <c r="K413" s="103"/>
      <c r="L413" s="103"/>
      <c r="M413" s="103"/>
      <c r="N413" s="103"/>
      <c r="O413" s="103"/>
    </row>
    <row r="414" spans="1:15" x14ac:dyDescent="0.4">
      <c r="A414" s="4"/>
      <c r="C414" s="42"/>
      <c r="D414" s="42"/>
      <c r="E414" s="42"/>
      <c r="F414" s="42"/>
      <c r="G414" s="58"/>
      <c r="H414" s="42"/>
    </row>
    <row r="415" spans="1:15" ht="18" customHeight="1" x14ac:dyDescent="0.4">
      <c r="A415" s="4"/>
      <c r="C415" s="41"/>
      <c r="D415" s="41"/>
      <c r="E415" s="41"/>
      <c r="F415" s="41"/>
      <c r="G415" s="57"/>
      <c r="H415" s="41"/>
    </row>
    <row r="416" spans="1:15" x14ac:dyDescent="0.4">
      <c r="A416" s="4"/>
      <c r="C416" s="42"/>
      <c r="D416" s="42"/>
      <c r="E416" s="42"/>
      <c r="F416" s="42"/>
      <c r="G416" s="58"/>
      <c r="H416" s="42"/>
    </row>
    <row r="417" spans="1:8" x14ac:dyDescent="0.4">
      <c r="G417" s="9"/>
    </row>
    <row r="418" spans="1:8" x14ac:dyDescent="0.4">
      <c r="A418" s="7"/>
      <c r="G418" s="9"/>
    </row>
    <row r="419" spans="1:8" x14ac:dyDescent="0.4">
      <c r="A419" s="4"/>
      <c r="C419" s="41"/>
      <c r="D419" s="41"/>
      <c r="E419" s="41"/>
      <c r="F419" s="41"/>
      <c r="G419" s="57"/>
      <c r="H419" s="41"/>
    </row>
    <row r="420" spans="1:8" x14ac:dyDescent="0.4">
      <c r="A420" s="4"/>
      <c r="C420" s="41"/>
      <c r="D420" s="41"/>
      <c r="E420" s="41"/>
      <c r="F420" s="41"/>
      <c r="G420" s="57"/>
      <c r="H420" s="41"/>
    </row>
    <row r="421" spans="1:8" x14ac:dyDescent="0.4">
      <c r="A421" s="4"/>
      <c r="C421" s="41"/>
      <c r="D421" s="41"/>
      <c r="E421" s="41"/>
      <c r="F421" s="41"/>
      <c r="G421" s="57"/>
      <c r="H421" s="41"/>
    </row>
    <row r="422" spans="1:8" x14ac:dyDescent="0.4">
      <c r="G422" s="9"/>
    </row>
    <row r="423" spans="1:8" x14ac:dyDescent="0.4">
      <c r="A423" s="7"/>
      <c r="G423" s="9"/>
    </row>
    <row r="424" spans="1:8" x14ac:dyDescent="0.4">
      <c r="A424" s="4"/>
      <c r="C424" s="10"/>
      <c r="D424" s="10"/>
      <c r="E424" s="10"/>
      <c r="F424" s="10"/>
      <c r="G424" s="59"/>
      <c r="H424" s="10"/>
    </row>
    <row r="425" spans="1:8" x14ac:dyDescent="0.4">
      <c r="A425" s="4"/>
      <c r="C425" s="10"/>
      <c r="D425" s="10"/>
      <c r="E425" s="10"/>
      <c r="F425" s="10"/>
      <c r="G425" s="59"/>
      <c r="H425" s="10"/>
    </row>
    <row r="426" spans="1:8" x14ac:dyDescent="0.4">
      <c r="A426" s="4"/>
      <c r="C426" s="10"/>
      <c r="D426" s="10"/>
      <c r="E426" s="10"/>
      <c r="F426" s="10"/>
      <c r="G426" s="59"/>
      <c r="H426" s="10"/>
    </row>
    <row r="427" spans="1:8" ht="18.75" customHeight="1" x14ac:dyDescent="0.4">
      <c r="A427" s="4"/>
      <c r="C427" s="10"/>
      <c r="D427" s="10"/>
      <c r="E427" s="10"/>
      <c r="F427" s="10"/>
      <c r="G427" s="59"/>
      <c r="H427" s="10"/>
    </row>
    <row r="428" spans="1:8" x14ac:dyDescent="0.4">
      <c r="A428" s="4"/>
      <c r="C428" s="10"/>
      <c r="D428" s="10"/>
      <c r="E428" s="10"/>
      <c r="F428" s="10"/>
      <c r="G428" s="62"/>
      <c r="H428" s="10"/>
    </row>
    <row r="429" spans="1:8" x14ac:dyDescent="0.4">
      <c r="A429" s="4"/>
      <c r="C429" s="10"/>
      <c r="D429" s="10"/>
      <c r="E429" s="10"/>
      <c r="F429" s="10"/>
      <c r="G429" s="62"/>
      <c r="H429" s="10"/>
    </row>
    <row r="430" spans="1:8" x14ac:dyDescent="0.4">
      <c r="A430" s="4"/>
      <c r="C430" s="10"/>
      <c r="D430" s="10"/>
      <c r="E430" s="10"/>
      <c r="F430" s="10"/>
      <c r="G430" s="62"/>
      <c r="H430" s="10"/>
    </row>
    <row r="431" spans="1:8" x14ac:dyDescent="0.4">
      <c r="A431" s="4"/>
      <c r="C431" s="10"/>
      <c r="D431" s="10"/>
      <c r="E431" s="10"/>
      <c r="F431" s="10"/>
      <c r="G431" s="62"/>
      <c r="H431" s="10"/>
    </row>
    <row r="432" spans="1:8" x14ac:dyDescent="0.4">
      <c r="A432" s="43"/>
      <c r="G432" s="63"/>
    </row>
    <row r="433" spans="1:8" x14ac:dyDescent="0.4">
      <c r="A433" s="4"/>
      <c r="C433" s="10"/>
      <c r="D433" s="10"/>
      <c r="E433" s="10"/>
      <c r="F433" s="10"/>
      <c r="G433" s="62"/>
      <c r="H433" s="10"/>
    </row>
    <row r="434" spans="1:8" x14ac:dyDescent="0.4">
      <c r="A434" s="4"/>
      <c r="C434" s="41"/>
      <c r="D434" s="41"/>
      <c r="E434" s="41"/>
      <c r="F434" s="41"/>
      <c r="G434" s="64"/>
      <c r="H434" s="41"/>
    </row>
    <row r="435" spans="1:8" x14ac:dyDescent="0.4">
      <c r="A435" s="4"/>
      <c r="C435" s="41"/>
      <c r="D435" s="41"/>
      <c r="E435" s="41"/>
      <c r="F435" s="41"/>
      <c r="G435" s="64"/>
      <c r="H435" s="41"/>
    </row>
    <row r="436" spans="1:8" x14ac:dyDescent="0.4">
      <c r="A436" s="31"/>
      <c r="C436" s="33"/>
      <c r="D436" s="33"/>
      <c r="E436" s="33"/>
      <c r="F436" s="33"/>
      <c r="G436" s="65"/>
      <c r="H436" s="33"/>
    </row>
    <row r="437" spans="1:8" x14ac:dyDescent="0.4">
      <c r="A437" s="1"/>
      <c r="G437" s="63"/>
    </row>
    <row r="438" spans="1:8" x14ac:dyDescent="0.4">
      <c r="A438" s="7"/>
      <c r="G438" s="63"/>
    </row>
    <row r="439" spans="1:8" x14ac:dyDescent="0.4">
      <c r="A439" s="4"/>
      <c r="C439" s="32"/>
      <c r="D439" s="32"/>
      <c r="E439" s="32"/>
      <c r="F439" s="32"/>
      <c r="G439" s="66"/>
      <c r="H439" s="32"/>
    </row>
    <row r="440" spans="1:8" x14ac:dyDescent="0.4">
      <c r="A440" s="4"/>
      <c r="C440" s="41"/>
      <c r="D440" s="41"/>
      <c r="E440" s="41"/>
      <c r="F440" s="41"/>
      <c r="G440" s="64"/>
      <c r="H440" s="41"/>
    </row>
    <row r="441" spans="1:8" x14ac:dyDescent="0.4">
      <c r="A441" s="4"/>
      <c r="C441" s="32"/>
      <c r="D441" s="32"/>
      <c r="E441" s="32"/>
      <c r="F441" s="32"/>
      <c r="G441" s="66"/>
      <c r="H441" s="32"/>
    </row>
    <row r="442" spans="1:8" x14ac:dyDescent="0.4">
      <c r="A442" s="4"/>
      <c r="C442" s="41"/>
      <c r="D442" s="41"/>
      <c r="E442" s="41"/>
      <c r="F442" s="41"/>
      <c r="G442" s="64"/>
      <c r="H442" s="41"/>
    </row>
    <row r="443" spans="1:8" x14ac:dyDescent="0.4">
      <c r="A443" s="4"/>
      <c r="C443" s="41"/>
      <c r="D443" s="41"/>
      <c r="E443" s="41"/>
      <c r="F443" s="41"/>
      <c r="G443" s="66"/>
      <c r="H443" s="32"/>
    </row>
    <row r="444" spans="1:8" s="1" customFormat="1" ht="12.75" x14ac:dyDescent="0.35">
      <c r="A444" s="31"/>
      <c r="C444" s="54"/>
      <c r="D444" s="54"/>
      <c r="E444" s="54"/>
      <c r="F444" s="54"/>
      <c r="G444" s="67"/>
      <c r="H444" s="54"/>
    </row>
    <row r="445" spans="1:8" x14ac:dyDescent="0.4">
      <c r="G445" s="63"/>
    </row>
    <row r="446" spans="1:8" x14ac:dyDescent="0.4">
      <c r="A446" s="7"/>
      <c r="G446" s="63"/>
    </row>
    <row r="447" spans="1:8" x14ac:dyDescent="0.4">
      <c r="A447" s="4"/>
      <c r="C447" s="10"/>
      <c r="D447" s="10"/>
      <c r="E447" s="10"/>
      <c r="F447" s="10"/>
      <c r="G447" s="62"/>
      <c r="H447" s="10"/>
    </row>
    <row r="448" spans="1:8" x14ac:dyDescent="0.4">
      <c r="A448" s="4"/>
      <c r="C448" s="10"/>
      <c r="D448" s="10"/>
      <c r="E448" s="10"/>
      <c r="F448" s="10"/>
      <c r="G448" s="62"/>
      <c r="H448" s="10"/>
    </row>
    <row r="449" spans="1:8" x14ac:dyDescent="0.4">
      <c r="A449" s="4"/>
      <c r="C449" s="10"/>
      <c r="D449" s="10"/>
      <c r="E449" s="10"/>
      <c r="F449" s="10"/>
      <c r="G449" s="62"/>
      <c r="H449" s="10"/>
    </row>
    <row r="450" spans="1:8" x14ac:dyDescent="0.4">
      <c r="G450" s="63"/>
    </row>
    <row r="451" spans="1:8" x14ac:dyDescent="0.4">
      <c r="A451" s="7"/>
      <c r="G451" s="63"/>
    </row>
    <row r="452" spans="1:8" x14ac:dyDescent="0.4">
      <c r="A452" s="4"/>
      <c r="C452" s="41"/>
      <c r="D452" s="41"/>
      <c r="E452" s="41"/>
      <c r="F452" s="41"/>
      <c r="G452" s="64"/>
      <c r="H452" s="41"/>
    </row>
    <row r="453" spans="1:8" x14ac:dyDescent="0.4">
      <c r="G453" s="63"/>
    </row>
    <row r="454" spans="1:8" x14ac:dyDescent="0.4">
      <c r="A454" s="7"/>
      <c r="G454" s="63"/>
    </row>
    <row r="455" spans="1:8" x14ac:dyDescent="0.4">
      <c r="A455" s="4"/>
      <c r="C455" s="41"/>
      <c r="D455" s="41"/>
      <c r="E455" s="41"/>
      <c r="F455" s="41"/>
      <c r="G455" s="68"/>
    </row>
    <row r="456" spans="1:8" x14ac:dyDescent="0.4">
      <c r="A456" s="4"/>
      <c r="C456" s="10"/>
      <c r="D456" s="10"/>
      <c r="E456" s="10"/>
      <c r="F456" s="10"/>
      <c r="G456" s="68"/>
    </row>
    <row r="457" spans="1:8" x14ac:dyDescent="0.4">
      <c r="A457" s="4"/>
      <c r="C457" s="10"/>
      <c r="D457" s="10"/>
      <c r="E457" s="10"/>
      <c r="F457" s="10"/>
      <c r="G457" s="68"/>
    </row>
    <row r="458" spans="1:8" x14ac:dyDescent="0.4">
      <c r="A458" s="4"/>
    </row>
    <row r="459" spans="1:8" x14ac:dyDescent="0.4">
      <c r="A459" s="4"/>
    </row>
    <row r="465" customFormat="1" ht="12.75" x14ac:dyDescent="0.35"/>
    <row r="466" customFormat="1" ht="12.75" x14ac:dyDescent="0.35"/>
    <row r="467" customFormat="1" ht="12.75" x14ac:dyDescent="0.35"/>
    <row r="468" customFormat="1" ht="12.75" x14ac:dyDescent="0.35"/>
    <row r="469" customFormat="1" ht="12.75" x14ac:dyDescent="0.35"/>
    <row r="470" customFormat="1" ht="12.75" x14ac:dyDescent="0.35"/>
    <row r="471" customFormat="1" ht="12.75" x14ac:dyDescent="0.35"/>
    <row r="472" customFormat="1" ht="12.75" x14ac:dyDescent="0.35"/>
    <row r="473" customFormat="1" ht="12.75" x14ac:dyDescent="0.35"/>
    <row r="474" customFormat="1" ht="12.75" x14ac:dyDescent="0.35"/>
    <row r="475" customFormat="1" ht="12.75" x14ac:dyDescent="0.35"/>
    <row r="476" customFormat="1" ht="12.75" x14ac:dyDescent="0.35"/>
    <row r="477" customFormat="1" ht="12.75" x14ac:dyDescent="0.35"/>
    <row r="478" customFormat="1" ht="12.75" x14ac:dyDescent="0.35"/>
    <row r="479" customFormat="1" ht="12.75" x14ac:dyDescent="0.35"/>
    <row r="480" customFormat="1" ht="12.75" x14ac:dyDescent="0.35"/>
    <row r="481" customFormat="1" ht="12.75" x14ac:dyDescent="0.35"/>
    <row r="482" customFormat="1" ht="12.75" x14ac:dyDescent="0.35"/>
    <row r="483" customFormat="1" ht="12.75" x14ac:dyDescent="0.35"/>
    <row r="484" customFormat="1" ht="12.75" x14ac:dyDescent="0.35"/>
    <row r="485" customFormat="1" ht="12.75" x14ac:dyDescent="0.35"/>
    <row r="486" customFormat="1" ht="12.75" x14ac:dyDescent="0.35"/>
    <row r="487" customFormat="1" ht="12.75" x14ac:dyDescent="0.35"/>
    <row r="488" customFormat="1" ht="12.75" x14ac:dyDescent="0.35"/>
    <row r="489" customFormat="1" ht="12.75" x14ac:dyDescent="0.35"/>
    <row r="490" customFormat="1" ht="12.75" x14ac:dyDescent="0.35"/>
    <row r="491" customFormat="1" ht="12.75" x14ac:dyDescent="0.35"/>
    <row r="492" customFormat="1" ht="12.75" x14ac:dyDescent="0.35"/>
    <row r="493" customFormat="1" ht="12.75" x14ac:dyDescent="0.35"/>
    <row r="494" customFormat="1" ht="12.75" x14ac:dyDescent="0.35"/>
    <row r="495" customFormat="1" ht="12.75" x14ac:dyDescent="0.35"/>
    <row r="496" customFormat="1" ht="12.75" x14ac:dyDescent="0.35"/>
    <row r="497" customFormat="1" ht="12.75" x14ac:dyDescent="0.35"/>
    <row r="498" customFormat="1" ht="12.75" x14ac:dyDescent="0.35"/>
    <row r="499" customFormat="1" ht="12.75" x14ac:dyDescent="0.35"/>
    <row r="500" customFormat="1" ht="12.75" x14ac:dyDescent="0.35"/>
    <row r="501" customFormat="1" ht="12.75" x14ac:dyDescent="0.35"/>
    <row r="502" customFormat="1" ht="12.75" x14ac:dyDescent="0.35"/>
    <row r="503" customFormat="1" ht="12.75" x14ac:dyDescent="0.35"/>
    <row r="504" customFormat="1" ht="12.75" x14ac:dyDescent="0.35"/>
    <row r="505" customFormat="1" ht="12.75" x14ac:dyDescent="0.35"/>
    <row r="506" customFormat="1" ht="12.75" x14ac:dyDescent="0.35"/>
    <row r="507" customFormat="1" ht="12.75" x14ac:dyDescent="0.35"/>
    <row r="508" customFormat="1" ht="12.75" x14ac:dyDescent="0.35"/>
  </sheetData>
  <mergeCells count="22">
    <mergeCell ref="J34:K34"/>
    <mergeCell ref="J42:K42"/>
    <mergeCell ref="A190:B190"/>
    <mergeCell ref="E190:G190"/>
    <mergeCell ref="A191:B191"/>
    <mergeCell ref="E191:G191"/>
    <mergeCell ref="J5:O5"/>
    <mergeCell ref="D350:H350"/>
    <mergeCell ref="B352:B356"/>
    <mergeCell ref="C272:H272"/>
    <mergeCell ref="D274:H274"/>
    <mergeCell ref="B276:B280"/>
    <mergeCell ref="C348:H348"/>
    <mergeCell ref="C293:F293"/>
    <mergeCell ref="A21:B21"/>
    <mergeCell ref="D196:H196"/>
    <mergeCell ref="C194:H194"/>
    <mergeCell ref="A146:B146"/>
    <mergeCell ref="A192:B192"/>
    <mergeCell ref="E192:G192"/>
    <mergeCell ref="A193:B193"/>
    <mergeCell ref="E193:G193"/>
  </mergeCells>
  <phoneticPr fontId="0" type="noConversion"/>
  <conditionalFormatting sqref="B147">
    <cfRule type="cellIs" dxfId="3" priority="1" operator="greaterThan">
      <formula>0.03</formula>
    </cfRule>
  </conditionalFormatting>
  <pageMargins left="0.5" right="0.5" top="1" bottom="1" header="0.5" footer="0.5"/>
  <pageSetup scale="76" fitToHeight="13" orientation="portrait" r:id="rId1"/>
  <headerFooter alignWithMargins="0">
    <oddHeader>&amp;C&amp;"Times New Roman,Bold"COCA COLA COMPANY:
VALUATION MODEL</oddHeader>
    <oddFooter>&amp;L&amp;"Times New Roman,Regular"&amp;D&amp;C&amp;"Times New Roman,Regular"Page &amp;P of &amp;N</oddFooter>
  </headerFooter>
  <rowBreaks count="9" manualBreakCount="9">
    <brk id="27" max="16383" man="1"/>
    <brk id="89" max="16383" man="1"/>
    <brk id="137" max="16383" man="1"/>
    <brk id="167" max="16383" man="1"/>
    <brk id="204" max="16383" man="1"/>
    <brk id="249" max="16383" man="1"/>
    <brk id="306" max="16383" man="1"/>
    <brk id="400" max="16383" man="1"/>
    <brk id="464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AAC9-8291-47D0-BCC6-D7F346D800BA}">
  <dimension ref="A2:J319"/>
  <sheetViews>
    <sheetView topLeftCell="A102" zoomScale="128" zoomScaleNormal="175" workbookViewId="0">
      <selection activeCell="F157" sqref="F157"/>
    </sheetView>
  </sheetViews>
  <sheetFormatPr defaultRowHeight="12.75" x14ac:dyDescent="0.35"/>
  <cols>
    <col min="1" max="1" width="47.265625" bestFit="1" customWidth="1"/>
    <col min="2" max="2" width="27.86328125" bestFit="1" customWidth="1"/>
    <col min="3" max="3" width="19" bestFit="1" customWidth="1"/>
    <col min="4" max="4" width="11.3984375" bestFit="1" customWidth="1"/>
    <col min="5" max="5" width="20.59765625" bestFit="1" customWidth="1"/>
    <col min="6" max="6" width="19" bestFit="1" customWidth="1"/>
    <col min="7" max="7" width="11.86328125" bestFit="1" customWidth="1"/>
    <col min="8" max="8" width="7.1328125" bestFit="1" customWidth="1"/>
  </cols>
  <sheetData>
    <row r="2" spans="1:10" ht="13.9" x14ac:dyDescent="0.4">
      <c r="A2" s="111" t="s">
        <v>168</v>
      </c>
      <c r="B2" s="112"/>
      <c r="C2" s="113"/>
      <c r="D2" s="113"/>
      <c r="E2" s="113"/>
      <c r="F2" s="113"/>
      <c r="G2" s="113"/>
      <c r="H2" s="113"/>
      <c r="I2" s="114"/>
      <c r="J2" s="2"/>
    </row>
    <row r="3" spans="1:10" ht="13.9" x14ac:dyDescent="0.4">
      <c r="A3" s="107" t="s">
        <v>0</v>
      </c>
      <c r="B3" s="108"/>
      <c r="C3" s="109"/>
      <c r="D3" s="109"/>
      <c r="E3" s="109"/>
      <c r="F3" s="109"/>
      <c r="G3" s="109"/>
      <c r="H3" s="109"/>
      <c r="I3" s="110"/>
      <c r="J3" s="2"/>
    </row>
    <row r="4" spans="1:10" ht="13.15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3.15" x14ac:dyDescent="0.4">
      <c r="A5" s="77" t="s">
        <v>1</v>
      </c>
      <c r="B5" s="77"/>
      <c r="C5" s="120">
        <v>43830</v>
      </c>
      <c r="D5" s="120">
        <v>44196</v>
      </c>
      <c r="E5" s="120">
        <v>44561</v>
      </c>
      <c r="F5" s="120">
        <v>44926</v>
      </c>
      <c r="G5" s="2"/>
      <c r="H5" s="15"/>
      <c r="I5" s="15"/>
      <c r="J5" s="2"/>
    </row>
    <row r="6" spans="1:10" ht="13.15" x14ac:dyDescent="0.4">
      <c r="A6" s="99" t="s">
        <v>2</v>
      </c>
      <c r="B6" s="99"/>
      <c r="C6" s="135" t="s">
        <v>169</v>
      </c>
      <c r="D6" s="135" t="s">
        <v>169</v>
      </c>
      <c r="E6" s="135" t="s">
        <v>169</v>
      </c>
      <c r="F6" s="135" t="s">
        <v>169</v>
      </c>
      <c r="G6" s="2"/>
      <c r="H6" s="14"/>
      <c r="I6" s="14"/>
      <c r="J6" s="2"/>
    </row>
    <row r="7" spans="1:10" ht="13.15" x14ac:dyDescent="0.4">
      <c r="A7" s="99"/>
      <c r="B7" s="99"/>
      <c r="C7" s="135"/>
      <c r="D7" s="135"/>
      <c r="E7" s="135"/>
      <c r="F7" s="135"/>
      <c r="G7" s="2"/>
      <c r="H7" s="14"/>
      <c r="I7" s="14"/>
      <c r="J7" s="2"/>
    </row>
    <row r="8" spans="1:10" ht="13.15" x14ac:dyDescent="0.4">
      <c r="A8" s="99"/>
      <c r="B8" s="99"/>
      <c r="C8" s="99"/>
      <c r="D8" s="99"/>
      <c r="E8" s="99"/>
      <c r="F8" s="99"/>
      <c r="G8" s="2"/>
      <c r="H8" s="2"/>
      <c r="I8" s="2"/>
      <c r="J8" s="2"/>
    </row>
    <row r="9" spans="1:10" ht="13.15" x14ac:dyDescent="0.4">
      <c r="A9" s="77" t="s">
        <v>3</v>
      </c>
      <c r="B9" s="77"/>
      <c r="C9" s="276">
        <v>12067</v>
      </c>
      <c r="D9" s="276">
        <v>5199</v>
      </c>
      <c r="E9" s="276">
        <v>8598</v>
      </c>
      <c r="F9" s="276">
        <v>11667</v>
      </c>
      <c r="G9" s="16"/>
      <c r="H9" s="16"/>
      <c r="I9" s="16"/>
      <c r="J9" s="2"/>
    </row>
    <row r="10" spans="1:10" ht="13.15" x14ac:dyDescent="0.4">
      <c r="A10" s="123" t="s">
        <v>4</v>
      </c>
      <c r="B10" s="123"/>
      <c r="C10" s="130">
        <v>2163</v>
      </c>
      <c r="D10" s="277">
        <v>1680</v>
      </c>
      <c r="E10" s="277">
        <v>1522</v>
      </c>
      <c r="F10" s="277">
        <v>1657</v>
      </c>
      <c r="G10" s="18"/>
      <c r="H10" s="18"/>
      <c r="I10" s="18"/>
      <c r="J10" s="2"/>
    </row>
    <row r="11" spans="1:10" ht="13.15" x14ac:dyDescent="0.4">
      <c r="A11" s="77" t="s">
        <v>5</v>
      </c>
      <c r="B11" s="77"/>
      <c r="C11" s="133">
        <f>C9-C10</f>
        <v>9904</v>
      </c>
      <c r="D11" s="133">
        <f>D9-D10</f>
        <v>3519</v>
      </c>
      <c r="E11" s="133">
        <f>E9-E10</f>
        <v>7076</v>
      </c>
      <c r="F11" s="133">
        <f>F9-F10</f>
        <v>10010</v>
      </c>
      <c r="G11" s="3"/>
      <c r="H11" s="3"/>
      <c r="I11" s="3"/>
      <c r="J11" s="2"/>
    </row>
    <row r="12" spans="1:10" ht="13.15" x14ac:dyDescent="0.4">
      <c r="A12" s="123" t="s">
        <v>6</v>
      </c>
      <c r="B12" s="123"/>
      <c r="C12" s="277">
        <v>6982</v>
      </c>
      <c r="D12" s="277">
        <v>3143</v>
      </c>
      <c r="E12" s="277">
        <v>4926</v>
      </c>
      <c r="F12" s="277">
        <v>6848</v>
      </c>
      <c r="G12" s="18"/>
      <c r="H12" s="18"/>
      <c r="I12" s="18"/>
      <c r="J12" s="2"/>
    </row>
    <row r="13" spans="1:10" ht="13.15" x14ac:dyDescent="0.4">
      <c r="A13" s="123" t="s">
        <v>7</v>
      </c>
      <c r="B13" s="123"/>
      <c r="C13" s="130">
        <v>1961</v>
      </c>
      <c r="D13" s="130">
        <v>1903</v>
      </c>
      <c r="E13" s="130">
        <v>1888</v>
      </c>
      <c r="F13" s="130">
        <v>1973</v>
      </c>
      <c r="G13" s="18"/>
      <c r="H13" s="18"/>
      <c r="I13" s="18"/>
      <c r="J13" s="2"/>
    </row>
    <row r="14" spans="1:10" ht="13.15" x14ac:dyDescent="0.4">
      <c r="A14" s="128" t="s">
        <v>8</v>
      </c>
      <c r="B14" s="128"/>
      <c r="C14" s="133">
        <f>C11-C12-C13</f>
        <v>961</v>
      </c>
      <c r="D14" s="133">
        <f>D11-D12-D13</f>
        <v>-1527</v>
      </c>
      <c r="E14" s="133">
        <f>E11-E12-E13</f>
        <v>262</v>
      </c>
      <c r="F14" s="133">
        <f>F11-F12-F13</f>
        <v>1189</v>
      </c>
      <c r="G14" s="3"/>
      <c r="H14" s="3"/>
      <c r="I14" s="3"/>
      <c r="J14" s="2"/>
    </row>
    <row r="15" spans="1:10" ht="13.15" x14ac:dyDescent="0.4">
      <c r="A15" s="123" t="s">
        <v>80</v>
      </c>
      <c r="B15" s="123"/>
      <c r="C15" s="130">
        <v>59</v>
      </c>
      <c r="D15" s="130">
        <v>18</v>
      </c>
      <c r="E15" s="130">
        <v>9</v>
      </c>
      <c r="F15" s="130">
        <v>60</v>
      </c>
      <c r="G15" s="18"/>
      <c r="H15" s="18"/>
      <c r="I15" s="18"/>
      <c r="J15" s="2"/>
    </row>
    <row r="16" spans="1:10" ht="13.15" x14ac:dyDescent="0.4">
      <c r="A16" s="123" t="s">
        <v>9</v>
      </c>
      <c r="B16" s="123"/>
      <c r="C16" s="130">
        <v>173</v>
      </c>
      <c r="D16" s="130">
        <v>360</v>
      </c>
      <c r="E16" s="130">
        <v>351</v>
      </c>
      <c r="F16" s="130">
        <v>277</v>
      </c>
      <c r="G16" s="18"/>
      <c r="H16" s="18"/>
      <c r="I16" s="18"/>
      <c r="J16" s="2"/>
    </row>
    <row r="17" spans="1:10" ht="13.15" x14ac:dyDescent="0.4">
      <c r="A17" s="123" t="s">
        <v>10</v>
      </c>
      <c r="B17" s="123"/>
      <c r="C17" s="130">
        <v>-72</v>
      </c>
      <c r="D17" s="130">
        <v>-1282</v>
      </c>
      <c r="E17" s="130">
        <v>42</v>
      </c>
      <c r="F17" s="130">
        <v>-434</v>
      </c>
      <c r="G17" s="18"/>
      <c r="H17" s="18"/>
      <c r="I17" s="18"/>
      <c r="J17" s="2"/>
    </row>
    <row r="18" spans="1:10" ht="13.15" x14ac:dyDescent="0.4">
      <c r="A18" s="123" t="s">
        <v>170</v>
      </c>
      <c r="B18" s="123"/>
      <c r="C18" s="130">
        <v>0</v>
      </c>
      <c r="D18" s="130">
        <v>0</v>
      </c>
      <c r="E18" s="130">
        <v>0</v>
      </c>
      <c r="F18" s="130">
        <v>0</v>
      </c>
      <c r="G18" s="18"/>
      <c r="H18" s="18"/>
      <c r="I18" s="18"/>
      <c r="J18" s="2"/>
    </row>
    <row r="19" spans="1:10" ht="13.15" x14ac:dyDescent="0.4">
      <c r="A19" s="77" t="s">
        <v>11</v>
      </c>
      <c r="B19" s="77"/>
      <c r="C19" s="133">
        <f>C14+C15-C16+C17+C18</f>
        <v>775</v>
      </c>
      <c r="D19" s="133">
        <f>D14+D15-D16+D17+D18</f>
        <v>-3151</v>
      </c>
      <c r="E19" s="133">
        <f>E14+E15-E16+E17+E18</f>
        <v>-38</v>
      </c>
      <c r="F19" s="133">
        <f>F14+F15-F16+F17+F18</f>
        <v>538</v>
      </c>
      <c r="G19" s="3"/>
      <c r="H19" s="3"/>
      <c r="I19" s="3"/>
      <c r="J19" s="2"/>
    </row>
    <row r="20" spans="1:10" ht="13.15" x14ac:dyDescent="0.4">
      <c r="A20" s="123" t="s">
        <v>12</v>
      </c>
      <c r="B20" s="123"/>
      <c r="C20" s="130">
        <v>203</v>
      </c>
      <c r="D20" s="130">
        <v>-423</v>
      </c>
      <c r="E20" s="130">
        <v>-53</v>
      </c>
      <c r="F20" s="130">
        <v>195</v>
      </c>
      <c r="G20" s="18"/>
      <c r="H20" s="18"/>
      <c r="I20" s="18"/>
      <c r="J20" s="2"/>
    </row>
    <row r="21" spans="1:10" ht="13.15" x14ac:dyDescent="0.4">
      <c r="A21" s="368" t="s">
        <v>13</v>
      </c>
      <c r="B21" s="368"/>
      <c r="C21" s="133">
        <f>C19-C20</f>
        <v>572</v>
      </c>
      <c r="D21" s="133">
        <f>D19-D20</f>
        <v>-2728</v>
      </c>
      <c r="E21" s="133">
        <f>E19-E20</f>
        <v>15</v>
      </c>
      <c r="F21" s="133">
        <f>F19-F20</f>
        <v>343</v>
      </c>
      <c r="G21" s="3"/>
      <c r="H21" s="3"/>
      <c r="I21" s="3"/>
      <c r="J21" s="2"/>
    </row>
    <row r="22" spans="1:10" ht="13.15" x14ac:dyDescent="0.4">
      <c r="A22" s="368" t="s">
        <v>171</v>
      </c>
      <c r="B22" s="368"/>
      <c r="C22" s="133">
        <f>C21-220</f>
        <v>352</v>
      </c>
      <c r="D22" s="133">
        <f>D21+41</f>
        <v>-2687</v>
      </c>
      <c r="E22" s="133">
        <f>E21-284</f>
        <v>-269</v>
      </c>
      <c r="F22" s="133">
        <f>F21+9</f>
        <v>352</v>
      </c>
      <c r="G22" s="3"/>
      <c r="H22" s="16"/>
      <c r="I22" s="16"/>
      <c r="J22" s="2"/>
    </row>
    <row r="23" spans="1:10" ht="13.15" x14ac:dyDescent="0.4">
      <c r="A23" s="77"/>
      <c r="B23" s="77"/>
      <c r="C23" s="133"/>
      <c r="D23" s="133"/>
      <c r="E23" s="133"/>
      <c r="F23" s="133"/>
      <c r="G23" s="3"/>
      <c r="H23" s="3"/>
      <c r="I23" s="3"/>
      <c r="J23" s="2"/>
    </row>
    <row r="24" spans="1:10" ht="13.15" x14ac:dyDescent="0.4">
      <c r="A24" s="99" t="s">
        <v>172</v>
      </c>
      <c r="B24" s="99"/>
      <c r="C24" s="130">
        <v>142.6</v>
      </c>
      <c r="D24" s="130">
        <v>143.6</v>
      </c>
      <c r="E24" s="130">
        <v>155.65</v>
      </c>
      <c r="F24" s="130">
        <v>153.28</v>
      </c>
      <c r="G24" s="18"/>
      <c r="H24" s="18"/>
      <c r="I24" s="18"/>
      <c r="J24" s="2"/>
    </row>
    <row r="25" spans="1:10" ht="13.15" x14ac:dyDescent="0.4">
      <c r="A25" s="99" t="s">
        <v>173</v>
      </c>
      <c r="B25" s="99"/>
      <c r="C25" s="278">
        <f>C22/C24</f>
        <v>2.4684431977559607</v>
      </c>
      <c r="D25" s="278">
        <f>D22/D24</f>
        <v>-18.711699164345404</v>
      </c>
      <c r="E25" s="278">
        <f>E22/E24</f>
        <v>-1.7282364278830709</v>
      </c>
      <c r="F25" s="278">
        <f>F22/F24</f>
        <v>2.2964509394572024</v>
      </c>
      <c r="G25" s="27"/>
      <c r="H25" s="27"/>
      <c r="I25" s="27"/>
      <c r="J25" s="2"/>
    </row>
    <row r="26" spans="1:10" ht="13.15" x14ac:dyDescent="0.4">
      <c r="A26" s="99" t="s">
        <v>174</v>
      </c>
      <c r="B26" s="99"/>
      <c r="C26" s="278">
        <v>1.32</v>
      </c>
      <c r="D26" s="278">
        <v>0.34</v>
      </c>
      <c r="E26" s="278">
        <v>0</v>
      </c>
      <c r="F26" s="278">
        <v>0</v>
      </c>
      <c r="G26" s="27"/>
      <c r="H26" s="69"/>
      <c r="I26" s="27"/>
      <c r="J26" s="2"/>
    </row>
    <row r="27" spans="1:10" ht="13.15" x14ac:dyDescent="0.4">
      <c r="A27" s="77"/>
      <c r="B27" s="77"/>
      <c r="C27" s="133"/>
      <c r="D27" s="133"/>
      <c r="E27" s="133"/>
      <c r="F27" s="133"/>
      <c r="G27" s="2"/>
      <c r="H27" s="3"/>
      <c r="I27" s="3"/>
      <c r="J27" s="2"/>
    </row>
    <row r="28" spans="1:10" ht="13.15" x14ac:dyDescent="0.4">
      <c r="A28" s="1"/>
      <c r="B28" s="1"/>
      <c r="C28" s="3"/>
      <c r="D28" s="3"/>
      <c r="E28" s="3"/>
      <c r="F28" s="3"/>
      <c r="G28" s="2"/>
      <c r="H28" s="3"/>
      <c r="I28" s="3"/>
      <c r="J28" s="2"/>
    </row>
    <row r="29" spans="1:10" ht="13.9" x14ac:dyDescent="0.4">
      <c r="A29" s="111" t="s">
        <v>175</v>
      </c>
      <c r="B29" s="112"/>
      <c r="C29" s="112"/>
      <c r="D29" s="112"/>
      <c r="E29" s="113"/>
      <c r="F29" s="113"/>
      <c r="G29" s="113"/>
      <c r="H29" s="112"/>
      <c r="I29" s="114"/>
      <c r="J29" s="2"/>
    </row>
    <row r="30" spans="1:10" ht="13.9" x14ac:dyDescent="0.4">
      <c r="A30" s="107" t="s">
        <v>14</v>
      </c>
      <c r="B30" s="108"/>
      <c r="C30" s="108"/>
      <c r="D30" s="108"/>
      <c r="E30" s="109"/>
      <c r="F30" s="109"/>
      <c r="G30" s="109"/>
      <c r="H30" s="108"/>
      <c r="I30" s="110"/>
      <c r="J30" s="2"/>
    </row>
    <row r="31" spans="1:10" ht="13.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3.15" x14ac:dyDescent="0.4">
      <c r="A32" s="77" t="s">
        <v>1</v>
      </c>
      <c r="B32" s="120">
        <v>43465</v>
      </c>
      <c r="C32" s="120">
        <v>43830</v>
      </c>
      <c r="D32" s="120">
        <v>44196</v>
      </c>
      <c r="E32" s="120">
        <v>44561</v>
      </c>
      <c r="F32" s="120">
        <v>44926</v>
      </c>
      <c r="G32" s="2"/>
      <c r="H32" s="15"/>
      <c r="I32" s="15"/>
      <c r="J32" s="2"/>
    </row>
    <row r="33" spans="1:10" ht="13.15" x14ac:dyDescent="0.4">
      <c r="A33" s="99" t="s">
        <v>2</v>
      </c>
      <c r="B33" s="135" t="s">
        <v>169</v>
      </c>
      <c r="C33" s="135" t="s">
        <v>169</v>
      </c>
      <c r="D33" s="135" t="s">
        <v>169</v>
      </c>
      <c r="E33" s="135" t="s">
        <v>169</v>
      </c>
      <c r="F33" s="135" t="s">
        <v>169</v>
      </c>
      <c r="G33" s="2"/>
      <c r="H33" s="14"/>
      <c r="I33" s="14"/>
      <c r="J33" s="2"/>
    </row>
    <row r="34" spans="1:10" ht="13.15" x14ac:dyDescent="0.4">
      <c r="A34" s="77"/>
      <c r="B34" s="99"/>
      <c r="C34" s="99"/>
      <c r="D34" s="99"/>
      <c r="E34" s="99"/>
      <c r="F34" s="99"/>
      <c r="G34" s="2"/>
      <c r="H34" s="2"/>
      <c r="I34" s="2"/>
      <c r="J34" s="2"/>
    </row>
    <row r="35" spans="1:10" ht="13.15" x14ac:dyDescent="0.4">
      <c r="A35" s="77" t="s">
        <v>50</v>
      </c>
      <c r="B35" s="99"/>
      <c r="C35" s="99"/>
      <c r="D35" s="99"/>
      <c r="E35" s="99"/>
      <c r="F35" s="99"/>
      <c r="G35" s="2"/>
      <c r="H35" s="2"/>
      <c r="I35" s="2"/>
      <c r="J35" s="2"/>
    </row>
    <row r="36" spans="1:10" ht="13.15" x14ac:dyDescent="0.4">
      <c r="A36" s="123" t="s">
        <v>15</v>
      </c>
      <c r="B36" s="279">
        <f>2443</f>
        <v>2443</v>
      </c>
      <c r="C36" s="279">
        <v>3315</v>
      </c>
      <c r="D36" s="279">
        <v>3363</v>
      </c>
      <c r="E36" s="279">
        <v>4111</v>
      </c>
      <c r="F36" s="279">
        <v>4096</v>
      </c>
      <c r="G36" s="17"/>
      <c r="H36" s="17"/>
      <c r="I36" s="17"/>
      <c r="J36" s="2"/>
    </row>
    <row r="37" spans="1:10" ht="14.25" x14ac:dyDescent="0.55000000000000004">
      <c r="A37" s="123" t="s">
        <v>83</v>
      </c>
      <c r="B37" s="280">
        <v>28</v>
      </c>
      <c r="C37" s="280">
        <v>526</v>
      </c>
      <c r="D37" s="280">
        <v>24</v>
      </c>
      <c r="E37" s="280">
        <v>200</v>
      </c>
      <c r="F37" s="280">
        <v>48</v>
      </c>
      <c r="G37" s="19"/>
      <c r="H37" s="19"/>
      <c r="I37" s="19"/>
      <c r="J37" s="2"/>
    </row>
    <row r="38" spans="1:10" ht="13.15" x14ac:dyDescent="0.4">
      <c r="A38" s="281" t="s">
        <v>16</v>
      </c>
      <c r="B38" s="136">
        <f>B36+B37</f>
        <v>2471</v>
      </c>
      <c r="C38" s="136">
        <f>C36+C37</f>
        <v>3841</v>
      </c>
      <c r="D38" s="136">
        <f>D36+D37</f>
        <v>3387</v>
      </c>
      <c r="E38" s="136">
        <f>E36+E37</f>
        <v>4311</v>
      </c>
      <c r="F38" s="136">
        <f>F36+F37</f>
        <v>4144</v>
      </c>
      <c r="G38" s="5"/>
      <c r="H38" s="5"/>
      <c r="I38" s="5"/>
      <c r="J38" s="2"/>
    </row>
    <row r="39" spans="1:10" ht="13.15" x14ac:dyDescent="0.4">
      <c r="A39" s="123" t="s">
        <v>17</v>
      </c>
      <c r="B39" s="136">
        <v>2175</v>
      </c>
      <c r="C39" s="136">
        <v>2594</v>
      </c>
      <c r="D39" s="136">
        <v>821</v>
      </c>
      <c r="E39" s="136">
        <v>1349</v>
      </c>
      <c r="F39" s="136">
        <v>2118</v>
      </c>
      <c r="G39" s="5"/>
      <c r="H39" s="5"/>
      <c r="I39" s="5"/>
      <c r="J39" s="2"/>
    </row>
    <row r="40" spans="1:10" ht="13.15" x14ac:dyDescent="0.4">
      <c r="A40" s="123" t="s">
        <v>176</v>
      </c>
      <c r="B40" s="136">
        <v>259</v>
      </c>
      <c r="C40" s="136">
        <v>779</v>
      </c>
      <c r="D40" s="136">
        <v>772</v>
      </c>
      <c r="E40" s="136">
        <v>1694</v>
      </c>
      <c r="F40" s="136">
        <v>1755</v>
      </c>
      <c r="G40" s="5"/>
      <c r="H40" s="5"/>
      <c r="I40" s="5"/>
      <c r="J40" s="2"/>
    </row>
    <row r="41" spans="1:10" ht="13.15" x14ac:dyDescent="0.4">
      <c r="A41" s="123" t="s">
        <v>19</v>
      </c>
      <c r="B41" s="136">
        <v>292</v>
      </c>
      <c r="C41" s="136">
        <v>521</v>
      </c>
      <c r="D41" s="136">
        <v>654</v>
      </c>
      <c r="E41" s="136">
        <v>827</v>
      </c>
      <c r="F41" s="136">
        <v>774</v>
      </c>
      <c r="G41" s="5"/>
      <c r="H41" s="5"/>
      <c r="I41" s="5"/>
      <c r="J41" s="2"/>
    </row>
    <row r="42" spans="1:10" ht="13.15" x14ac:dyDescent="0.4">
      <c r="A42" s="137" t="s">
        <v>20</v>
      </c>
      <c r="B42" s="282">
        <f>SUM(B38:B41)</f>
        <v>5197</v>
      </c>
      <c r="C42" s="276">
        <f>SUM(C38:C41)</f>
        <v>7735</v>
      </c>
      <c r="D42" s="276">
        <f>SUM(D38:D41)</f>
        <v>5634</v>
      </c>
      <c r="E42" s="276">
        <f>SUM(E38:E41)</f>
        <v>8181</v>
      </c>
      <c r="F42" s="276">
        <f>SUM(F38:F41)</f>
        <v>8791</v>
      </c>
      <c r="G42" s="16"/>
      <c r="H42" s="16"/>
      <c r="I42" s="16"/>
      <c r="J42" s="2"/>
    </row>
    <row r="43" spans="1:10" ht="13.9" x14ac:dyDescent="0.4">
      <c r="A43" s="99"/>
      <c r="B43" s="136"/>
      <c r="C43" s="136"/>
      <c r="D43" s="136"/>
      <c r="E43" s="136"/>
      <c r="F43" s="136"/>
      <c r="G43" s="5"/>
      <c r="H43" s="20"/>
      <c r="I43" s="5"/>
      <c r="J43" s="2"/>
    </row>
    <row r="44" spans="1:10" ht="13.15" x14ac:dyDescent="0.4">
      <c r="A44" s="137" t="s">
        <v>81</v>
      </c>
      <c r="B44" s="276">
        <v>778</v>
      </c>
      <c r="C44" s="276">
        <v>796</v>
      </c>
      <c r="D44" s="276">
        <v>671</v>
      </c>
      <c r="E44" s="276">
        <v>1450</v>
      </c>
      <c r="F44" s="276">
        <v>1184</v>
      </c>
      <c r="G44" s="16"/>
      <c r="H44" s="16"/>
      <c r="I44" s="16"/>
      <c r="J44" s="2"/>
    </row>
    <row r="45" spans="1:10" ht="13.15" x14ac:dyDescent="0.4">
      <c r="A45" s="281" t="s">
        <v>21</v>
      </c>
      <c r="B45" s="283">
        <v>0</v>
      </c>
      <c r="C45" s="283">
        <v>0</v>
      </c>
      <c r="D45" s="283">
        <v>0</v>
      </c>
      <c r="E45" s="283">
        <v>0</v>
      </c>
      <c r="F45" s="283">
        <v>0</v>
      </c>
      <c r="G45" s="29"/>
      <c r="H45" s="5"/>
      <c r="I45" s="5"/>
      <c r="J45" s="2"/>
    </row>
    <row r="46" spans="1:10" ht="13.15" x14ac:dyDescent="0.4">
      <c r="A46" s="284" t="s">
        <v>22</v>
      </c>
      <c r="B46" s="138">
        <f>SUM(B44:B45)</f>
        <v>778</v>
      </c>
      <c r="C46" s="138">
        <f>SUM(C44:C45)</f>
        <v>796</v>
      </c>
      <c r="D46" s="138">
        <f>SUM(D44:D45)</f>
        <v>671</v>
      </c>
      <c r="E46" s="138">
        <f>SUM(E44:E45)</f>
        <v>1450</v>
      </c>
      <c r="F46" s="138">
        <f>SUM(F44:F45)</f>
        <v>1184</v>
      </c>
      <c r="G46" s="28"/>
      <c r="H46" s="28"/>
      <c r="I46" s="28"/>
      <c r="J46" s="2"/>
    </row>
    <row r="47" spans="1:10" ht="13.15" x14ac:dyDescent="0.4">
      <c r="A47" s="99"/>
      <c r="B47" s="136"/>
      <c r="C47" s="136"/>
      <c r="D47" s="136"/>
      <c r="E47" s="136"/>
      <c r="F47" s="136"/>
      <c r="G47" s="5"/>
      <c r="H47" s="6"/>
      <c r="I47" s="5"/>
      <c r="J47" s="2"/>
    </row>
    <row r="48" spans="1:10" ht="13.15" x14ac:dyDescent="0.4">
      <c r="A48" s="137" t="s">
        <v>23</v>
      </c>
      <c r="B48" s="136"/>
      <c r="C48" s="136"/>
      <c r="D48" s="136"/>
      <c r="E48" s="136"/>
      <c r="F48" s="136"/>
      <c r="G48" s="5"/>
      <c r="H48" s="6"/>
      <c r="I48" s="5"/>
      <c r="J48" s="2"/>
    </row>
    <row r="49" spans="1:10" ht="13.15" x14ac:dyDescent="0.4">
      <c r="A49" s="281" t="s">
        <v>24</v>
      </c>
      <c r="B49" s="136">
        <v>0</v>
      </c>
      <c r="C49" s="136">
        <v>0</v>
      </c>
      <c r="D49" s="136">
        <v>0</v>
      </c>
      <c r="E49" s="136">
        <v>0</v>
      </c>
      <c r="F49" s="136">
        <v>0</v>
      </c>
      <c r="G49" s="5"/>
      <c r="H49" s="5"/>
      <c r="I49" s="5"/>
      <c r="J49" s="2"/>
    </row>
    <row r="50" spans="1:10" ht="13.15" x14ac:dyDescent="0.4">
      <c r="A50" s="281" t="s">
        <v>25</v>
      </c>
      <c r="B50" s="136">
        <v>0</v>
      </c>
      <c r="C50" s="136">
        <v>0</v>
      </c>
      <c r="D50" s="136">
        <v>0</v>
      </c>
      <c r="E50" s="136">
        <v>0</v>
      </c>
      <c r="F50" s="136">
        <v>0</v>
      </c>
      <c r="G50" s="5"/>
      <c r="H50" s="5"/>
      <c r="I50" s="5"/>
      <c r="J50" s="2"/>
    </row>
    <row r="51" spans="1:10" ht="13.15" x14ac:dyDescent="0.4">
      <c r="A51" s="281" t="s">
        <v>177</v>
      </c>
      <c r="B51" s="136">
        <v>1877</v>
      </c>
      <c r="C51" s="136">
        <v>2809</v>
      </c>
      <c r="D51" s="136">
        <v>2831</v>
      </c>
      <c r="E51" s="136">
        <v>2587</v>
      </c>
      <c r="F51" s="136">
        <v>2573</v>
      </c>
      <c r="G51" s="5"/>
      <c r="H51" s="5"/>
      <c r="I51" s="5"/>
      <c r="J51" s="2"/>
    </row>
    <row r="52" spans="1:10" ht="13.15" x14ac:dyDescent="0.4">
      <c r="A52" s="281" t="s">
        <v>27</v>
      </c>
      <c r="B52" s="136">
        <v>0</v>
      </c>
      <c r="C52" s="136">
        <v>0</v>
      </c>
      <c r="D52" s="136">
        <v>0</v>
      </c>
      <c r="E52" s="136">
        <v>0</v>
      </c>
      <c r="F52" s="136">
        <v>0</v>
      </c>
      <c r="G52" s="5"/>
      <c r="H52" s="5"/>
      <c r="I52" s="5"/>
      <c r="J52" s="2"/>
    </row>
    <row r="53" spans="1:10" ht="13.15" x14ac:dyDescent="0.4">
      <c r="A53" s="284" t="s">
        <v>51</v>
      </c>
      <c r="B53" s="138">
        <f>SUM(B49:B52)</f>
        <v>1877</v>
      </c>
      <c r="C53" s="138">
        <f>SUM(C49:C52)</f>
        <v>2809</v>
      </c>
      <c r="D53" s="138">
        <f>SUM(D49:D52)</f>
        <v>2831</v>
      </c>
      <c r="E53" s="138">
        <f>SUM(E49:E52)</f>
        <v>2587</v>
      </c>
      <c r="F53" s="138">
        <f>SUM(F49:F52)</f>
        <v>2573</v>
      </c>
      <c r="G53" s="28"/>
      <c r="H53" s="28"/>
      <c r="I53" s="28"/>
      <c r="J53" s="2"/>
    </row>
    <row r="54" spans="1:10" ht="13.15" x14ac:dyDescent="0.4">
      <c r="A54" s="281" t="s">
        <v>28</v>
      </c>
      <c r="B54" s="136">
        <v>0</v>
      </c>
      <c r="C54" s="136">
        <v>0</v>
      </c>
      <c r="D54" s="136">
        <v>0</v>
      </c>
      <c r="E54" s="136">
        <v>0</v>
      </c>
      <c r="F54" s="136">
        <v>0</v>
      </c>
      <c r="G54" s="5"/>
      <c r="H54" s="5"/>
      <c r="I54" s="5"/>
      <c r="J54" s="2"/>
    </row>
    <row r="55" spans="1:10" ht="13.15" x14ac:dyDescent="0.4">
      <c r="A55" s="284" t="s">
        <v>52</v>
      </c>
      <c r="B55" s="138">
        <f>B53-B54</f>
        <v>1877</v>
      </c>
      <c r="C55" s="138">
        <f>C53-C54</f>
        <v>2809</v>
      </c>
      <c r="D55" s="138">
        <f>D53-D54</f>
        <v>2831</v>
      </c>
      <c r="E55" s="138">
        <f>E53-E54</f>
        <v>2587</v>
      </c>
      <c r="F55" s="138">
        <f>F53-F54</f>
        <v>2573</v>
      </c>
      <c r="G55" s="28"/>
      <c r="H55" s="28"/>
      <c r="I55" s="28"/>
      <c r="J55" s="2"/>
    </row>
    <row r="56" spans="1:10" ht="13.9" x14ac:dyDescent="0.4">
      <c r="A56" s="77"/>
      <c r="B56" s="136"/>
      <c r="C56" s="136"/>
      <c r="D56" s="136"/>
      <c r="E56" s="136"/>
      <c r="F56" s="136"/>
      <c r="G56" s="5"/>
      <c r="H56" s="21"/>
      <c r="I56" s="5"/>
      <c r="J56" s="2"/>
    </row>
    <row r="57" spans="1:10" ht="13.9" x14ac:dyDescent="0.4">
      <c r="A57" s="285" t="s">
        <v>178</v>
      </c>
      <c r="B57" s="136">
        <v>69</v>
      </c>
      <c r="C57" s="136">
        <v>145</v>
      </c>
      <c r="D57" s="136">
        <v>659</v>
      </c>
      <c r="E57" s="136">
        <v>766</v>
      </c>
      <c r="F57" s="136">
        <v>661</v>
      </c>
      <c r="G57" s="5"/>
      <c r="H57" s="21"/>
      <c r="I57" s="5"/>
      <c r="J57" s="2"/>
    </row>
    <row r="58" spans="1:10" ht="13.15" x14ac:dyDescent="0.4">
      <c r="A58" s="123" t="s">
        <v>29</v>
      </c>
      <c r="B58" s="136">
        <v>8120</v>
      </c>
      <c r="C58" s="136">
        <v>8127</v>
      </c>
      <c r="D58" s="136">
        <v>7380</v>
      </c>
      <c r="E58" s="136">
        <v>7171</v>
      </c>
      <c r="F58" s="136">
        <v>7143</v>
      </c>
      <c r="G58" s="5"/>
      <c r="H58" s="5"/>
      <c r="I58" s="5"/>
      <c r="J58" s="2"/>
    </row>
    <row r="59" spans="1:10" ht="13.15" x14ac:dyDescent="0.4">
      <c r="A59" s="123" t="s">
        <v>82</v>
      </c>
      <c r="B59" s="136">
        <v>1992</v>
      </c>
      <c r="C59" s="136">
        <v>1804</v>
      </c>
      <c r="D59" s="136">
        <v>1515</v>
      </c>
      <c r="E59" s="136">
        <v>1393</v>
      </c>
      <c r="F59" s="136">
        <v>1209</v>
      </c>
      <c r="G59" s="5"/>
      <c r="H59" s="5"/>
      <c r="I59" s="5"/>
      <c r="J59" s="2"/>
    </row>
    <row r="60" spans="1:10" ht="13.9" x14ac:dyDescent="0.4">
      <c r="A60" s="99"/>
      <c r="B60" s="136"/>
      <c r="C60" s="136"/>
      <c r="D60" s="136"/>
      <c r="E60" s="136"/>
      <c r="F60" s="136"/>
      <c r="G60" s="5"/>
      <c r="H60" s="61"/>
      <c r="I60" s="5"/>
      <c r="J60" s="2"/>
    </row>
    <row r="61" spans="1:10" ht="13.15" x14ac:dyDescent="0.4">
      <c r="A61" s="77" t="s">
        <v>30</v>
      </c>
      <c r="B61" s="138">
        <f>B42+B46+B55+B58+B59+B57</f>
        <v>18033</v>
      </c>
      <c r="C61" s="138">
        <f>C42+C46+C55+C58+C59+C57</f>
        <v>21416</v>
      </c>
      <c r="D61" s="138">
        <f>D42+D46+D55+D58+D59+D57</f>
        <v>18690</v>
      </c>
      <c r="E61" s="138">
        <f>E42+E46+E55+E58+E59+E57</f>
        <v>21548</v>
      </c>
      <c r="F61" s="138">
        <f>F42+F46+F55+F58+F59+F57</f>
        <v>21561</v>
      </c>
      <c r="G61" s="28"/>
      <c r="H61" s="28"/>
      <c r="I61" s="28"/>
      <c r="J61" s="2"/>
    </row>
    <row r="62" spans="1:10" ht="13.15" x14ac:dyDescent="0.4">
      <c r="A62" s="99"/>
      <c r="B62" s="136"/>
      <c r="C62" s="136"/>
      <c r="D62" s="136"/>
      <c r="E62" s="136"/>
      <c r="F62" s="136"/>
      <c r="G62" s="5"/>
      <c r="H62" s="6"/>
      <c r="I62" s="5"/>
      <c r="J62" s="2"/>
    </row>
    <row r="63" spans="1:10" ht="13.15" x14ac:dyDescent="0.4">
      <c r="A63" s="99"/>
      <c r="B63" s="135"/>
      <c r="C63" s="135"/>
      <c r="D63" s="135"/>
      <c r="E63" s="135"/>
      <c r="F63" s="135"/>
      <c r="G63" s="14"/>
      <c r="H63" s="14"/>
      <c r="I63" s="14"/>
      <c r="J63" s="2"/>
    </row>
    <row r="64" spans="1:10" ht="13.9" x14ac:dyDescent="0.4">
      <c r="A64" s="77" t="s">
        <v>31</v>
      </c>
      <c r="B64" s="136"/>
      <c r="C64" s="136"/>
      <c r="D64" s="136"/>
      <c r="E64" s="136"/>
      <c r="F64" s="136"/>
      <c r="G64" s="5"/>
      <c r="H64" s="22"/>
      <c r="I64" s="5"/>
      <c r="J64" s="2"/>
    </row>
    <row r="65" spans="1:10" ht="13.15" x14ac:dyDescent="0.4">
      <c r="A65" s="123" t="s">
        <v>53</v>
      </c>
      <c r="B65" s="279">
        <v>3369</v>
      </c>
      <c r="C65" s="279">
        <v>3965</v>
      </c>
      <c r="D65" s="279">
        <v>2127</v>
      </c>
      <c r="E65" s="279">
        <v>2861</v>
      </c>
      <c r="F65" s="279">
        <v>3464</v>
      </c>
      <c r="G65" s="17"/>
      <c r="H65" s="17"/>
      <c r="I65" s="17"/>
      <c r="J65" s="2"/>
    </row>
    <row r="66" spans="1:10" ht="13.15" x14ac:dyDescent="0.4">
      <c r="A66" s="123" t="s">
        <v>179</v>
      </c>
      <c r="B66" s="136">
        <v>0</v>
      </c>
      <c r="C66" s="136">
        <v>749</v>
      </c>
      <c r="D66" s="136">
        <v>0</v>
      </c>
      <c r="E66" s="136">
        <v>735</v>
      </c>
      <c r="F66" s="136">
        <v>0</v>
      </c>
      <c r="G66" s="5"/>
      <c r="H66" s="5"/>
      <c r="I66" s="5"/>
      <c r="J66" s="2"/>
    </row>
    <row r="67" spans="1:10" ht="13.15" x14ac:dyDescent="0.4">
      <c r="A67" s="123" t="s">
        <v>180</v>
      </c>
      <c r="B67" s="136">
        <v>4691</v>
      </c>
      <c r="C67" s="136">
        <v>6000</v>
      </c>
      <c r="D67" s="136">
        <v>3279</v>
      </c>
      <c r="E67" s="136">
        <v>5854</v>
      </c>
      <c r="F67" s="136">
        <v>7314</v>
      </c>
      <c r="G67" s="5"/>
      <c r="H67" s="5"/>
      <c r="I67" s="5"/>
      <c r="J67" s="2"/>
    </row>
    <row r="68" spans="1:10" ht="13.15" x14ac:dyDescent="0.4">
      <c r="A68" s="123" t="s">
        <v>84</v>
      </c>
      <c r="B68" s="136">
        <v>0</v>
      </c>
      <c r="C68" s="136">
        <v>0</v>
      </c>
      <c r="D68" s="136">
        <v>0</v>
      </c>
      <c r="E68" s="136">
        <v>0</v>
      </c>
      <c r="F68" s="136">
        <v>0</v>
      </c>
      <c r="G68" s="5"/>
      <c r="H68" s="5"/>
      <c r="I68" s="5"/>
      <c r="J68" s="2"/>
    </row>
    <row r="69" spans="1:10" ht="13.15" x14ac:dyDescent="0.4">
      <c r="A69" s="286" t="s">
        <v>33</v>
      </c>
      <c r="B69" s="138">
        <f>SUM(B65:B68)</f>
        <v>8060</v>
      </c>
      <c r="C69" s="138">
        <f>SUM(C65:C68)</f>
        <v>10714</v>
      </c>
      <c r="D69" s="138">
        <f>SUM(D65:D68)</f>
        <v>5406</v>
      </c>
      <c r="E69" s="138">
        <f>SUM(E65:E68)</f>
        <v>9450</v>
      </c>
      <c r="F69" s="138">
        <f>SUM(F65:F68)</f>
        <v>10778</v>
      </c>
      <c r="G69" s="28"/>
      <c r="H69" s="28"/>
      <c r="I69" s="28"/>
      <c r="J69" s="2"/>
    </row>
    <row r="70" spans="1:10" ht="13.15" x14ac:dyDescent="0.4">
      <c r="A70" s="99"/>
      <c r="B70" s="136"/>
      <c r="C70" s="136"/>
      <c r="D70" s="136"/>
      <c r="E70" s="136"/>
      <c r="F70" s="136"/>
      <c r="G70" s="5"/>
      <c r="H70" s="6"/>
      <c r="I70" s="5"/>
      <c r="J70" s="2"/>
    </row>
    <row r="71" spans="1:10" ht="13.15" x14ac:dyDescent="0.4">
      <c r="A71" s="123" t="s">
        <v>34</v>
      </c>
      <c r="B71" s="136">
        <v>3717</v>
      </c>
      <c r="C71" s="136">
        <v>4721</v>
      </c>
      <c r="D71" s="136">
        <v>8729</v>
      </c>
      <c r="E71" s="136">
        <v>8075</v>
      </c>
      <c r="F71" s="136">
        <v>6552</v>
      </c>
      <c r="G71" s="5"/>
      <c r="H71" s="5"/>
      <c r="I71" s="5"/>
      <c r="J71" s="2"/>
    </row>
    <row r="72" spans="1:10" ht="13.15" x14ac:dyDescent="0.4">
      <c r="A72" s="123" t="s">
        <v>35</v>
      </c>
      <c r="B72" s="136">
        <f>506+1577</f>
        <v>2083</v>
      </c>
      <c r="C72" s="136">
        <f>374+1584</f>
        <v>1958</v>
      </c>
      <c r="D72" s="136">
        <f>462+1494</f>
        <v>1956</v>
      </c>
      <c r="E72" s="136">
        <f>413+1495</f>
        <v>1908</v>
      </c>
      <c r="F72" s="136">
        <f>451+1445</f>
        <v>1896</v>
      </c>
      <c r="G72" s="5"/>
      <c r="H72" s="5"/>
      <c r="I72" s="5"/>
      <c r="J72" s="2"/>
    </row>
    <row r="73" spans="1:10" ht="13.15" x14ac:dyDescent="0.4">
      <c r="A73" s="123" t="s">
        <v>181</v>
      </c>
      <c r="B73" s="136">
        <v>69</v>
      </c>
      <c r="C73" s="136">
        <v>56</v>
      </c>
      <c r="D73" s="136">
        <v>67</v>
      </c>
      <c r="E73" s="136">
        <v>58</v>
      </c>
      <c r="F73" s="136">
        <v>52</v>
      </c>
      <c r="G73" s="5"/>
      <c r="H73" s="5"/>
      <c r="I73" s="5"/>
      <c r="J73" s="2"/>
    </row>
    <row r="74" spans="1:10" ht="13.15" x14ac:dyDescent="0.4">
      <c r="A74" s="286" t="s">
        <v>37</v>
      </c>
      <c r="B74" s="138">
        <f>SUM(B71:B73)</f>
        <v>5869</v>
      </c>
      <c r="C74" s="138">
        <f>SUM(C71:C73)</f>
        <v>6735</v>
      </c>
      <c r="D74" s="138">
        <f>SUM(D71:D73)</f>
        <v>10752</v>
      </c>
      <c r="E74" s="138">
        <f>SUM(E71:E73)</f>
        <v>10041</v>
      </c>
      <c r="F74" s="138">
        <f>SUM(F71:F73)</f>
        <v>8500</v>
      </c>
      <c r="G74" s="28"/>
      <c r="H74" s="28"/>
      <c r="I74" s="28"/>
      <c r="J74" s="2"/>
    </row>
    <row r="75" spans="1:10" ht="13.9" x14ac:dyDescent="0.4">
      <c r="A75" s="77"/>
      <c r="B75" s="136"/>
      <c r="C75" s="136"/>
      <c r="D75" s="136"/>
      <c r="E75" s="136"/>
      <c r="F75" s="136"/>
      <c r="G75" s="5"/>
      <c r="H75" s="23"/>
      <c r="I75" s="5"/>
      <c r="J75" s="2"/>
    </row>
    <row r="76" spans="1:10" ht="13.15" x14ac:dyDescent="0.4">
      <c r="A76" s="137" t="s">
        <v>38</v>
      </c>
      <c r="B76" s="138">
        <f>B69+B74</f>
        <v>13929</v>
      </c>
      <c r="C76" s="138">
        <f>C69+C74</f>
        <v>17449</v>
      </c>
      <c r="D76" s="138">
        <f>D69+D74</f>
        <v>16158</v>
      </c>
      <c r="E76" s="138">
        <f>E69+E74</f>
        <v>19491</v>
      </c>
      <c r="F76" s="138">
        <f>F69+F74</f>
        <v>19278</v>
      </c>
      <c r="G76" s="28"/>
      <c r="H76" s="28"/>
      <c r="I76" s="28"/>
      <c r="J76" s="2"/>
    </row>
    <row r="77" spans="1:10" ht="15" x14ac:dyDescent="0.55000000000000004">
      <c r="A77" s="77"/>
      <c r="B77" s="136"/>
      <c r="C77" s="136"/>
      <c r="D77" s="136"/>
      <c r="E77" s="136"/>
      <c r="F77" s="136"/>
      <c r="G77" s="5"/>
      <c r="H77" s="24"/>
      <c r="I77" s="5"/>
      <c r="J77" s="2"/>
    </row>
    <row r="78" spans="1:10" ht="13.9" x14ac:dyDescent="0.4">
      <c r="A78" s="77" t="s">
        <v>39</v>
      </c>
      <c r="B78" s="136"/>
      <c r="C78" s="136"/>
      <c r="D78" s="136"/>
      <c r="E78" s="136"/>
      <c r="F78" s="136"/>
      <c r="G78" s="5"/>
      <c r="H78" s="23"/>
      <c r="I78" s="5"/>
      <c r="J78" s="2"/>
    </row>
    <row r="79" spans="1:10" ht="13.15" x14ac:dyDescent="0.4">
      <c r="A79" s="123" t="s">
        <v>40</v>
      </c>
      <c r="B79" s="136"/>
      <c r="C79" s="136"/>
      <c r="D79" s="136">
        <v>1022</v>
      </c>
      <c r="E79" s="136"/>
      <c r="F79" s="136"/>
      <c r="G79" s="5"/>
      <c r="H79" s="5"/>
      <c r="I79" s="5"/>
      <c r="J79" s="2"/>
    </row>
    <row r="80" spans="1:10" ht="13.15" x14ac:dyDescent="0.4">
      <c r="A80" s="123" t="s">
        <v>41</v>
      </c>
      <c r="B80" s="136">
        <v>9549</v>
      </c>
      <c r="C80" s="136">
        <v>12978</v>
      </c>
      <c r="D80" s="136">
        <v>13566</v>
      </c>
      <c r="E80" s="136">
        <v>14229</v>
      </c>
      <c r="F80" s="136">
        <v>14795</v>
      </c>
      <c r="G80" s="5"/>
      <c r="H80" s="5"/>
      <c r="I80" s="5"/>
      <c r="J80" s="2"/>
    </row>
    <row r="81" spans="1:10" ht="13.15" x14ac:dyDescent="0.4">
      <c r="A81" s="123" t="s">
        <v>42</v>
      </c>
      <c r="B81" s="136">
        <v>-220</v>
      </c>
      <c r="C81" s="136">
        <v>-217</v>
      </c>
      <c r="D81" s="136">
        <v>-178</v>
      </c>
      <c r="E81" s="136">
        <v>-149</v>
      </c>
      <c r="F81" s="136">
        <v>-234</v>
      </c>
      <c r="G81" s="5"/>
      <c r="H81" s="5"/>
      <c r="I81" s="5"/>
      <c r="J81" s="2"/>
    </row>
    <row r="82" spans="1:10" ht="13.15" x14ac:dyDescent="0.4">
      <c r="A82" s="123" t="s">
        <v>43</v>
      </c>
      <c r="B82" s="136">
        <v>517</v>
      </c>
      <c r="C82" s="136">
        <v>879</v>
      </c>
      <c r="D82" s="136">
        <v>-1781</v>
      </c>
      <c r="E82" s="136">
        <v>-1761</v>
      </c>
      <c r="F82" s="136">
        <v>-1409</v>
      </c>
      <c r="G82" s="5"/>
      <c r="H82" s="5"/>
      <c r="I82" s="5"/>
      <c r="J82" s="2"/>
    </row>
    <row r="83" spans="1:10" ht="13.15" x14ac:dyDescent="0.4">
      <c r="A83" s="123" t="s">
        <v>54</v>
      </c>
      <c r="B83" s="136">
        <v>-5742</v>
      </c>
      <c r="C83" s="136">
        <v>-9673</v>
      </c>
      <c r="D83" s="136">
        <v>-10097</v>
      </c>
      <c r="E83" s="136">
        <v>-10262</v>
      </c>
      <c r="F83" s="136">
        <v>-10869</v>
      </c>
      <c r="G83" s="5"/>
      <c r="H83" s="5"/>
      <c r="I83" s="5"/>
      <c r="J83" s="2"/>
    </row>
    <row r="84" spans="1:10" ht="13.15" x14ac:dyDescent="0.4">
      <c r="A84" s="77" t="s">
        <v>39</v>
      </c>
      <c r="B84" s="138">
        <f>SUM(B79:B83)</f>
        <v>4104</v>
      </c>
      <c r="C84" s="138">
        <f>SUM(C79:C83)</f>
        <v>3967</v>
      </c>
      <c r="D84" s="138">
        <f>SUM(D79:D83)</f>
        <v>2532</v>
      </c>
      <c r="E84" s="138">
        <f>SUM(E79:E83)</f>
        <v>2057</v>
      </c>
      <c r="F84" s="138">
        <f>SUM(F79:F83)</f>
        <v>2283</v>
      </c>
      <c r="G84" s="28"/>
      <c r="H84" s="28"/>
      <c r="I84" s="28"/>
      <c r="J84" s="2"/>
    </row>
    <row r="85" spans="1:10" ht="13.15" x14ac:dyDescent="0.4">
      <c r="A85" s="77"/>
      <c r="B85" s="136"/>
      <c r="C85" s="136"/>
      <c r="D85" s="136"/>
      <c r="E85" s="136"/>
      <c r="F85" s="136"/>
      <c r="G85" s="5"/>
      <c r="H85" s="6"/>
      <c r="I85" s="5"/>
      <c r="J85" s="2"/>
    </row>
    <row r="86" spans="1:10" ht="13.15" x14ac:dyDescent="0.4">
      <c r="A86" s="77" t="s">
        <v>55</v>
      </c>
      <c r="B86" s="138">
        <f>B76+B84</f>
        <v>18033</v>
      </c>
      <c r="C86" s="138">
        <f>C76+C84</f>
        <v>21416</v>
      </c>
      <c r="D86" s="138">
        <f>D76+D84</f>
        <v>18690</v>
      </c>
      <c r="E86" s="138">
        <f>E76+E84</f>
        <v>21548</v>
      </c>
      <c r="F86" s="138">
        <f>F76+F84</f>
        <v>21561</v>
      </c>
      <c r="G86" s="28"/>
      <c r="H86" s="28"/>
      <c r="I86" s="28"/>
      <c r="J86" s="2"/>
    </row>
    <row r="87" spans="1:10" ht="13.15" x14ac:dyDescent="0.4">
      <c r="A87" s="1"/>
      <c r="B87" s="28"/>
      <c r="C87" s="28"/>
      <c r="D87" s="28"/>
      <c r="E87" s="28"/>
      <c r="F87" s="28"/>
      <c r="G87" s="29"/>
      <c r="H87" s="28"/>
      <c r="I87" s="28"/>
      <c r="J87" s="2"/>
    </row>
    <row r="88" spans="1:10" ht="13.15" x14ac:dyDescent="0.4">
      <c r="A88" s="1"/>
      <c r="B88" s="28"/>
      <c r="C88" s="28"/>
      <c r="D88" s="28"/>
      <c r="E88" s="28"/>
      <c r="F88" s="28"/>
      <c r="G88" s="29"/>
      <c r="H88" s="28"/>
      <c r="I88" s="28"/>
      <c r="J88" s="2"/>
    </row>
    <row r="89" spans="1:10" ht="13.15" x14ac:dyDescent="0.4">
      <c r="A89" s="1"/>
      <c r="B89" s="28"/>
      <c r="C89" s="28"/>
      <c r="D89" s="28"/>
      <c r="E89" s="28"/>
      <c r="F89" s="28"/>
      <c r="G89" s="29"/>
      <c r="H89" s="28"/>
      <c r="I89" s="28"/>
      <c r="J89" s="2"/>
    </row>
    <row r="90" spans="1:10" ht="13.9" x14ac:dyDescent="0.4">
      <c r="A90" s="111" t="s">
        <v>175</v>
      </c>
      <c r="B90" s="112"/>
      <c r="C90" s="112"/>
      <c r="D90" s="112"/>
      <c r="E90" s="113"/>
      <c r="F90" s="113"/>
      <c r="G90" s="113"/>
      <c r="H90" s="112"/>
      <c r="I90" s="114"/>
      <c r="J90" s="2"/>
    </row>
    <row r="91" spans="1:10" ht="13.9" x14ac:dyDescent="0.4">
      <c r="A91" s="107" t="s">
        <v>59</v>
      </c>
      <c r="B91" s="108"/>
      <c r="C91" s="108"/>
      <c r="D91" s="108"/>
      <c r="E91" s="109"/>
      <c r="F91" s="109"/>
      <c r="G91" s="109"/>
      <c r="H91" s="108"/>
      <c r="I91" s="110"/>
      <c r="J91" s="2"/>
    </row>
    <row r="92" spans="1:10" ht="13.9" x14ac:dyDescent="0.4">
      <c r="A92" s="49"/>
      <c r="B92" s="1"/>
      <c r="C92" s="1"/>
      <c r="D92" s="1"/>
      <c r="E92" s="2"/>
      <c r="F92" s="2"/>
      <c r="G92" s="2"/>
      <c r="H92" s="1"/>
      <c r="I92" s="2"/>
      <c r="J92" s="2"/>
    </row>
    <row r="93" spans="1:10" ht="13.15" x14ac:dyDescent="0.4">
      <c r="A93" s="77" t="s">
        <v>1</v>
      </c>
      <c r="B93" s="122"/>
      <c r="C93" s="120">
        <v>43830</v>
      </c>
      <c r="D93" s="120">
        <v>44196</v>
      </c>
      <c r="E93" s="120">
        <v>44561</v>
      </c>
      <c r="F93" s="120">
        <v>44926</v>
      </c>
      <c r="G93" s="2"/>
      <c r="H93" s="15"/>
      <c r="I93" s="15"/>
      <c r="J93" s="2"/>
    </row>
    <row r="94" spans="1:10" ht="13.15" x14ac:dyDescent="0.4">
      <c r="A94" s="99" t="s">
        <v>2</v>
      </c>
      <c r="B94" s="122"/>
      <c r="C94" s="135" t="s">
        <v>169</v>
      </c>
      <c r="D94" s="135" t="s">
        <v>169</v>
      </c>
      <c r="E94" s="135" t="s">
        <v>169</v>
      </c>
      <c r="F94" s="135" t="s">
        <v>169</v>
      </c>
      <c r="G94" s="2"/>
      <c r="H94" s="14"/>
      <c r="I94" s="14"/>
      <c r="J94" s="2"/>
    </row>
    <row r="95" spans="1:10" ht="13.15" x14ac:dyDescent="0.4">
      <c r="A95" s="77"/>
      <c r="B95" s="138"/>
      <c r="C95" s="138"/>
      <c r="D95" s="138"/>
      <c r="E95" s="138"/>
      <c r="F95" s="138"/>
      <c r="G95" s="29"/>
      <c r="H95" s="28"/>
      <c r="I95" s="28"/>
      <c r="J95" s="2"/>
    </row>
    <row r="96" spans="1:10" ht="13.15" x14ac:dyDescent="0.4">
      <c r="A96" s="77" t="s">
        <v>64</v>
      </c>
      <c r="B96" s="138"/>
      <c r="C96" s="138"/>
      <c r="D96" s="138"/>
      <c r="E96" s="138"/>
      <c r="F96" s="138"/>
      <c r="G96" s="29"/>
      <c r="H96" s="28"/>
      <c r="I96" s="28"/>
      <c r="J96" s="2"/>
    </row>
    <row r="97" spans="1:10" ht="13.15" x14ac:dyDescent="0.4">
      <c r="A97" s="77"/>
      <c r="B97" s="138"/>
      <c r="C97" s="138"/>
      <c r="D97" s="138"/>
      <c r="E97" s="138"/>
      <c r="F97" s="138"/>
      <c r="G97" s="29"/>
      <c r="H97" s="28"/>
      <c r="I97" s="28"/>
      <c r="J97" s="2"/>
    </row>
    <row r="98" spans="1:10" ht="13.15" x14ac:dyDescent="0.4">
      <c r="A98" s="123" t="s">
        <v>44</v>
      </c>
      <c r="B98" s="138"/>
      <c r="C98" s="283">
        <v>572</v>
      </c>
      <c r="D98" s="283">
        <v>-2728</v>
      </c>
      <c r="E98" s="283">
        <v>15</v>
      </c>
      <c r="F98" s="283">
        <v>343</v>
      </c>
      <c r="G98" s="29"/>
      <c r="H98" s="29"/>
      <c r="I98" s="29"/>
      <c r="J98" s="2"/>
    </row>
    <row r="99" spans="1:10" ht="13.15" x14ac:dyDescent="0.4">
      <c r="A99" s="123" t="s">
        <v>60</v>
      </c>
      <c r="B99" s="138"/>
      <c r="C99" s="136">
        <v>910</v>
      </c>
      <c r="D99" s="136">
        <v>1068</v>
      </c>
      <c r="E99" s="136">
        <v>814</v>
      </c>
      <c r="F99" s="136">
        <v>792</v>
      </c>
      <c r="G99" s="5"/>
      <c r="H99" s="5"/>
      <c r="I99" s="5"/>
      <c r="J99" s="2"/>
    </row>
    <row r="100" spans="1:10" ht="13.15" x14ac:dyDescent="0.4">
      <c r="A100" s="123" t="s">
        <v>61</v>
      </c>
      <c r="B100" s="138"/>
      <c r="C100" s="136">
        <v>-30</v>
      </c>
      <c r="D100" s="136">
        <v>62</v>
      </c>
      <c r="E100" s="136">
        <v>45</v>
      </c>
      <c r="F100" s="136">
        <v>423</v>
      </c>
      <c r="G100" s="5"/>
      <c r="H100" s="5"/>
      <c r="I100" s="5"/>
      <c r="J100" s="2"/>
    </row>
    <row r="101" spans="1:10" ht="13.15" x14ac:dyDescent="0.4">
      <c r="A101" s="123" t="s">
        <v>62</v>
      </c>
      <c r="B101" s="138"/>
      <c r="C101" s="136">
        <v>-91</v>
      </c>
      <c r="D101" s="136">
        <v>-488</v>
      </c>
      <c r="E101" s="136">
        <v>-145</v>
      </c>
      <c r="F101" s="136">
        <v>70</v>
      </c>
      <c r="G101" s="5"/>
      <c r="H101" s="5"/>
      <c r="I101" s="5"/>
      <c r="J101" s="2"/>
    </row>
    <row r="102" spans="1:10" ht="13.15" x14ac:dyDescent="0.4">
      <c r="A102" s="123" t="s">
        <v>182</v>
      </c>
      <c r="B102" s="138"/>
      <c r="C102" s="136">
        <v>0</v>
      </c>
      <c r="D102" s="136">
        <v>799</v>
      </c>
      <c r="E102" s="136">
        <v>20</v>
      </c>
      <c r="F102" s="136">
        <v>81</v>
      </c>
      <c r="G102" s="5"/>
      <c r="H102" s="5"/>
      <c r="I102" s="5"/>
      <c r="J102" s="2"/>
    </row>
    <row r="103" spans="1:10" ht="13.15" x14ac:dyDescent="0.4">
      <c r="A103" s="123" t="s">
        <v>183</v>
      </c>
      <c r="B103" s="138"/>
      <c r="C103" s="136">
        <v>-5</v>
      </c>
      <c r="D103" s="136">
        <v>2</v>
      </c>
      <c r="E103" s="136">
        <v>105</v>
      </c>
      <c r="F103" s="136">
        <v>128</v>
      </c>
      <c r="G103" s="5"/>
      <c r="H103" s="5"/>
      <c r="I103" s="5"/>
      <c r="J103" s="2"/>
    </row>
    <row r="104" spans="1:10" ht="13.15" x14ac:dyDescent="0.4">
      <c r="A104" s="123" t="s">
        <v>184</v>
      </c>
      <c r="B104" s="138"/>
      <c r="C104" s="136">
        <v>0</v>
      </c>
      <c r="D104" s="136">
        <v>148</v>
      </c>
      <c r="E104" s="136">
        <v>32</v>
      </c>
      <c r="F104" s="136">
        <v>23</v>
      </c>
      <c r="G104" s="5"/>
      <c r="H104" s="5"/>
      <c r="I104" s="5"/>
      <c r="J104" s="2"/>
    </row>
    <row r="105" spans="1:10" ht="13.15" x14ac:dyDescent="0.4">
      <c r="A105" s="123" t="s">
        <v>185</v>
      </c>
      <c r="B105" s="138"/>
      <c r="C105" s="136">
        <v>0</v>
      </c>
      <c r="D105" s="136">
        <v>0</v>
      </c>
      <c r="E105" s="136">
        <v>-456</v>
      </c>
      <c r="F105" s="136">
        <v>-6</v>
      </c>
      <c r="G105" s="5"/>
      <c r="H105" s="5"/>
      <c r="I105" s="5"/>
      <c r="J105" s="2"/>
    </row>
    <row r="106" spans="1:10" ht="13.15" x14ac:dyDescent="0.4">
      <c r="A106" s="123" t="s">
        <v>186</v>
      </c>
      <c r="B106" s="138"/>
      <c r="C106" s="136">
        <v>241</v>
      </c>
      <c r="D106" s="136">
        <v>205</v>
      </c>
      <c r="E106" s="136">
        <v>418</v>
      </c>
      <c r="F106" s="136">
        <v>374</v>
      </c>
      <c r="G106" s="5"/>
      <c r="H106" s="5"/>
      <c r="I106" s="5"/>
      <c r="J106" s="2"/>
    </row>
    <row r="107" spans="1:10" ht="13.15" x14ac:dyDescent="0.4">
      <c r="A107" s="123" t="s">
        <v>7</v>
      </c>
      <c r="B107" s="138"/>
      <c r="C107" s="136">
        <v>0</v>
      </c>
      <c r="D107" s="136">
        <v>0</v>
      </c>
      <c r="E107" s="136">
        <v>0</v>
      </c>
      <c r="F107" s="136">
        <v>0</v>
      </c>
      <c r="G107" s="5"/>
      <c r="H107" s="5"/>
      <c r="I107" s="5"/>
      <c r="J107" s="2"/>
    </row>
    <row r="108" spans="1:10" ht="13.15" x14ac:dyDescent="0.4">
      <c r="A108" s="123" t="s">
        <v>45</v>
      </c>
      <c r="B108" s="138"/>
      <c r="C108" s="136">
        <v>-21</v>
      </c>
      <c r="D108" s="136">
        <v>142</v>
      </c>
      <c r="E108" s="136">
        <v>0</v>
      </c>
      <c r="F108" s="136">
        <v>0</v>
      </c>
      <c r="G108" s="5"/>
      <c r="H108" s="5"/>
      <c r="I108" s="5"/>
      <c r="J108" s="2"/>
    </row>
    <row r="109" spans="1:10" ht="13.15" x14ac:dyDescent="0.4">
      <c r="A109" s="123" t="s">
        <v>187</v>
      </c>
      <c r="B109" s="138"/>
      <c r="C109" s="136">
        <v>1191</v>
      </c>
      <c r="D109" s="136">
        <v>-2902</v>
      </c>
      <c r="E109" s="136">
        <v>2620</v>
      </c>
      <c r="F109" s="136">
        <v>1261</v>
      </c>
      <c r="G109" s="5"/>
      <c r="H109" s="5"/>
      <c r="I109" s="5"/>
      <c r="J109" s="2"/>
    </row>
    <row r="110" spans="1:10" ht="13.15" x14ac:dyDescent="0.4">
      <c r="A110" s="137" t="s">
        <v>63</v>
      </c>
      <c r="B110" s="138"/>
      <c r="C110" s="138">
        <f>SUM(C98:C109)</f>
        <v>2767</v>
      </c>
      <c r="D110" s="138">
        <f>SUM(D98:D109)</f>
        <v>-3692</v>
      </c>
      <c r="E110" s="138">
        <f>SUM(E98:E109)</f>
        <v>3468</v>
      </c>
      <c r="F110" s="138">
        <f>SUM(F98:F109)</f>
        <v>3489</v>
      </c>
      <c r="G110" s="6"/>
      <c r="H110" s="28"/>
      <c r="I110" s="28"/>
      <c r="J110" s="2"/>
    </row>
    <row r="111" spans="1:10" ht="13.15" x14ac:dyDescent="0.4">
      <c r="A111" s="77"/>
      <c r="B111" s="138"/>
      <c r="C111" s="136"/>
      <c r="D111" s="136"/>
      <c r="E111" s="136"/>
      <c r="F111" s="136"/>
      <c r="G111" s="5"/>
      <c r="H111" s="28"/>
      <c r="I111" s="28"/>
      <c r="J111" s="2"/>
    </row>
    <row r="112" spans="1:10" ht="13.15" x14ac:dyDescent="0.4">
      <c r="A112" s="77" t="s">
        <v>65</v>
      </c>
      <c r="B112" s="138"/>
      <c r="C112" s="136"/>
      <c r="D112" s="136"/>
      <c r="E112" s="136"/>
      <c r="F112" s="136"/>
      <c r="G112" s="5"/>
      <c r="H112" s="28"/>
      <c r="I112" s="28"/>
      <c r="J112" s="2"/>
    </row>
    <row r="113" spans="1:10" ht="13.15" x14ac:dyDescent="0.4">
      <c r="A113" s="77"/>
      <c r="B113" s="138"/>
      <c r="C113" s="136"/>
      <c r="D113" s="136"/>
      <c r="E113" s="136"/>
      <c r="F113" s="136"/>
      <c r="G113" s="5"/>
      <c r="H113" s="28"/>
      <c r="I113" s="28"/>
      <c r="J113" s="2"/>
    </row>
    <row r="114" spans="1:10" ht="13.15" x14ac:dyDescent="0.4">
      <c r="A114" s="123" t="s">
        <v>78</v>
      </c>
      <c r="B114" s="138"/>
      <c r="C114" s="136">
        <v>-5542</v>
      </c>
      <c r="D114" s="136">
        <v>-1052</v>
      </c>
      <c r="E114" s="136">
        <v>-4766</v>
      </c>
      <c r="F114" s="136">
        <v>-73</v>
      </c>
      <c r="G114" s="5"/>
      <c r="H114" s="5"/>
      <c r="I114" s="5"/>
      <c r="J114" s="2"/>
    </row>
    <row r="115" spans="1:10" ht="13.15" x14ac:dyDescent="0.4">
      <c r="A115" s="123" t="s">
        <v>66</v>
      </c>
      <c r="B115" s="138"/>
      <c r="C115" s="136">
        <v>-4704</v>
      </c>
      <c r="D115" s="136">
        <v>-13583</v>
      </c>
      <c r="E115" s="136">
        <v>-6030</v>
      </c>
      <c r="F115" s="136">
        <v>-3751</v>
      </c>
      <c r="G115" s="5"/>
      <c r="H115" s="5"/>
      <c r="I115" s="5"/>
      <c r="J115" s="2"/>
    </row>
    <row r="116" spans="1:10" ht="13.15" x14ac:dyDescent="0.4">
      <c r="A116" s="123" t="s">
        <v>67</v>
      </c>
      <c r="B116" s="138"/>
      <c r="C116" s="136">
        <f>6973+429</f>
        <v>7402</v>
      </c>
      <c r="D116" s="136">
        <f>13835+189</f>
        <v>14024</v>
      </c>
      <c r="E116" s="136">
        <f>7059+2180</f>
        <v>9239</v>
      </c>
      <c r="F116" s="136">
        <f>4771+458</f>
        <v>5229</v>
      </c>
      <c r="G116" s="5"/>
      <c r="H116" s="5"/>
      <c r="I116" s="5"/>
      <c r="J116" s="2"/>
    </row>
    <row r="117" spans="1:10" ht="13.15" x14ac:dyDescent="0.4">
      <c r="A117" s="123" t="s">
        <v>68</v>
      </c>
      <c r="B117" s="138"/>
      <c r="C117" s="136">
        <v>-2054</v>
      </c>
      <c r="D117" s="136">
        <v>-1177</v>
      </c>
      <c r="E117" s="136">
        <v>-1367</v>
      </c>
      <c r="F117" s="136">
        <v>-1484</v>
      </c>
      <c r="G117" s="5"/>
      <c r="H117" s="5"/>
      <c r="I117" s="5"/>
      <c r="J117" s="2"/>
    </row>
    <row r="118" spans="1:10" ht="13.15" x14ac:dyDescent="0.4">
      <c r="A118" s="123" t="s">
        <v>188</v>
      </c>
      <c r="B118" s="138"/>
      <c r="C118" s="136">
        <v>978</v>
      </c>
      <c r="D118" s="136">
        <v>189</v>
      </c>
      <c r="E118" s="136">
        <v>108</v>
      </c>
      <c r="F118" s="136">
        <v>75</v>
      </c>
      <c r="G118" s="5"/>
      <c r="H118" s="5"/>
      <c r="I118" s="5"/>
      <c r="J118" s="2"/>
    </row>
    <row r="119" spans="1:10" ht="13.15" x14ac:dyDescent="0.4">
      <c r="A119" s="123" t="s">
        <v>69</v>
      </c>
      <c r="B119" s="138"/>
      <c r="C119" s="136">
        <v>-56</v>
      </c>
      <c r="D119" s="136">
        <v>122</v>
      </c>
      <c r="E119" s="136">
        <v>51</v>
      </c>
      <c r="F119" s="136">
        <f>706-1465</f>
        <v>-759</v>
      </c>
      <c r="G119" s="5"/>
      <c r="H119" s="5"/>
      <c r="I119" s="5"/>
      <c r="J119" s="2"/>
    </row>
    <row r="120" spans="1:10" ht="13.15" x14ac:dyDescent="0.4">
      <c r="A120" s="137" t="s">
        <v>70</v>
      </c>
      <c r="B120" s="138"/>
      <c r="C120" s="282">
        <v>-1553</v>
      </c>
      <c r="D120" s="282">
        <v>-263</v>
      </c>
      <c r="E120" s="282">
        <v>-931</v>
      </c>
      <c r="F120" s="282">
        <v>-580</v>
      </c>
      <c r="G120" s="6"/>
      <c r="H120" s="6"/>
      <c r="I120" s="6"/>
      <c r="J120" s="2"/>
    </row>
    <row r="121" spans="1:10" ht="13.15" x14ac:dyDescent="0.4">
      <c r="A121" s="77"/>
      <c r="B121" s="138"/>
      <c r="C121" s="136"/>
      <c r="D121" s="136"/>
      <c r="E121" s="136"/>
      <c r="F121" s="136"/>
      <c r="G121" s="5"/>
      <c r="H121" s="28"/>
      <c r="I121" s="28"/>
      <c r="J121" s="2"/>
    </row>
    <row r="122" spans="1:10" ht="13.15" x14ac:dyDescent="0.4">
      <c r="A122" s="77" t="s">
        <v>46</v>
      </c>
      <c r="B122" s="138"/>
      <c r="C122" s="136"/>
      <c r="D122" s="136"/>
      <c r="E122" s="136"/>
      <c r="F122" s="136"/>
      <c r="G122" s="5"/>
      <c r="H122" s="28"/>
      <c r="I122" s="28"/>
      <c r="J122" s="2"/>
    </row>
    <row r="123" spans="1:10" ht="13.15" x14ac:dyDescent="0.4">
      <c r="A123" s="77"/>
      <c r="B123" s="138"/>
      <c r="C123" s="136"/>
      <c r="D123" s="136"/>
      <c r="E123" s="136"/>
      <c r="F123" s="136"/>
      <c r="G123" s="5"/>
      <c r="H123" s="28"/>
      <c r="I123" s="28"/>
      <c r="J123" s="2"/>
    </row>
    <row r="124" spans="1:10" ht="13.15" x14ac:dyDescent="0.4">
      <c r="A124" s="123" t="s">
        <v>71</v>
      </c>
      <c r="B124" s="138"/>
      <c r="C124" s="136">
        <v>23009</v>
      </c>
      <c r="D124" s="136">
        <v>26934</v>
      </c>
      <c r="E124" s="136">
        <v>13094</v>
      </c>
      <c r="F124" s="136">
        <v>3972</v>
      </c>
      <c r="G124" s="5"/>
      <c r="H124" s="5"/>
      <c r="I124" s="5"/>
      <c r="J124" s="2"/>
    </row>
    <row r="125" spans="1:10" ht="13.15" x14ac:dyDescent="0.4">
      <c r="A125" s="123" t="s">
        <v>72</v>
      </c>
      <c r="B125" s="138"/>
      <c r="C125" s="136">
        <v>-24850</v>
      </c>
      <c r="D125" s="136">
        <v>-28796</v>
      </c>
      <c r="E125" s="136">
        <v>-12866</v>
      </c>
      <c r="F125" s="136">
        <v>-4930</v>
      </c>
      <c r="G125" s="5"/>
      <c r="H125" s="5"/>
      <c r="I125" s="5"/>
      <c r="J125" s="2"/>
    </row>
    <row r="126" spans="1:10" ht="13.15" x14ac:dyDescent="0.4">
      <c r="A126" s="123" t="s">
        <v>73</v>
      </c>
      <c r="B126" s="138"/>
      <c r="C126" s="136">
        <v>1012</v>
      </c>
      <c r="D126" s="136">
        <v>647</v>
      </c>
      <c r="E126" s="136">
        <v>702</v>
      </c>
      <c r="F126" s="136">
        <v>837</v>
      </c>
      <c r="G126" s="5"/>
      <c r="H126" s="5"/>
      <c r="I126" s="5"/>
      <c r="J126" s="2"/>
    </row>
    <row r="127" spans="1:10" ht="13.15" x14ac:dyDescent="0.4">
      <c r="A127" s="123" t="s">
        <v>189</v>
      </c>
      <c r="B127" s="138"/>
      <c r="C127" s="136">
        <v>-1103</v>
      </c>
      <c r="D127" s="136">
        <v>-118</v>
      </c>
      <c r="E127" s="136">
        <v>-111</v>
      </c>
      <c r="F127" s="136">
        <v>-1418</v>
      </c>
      <c r="G127" s="5"/>
      <c r="H127" s="5"/>
      <c r="I127" s="5"/>
      <c r="J127" s="2"/>
    </row>
    <row r="128" spans="1:10" ht="13.15" x14ac:dyDescent="0.4">
      <c r="A128" s="123" t="s">
        <v>190</v>
      </c>
      <c r="B128" s="138"/>
      <c r="C128" s="136">
        <f>-6845-227</f>
        <v>-7072</v>
      </c>
      <c r="D128" s="136">
        <f>-7047+310</f>
        <v>-6737</v>
      </c>
      <c r="E128" s="136">
        <f>-7252-353</f>
        <v>-7605</v>
      </c>
      <c r="F128" s="136">
        <f>-7616-1095</f>
        <v>-8711</v>
      </c>
      <c r="G128" s="5"/>
      <c r="H128" s="5"/>
      <c r="I128" s="5"/>
      <c r="J128" s="2"/>
    </row>
    <row r="129" spans="1:10" ht="13.15" x14ac:dyDescent="0.4">
      <c r="A129" s="137" t="s">
        <v>74</v>
      </c>
      <c r="B129" s="138"/>
      <c r="C129" s="282">
        <v>175</v>
      </c>
      <c r="D129" s="282">
        <v>4077</v>
      </c>
      <c r="E129" s="282">
        <v>-973</v>
      </c>
      <c r="F129" s="282">
        <v>-2624</v>
      </c>
      <c r="G129" s="6"/>
      <c r="H129" s="6"/>
      <c r="I129" s="6"/>
      <c r="J129" s="2"/>
    </row>
    <row r="130" spans="1:10" ht="13.15" x14ac:dyDescent="0.4">
      <c r="A130" s="77"/>
      <c r="B130" s="138"/>
      <c r="C130" s="136"/>
      <c r="D130" s="136"/>
      <c r="E130" s="136"/>
      <c r="F130" s="136"/>
      <c r="G130" s="5"/>
      <c r="H130" s="28"/>
      <c r="I130" s="28"/>
      <c r="J130" s="2"/>
    </row>
    <row r="131" spans="1:10" ht="13.15" x14ac:dyDescent="0.4">
      <c r="A131" s="99" t="s">
        <v>77</v>
      </c>
      <c r="B131" s="138"/>
      <c r="C131" s="136">
        <v>3</v>
      </c>
      <c r="D131" s="136">
        <v>41</v>
      </c>
      <c r="E131" s="136">
        <v>-177</v>
      </c>
      <c r="F131" s="136">
        <v>-190</v>
      </c>
      <c r="G131" s="5"/>
      <c r="H131" s="5"/>
      <c r="I131" s="5"/>
      <c r="J131" s="2"/>
    </row>
    <row r="132" spans="1:10" ht="13.15" x14ac:dyDescent="0.4">
      <c r="A132" s="99" t="s">
        <v>85</v>
      </c>
      <c r="B132" s="138"/>
      <c r="C132" s="136">
        <v>0</v>
      </c>
      <c r="D132" s="136">
        <v>0</v>
      </c>
      <c r="E132" s="136">
        <v>0</v>
      </c>
      <c r="F132" s="136">
        <v>0</v>
      </c>
      <c r="G132" s="28"/>
      <c r="H132" s="28"/>
      <c r="I132" s="28"/>
      <c r="J132" s="2"/>
    </row>
    <row r="133" spans="1:10" ht="13.15" x14ac:dyDescent="0.4">
      <c r="A133" s="99" t="s">
        <v>75</v>
      </c>
      <c r="B133" s="138"/>
      <c r="C133" s="282">
        <f>C110+C120+C129+C131+C132</f>
        <v>1392</v>
      </c>
      <c r="D133" s="276">
        <f>D110+D120+D129+D131+D132</f>
        <v>163</v>
      </c>
      <c r="E133" s="276">
        <f>E110+E120+E129+E131+E132</f>
        <v>1387</v>
      </c>
      <c r="F133" s="276">
        <f>F110+F120+F129+F131+F132</f>
        <v>95</v>
      </c>
      <c r="G133" s="28"/>
      <c r="H133" s="5"/>
      <c r="I133" s="29"/>
      <c r="J133" s="2"/>
    </row>
    <row r="134" spans="1:10" ht="13.15" x14ac:dyDescent="0.4">
      <c r="A134" s="99" t="s">
        <v>191</v>
      </c>
      <c r="B134" s="138"/>
      <c r="C134" s="279">
        <v>2471</v>
      </c>
      <c r="D134" s="279">
        <f>C135+22</f>
        <v>3863</v>
      </c>
      <c r="E134" s="279">
        <f>D135-3</f>
        <v>4026</v>
      </c>
      <c r="F134" s="279">
        <f>E135+1240</f>
        <v>5413</v>
      </c>
      <c r="G134" s="17"/>
      <c r="H134" s="5"/>
      <c r="I134" s="5"/>
      <c r="J134" s="2"/>
    </row>
    <row r="135" spans="1:10" ht="13.15" x14ac:dyDescent="0.4">
      <c r="A135" s="77" t="s">
        <v>192</v>
      </c>
      <c r="B135" s="138"/>
      <c r="C135" s="138">
        <f>SUM(C133:C134)-22</f>
        <v>3841</v>
      </c>
      <c r="D135" s="138">
        <f>SUM(D133:D134)+3</f>
        <v>4029</v>
      </c>
      <c r="E135" s="138">
        <f>SUM(E133:E134)-1240</f>
        <v>4173</v>
      </c>
      <c r="F135" s="138">
        <f>SUM(F133:F134)-1453</f>
        <v>4055</v>
      </c>
      <c r="G135" s="28"/>
      <c r="H135" s="28"/>
      <c r="I135" s="28"/>
      <c r="J135" s="2"/>
    </row>
    <row r="136" spans="1:10" ht="13.15" x14ac:dyDescent="0.4">
      <c r="A136" s="1"/>
      <c r="B136" s="28"/>
      <c r="C136" s="28"/>
      <c r="D136" s="28"/>
      <c r="E136" s="28"/>
      <c r="F136" s="28"/>
      <c r="G136" s="29"/>
      <c r="H136" s="28"/>
      <c r="I136" s="28"/>
      <c r="J136" s="2"/>
    </row>
    <row r="137" spans="1:10" ht="13.9" x14ac:dyDescent="0.4">
      <c r="A137" s="111" t="s">
        <v>175</v>
      </c>
      <c r="B137" s="112"/>
      <c r="C137" s="112"/>
      <c r="D137" s="112"/>
      <c r="E137" s="113"/>
      <c r="F137" s="113"/>
      <c r="G137" s="113"/>
      <c r="H137" s="112"/>
      <c r="I137" s="114"/>
      <c r="J137" s="2"/>
    </row>
    <row r="138" spans="1:10" ht="13.9" x14ac:dyDescent="0.4">
      <c r="A138" s="107" t="s">
        <v>58</v>
      </c>
      <c r="B138" s="108"/>
      <c r="C138" s="108"/>
      <c r="D138" s="108"/>
      <c r="E138" s="109"/>
      <c r="F138" s="109"/>
      <c r="G138" s="109"/>
      <c r="H138" s="108"/>
      <c r="I138" s="110"/>
      <c r="J138" s="2"/>
    </row>
    <row r="140" spans="1:10" ht="13.15" x14ac:dyDescent="0.4">
      <c r="A140" s="99"/>
      <c r="B140" s="99"/>
      <c r="C140" s="120">
        <v>43830</v>
      </c>
      <c r="D140" s="120">
        <v>44196</v>
      </c>
      <c r="E140" s="120">
        <v>44561</v>
      </c>
      <c r="F140" s="120">
        <v>44926</v>
      </c>
      <c r="G140" s="135" t="s">
        <v>193</v>
      </c>
      <c r="H140" s="2"/>
      <c r="I140" s="2"/>
      <c r="J140" s="2"/>
    </row>
    <row r="141" spans="1:10" ht="13.15" x14ac:dyDescent="0.4">
      <c r="A141" s="99"/>
      <c r="B141" s="99"/>
      <c r="C141" s="135" t="s">
        <v>169</v>
      </c>
      <c r="D141" s="135" t="s">
        <v>169</v>
      </c>
      <c r="E141" s="135" t="s">
        <v>169</v>
      </c>
      <c r="F141" s="135" t="s">
        <v>169</v>
      </c>
      <c r="G141" s="135" t="s">
        <v>194</v>
      </c>
      <c r="H141" s="2"/>
      <c r="I141" s="2"/>
      <c r="J141" s="2"/>
    </row>
    <row r="142" spans="1:10" ht="13.15" x14ac:dyDescent="0.4">
      <c r="A142" s="99"/>
      <c r="B142" s="99"/>
      <c r="C142" s="99"/>
      <c r="D142" s="99"/>
      <c r="E142" s="99"/>
      <c r="F142" s="99"/>
      <c r="G142" s="135" t="s">
        <v>195</v>
      </c>
      <c r="H142" s="2"/>
      <c r="I142" s="2"/>
      <c r="J142" s="2"/>
    </row>
    <row r="143" spans="1:10" ht="13.15" x14ac:dyDescent="0.4">
      <c r="A143" s="99"/>
      <c r="B143" s="99"/>
      <c r="C143" s="99"/>
      <c r="D143" s="99"/>
      <c r="E143" s="99"/>
      <c r="F143" s="99"/>
      <c r="G143" s="99"/>
      <c r="H143" s="2"/>
      <c r="I143" s="2"/>
      <c r="J143" s="2"/>
    </row>
    <row r="144" spans="1:10" ht="13.15" x14ac:dyDescent="0.4">
      <c r="A144" s="287" t="s">
        <v>196</v>
      </c>
      <c r="B144" s="287"/>
      <c r="C144" s="288">
        <f>(C25-C26)/C25</f>
        <v>0.46524999999999994</v>
      </c>
      <c r="D144" s="288">
        <f>(D25-D26)/D25</f>
        <v>1.018170450316338</v>
      </c>
      <c r="E144" s="288">
        <f>(E25-E26)/E25</f>
        <v>1</v>
      </c>
      <c r="F144" s="288">
        <f>(F25-F26)/F25</f>
        <v>1</v>
      </c>
      <c r="G144" s="288"/>
      <c r="H144" s="32"/>
      <c r="I144" s="32"/>
      <c r="J144" s="10"/>
    </row>
    <row r="145" spans="1:10" ht="13.15" x14ac:dyDescent="0.4">
      <c r="A145" s="289" t="s">
        <v>197</v>
      </c>
      <c r="B145" s="99"/>
      <c r="C145" s="287">
        <f>C398</f>
        <v>0</v>
      </c>
      <c r="D145" s="287">
        <f>D398</f>
        <v>0</v>
      </c>
      <c r="E145" s="287">
        <f>E398</f>
        <v>0</v>
      </c>
      <c r="F145" s="287">
        <f>F398</f>
        <v>0</v>
      </c>
      <c r="G145" s="99"/>
      <c r="H145" s="2"/>
      <c r="I145" s="2"/>
      <c r="J145" s="2"/>
    </row>
    <row r="146" spans="1:10" ht="13.15" x14ac:dyDescent="0.4">
      <c r="A146" s="99" t="s">
        <v>198</v>
      </c>
      <c r="B146" s="99"/>
      <c r="C146" s="290">
        <f>C144*C145</f>
        <v>0</v>
      </c>
      <c r="D146" s="290">
        <f>D144*D145</f>
        <v>0</v>
      </c>
      <c r="E146" s="290">
        <f>E144*E145</f>
        <v>0</v>
      </c>
      <c r="F146" s="290">
        <f>F144*F145</f>
        <v>0</v>
      </c>
      <c r="G146" s="99"/>
      <c r="H146" s="25"/>
      <c r="I146" s="2"/>
      <c r="J146" s="2"/>
    </row>
    <row r="147" spans="1:10" ht="13.15" x14ac:dyDescent="0.4">
      <c r="A147" s="99" t="s">
        <v>199</v>
      </c>
      <c r="B147" s="291"/>
      <c r="C147" s="290">
        <v>2.8799999999999999E-2</v>
      </c>
      <c r="D147" s="290">
        <v>2.6499999999999999E-2</v>
      </c>
      <c r="E147" s="290">
        <v>1.14E-2</v>
      </c>
      <c r="F147" s="290">
        <v>3.9E-2</v>
      </c>
      <c r="G147" s="292">
        <v>3.6999999999999998E-2</v>
      </c>
      <c r="H147" s="25"/>
      <c r="I147" s="2"/>
      <c r="J147" s="2"/>
    </row>
    <row r="148" spans="1:10" ht="13.15" x14ac:dyDescent="0.4">
      <c r="A148" s="289" t="s">
        <v>200</v>
      </c>
      <c r="B148" s="99"/>
      <c r="C148" s="293">
        <v>8.9999999999999993E-3</v>
      </c>
      <c r="D148" s="293">
        <v>8.9999999999999993E-3</v>
      </c>
      <c r="E148" s="293">
        <v>5.0000000000000001E-3</v>
      </c>
      <c r="F148" s="293">
        <v>7.4000000000000003E-3</v>
      </c>
      <c r="G148" s="294">
        <v>8.9999999999999993E-3</v>
      </c>
      <c r="H148" s="2"/>
      <c r="I148" s="2"/>
      <c r="J148" s="2"/>
    </row>
    <row r="149" spans="1:10" ht="13.15" x14ac:dyDescent="0.4">
      <c r="A149" s="99" t="s">
        <v>201</v>
      </c>
      <c r="B149" s="99"/>
      <c r="C149" s="295">
        <f>SUM(C147:C148)</f>
        <v>3.78E-2</v>
      </c>
      <c r="D149" s="295">
        <f>SUM(D147:D148)</f>
        <v>3.5499999999999997E-2</v>
      </c>
      <c r="E149" s="295">
        <f>SUM(E147:E148)</f>
        <v>1.6400000000000001E-2</v>
      </c>
      <c r="F149" s="295">
        <f>SUM(F147:F148)</f>
        <v>4.6399999999999997E-2</v>
      </c>
      <c r="G149" s="295">
        <f>SUM(G147:G148)</f>
        <v>4.5999999999999999E-2</v>
      </c>
      <c r="H149" s="25"/>
      <c r="I149" s="2"/>
      <c r="J149" s="2"/>
    </row>
    <row r="150" spans="1:10" ht="13.15" x14ac:dyDescent="0.4">
      <c r="A150" s="99" t="s">
        <v>56</v>
      </c>
      <c r="B150" s="99"/>
      <c r="C150" s="290">
        <f>C20/C19</f>
        <v>0.26193548387096777</v>
      </c>
      <c r="D150" s="290">
        <f>D20/D19</f>
        <v>0.1342430974293875</v>
      </c>
      <c r="E150" s="290">
        <f>E20/E19</f>
        <v>1.3947368421052631</v>
      </c>
      <c r="F150" s="290">
        <f>F20/F19</f>
        <v>0.36245353159851301</v>
      </c>
      <c r="G150" s="292">
        <v>0.3</v>
      </c>
      <c r="H150" s="36"/>
      <c r="I150" s="2"/>
      <c r="J150" s="2"/>
    </row>
    <row r="151" spans="1:10" ht="13.15" x14ac:dyDescent="0.4">
      <c r="A151" s="99" t="s">
        <v>202</v>
      </c>
      <c r="B151" s="99"/>
      <c r="C151" s="295">
        <f>C149*(1-C150)</f>
        <v>2.789883870967742E-2</v>
      </c>
      <c r="D151" s="295">
        <f>D149*(1-D150)</f>
        <v>3.0734370041256738E-2</v>
      </c>
      <c r="E151" s="295">
        <f>E149*(1-E150)</f>
        <v>-6.4736842105263146E-3</v>
      </c>
      <c r="F151" s="295">
        <f>F149*(1-F150)</f>
        <v>2.9582156133828995E-2</v>
      </c>
      <c r="G151" s="295">
        <f>G149*(1-G150)</f>
        <v>3.2199999999999999E-2</v>
      </c>
      <c r="H151" s="25"/>
      <c r="I151" s="2"/>
      <c r="J151" s="2"/>
    </row>
    <row r="152" spans="1:10" ht="13.15" x14ac:dyDescent="0.4">
      <c r="A152" s="99"/>
      <c r="B152" s="99"/>
      <c r="C152" s="99"/>
      <c r="D152" s="99"/>
      <c r="E152" s="99"/>
      <c r="F152" s="99"/>
      <c r="G152" s="99"/>
      <c r="H152" s="2"/>
      <c r="I152" s="2"/>
      <c r="J152" s="2"/>
    </row>
    <row r="153" spans="1:10" ht="13.15" x14ac:dyDescent="0.4">
      <c r="A153" s="99" t="s">
        <v>203</v>
      </c>
      <c r="B153" s="99"/>
      <c r="C153" s="296">
        <v>1.6</v>
      </c>
      <c r="D153" s="296">
        <v>1.6</v>
      </c>
      <c r="E153" s="296">
        <v>1.6</v>
      </c>
      <c r="F153" s="296">
        <v>1.6</v>
      </c>
      <c r="G153" s="297">
        <v>1.6</v>
      </c>
      <c r="H153" s="13"/>
      <c r="I153" s="2"/>
      <c r="J153" s="2"/>
    </row>
    <row r="154" spans="1:10" ht="13.15" x14ac:dyDescent="0.4">
      <c r="A154" s="289" t="s">
        <v>204</v>
      </c>
      <c r="B154" s="99"/>
      <c r="C154" s="290">
        <v>5.5E-2</v>
      </c>
      <c r="D154" s="290">
        <v>5.5E-2</v>
      </c>
      <c r="E154" s="290">
        <v>5.5E-2</v>
      </c>
      <c r="F154" s="290">
        <v>5.5E-2</v>
      </c>
      <c r="G154" s="290">
        <v>5.5E-2</v>
      </c>
      <c r="H154" s="25"/>
      <c r="I154" s="2"/>
      <c r="J154" s="2"/>
    </row>
    <row r="155" spans="1:10" ht="13.15" x14ac:dyDescent="0.4">
      <c r="A155" s="99" t="s">
        <v>205</v>
      </c>
      <c r="B155" s="99"/>
      <c r="C155" s="290">
        <f>C147+(C154*C153)</f>
        <v>0.11680000000000001</v>
      </c>
      <c r="D155" s="290">
        <f>D147+(D154*D153)</f>
        <v>0.1145</v>
      </c>
      <c r="E155" s="290">
        <f>E147+(E154*E153)</f>
        <v>9.9400000000000016E-2</v>
      </c>
      <c r="F155" s="290">
        <f>F147+(F154*F153)</f>
        <v>0.127</v>
      </c>
      <c r="G155" s="290">
        <f>G147+(G154*G153)</f>
        <v>0.125</v>
      </c>
      <c r="H155" s="25"/>
      <c r="I155" s="2"/>
      <c r="J155" s="2"/>
    </row>
    <row r="156" spans="1:10" ht="13.15" x14ac:dyDescent="0.4">
      <c r="A156" s="99" t="s">
        <v>206</v>
      </c>
      <c r="B156" s="99"/>
      <c r="C156" s="298">
        <v>55.35</v>
      </c>
      <c r="D156" s="298">
        <v>54.84</v>
      </c>
      <c r="E156" s="298">
        <v>59.21</v>
      </c>
      <c r="F156" s="298">
        <v>63.61</v>
      </c>
      <c r="G156" s="298"/>
      <c r="H156" s="2"/>
      <c r="I156" s="2"/>
      <c r="J156" s="2"/>
    </row>
    <row r="157" spans="1:10" ht="13.15" x14ac:dyDescent="0.4">
      <c r="A157" s="99" t="s">
        <v>145</v>
      </c>
      <c r="B157" s="99"/>
      <c r="C157" s="130">
        <f>C24</f>
        <v>142.6</v>
      </c>
      <c r="D157" s="130">
        <f>D24</f>
        <v>143.6</v>
      </c>
      <c r="E157" s="130">
        <f>E24</f>
        <v>155.65</v>
      </c>
      <c r="F157" s="130">
        <f>F24</f>
        <v>153.28</v>
      </c>
      <c r="G157" s="122"/>
      <c r="H157" s="18"/>
      <c r="I157" s="2"/>
      <c r="J157" s="2"/>
    </row>
    <row r="158" spans="1:10" ht="13.15" x14ac:dyDescent="0.4">
      <c r="A158" s="99" t="s">
        <v>207</v>
      </c>
      <c r="B158" s="99"/>
      <c r="C158" s="279">
        <f>C157*C156</f>
        <v>7892.91</v>
      </c>
      <c r="D158" s="279">
        <f>D157*D156</f>
        <v>7875.0240000000003</v>
      </c>
      <c r="E158" s="279">
        <f>E157*E156</f>
        <v>9216.0365000000002</v>
      </c>
      <c r="F158" s="279">
        <f>F157*F156</f>
        <v>9750.1407999999992</v>
      </c>
      <c r="G158" s="122"/>
      <c r="H158" s="18"/>
      <c r="I158" s="2"/>
      <c r="J158" s="2"/>
    </row>
    <row r="159" spans="1:10" ht="13.15" x14ac:dyDescent="0.4">
      <c r="A159" s="289" t="s">
        <v>208</v>
      </c>
      <c r="B159" s="99"/>
      <c r="C159" s="136">
        <f>C67+C66+C71</f>
        <v>11470</v>
      </c>
      <c r="D159" s="136">
        <f>D67+D66+D71</f>
        <v>12008</v>
      </c>
      <c r="E159" s="136">
        <f>E67+E66+E71</f>
        <v>14664</v>
      </c>
      <c r="F159" s="136">
        <f>F67+F66+F71</f>
        <v>13866</v>
      </c>
      <c r="G159" s="122"/>
      <c r="H159" s="26"/>
      <c r="I159" s="2"/>
      <c r="J159" s="2"/>
    </row>
    <row r="160" spans="1:10" ht="13.15" x14ac:dyDescent="0.4">
      <c r="A160" s="99" t="s">
        <v>209</v>
      </c>
      <c r="B160" s="99"/>
      <c r="C160" s="279">
        <f>SUM(C158:C159)</f>
        <v>19362.91</v>
      </c>
      <c r="D160" s="279">
        <f>SUM(D158:D159)</f>
        <v>19883.024000000001</v>
      </c>
      <c r="E160" s="279">
        <f>SUM(E158:E159)</f>
        <v>23880.036500000002</v>
      </c>
      <c r="F160" s="279">
        <f>SUM(F158:F159)</f>
        <v>23616.140800000001</v>
      </c>
      <c r="G160" s="122"/>
      <c r="H160" s="26"/>
      <c r="I160" s="2"/>
      <c r="J160" s="2"/>
    </row>
    <row r="161" spans="1:10" ht="13.15" x14ac:dyDescent="0.4">
      <c r="A161" s="99"/>
      <c r="B161" s="99"/>
      <c r="C161" s="136"/>
      <c r="D161" s="136"/>
      <c r="E161" s="136"/>
      <c r="F161" s="136"/>
      <c r="G161" s="136"/>
      <c r="H161" s="26"/>
      <c r="I161" s="2"/>
      <c r="J161" s="2"/>
    </row>
    <row r="162" spans="1:10" ht="13.15" x14ac:dyDescent="0.4">
      <c r="A162" s="99" t="s">
        <v>210</v>
      </c>
      <c r="B162" s="99"/>
      <c r="C162" s="295">
        <f>C158/C160</f>
        <v>0.40763036134547959</v>
      </c>
      <c r="D162" s="295">
        <f>D158/D160</f>
        <v>0.39606772088591757</v>
      </c>
      <c r="E162" s="295">
        <f>E158/E160</f>
        <v>0.38593058683138942</v>
      </c>
      <c r="F162" s="295">
        <f>F158/F160</f>
        <v>0.41285919162541573</v>
      </c>
      <c r="G162" s="299">
        <v>0.41</v>
      </c>
      <c r="H162" s="8"/>
      <c r="I162" s="2"/>
      <c r="J162" s="2"/>
    </row>
    <row r="163" spans="1:10" ht="13.15" x14ac:dyDescent="0.4">
      <c r="A163" s="99" t="s">
        <v>211</v>
      </c>
      <c r="B163" s="99"/>
      <c r="C163" s="295">
        <f>1-C162</f>
        <v>0.59236963865452041</v>
      </c>
      <c r="D163" s="295">
        <f>1-D162</f>
        <v>0.60393227911408243</v>
      </c>
      <c r="E163" s="295">
        <f>1-E162</f>
        <v>0.61406941316861063</v>
      </c>
      <c r="F163" s="295">
        <f>1-F162</f>
        <v>0.58714080837458427</v>
      </c>
      <c r="G163" s="299">
        <v>0.59</v>
      </c>
      <c r="H163" s="8"/>
      <c r="I163" s="2"/>
      <c r="J163" s="2"/>
    </row>
    <row r="164" spans="1:10" x14ac:dyDescent="0.35">
      <c r="A164" s="77" t="s">
        <v>49</v>
      </c>
      <c r="B164" s="77"/>
      <c r="C164" s="300">
        <f>(C163*C149*(1-C150))+(C162*C155)</f>
        <v>6.413765121048437E-2</v>
      </c>
      <c r="D164" s="300">
        <f>(D163*D149*(1-D150))+(D162*D155)</f>
        <v>6.3911232187589317E-2</v>
      </c>
      <c r="E164" s="300">
        <f>(E163*E149*(1-E150))+(E162*E155)</f>
        <v>3.4386208866843321E-2</v>
      </c>
      <c r="F164" s="300">
        <f>(F163*F149*(1-F150))+(F162*F155)</f>
        <v>6.9802008402307325E-2</v>
      </c>
      <c r="G164" s="301">
        <f>(G163*G149*(1-G150))+(G162*G155)</f>
        <v>7.0247999999999991E-2</v>
      </c>
      <c r="H164" s="34"/>
      <c r="I164" s="1"/>
      <c r="J164" s="1"/>
    </row>
    <row r="165" spans="1:10" ht="13.1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3.1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3.9" x14ac:dyDescent="0.4">
      <c r="A167" s="111" t="s">
        <v>175</v>
      </c>
      <c r="B167" s="112"/>
      <c r="C167" s="112"/>
      <c r="D167" s="112"/>
      <c r="E167" s="113"/>
      <c r="F167" s="113"/>
      <c r="G167" s="113"/>
      <c r="H167" s="112"/>
      <c r="I167" s="114"/>
      <c r="J167" s="2"/>
    </row>
    <row r="168" spans="1:10" ht="13.9" x14ac:dyDescent="0.4">
      <c r="A168" s="107" t="s">
        <v>212</v>
      </c>
      <c r="B168" s="108"/>
      <c r="C168" s="108"/>
      <c r="D168" s="108"/>
      <c r="E168" s="109"/>
      <c r="F168" s="109"/>
      <c r="G168" s="109"/>
      <c r="H168" s="108"/>
      <c r="I168" s="110"/>
      <c r="J168" s="2"/>
    </row>
    <row r="169" spans="1:10" ht="13.15" x14ac:dyDescent="0.4">
      <c r="A169" s="1"/>
      <c r="B169" s="28"/>
      <c r="C169" s="28"/>
      <c r="D169" s="28"/>
      <c r="E169" s="28"/>
      <c r="F169" s="28"/>
      <c r="G169" s="29"/>
      <c r="H169" s="28"/>
      <c r="I169" s="28"/>
      <c r="J169" s="2"/>
    </row>
    <row r="170" spans="1:10" ht="13.15" x14ac:dyDescent="0.4">
      <c r="A170" s="1"/>
      <c r="B170" s="28"/>
      <c r="C170" s="28"/>
      <c r="D170" s="28"/>
      <c r="E170" s="28"/>
      <c r="F170" s="28"/>
      <c r="G170" s="29"/>
      <c r="H170" s="28"/>
      <c r="I170" s="28"/>
      <c r="J170" s="2"/>
    </row>
    <row r="171" spans="1:10" ht="13.15" x14ac:dyDescent="0.4">
      <c r="A171" s="77" t="s">
        <v>213</v>
      </c>
      <c r="B171" s="138"/>
      <c r="C171" s="120">
        <v>43830</v>
      </c>
      <c r="D171" s="120">
        <v>44196</v>
      </c>
      <c r="E171" s="120">
        <v>44561</v>
      </c>
      <c r="F171" s="120">
        <v>44926</v>
      </c>
      <c r="G171" s="283"/>
      <c r="H171" s="138"/>
      <c r="I171" s="138"/>
      <c r="J171" s="2"/>
    </row>
    <row r="172" spans="1:10" ht="13.15" x14ac:dyDescent="0.4">
      <c r="A172" s="77" t="s">
        <v>214</v>
      </c>
      <c r="B172" s="138"/>
      <c r="C172" s="135" t="s">
        <v>169</v>
      </c>
      <c r="D172" s="135" t="s">
        <v>169</v>
      </c>
      <c r="E172" s="135" t="s">
        <v>169</v>
      </c>
      <c r="F172" s="135" t="s">
        <v>169</v>
      </c>
      <c r="G172" s="283"/>
      <c r="H172" s="138"/>
      <c r="I172" s="138"/>
      <c r="J172" s="2"/>
    </row>
    <row r="173" spans="1:10" ht="13.15" x14ac:dyDescent="0.4">
      <c r="A173" s="137"/>
      <c r="B173" s="138"/>
      <c r="C173" s="135"/>
      <c r="D173" s="135"/>
      <c r="E173" s="135"/>
      <c r="F173" s="135"/>
      <c r="G173" s="283"/>
      <c r="H173" s="138"/>
      <c r="I173" s="138"/>
      <c r="J173" s="2"/>
    </row>
    <row r="174" spans="1:10" ht="13.15" x14ac:dyDescent="0.4">
      <c r="A174" s="123" t="s">
        <v>215</v>
      </c>
      <c r="B174" s="138"/>
      <c r="C174" s="290"/>
      <c r="D174" s="290">
        <f>(D9-C9)/C9</f>
        <v>-0.56915554818927649</v>
      </c>
      <c r="E174" s="290">
        <f>(E9-D9)/D9</f>
        <v>0.65377957299480671</v>
      </c>
      <c r="F174" s="290">
        <f>(F9-E9)/E9</f>
        <v>0.35694347522679692</v>
      </c>
      <c r="G174" s="283"/>
      <c r="H174" s="302"/>
      <c r="I174" s="302"/>
      <c r="J174" s="55"/>
    </row>
    <row r="175" spans="1:10" ht="13.15" x14ac:dyDescent="0.4">
      <c r="A175" s="123" t="s">
        <v>216</v>
      </c>
      <c r="B175" s="138"/>
      <c r="C175" s="290">
        <f>C183/C9</f>
        <v>7.8561365708129605E-2</v>
      </c>
      <c r="D175" s="290">
        <f>D183/D9</f>
        <v>-0.53683400653971913</v>
      </c>
      <c r="E175" s="290">
        <f>E183/E9</f>
        <v>3.6403814840660617E-2</v>
      </c>
      <c r="F175" s="290">
        <f>F183/F9</f>
        <v>6.9855146995800116E-2</v>
      </c>
      <c r="G175" s="283"/>
      <c r="H175" s="138"/>
      <c r="I175" s="138"/>
      <c r="J175" s="2"/>
    </row>
    <row r="176" spans="1:10" ht="13.15" x14ac:dyDescent="0.4">
      <c r="A176" s="123" t="s">
        <v>217</v>
      </c>
      <c r="B176" s="138"/>
      <c r="C176" s="290">
        <f>C150</f>
        <v>0.26193548387096777</v>
      </c>
      <c r="D176" s="290">
        <f>D150</f>
        <v>0.1342430974293875</v>
      </c>
      <c r="E176" s="290">
        <f>E150</f>
        <v>1.3947368421052631</v>
      </c>
      <c r="F176" s="290">
        <f>F150</f>
        <v>0.36245353159851301</v>
      </c>
      <c r="G176" s="283"/>
      <c r="H176" s="138"/>
      <c r="I176" s="138"/>
      <c r="J176" s="2"/>
    </row>
    <row r="177" spans="1:10" ht="13.15" x14ac:dyDescent="0.4">
      <c r="A177" s="123" t="s">
        <v>218</v>
      </c>
      <c r="B177" s="138"/>
      <c r="C177" s="290">
        <f>C185/C9</f>
        <v>8.3202121488356678E-2</v>
      </c>
      <c r="D177" s="290">
        <f>D185/D9</f>
        <v>0.37276399307559144</v>
      </c>
      <c r="E177" s="290">
        <f>E185/E9</f>
        <v>9.6882996045592001E-2</v>
      </c>
      <c r="F177" s="290">
        <f>F185/F9</f>
        <v>0.16156681237678924</v>
      </c>
      <c r="G177" s="283"/>
      <c r="H177" s="138"/>
      <c r="I177" s="138"/>
      <c r="J177" s="2"/>
    </row>
    <row r="178" spans="1:10" ht="13.15" x14ac:dyDescent="0.4">
      <c r="A178" s="123" t="s">
        <v>219</v>
      </c>
      <c r="B178" s="138"/>
      <c r="C178" s="290">
        <f>-C186/C9</f>
        <v>-9.8698930968757773E-2</v>
      </c>
      <c r="D178" s="290">
        <f>-D186/D9</f>
        <v>0.55818426620503947</v>
      </c>
      <c r="E178" s="290">
        <f>-E186/E9</f>
        <v>-0.30472202837869272</v>
      </c>
      <c r="F178" s="290">
        <f>-F186/F9</f>
        <v>-0.1080826262106797</v>
      </c>
      <c r="G178" s="283"/>
      <c r="H178" s="138"/>
      <c r="I178" s="138"/>
      <c r="J178" s="2"/>
    </row>
    <row r="179" spans="1:10" ht="13.15" x14ac:dyDescent="0.4">
      <c r="A179" s="123" t="s">
        <v>220</v>
      </c>
      <c r="B179" s="138"/>
      <c r="C179" s="290">
        <f>-C187/C9</f>
        <v>0.12869810226236844</v>
      </c>
      <c r="D179" s="290">
        <f>-D187/D9</f>
        <v>5.0586651279092135E-2</v>
      </c>
      <c r="E179" s="290">
        <f>-E187/E9</f>
        <v>0.10828099558036752</v>
      </c>
      <c r="F179" s="290">
        <f>-F187/F9</f>
        <v>4.9712865346704382E-2</v>
      </c>
      <c r="G179" s="283"/>
      <c r="H179" s="138"/>
      <c r="I179" s="138"/>
      <c r="J179" s="2"/>
    </row>
    <row r="180" spans="1:10" ht="13.15" x14ac:dyDescent="0.4">
      <c r="A180" s="99"/>
      <c r="B180" s="138"/>
      <c r="C180" s="290"/>
      <c r="D180" s="290"/>
      <c r="E180" s="290"/>
      <c r="F180" s="290"/>
      <c r="G180" s="283"/>
      <c r="H180" s="138"/>
      <c r="I180" s="138"/>
      <c r="J180" s="2"/>
    </row>
    <row r="181" spans="1:10" ht="13.15" x14ac:dyDescent="0.4">
      <c r="A181" s="99"/>
      <c r="B181" s="138"/>
      <c r="C181" s="290"/>
      <c r="D181" s="290"/>
      <c r="E181" s="290"/>
      <c r="F181" s="290"/>
      <c r="G181" s="283"/>
      <c r="H181" s="138"/>
      <c r="I181" s="138"/>
      <c r="J181" s="2"/>
    </row>
    <row r="182" spans="1:10" ht="13.15" x14ac:dyDescent="0.4">
      <c r="A182" s="77" t="s">
        <v>221</v>
      </c>
      <c r="B182" s="138"/>
      <c r="C182" s="290"/>
      <c r="D182" s="290"/>
      <c r="E182" s="290"/>
      <c r="F182" s="290"/>
      <c r="G182" s="283"/>
      <c r="H182" s="138"/>
      <c r="I182" s="138"/>
      <c r="J182" s="2"/>
    </row>
    <row r="183" spans="1:10" ht="13.15" x14ac:dyDescent="0.4">
      <c r="A183" s="123" t="s">
        <v>222</v>
      </c>
      <c r="B183" s="138"/>
      <c r="C183" s="130">
        <f>C19+C16</f>
        <v>948</v>
      </c>
      <c r="D183" s="130">
        <f>D19+D16</f>
        <v>-2791</v>
      </c>
      <c r="E183" s="130">
        <f>E19+E16</f>
        <v>313</v>
      </c>
      <c r="F183" s="130">
        <f>F19+F16</f>
        <v>815</v>
      </c>
      <c r="G183" s="283"/>
      <c r="H183" s="138"/>
      <c r="I183" s="138"/>
      <c r="J183" s="2"/>
    </row>
    <row r="184" spans="1:10" ht="13.15" x14ac:dyDescent="0.4">
      <c r="A184" s="123" t="s">
        <v>223</v>
      </c>
      <c r="B184" s="138"/>
      <c r="C184" s="130">
        <f>-(C183*C150)</f>
        <v>-248.31483870967745</v>
      </c>
      <c r="D184" s="130">
        <f>-(D183*D150)</f>
        <v>374.67248492542052</v>
      </c>
      <c r="E184" s="130">
        <f>-(E183*E150)</f>
        <v>-436.55263157894734</v>
      </c>
      <c r="F184" s="130">
        <f>-(F183*F150)</f>
        <v>-295.39962825278809</v>
      </c>
      <c r="G184" s="283"/>
      <c r="H184" s="138"/>
      <c r="I184" s="138"/>
      <c r="J184" s="2"/>
    </row>
    <row r="185" spans="1:10" ht="13.15" x14ac:dyDescent="0.4">
      <c r="A185" s="123" t="s">
        <v>224</v>
      </c>
      <c r="B185" s="283"/>
      <c r="C185" s="136">
        <f>SUM(C99:C108)</f>
        <v>1004</v>
      </c>
      <c r="D185" s="136">
        <f>SUM(D99:D108)</f>
        <v>1938</v>
      </c>
      <c r="E185" s="136">
        <f>SUM(E99:E108)</f>
        <v>833</v>
      </c>
      <c r="F185" s="136">
        <f>SUM(F99:F108)</f>
        <v>1885</v>
      </c>
      <c r="G185" s="283"/>
      <c r="H185" s="138"/>
      <c r="I185" s="138"/>
      <c r="J185" s="2"/>
    </row>
    <row r="186" spans="1:10" ht="13.15" x14ac:dyDescent="0.4">
      <c r="A186" s="123" t="s">
        <v>225</v>
      </c>
      <c r="B186" s="283"/>
      <c r="C186" s="136">
        <f>C109</f>
        <v>1191</v>
      </c>
      <c r="D186" s="136">
        <f>D109</f>
        <v>-2902</v>
      </c>
      <c r="E186" s="136">
        <f>E109</f>
        <v>2620</v>
      </c>
      <c r="F186" s="136">
        <f>F109</f>
        <v>1261</v>
      </c>
      <c r="G186" s="283"/>
      <c r="H186" s="138"/>
      <c r="I186" s="138"/>
      <c r="J186" s="2"/>
    </row>
    <row r="187" spans="1:10" ht="13.15" x14ac:dyDescent="0.4">
      <c r="A187" s="123" t="s">
        <v>226</v>
      </c>
      <c r="B187" s="283"/>
      <c r="C187" s="303">
        <f>C120</f>
        <v>-1553</v>
      </c>
      <c r="D187" s="303">
        <f>D120</f>
        <v>-263</v>
      </c>
      <c r="E187" s="303">
        <f>E120</f>
        <v>-931</v>
      </c>
      <c r="F187" s="303">
        <f>F120</f>
        <v>-580</v>
      </c>
      <c r="G187" s="283"/>
      <c r="H187" s="138"/>
      <c r="I187" s="138"/>
      <c r="J187" s="2"/>
    </row>
    <row r="188" spans="1:10" ht="13.15" x14ac:dyDescent="0.4">
      <c r="A188" s="137" t="s">
        <v>227</v>
      </c>
      <c r="B188" s="138"/>
      <c r="C188" s="138">
        <v>1607</v>
      </c>
      <c r="D188" s="138">
        <v>-4631</v>
      </c>
      <c r="E188" s="138">
        <v>3075</v>
      </c>
      <c r="F188" s="138">
        <v>2778</v>
      </c>
      <c r="G188" s="283"/>
      <c r="H188" s="138"/>
      <c r="I188" s="138"/>
      <c r="J188" s="2"/>
    </row>
    <row r="189" spans="1:10" ht="13.15" x14ac:dyDescent="0.4">
      <c r="A189" s="99"/>
      <c r="B189" s="283"/>
      <c r="C189" s="283"/>
      <c r="D189" s="283"/>
      <c r="E189" s="283"/>
      <c r="F189" s="283"/>
      <c r="G189" s="283"/>
      <c r="H189" s="138"/>
      <c r="I189" s="138"/>
      <c r="J189" s="2"/>
    </row>
    <row r="190" spans="1:10" ht="13.15" x14ac:dyDescent="0.4">
      <c r="A190" s="99"/>
      <c r="B190" s="283"/>
      <c r="C190" s="283"/>
      <c r="D190" s="283"/>
      <c r="E190" s="283"/>
      <c r="F190" s="283"/>
      <c r="G190" s="283"/>
      <c r="H190" s="138"/>
      <c r="I190" s="138"/>
      <c r="J190" s="2"/>
    </row>
    <row r="191" spans="1:10" ht="13.15" x14ac:dyDescent="0.4">
      <c r="A191" s="99"/>
      <c r="B191" s="283"/>
      <c r="C191" s="283"/>
      <c r="D191" s="283"/>
      <c r="E191" s="283"/>
      <c r="F191" s="283"/>
      <c r="G191" s="283"/>
      <c r="H191" s="138"/>
      <c r="I191" s="138"/>
      <c r="J191" s="2"/>
    </row>
    <row r="192" spans="1:10" ht="13.15" x14ac:dyDescent="0.4">
      <c r="A192" s="77" t="s">
        <v>228</v>
      </c>
      <c r="B192" s="283"/>
      <c r="C192" s="304">
        <v>44926</v>
      </c>
      <c r="D192" s="304">
        <v>45291</v>
      </c>
      <c r="E192" s="304">
        <v>45657</v>
      </c>
      <c r="F192" s="304">
        <v>46022</v>
      </c>
      <c r="G192" s="304">
        <v>46387</v>
      </c>
      <c r="H192" s="305"/>
      <c r="I192" s="305"/>
      <c r="J192" s="2"/>
    </row>
    <row r="193" spans="1:10" ht="13.15" x14ac:dyDescent="0.4">
      <c r="A193" s="77" t="s">
        <v>229</v>
      </c>
      <c r="B193" s="283"/>
      <c r="C193" s="306" t="s">
        <v>169</v>
      </c>
      <c r="D193" s="306" t="s">
        <v>169</v>
      </c>
      <c r="E193" s="306" t="s">
        <v>169</v>
      </c>
      <c r="F193" s="306" t="s">
        <v>169</v>
      </c>
      <c r="G193" s="306" t="s">
        <v>169</v>
      </c>
      <c r="H193" s="138"/>
      <c r="I193" s="138"/>
      <c r="J193" s="2"/>
    </row>
    <row r="194" spans="1:10" ht="13.15" x14ac:dyDescent="0.4">
      <c r="A194" s="77"/>
      <c r="B194" s="283"/>
      <c r="C194" s="306" t="s">
        <v>230</v>
      </c>
      <c r="D194" s="306" t="s">
        <v>231</v>
      </c>
      <c r="E194" s="306" t="s">
        <v>231</v>
      </c>
      <c r="F194" s="306" t="s">
        <v>231</v>
      </c>
      <c r="G194" s="306" t="s">
        <v>231</v>
      </c>
      <c r="H194" s="138"/>
      <c r="I194" s="138"/>
      <c r="J194" s="2"/>
    </row>
    <row r="195" spans="1:10" ht="13.15" x14ac:dyDescent="0.4">
      <c r="A195" s="99"/>
      <c r="B195" s="283"/>
      <c r="C195" s="306"/>
      <c r="D195" s="306"/>
      <c r="E195" s="306"/>
      <c r="F195" s="306"/>
      <c r="G195" s="306"/>
      <c r="H195" s="138"/>
      <c r="I195" s="138"/>
      <c r="J195" s="2"/>
    </row>
    <row r="196" spans="1:10" ht="13.15" x14ac:dyDescent="0.4">
      <c r="A196" s="123" t="s">
        <v>215</v>
      </c>
      <c r="B196" s="138"/>
      <c r="C196" s="290">
        <f>F174</f>
        <v>0.35694347522679692</v>
      </c>
      <c r="D196" s="292">
        <v>0.2</v>
      </c>
      <c r="E196" s="292">
        <v>0.1</v>
      </c>
      <c r="F196" s="292">
        <v>0.1</v>
      </c>
      <c r="G196" s="292">
        <v>0.1</v>
      </c>
      <c r="H196" s="138"/>
      <c r="I196" s="138"/>
      <c r="J196" s="2"/>
    </row>
    <row r="197" spans="1:10" ht="13.15" x14ac:dyDescent="0.4">
      <c r="A197" s="123" t="s">
        <v>216</v>
      </c>
      <c r="B197" s="138"/>
      <c r="C197" s="290">
        <f t="shared" ref="C197:C201" si="0">F175</f>
        <v>6.9855146995800116E-2</v>
      </c>
      <c r="D197" s="292">
        <v>0.06</v>
      </c>
      <c r="E197" s="292">
        <v>0.06</v>
      </c>
      <c r="F197" s="292">
        <v>0.06</v>
      </c>
      <c r="G197" s="292">
        <v>0.06</v>
      </c>
      <c r="H197" s="138"/>
      <c r="I197" s="138"/>
      <c r="J197" s="2"/>
    </row>
    <row r="198" spans="1:10" ht="13.15" x14ac:dyDescent="0.4">
      <c r="A198" s="123" t="s">
        <v>217</v>
      </c>
      <c r="B198" s="138"/>
      <c r="C198" s="290">
        <f t="shared" si="0"/>
        <v>0.36245353159851301</v>
      </c>
      <c r="D198" s="292">
        <v>0.35</v>
      </c>
      <c r="E198" s="292">
        <v>0.35</v>
      </c>
      <c r="F198" s="292">
        <v>0.35</v>
      </c>
      <c r="G198" s="292">
        <v>0.35</v>
      </c>
      <c r="H198" s="138"/>
      <c r="I198" s="138"/>
      <c r="J198" s="2"/>
    </row>
    <row r="199" spans="1:10" ht="13.15" x14ac:dyDescent="0.4">
      <c r="A199" s="123" t="s">
        <v>218</v>
      </c>
      <c r="B199" s="138"/>
      <c r="C199" s="290">
        <f t="shared" si="0"/>
        <v>0.16156681237678924</v>
      </c>
      <c r="D199" s="292">
        <v>0.15</v>
      </c>
      <c r="E199" s="292">
        <v>0.15</v>
      </c>
      <c r="F199" s="292">
        <v>0.15</v>
      </c>
      <c r="G199" s="292">
        <v>0.15</v>
      </c>
      <c r="H199" s="138"/>
      <c r="I199" s="138"/>
      <c r="J199" s="2"/>
    </row>
    <row r="200" spans="1:10" ht="13.15" x14ac:dyDescent="0.4">
      <c r="A200" s="123" t="s">
        <v>219</v>
      </c>
      <c r="B200" s="138"/>
      <c r="C200" s="290">
        <f t="shared" si="0"/>
        <v>-0.1080826262106797</v>
      </c>
      <c r="D200" s="292">
        <v>0.01</v>
      </c>
      <c r="E200" s="292">
        <v>0.01</v>
      </c>
      <c r="F200" s="292">
        <v>0.01</v>
      </c>
      <c r="G200" s="292">
        <v>0.01</v>
      </c>
      <c r="H200" s="138"/>
      <c r="I200" s="138"/>
      <c r="J200" s="2"/>
    </row>
    <row r="201" spans="1:10" ht="13.15" x14ac:dyDescent="0.4">
      <c r="A201" s="123" t="s">
        <v>220</v>
      </c>
      <c r="B201" s="138"/>
      <c r="C201" s="290">
        <f t="shared" si="0"/>
        <v>4.9712865346704382E-2</v>
      </c>
      <c r="D201" s="292">
        <v>0.05</v>
      </c>
      <c r="E201" s="292">
        <v>0.1</v>
      </c>
      <c r="F201" s="292">
        <v>0.1</v>
      </c>
      <c r="G201" s="292">
        <v>0.1</v>
      </c>
      <c r="H201" s="138"/>
      <c r="I201" s="138"/>
      <c r="J201" s="2"/>
    </row>
    <row r="202" spans="1:10" ht="13.15" x14ac:dyDescent="0.4">
      <c r="A202" s="99"/>
      <c r="B202" s="283"/>
      <c r="C202" s="307"/>
      <c r="D202" s="283"/>
      <c r="E202" s="283"/>
      <c r="F202" s="283"/>
      <c r="G202" s="283"/>
      <c r="H202" s="138"/>
      <c r="I202" s="138"/>
      <c r="J202" s="2"/>
    </row>
    <row r="203" spans="1:10" ht="13.15" x14ac:dyDescent="0.4">
      <c r="A203" s="123" t="s">
        <v>232</v>
      </c>
      <c r="B203" s="283"/>
      <c r="C203" s="279">
        <f>F9</f>
        <v>11667</v>
      </c>
      <c r="D203" s="279">
        <f>C203*(1+D196)</f>
        <v>14000.4</v>
      </c>
      <c r="E203" s="279">
        <f>D203*(1+E196)</f>
        <v>15400.44</v>
      </c>
      <c r="F203" s="279">
        <f>E203*(1+F196)</f>
        <v>16940.484</v>
      </c>
      <c r="G203" s="279">
        <f>F203*(1+G196)</f>
        <v>18634.532400000004</v>
      </c>
      <c r="H203" s="138"/>
      <c r="I203" s="138"/>
      <c r="J203" s="2"/>
    </row>
    <row r="204" spans="1:10" ht="13.15" x14ac:dyDescent="0.4">
      <c r="A204" s="123" t="s">
        <v>222</v>
      </c>
      <c r="B204" s="283"/>
      <c r="C204" s="279">
        <f t="shared" ref="C204:C207" si="1">E183</f>
        <v>313</v>
      </c>
      <c r="D204" s="279">
        <f>D203*D197</f>
        <v>840.024</v>
      </c>
      <c r="E204" s="279">
        <f>E203*E197</f>
        <v>924.02639999999997</v>
      </c>
      <c r="F204" s="279">
        <f>F203*F197</f>
        <v>1016.42904</v>
      </c>
      <c r="G204" s="279">
        <f>G203*G197</f>
        <v>1118.0719440000003</v>
      </c>
      <c r="H204" s="138"/>
      <c r="I204" s="138"/>
      <c r="J204" s="2"/>
    </row>
    <row r="205" spans="1:10" ht="13.15" x14ac:dyDescent="0.4">
      <c r="A205" s="123" t="s">
        <v>223</v>
      </c>
      <c r="B205" s="283"/>
      <c r="C205" s="130">
        <f t="shared" si="1"/>
        <v>-436.55263157894734</v>
      </c>
      <c r="D205" s="130">
        <f>-(D204*D198)</f>
        <v>-294.00839999999999</v>
      </c>
      <c r="E205" s="130">
        <f>-(E204*E198)</f>
        <v>-323.40923999999995</v>
      </c>
      <c r="F205" s="130">
        <f>-(F204*F198)</f>
        <v>-355.75016399999998</v>
      </c>
      <c r="G205" s="130">
        <f>-(G204*G198)</f>
        <v>-391.32518040000008</v>
      </c>
      <c r="H205" s="138"/>
      <c r="I205" s="138"/>
      <c r="J205" s="2"/>
    </row>
    <row r="206" spans="1:10" ht="13.15" x14ac:dyDescent="0.4">
      <c r="A206" s="123" t="s">
        <v>224</v>
      </c>
      <c r="B206" s="283"/>
      <c r="C206" s="130">
        <f t="shared" si="1"/>
        <v>833</v>
      </c>
      <c r="D206" s="130">
        <f>D199*D203</f>
        <v>2100.06</v>
      </c>
      <c r="E206" s="130">
        <f>E199*E203</f>
        <v>2310.0659999999998</v>
      </c>
      <c r="F206" s="130">
        <f>F199*F203</f>
        <v>2541.0726</v>
      </c>
      <c r="G206" s="130">
        <f>G199*G203</f>
        <v>2795.1798600000006</v>
      </c>
      <c r="H206" s="138"/>
      <c r="I206" s="138"/>
      <c r="J206" s="2"/>
    </row>
    <row r="207" spans="1:10" ht="13.15" x14ac:dyDescent="0.4">
      <c r="A207" s="123" t="s">
        <v>225</v>
      </c>
      <c r="B207" s="283"/>
      <c r="C207" s="130">
        <f t="shared" si="1"/>
        <v>2620</v>
      </c>
      <c r="D207" s="130">
        <f>-D200*D203</f>
        <v>-140.00399999999999</v>
      </c>
      <c r="E207" s="130">
        <f>-E200*E203</f>
        <v>-154.0044</v>
      </c>
      <c r="F207" s="130">
        <f>-F200*F203</f>
        <v>-169.40484000000001</v>
      </c>
      <c r="G207" s="130">
        <f>-G200*G203</f>
        <v>-186.34532400000003</v>
      </c>
      <c r="H207" s="138"/>
      <c r="I207" s="138"/>
      <c r="J207" s="2"/>
    </row>
    <row r="208" spans="1:10" ht="13.15" x14ac:dyDescent="0.4">
      <c r="A208" s="123" t="s">
        <v>226</v>
      </c>
      <c r="B208" s="283"/>
      <c r="C208" s="130">
        <f>E187</f>
        <v>-931</v>
      </c>
      <c r="D208" s="130">
        <f>-D201*D203</f>
        <v>-700.02</v>
      </c>
      <c r="E208" s="130">
        <f>-E201*E203</f>
        <v>-1540.0440000000001</v>
      </c>
      <c r="F208" s="130">
        <f>-F201*F203</f>
        <v>-1694.0484000000001</v>
      </c>
      <c r="G208" s="130">
        <f>-G201*G203</f>
        <v>-1863.4532400000005</v>
      </c>
      <c r="H208" s="138"/>
      <c r="I208" s="138"/>
      <c r="J208" s="2"/>
    </row>
    <row r="209" spans="1:10" ht="13.15" x14ac:dyDescent="0.4">
      <c r="A209" s="137" t="s">
        <v>227</v>
      </c>
      <c r="B209" s="283"/>
      <c r="C209" s="276">
        <f>F188</f>
        <v>2778</v>
      </c>
      <c r="D209" s="276">
        <f>SUM(D204:D208)</f>
        <v>1806.0516000000002</v>
      </c>
      <c r="E209" s="276">
        <f>SUM(E204:E208)</f>
        <v>1216.6347599999997</v>
      </c>
      <c r="F209" s="276">
        <f>SUM(F204:F208)</f>
        <v>1338.2982359999996</v>
      </c>
      <c r="G209" s="276">
        <f>SUM(G204:G208)</f>
        <v>1472.1280596000004</v>
      </c>
      <c r="H209" s="276"/>
      <c r="I209" s="138"/>
      <c r="J209" s="2"/>
    </row>
    <row r="210" spans="1:10" ht="13.15" x14ac:dyDescent="0.4">
      <c r="A210" s="99"/>
      <c r="B210" s="283"/>
      <c r="C210" s="130"/>
      <c r="D210" s="130"/>
      <c r="E210" s="130"/>
      <c r="F210" s="130"/>
      <c r="G210" s="130"/>
      <c r="H210" s="138"/>
      <c r="I210" s="138"/>
      <c r="J210" s="2"/>
    </row>
    <row r="211" spans="1:10" ht="13.15" x14ac:dyDescent="0.4">
      <c r="A211" s="99"/>
      <c r="B211" s="283"/>
      <c r="C211" s="130"/>
      <c r="D211" s="130"/>
      <c r="E211" s="130"/>
      <c r="F211" s="130"/>
      <c r="G211" s="130"/>
      <c r="H211" s="138"/>
      <c r="I211" s="138"/>
      <c r="J211" s="2"/>
    </row>
    <row r="212" spans="1:10" ht="13.15" x14ac:dyDescent="0.4">
      <c r="A212" s="77" t="s">
        <v>233</v>
      </c>
      <c r="B212" s="283"/>
      <c r="C212" s="130"/>
      <c r="D212" s="283"/>
      <c r="E212" s="283"/>
      <c r="F212" s="283"/>
      <c r="G212" s="283"/>
      <c r="H212" s="138"/>
      <c r="I212" s="138"/>
      <c r="J212" s="2"/>
    </row>
    <row r="213" spans="1:10" ht="13.15" x14ac:dyDescent="0.4">
      <c r="A213" s="99"/>
      <c r="B213" s="283"/>
      <c r="C213" s="283"/>
      <c r="D213" s="283"/>
      <c r="E213" s="283"/>
      <c r="F213" s="283"/>
      <c r="G213" s="283"/>
      <c r="H213" s="138"/>
      <c r="I213" s="138"/>
      <c r="J213" s="2"/>
    </row>
    <row r="214" spans="1:10" ht="13.15" x14ac:dyDescent="0.4">
      <c r="A214" s="123" t="s">
        <v>49</v>
      </c>
      <c r="B214" s="288">
        <f>G164</f>
        <v>7.0247999999999991E-2</v>
      </c>
      <c r="C214" s="283"/>
      <c r="D214" s="283"/>
      <c r="E214" s="283"/>
      <c r="F214" s="283"/>
      <c r="G214" s="283"/>
      <c r="H214" s="138"/>
      <c r="I214" s="138"/>
      <c r="J214" s="2"/>
    </row>
    <row r="215" spans="1:10" ht="13.15" x14ac:dyDescent="0.4">
      <c r="A215" s="123" t="s">
        <v>234</v>
      </c>
      <c r="B215" s="288">
        <v>0.02</v>
      </c>
      <c r="C215" s="283"/>
      <c r="D215" s="283"/>
      <c r="E215" s="283"/>
      <c r="F215" s="283"/>
      <c r="G215" s="283"/>
      <c r="H215" s="138"/>
      <c r="I215" s="138"/>
      <c r="J215" s="2"/>
    </row>
    <row r="216" spans="1:10" ht="13.15" x14ac:dyDescent="0.4">
      <c r="A216" s="99"/>
      <c r="B216" s="288"/>
      <c r="C216" s="283"/>
      <c r="D216" s="283"/>
      <c r="E216" s="283"/>
      <c r="F216" s="283"/>
      <c r="G216" s="283"/>
      <c r="H216" s="138"/>
      <c r="I216" s="138"/>
      <c r="J216" s="2"/>
    </row>
    <row r="217" spans="1:10" ht="13.15" x14ac:dyDescent="0.4">
      <c r="A217" s="99"/>
      <c r="B217" s="99"/>
      <c r="C217" s="304">
        <v>44561</v>
      </c>
      <c r="D217" s="304">
        <v>44926</v>
      </c>
      <c r="E217" s="304">
        <v>45291</v>
      </c>
      <c r="F217" s="304">
        <v>45657</v>
      </c>
      <c r="G217" s="304">
        <v>46022</v>
      </c>
      <c r="H217" s="304"/>
      <c r="I217" s="304"/>
      <c r="J217" s="2"/>
    </row>
    <row r="218" spans="1:10" ht="13.15" x14ac:dyDescent="0.4">
      <c r="A218" s="99"/>
      <c r="B218" s="77" t="s">
        <v>235</v>
      </c>
      <c r="C218" s="135">
        <v>0</v>
      </c>
      <c r="D218" s="135">
        <v>1</v>
      </c>
      <c r="E218" s="135">
        <v>2</v>
      </c>
      <c r="F218" s="135">
        <v>3</v>
      </c>
      <c r="G218" s="135">
        <v>4</v>
      </c>
      <c r="H218" s="135"/>
      <c r="I218" s="135"/>
      <c r="J218" s="2"/>
    </row>
    <row r="219" spans="1:10" ht="13.15" x14ac:dyDescent="0.4">
      <c r="A219" s="99"/>
      <c r="B219" s="283"/>
      <c r="C219" s="283"/>
      <c r="D219" s="283"/>
      <c r="E219" s="283"/>
      <c r="F219" s="283"/>
      <c r="G219" s="283"/>
      <c r="H219" s="138"/>
      <c r="I219" s="138"/>
      <c r="J219" s="2"/>
    </row>
    <row r="220" spans="1:10" ht="13.15" x14ac:dyDescent="0.4">
      <c r="A220" s="130" t="s">
        <v>236</v>
      </c>
      <c r="B220" s="130"/>
      <c r="C220" s="279">
        <f>C209</f>
        <v>2778</v>
      </c>
      <c r="D220" s="279">
        <f>D209</f>
        <v>1806.0516000000002</v>
      </c>
      <c r="E220" s="279">
        <f>E209</f>
        <v>1216.6347599999997</v>
      </c>
      <c r="F220" s="279">
        <f>F209</f>
        <v>1338.2982359999996</v>
      </c>
      <c r="G220" s="279">
        <f>G209</f>
        <v>1472.1280596000004</v>
      </c>
      <c r="H220" s="138"/>
      <c r="I220" s="138"/>
      <c r="J220" s="2"/>
    </row>
    <row r="221" spans="1:10" ht="13.15" x14ac:dyDescent="0.4">
      <c r="A221" s="308" t="s">
        <v>237</v>
      </c>
      <c r="B221" s="308"/>
      <c r="C221" s="308"/>
      <c r="D221" s="309">
        <f>D220/((1+$B$214)^D218)</f>
        <v>1687.5075683393009</v>
      </c>
      <c r="E221" s="309">
        <f>E220/((1+$B$214)^E218)</f>
        <v>1062.1634931117405</v>
      </c>
      <c r="F221" s="309">
        <f>F220/((1+$B$214)^F218)</f>
        <v>1091.690750576422</v>
      </c>
      <c r="G221" s="309">
        <f>G220/((1+$B$214)^G218)</f>
        <v>1122.0388411228657</v>
      </c>
      <c r="H221" s="310"/>
      <c r="I221" s="310"/>
      <c r="J221" s="9"/>
    </row>
    <row r="222" spans="1:10" ht="13.15" x14ac:dyDescent="0.4">
      <c r="A222" s="130"/>
      <c r="B222" s="130"/>
      <c r="C222" s="130"/>
      <c r="D222" s="279"/>
      <c r="E222" s="279"/>
      <c r="F222" s="279"/>
      <c r="G222" s="279"/>
      <c r="H222" s="138"/>
      <c r="I222" s="138"/>
      <c r="J222" s="2"/>
    </row>
    <row r="223" spans="1:10" ht="13.15" x14ac:dyDescent="0.4">
      <c r="A223" s="130" t="s">
        <v>238</v>
      </c>
      <c r="B223" s="130"/>
      <c r="C223" s="130"/>
      <c r="D223" s="279"/>
      <c r="E223" s="279"/>
      <c r="F223" s="279"/>
      <c r="G223" s="279">
        <f>(G220*(1+B215))/(B214-B215)</f>
        <v>29883.191784588456</v>
      </c>
      <c r="H223" s="138"/>
      <c r="I223" s="138"/>
      <c r="J223" s="2"/>
    </row>
    <row r="224" spans="1:10" ht="13.15" x14ac:dyDescent="0.4">
      <c r="A224" s="308" t="s">
        <v>239</v>
      </c>
      <c r="B224" s="308"/>
      <c r="C224" s="308"/>
      <c r="D224" s="279"/>
      <c r="E224" s="279"/>
      <c r="F224" s="279"/>
      <c r="G224" s="279">
        <f>G223/((1+$B$214)^G218)</f>
        <v>22776.620322108807</v>
      </c>
      <c r="H224" s="310"/>
      <c r="I224" s="310"/>
      <c r="J224" s="9"/>
    </row>
    <row r="225" spans="1:10" ht="13.15" x14ac:dyDescent="0.4">
      <c r="A225" s="130"/>
      <c r="B225" s="279"/>
      <c r="C225" s="130"/>
      <c r="D225" s="130"/>
      <c r="E225" s="130"/>
      <c r="F225" s="130"/>
      <c r="G225" s="130"/>
      <c r="H225" s="138"/>
      <c r="I225" s="138"/>
      <c r="J225" s="2"/>
    </row>
    <row r="226" spans="1:10" ht="13.15" x14ac:dyDescent="0.4">
      <c r="A226" s="130" t="s">
        <v>240</v>
      </c>
      <c r="B226" s="279">
        <f>SUM(D221:G221)+G224</f>
        <v>27740.020975259136</v>
      </c>
      <c r="C226" s="130"/>
      <c r="D226" s="130"/>
      <c r="E226" s="130"/>
      <c r="F226" s="130"/>
      <c r="G226" s="130"/>
      <c r="H226" s="138"/>
      <c r="I226" s="138"/>
      <c r="J226" s="2"/>
    </row>
    <row r="227" spans="1:10" ht="13.15" x14ac:dyDescent="0.4">
      <c r="A227" s="130" t="s">
        <v>241</v>
      </c>
      <c r="B227" s="136">
        <f>-F159</f>
        <v>-13866</v>
      </c>
      <c r="C227" s="130"/>
      <c r="D227" s="130"/>
      <c r="E227" s="130"/>
      <c r="F227" s="130"/>
      <c r="G227" s="130"/>
      <c r="H227" s="138"/>
      <c r="I227" s="138"/>
      <c r="J227" s="2"/>
    </row>
    <row r="228" spans="1:10" ht="13.15" x14ac:dyDescent="0.4">
      <c r="A228" s="130" t="s">
        <v>242</v>
      </c>
      <c r="B228" s="279">
        <f>SUM(B226:B227)</f>
        <v>13874.020975259136</v>
      </c>
      <c r="C228" s="130"/>
      <c r="D228" s="130"/>
      <c r="E228" s="130"/>
      <c r="F228" s="130"/>
      <c r="G228" s="130"/>
      <c r="H228" s="138"/>
      <c r="I228" s="138"/>
      <c r="J228" s="2"/>
    </row>
    <row r="229" spans="1:10" ht="13.15" x14ac:dyDescent="0.4">
      <c r="A229" s="130"/>
      <c r="B229" s="130"/>
      <c r="C229" s="130"/>
      <c r="D229" s="130"/>
      <c r="E229" s="130"/>
      <c r="F229" s="130"/>
      <c r="G229" s="130"/>
      <c r="H229" s="138"/>
      <c r="I229" s="138"/>
      <c r="J229" s="2"/>
    </row>
    <row r="230" spans="1:10" ht="13.15" x14ac:dyDescent="0.4">
      <c r="A230" s="130" t="s">
        <v>243</v>
      </c>
      <c r="B230" s="130">
        <f>F24</f>
        <v>153.28</v>
      </c>
      <c r="C230" s="130"/>
      <c r="D230" s="130"/>
      <c r="E230" s="130"/>
      <c r="F230" s="130"/>
      <c r="G230" s="130"/>
      <c r="H230" s="138"/>
      <c r="I230" s="138"/>
      <c r="J230" s="2"/>
    </row>
    <row r="231" spans="1:10" ht="13.15" x14ac:dyDescent="0.4">
      <c r="A231" s="133" t="s">
        <v>244</v>
      </c>
      <c r="B231" s="100">
        <f>B228/B230</f>
        <v>90.514228700803343</v>
      </c>
      <c r="C231" s="130"/>
      <c r="D231" s="130"/>
      <c r="E231" s="130"/>
      <c r="F231" s="130"/>
      <c r="G231" s="130"/>
      <c r="H231" s="138"/>
      <c r="I231" s="138"/>
      <c r="J231" s="2"/>
    </row>
    <row r="232" spans="1:10" ht="13.15" x14ac:dyDescent="0.4">
      <c r="A232" s="99"/>
      <c r="B232" s="283"/>
      <c r="C232" s="283"/>
      <c r="D232" s="283"/>
      <c r="E232" s="283"/>
      <c r="F232" s="283"/>
      <c r="G232" s="283"/>
      <c r="H232" s="138"/>
      <c r="I232" s="138"/>
      <c r="J232" s="2"/>
    </row>
    <row r="233" spans="1:10" ht="13.5" thickBot="1" x14ac:dyDescent="0.45">
      <c r="A233" s="99"/>
      <c r="B233" s="319"/>
      <c r="C233" s="319"/>
      <c r="D233" s="319"/>
      <c r="E233" s="319"/>
      <c r="F233" s="319"/>
      <c r="G233" s="319"/>
      <c r="H233" s="320"/>
      <c r="I233" s="320"/>
      <c r="J233" s="2"/>
    </row>
    <row r="234" spans="1:10" ht="13.15" x14ac:dyDescent="0.4">
      <c r="A234" s="318"/>
      <c r="B234" s="321"/>
      <c r="C234" s="369" t="s">
        <v>245</v>
      </c>
      <c r="D234" s="369"/>
      <c r="E234" s="369"/>
      <c r="F234" s="369"/>
      <c r="G234" s="369"/>
      <c r="H234" s="369"/>
      <c r="I234" s="322"/>
      <c r="J234" s="2"/>
    </row>
    <row r="235" spans="1:10" ht="13.15" x14ac:dyDescent="0.4">
      <c r="A235" s="318"/>
      <c r="B235" s="323"/>
      <c r="C235" s="312"/>
      <c r="D235" s="99"/>
      <c r="E235" s="99"/>
      <c r="F235" s="99"/>
      <c r="G235" s="99"/>
      <c r="H235" s="99"/>
      <c r="I235" s="324"/>
      <c r="J235" s="2"/>
    </row>
    <row r="236" spans="1:10" ht="13.15" x14ac:dyDescent="0.4">
      <c r="A236" s="318"/>
      <c r="B236" s="325"/>
      <c r="C236" s="99"/>
      <c r="D236" s="366" t="s">
        <v>234</v>
      </c>
      <c r="E236" s="366"/>
      <c r="F236" s="366"/>
      <c r="G236" s="366"/>
      <c r="H236" s="366"/>
      <c r="I236" s="324"/>
      <c r="J236" s="2"/>
    </row>
    <row r="237" spans="1:10" ht="13.15" x14ac:dyDescent="0.4">
      <c r="A237" s="318"/>
      <c r="B237" s="326"/>
      <c r="C237" s="314">
        <f>B231</f>
        <v>90.514228700803343</v>
      </c>
      <c r="D237" s="315">
        <v>0.04</v>
      </c>
      <c r="E237" s="315">
        <v>3.5000000000000003E-2</v>
      </c>
      <c r="F237" s="315">
        <v>0.03</v>
      </c>
      <c r="G237" s="315">
        <v>2.5000000000000001E-2</v>
      </c>
      <c r="H237" s="315">
        <v>0.02</v>
      </c>
      <c r="I237" s="324"/>
      <c r="J237" s="2"/>
    </row>
    <row r="238" spans="1:10" ht="13.15" x14ac:dyDescent="0.4">
      <c r="A238" s="318"/>
      <c r="B238" s="370" t="s">
        <v>49</v>
      </c>
      <c r="C238" s="316">
        <v>0.05</v>
      </c>
      <c r="D238" s="317">
        <v>765.14614980796978</v>
      </c>
      <c r="E238" s="317">
        <v>488.59787916260058</v>
      </c>
      <c r="F238" s="317">
        <v>350.32374383991595</v>
      </c>
      <c r="G238" s="317">
        <v>267.35926264630518</v>
      </c>
      <c r="H238" s="317">
        <v>212.04960851723138</v>
      </c>
      <c r="I238" s="324"/>
      <c r="J238" s="2"/>
    </row>
    <row r="239" spans="1:10" ht="13.15" x14ac:dyDescent="0.4">
      <c r="A239" s="318"/>
      <c r="B239" s="370"/>
      <c r="C239" s="316">
        <v>5.5E-2</v>
      </c>
      <c r="D239" s="317">
        <v>480.54316819196396</v>
      </c>
      <c r="E239" s="317">
        <v>344.22571310065206</v>
      </c>
      <c r="F239" s="317">
        <v>262.43524004586487</v>
      </c>
      <c r="G239" s="317">
        <v>207.90825800934005</v>
      </c>
      <c r="H239" s="317">
        <v>168.96041369753667</v>
      </c>
      <c r="I239" s="324"/>
      <c r="J239" s="2"/>
    </row>
    <row r="240" spans="1:10" ht="13.15" x14ac:dyDescent="0.4">
      <c r="A240" s="318"/>
      <c r="B240" s="370"/>
      <c r="C240" s="316">
        <v>0.06</v>
      </c>
      <c r="D240" s="317">
        <v>338.24138290316114</v>
      </c>
      <c r="E240" s="317">
        <v>257.60287129479167</v>
      </c>
      <c r="F240" s="317">
        <v>203.84386355587878</v>
      </c>
      <c r="G240" s="317">
        <v>165.44457231379803</v>
      </c>
      <c r="H240" s="317">
        <v>136.64510388223761</v>
      </c>
      <c r="I240" s="324"/>
      <c r="J240" s="2"/>
    </row>
    <row r="241" spans="1:10" ht="13.15" x14ac:dyDescent="0.4">
      <c r="A241" s="318"/>
      <c r="B241" s="370"/>
      <c r="C241" s="316">
        <v>6.5000000000000002E-2</v>
      </c>
      <c r="D241" s="317">
        <v>252.86002409983229</v>
      </c>
      <c r="E241" s="317">
        <v>199.85463626243038</v>
      </c>
      <c r="F241" s="317">
        <v>161.99364495000049</v>
      </c>
      <c r="G241" s="317">
        <v>133.59790146567801</v>
      </c>
      <c r="H241" s="317">
        <v>111.51232320009397</v>
      </c>
      <c r="I241" s="324"/>
      <c r="J241" s="2"/>
    </row>
    <row r="242" spans="1:10" ht="13.5" thickBot="1" x14ac:dyDescent="0.45">
      <c r="A242" s="318"/>
      <c r="B242" s="371"/>
      <c r="C242" s="327">
        <v>7.0000000000000007E-2</v>
      </c>
      <c r="D242" s="328">
        <v>195.93883700805111</v>
      </c>
      <c r="E242" s="328">
        <v>158.60613092509885</v>
      </c>
      <c r="F242" s="328">
        <v>130.60660136288479</v>
      </c>
      <c r="G242" s="328">
        <v>108.82918948116274</v>
      </c>
      <c r="H242" s="328">
        <v>91.407259975785081</v>
      </c>
      <c r="I242" s="329"/>
      <c r="J242" s="2"/>
    </row>
    <row r="243" spans="1:10" ht="13.15" x14ac:dyDescent="0.4">
      <c r="A243" s="2"/>
      <c r="B243" s="29"/>
      <c r="C243" s="29"/>
      <c r="D243" s="29"/>
      <c r="E243" s="29"/>
      <c r="F243" s="29"/>
      <c r="G243" s="29"/>
      <c r="H243" s="28"/>
      <c r="I243" s="28"/>
      <c r="J243" s="2"/>
    </row>
    <row r="244" spans="1:10" ht="13.9" x14ac:dyDescent="0.4">
      <c r="A244" s="111" t="s">
        <v>175</v>
      </c>
      <c r="B244" s="112"/>
      <c r="C244" s="112"/>
      <c r="D244" s="112"/>
      <c r="E244" s="113"/>
      <c r="F244" s="113"/>
      <c r="G244" s="113"/>
      <c r="H244" s="112"/>
      <c r="I244" s="114"/>
      <c r="J244" s="2"/>
    </row>
    <row r="245" spans="1:10" ht="13.9" x14ac:dyDescent="0.4">
      <c r="A245" s="107" t="s">
        <v>246</v>
      </c>
      <c r="B245" s="108"/>
      <c r="C245" s="108"/>
      <c r="D245" s="108"/>
      <c r="E245" s="109"/>
      <c r="F245" s="109"/>
      <c r="G245" s="109"/>
      <c r="H245" s="108"/>
      <c r="I245" s="110"/>
      <c r="J245" s="2"/>
    </row>
    <row r="246" spans="1:10" ht="13.15" x14ac:dyDescent="0.4">
      <c r="A246" s="2"/>
      <c r="B246" s="29"/>
      <c r="C246" s="29"/>
      <c r="D246" s="29"/>
      <c r="E246" s="29"/>
      <c r="F246" s="29"/>
      <c r="G246" s="29"/>
      <c r="H246" s="28"/>
      <c r="I246" s="28"/>
      <c r="J246" s="2"/>
    </row>
    <row r="247" spans="1:10" ht="13.15" x14ac:dyDescent="0.4">
      <c r="A247" s="2"/>
      <c r="B247" s="29"/>
      <c r="C247" s="29"/>
      <c r="D247" s="29"/>
      <c r="E247" s="29"/>
      <c r="F247" s="29"/>
      <c r="G247" s="29"/>
      <c r="H247" s="28"/>
      <c r="I247" s="28"/>
      <c r="J247" s="2"/>
    </row>
    <row r="248" spans="1:10" ht="13.15" x14ac:dyDescent="0.4">
      <c r="A248" s="77" t="s">
        <v>213</v>
      </c>
      <c r="B248" s="138"/>
      <c r="C248" s="120">
        <v>43830</v>
      </c>
      <c r="D248" s="120">
        <v>44196</v>
      </c>
      <c r="E248" s="120">
        <v>44561</v>
      </c>
      <c r="F248" s="120">
        <v>44926</v>
      </c>
      <c r="G248" s="283"/>
      <c r="H248" s="138"/>
      <c r="I248" s="138"/>
      <c r="J248" s="2"/>
    </row>
    <row r="249" spans="1:10" ht="13.15" x14ac:dyDescent="0.4">
      <c r="A249" s="77" t="s">
        <v>214</v>
      </c>
      <c r="B249" s="138"/>
      <c r="C249" s="135" t="s">
        <v>169</v>
      </c>
      <c r="D249" s="135" t="s">
        <v>169</v>
      </c>
      <c r="E249" s="135" t="s">
        <v>169</v>
      </c>
      <c r="F249" s="135" t="s">
        <v>169</v>
      </c>
      <c r="G249" s="283"/>
      <c r="H249" s="138"/>
      <c r="I249" s="138"/>
      <c r="J249" s="2"/>
    </row>
    <row r="250" spans="1:10" ht="13.15" x14ac:dyDescent="0.4">
      <c r="A250" s="77"/>
      <c r="B250" s="138"/>
      <c r="C250" s="135"/>
      <c r="D250" s="135"/>
      <c r="E250" s="135"/>
      <c r="F250" s="135"/>
      <c r="G250" s="283"/>
      <c r="H250" s="138"/>
      <c r="I250" s="138"/>
      <c r="J250" s="2"/>
    </row>
    <row r="251" spans="1:10" ht="13.15" x14ac:dyDescent="0.4">
      <c r="A251" s="99" t="s">
        <v>247</v>
      </c>
      <c r="B251" s="138"/>
      <c r="C251" s="330">
        <f>C259/C9</f>
        <v>2.9170464904284411E-2</v>
      </c>
      <c r="D251" s="330">
        <f>D259/D9</f>
        <v>-0.51683015964608581</v>
      </c>
      <c r="E251" s="330">
        <f>E259/E9</f>
        <v>-3.128634566178181E-2</v>
      </c>
      <c r="F251" s="330">
        <f>F259/F9</f>
        <v>3.0170566555241279E-2</v>
      </c>
      <c r="G251" s="283"/>
      <c r="H251" s="138"/>
      <c r="I251" s="138"/>
      <c r="J251" s="2"/>
    </row>
    <row r="252" spans="1:10" ht="13.15" x14ac:dyDescent="0.4">
      <c r="A252" s="99" t="s">
        <v>248</v>
      </c>
      <c r="B252" s="138"/>
      <c r="C252" s="330">
        <f>C260/C9</f>
        <v>8.3202121488356678E-2</v>
      </c>
      <c r="D252" s="330">
        <f>D260/D9</f>
        <v>0.37276399307559144</v>
      </c>
      <c r="E252" s="330">
        <f>E260/E9</f>
        <v>9.6882996045592001E-2</v>
      </c>
      <c r="F252" s="330">
        <f>F260/F9</f>
        <v>0.16156681237678924</v>
      </c>
      <c r="G252" s="283"/>
      <c r="H252" s="138"/>
      <c r="I252" s="138"/>
      <c r="J252" s="2"/>
    </row>
    <row r="253" spans="1:10" ht="13.15" x14ac:dyDescent="0.4">
      <c r="A253" s="99" t="s">
        <v>249</v>
      </c>
      <c r="B253" s="138"/>
      <c r="C253" s="330">
        <f>-C261/C9</f>
        <v>0.12869810226236844</v>
      </c>
      <c r="D253" s="330">
        <f>-D261/D9</f>
        <v>5.0586651279092135E-2</v>
      </c>
      <c r="E253" s="330">
        <f>-E261/E9</f>
        <v>0.10828099558036752</v>
      </c>
      <c r="F253" s="330">
        <f>-F261/F9</f>
        <v>4.9712865346704382E-2</v>
      </c>
      <c r="G253" s="283"/>
      <c r="H253" s="138"/>
      <c r="I253" s="138"/>
      <c r="J253" s="2"/>
    </row>
    <row r="254" spans="1:10" ht="13.15" x14ac:dyDescent="0.4">
      <c r="A254" s="99" t="s">
        <v>250</v>
      </c>
      <c r="B254" s="138"/>
      <c r="C254" s="330">
        <f>-C262/C9</f>
        <v>-9.8698930968757773E-2</v>
      </c>
      <c r="D254" s="330">
        <f>-D262/D9</f>
        <v>0.55818426620503947</v>
      </c>
      <c r="E254" s="330">
        <f>-E262/E9</f>
        <v>-0.30472202837869272</v>
      </c>
      <c r="F254" s="330">
        <f>-F262/F9</f>
        <v>-0.1080826262106797</v>
      </c>
      <c r="G254" s="283"/>
      <c r="H254" s="138"/>
      <c r="I254" s="138"/>
      <c r="J254" s="2"/>
    </row>
    <row r="255" spans="1:10" ht="13.15" x14ac:dyDescent="0.4">
      <c r="A255" s="99" t="s">
        <v>251</v>
      </c>
      <c r="B255" s="138"/>
      <c r="C255" s="372" t="s">
        <v>252</v>
      </c>
      <c r="D255" s="372"/>
      <c r="E255" s="372"/>
      <c r="F255" s="372"/>
      <c r="G255" s="283"/>
      <c r="H255" s="138"/>
      <c r="I255" s="138"/>
      <c r="J255" s="2"/>
    </row>
    <row r="256" spans="1:10" ht="13.15" x14ac:dyDescent="0.4">
      <c r="A256" s="77"/>
      <c r="B256" s="138"/>
      <c r="C256" s="135"/>
      <c r="D256" s="135"/>
      <c r="E256" s="135"/>
      <c r="F256" s="135"/>
      <c r="G256" s="283"/>
      <c r="H256" s="138"/>
      <c r="I256" s="138"/>
      <c r="J256" s="2"/>
    </row>
    <row r="257" spans="1:10" ht="13.15" x14ac:dyDescent="0.4">
      <c r="A257" s="77" t="s">
        <v>253</v>
      </c>
      <c r="B257" s="138"/>
      <c r="C257" s="135"/>
      <c r="D257" s="135"/>
      <c r="E257" s="135"/>
      <c r="F257" s="135"/>
      <c r="G257" s="283"/>
      <c r="H257" s="138"/>
      <c r="I257" s="138"/>
      <c r="J257" s="2"/>
    </row>
    <row r="258" spans="1:10" ht="13.15" x14ac:dyDescent="0.4">
      <c r="A258" s="99"/>
      <c r="B258" s="283"/>
      <c r="C258" s="283"/>
      <c r="D258" s="283"/>
      <c r="E258" s="283"/>
      <c r="F258" s="283"/>
      <c r="G258" s="283"/>
      <c r="H258" s="138"/>
      <c r="I258" s="138"/>
      <c r="J258" s="2"/>
    </row>
    <row r="259" spans="1:10" ht="13.15" x14ac:dyDescent="0.4">
      <c r="A259" s="99" t="s">
        <v>44</v>
      </c>
      <c r="B259" s="283"/>
      <c r="C259" s="130">
        <f>C22</f>
        <v>352</v>
      </c>
      <c r="D259" s="130">
        <f>D22</f>
        <v>-2687</v>
      </c>
      <c r="E259" s="130">
        <f>E22</f>
        <v>-269</v>
      </c>
      <c r="F259" s="130">
        <f>F22</f>
        <v>352</v>
      </c>
      <c r="G259" s="136"/>
      <c r="H259" s="138"/>
      <c r="I259" s="138"/>
      <c r="J259" s="2"/>
    </row>
    <row r="260" spans="1:10" ht="13.15" x14ac:dyDescent="0.4">
      <c r="A260" s="99" t="s">
        <v>254</v>
      </c>
      <c r="B260" s="283"/>
      <c r="C260" s="136">
        <f t="shared" ref="C260:E260" si="2">SUM(C99:C108)</f>
        <v>1004</v>
      </c>
      <c r="D260" s="136">
        <f t="shared" si="2"/>
        <v>1938</v>
      </c>
      <c r="E260" s="136">
        <f t="shared" si="2"/>
        <v>833</v>
      </c>
      <c r="F260" s="136">
        <f>SUM(F99:F108)</f>
        <v>1885</v>
      </c>
      <c r="G260" s="136"/>
      <c r="H260" s="138"/>
      <c r="I260" s="138"/>
      <c r="J260" s="2"/>
    </row>
    <row r="261" spans="1:10" ht="13.15" x14ac:dyDescent="0.4">
      <c r="A261" s="99" t="s">
        <v>255</v>
      </c>
      <c r="B261" s="283"/>
      <c r="C261" s="136">
        <f t="shared" ref="C261:E261" si="3">C120</f>
        <v>-1553</v>
      </c>
      <c r="D261" s="136">
        <f t="shared" si="3"/>
        <v>-263</v>
      </c>
      <c r="E261" s="136">
        <f t="shared" si="3"/>
        <v>-931</v>
      </c>
      <c r="F261" s="136">
        <f>F120</f>
        <v>-580</v>
      </c>
      <c r="G261" s="136"/>
      <c r="H261" s="138"/>
      <c r="I261" s="138"/>
      <c r="J261" s="2"/>
    </row>
    <row r="262" spans="1:10" ht="13.15" x14ac:dyDescent="0.4">
      <c r="A262" s="99" t="s">
        <v>256</v>
      </c>
      <c r="B262" s="283"/>
      <c r="C262" s="136">
        <f t="shared" ref="C262:E262" si="4">C109</f>
        <v>1191</v>
      </c>
      <c r="D262" s="136">
        <f t="shared" si="4"/>
        <v>-2902</v>
      </c>
      <c r="E262" s="136">
        <f t="shared" si="4"/>
        <v>2620</v>
      </c>
      <c r="F262" s="136">
        <f>F109</f>
        <v>1261</v>
      </c>
      <c r="G262" s="136"/>
      <c r="H262" s="138"/>
      <c r="I262" s="138"/>
      <c r="J262" s="2"/>
    </row>
    <row r="263" spans="1:10" ht="13.15" x14ac:dyDescent="0.4">
      <c r="A263" s="123" t="s">
        <v>257</v>
      </c>
      <c r="B263" s="283"/>
      <c r="C263" s="136">
        <f t="shared" ref="C263:E263" si="5">C125</f>
        <v>-24850</v>
      </c>
      <c r="D263" s="136">
        <f t="shared" si="5"/>
        <v>-28796</v>
      </c>
      <c r="E263" s="136">
        <f t="shared" si="5"/>
        <v>-12866</v>
      </c>
      <c r="F263" s="136">
        <f>F125</f>
        <v>-4930</v>
      </c>
      <c r="G263" s="136"/>
      <c r="H263" s="138"/>
      <c r="I263" s="138"/>
      <c r="J263" s="2"/>
    </row>
    <row r="264" spans="1:10" ht="13.15" x14ac:dyDescent="0.4">
      <c r="A264" s="331" t="s">
        <v>258</v>
      </c>
      <c r="B264" s="332"/>
      <c r="C264" s="333">
        <f t="shared" ref="C264:E264" si="6">C124</f>
        <v>23009</v>
      </c>
      <c r="D264" s="333">
        <f t="shared" si="6"/>
        <v>26934</v>
      </c>
      <c r="E264" s="333">
        <f t="shared" si="6"/>
        <v>13094</v>
      </c>
      <c r="F264" s="333">
        <f>F124</f>
        <v>3972</v>
      </c>
      <c r="G264" s="136"/>
      <c r="H264" s="138"/>
      <c r="I264" s="138"/>
      <c r="J264" s="2"/>
    </row>
    <row r="265" spans="1:10" ht="13.15" x14ac:dyDescent="0.4">
      <c r="A265" s="285" t="s">
        <v>259</v>
      </c>
      <c r="B265" s="283"/>
      <c r="C265" s="136">
        <f>SUM(C$263:C$264)</f>
        <v>-1841</v>
      </c>
      <c r="D265" s="136">
        <f>SUM(D$263:D$264)</f>
        <v>-1862</v>
      </c>
      <c r="E265" s="136">
        <f>SUM(E$263:E$264)</f>
        <v>228</v>
      </c>
      <c r="F265" s="136">
        <f>SUM(F$263:F$264)</f>
        <v>-958</v>
      </c>
      <c r="G265" s="136"/>
      <c r="H265" s="138"/>
      <c r="I265" s="138"/>
      <c r="J265" s="2"/>
    </row>
    <row r="266" spans="1:10" ht="13.15" x14ac:dyDescent="0.4">
      <c r="A266" s="77" t="s">
        <v>260</v>
      </c>
      <c r="B266" s="138"/>
      <c r="C266" s="276">
        <f>SUM(C259:C262)+C265</f>
        <v>-847</v>
      </c>
      <c r="D266" s="276">
        <f>SUM(D259:D262)+D265</f>
        <v>-5776</v>
      </c>
      <c r="E266" s="276">
        <f>SUM(E259:E262)+E265</f>
        <v>2481</v>
      </c>
      <c r="F266" s="276">
        <f>SUM(F259:F262)+F265</f>
        <v>1960</v>
      </c>
      <c r="G266" s="136"/>
      <c r="H266" s="138"/>
      <c r="I266" s="138"/>
      <c r="J266" s="2"/>
    </row>
    <row r="267" spans="1:10" ht="13.15" x14ac:dyDescent="0.4">
      <c r="A267" s="99"/>
      <c r="B267" s="283"/>
      <c r="C267" s="283"/>
      <c r="D267" s="283"/>
      <c r="E267" s="283"/>
      <c r="F267" s="283"/>
      <c r="G267" s="283"/>
      <c r="H267" s="138"/>
      <c r="I267" s="138"/>
      <c r="J267" s="2"/>
    </row>
    <row r="268" spans="1:10" ht="13.15" x14ac:dyDescent="0.4">
      <c r="A268" s="99"/>
      <c r="B268" s="283"/>
      <c r="C268" s="283"/>
      <c r="D268" s="283"/>
      <c r="E268" s="283"/>
      <c r="F268" s="283"/>
      <c r="G268" s="283"/>
      <c r="H268" s="138"/>
      <c r="I268" s="138"/>
      <c r="J268" s="2"/>
    </row>
    <row r="269" spans="1:10" ht="13.15" x14ac:dyDescent="0.4">
      <c r="A269" s="77" t="s">
        <v>261</v>
      </c>
      <c r="B269" s="283"/>
      <c r="C269" s="304">
        <v>44926</v>
      </c>
      <c r="D269" s="304">
        <v>45291</v>
      </c>
      <c r="E269" s="304">
        <v>45657</v>
      </c>
      <c r="F269" s="304">
        <v>46022</v>
      </c>
      <c r="G269" s="304">
        <v>46387</v>
      </c>
      <c r="H269" s="138"/>
      <c r="I269" s="138"/>
      <c r="J269" s="2"/>
    </row>
    <row r="270" spans="1:10" ht="13.15" x14ac:dyDescent="0.4">
      <c r="A270" s="77" t="s">
        <v>229</v>
      </c>
      <c r="B270" s="283"/>
      <c r="C270" s="306" t="s">
        <v>169</v>
      </c>
      <c r="D270" s="306" t="s">
        <v>169</v>
      </c>
      <c r="E270" s="306" t="s">
        <v>169</v>
      </c>
      <c r="F270" s="306" t="s">
        <v>169</v>
      </c>
      <c r="G270" s="306" t="s">
        <v>169</v>
      </c>
      <c r="H270" s="138"/>
      <c r="I270" s="138"/>
      <c r="J270" s="2"/>
    </row>
    <row r="271" spans="1:10" ht="13.15" x14ac:dyDescent="0.4">
      <c r="A271" s="77"/>
      <c r="B271" s="283"/>
      <c r="C271" s="306" t="s">
        <v>230</v>
      </c>
      <c r="D271" s="306" t="s">
        <v>231</v>
      </c>
      <c r="E271" s="306" t="s">
        <v>231</v>
      </c>
      <c r="F271" s="306" t="s">
        <v>231</v>
      </c>
      <c r="G271" s="306" t="s">
        <v>231</v>
      </c>
      <c r="H271" s="138"/>
      <c r="I271" s="138"/>
      <c r="J271" s="2"/>
    </row>
    <row r="272" spans="1:10" ht="13.15" x14ac:dyDescent="0.4">
      <c r="A272" s="77"/>
      <c r="B272" s="283"/>
      <c r="C272" s="306"/>
      <c r="D272" s="306"/>
      <c r="E272" s="306"/>
      <c r="F272" s="306"/>
      <c r="G272" s="306"/>
      <c r="H272" s="138"/>
      <c r="I272" s="138"/>
      <c r="J272" s="2"/>
    </row>
    <row r="273" spans="1:10" ht="13.15" x14ac:dyDescent="0.4">
      <c r="A273" s="77"/>
      <c r="B273" s="283"/>
      <c r="C273" s="306"/>
      <c r="D273" s="306"/>
      <c r="E273" s="306"/>
      <c r="F273" s="306"/>
      <c r="G273" s="306"/>
      <c r="H273" s="138"/>
      <c r="I273" s="138"/>
      <c r="J273" s="2"/>
    </row>
    <row r="274" spans="1:10" ht="13.15" x14ac:dyDescent="0.4">
      <c r="A274" s="99" t="s">
        <v>215</v>
      </c>
      <c r="B274" s="283"/>
      <c r="C274" s="330">
        <f>C196</f>
        <v>0.35694347522679692</v>
      </c>
      <c r="D274" s="334">
        <f>D196</f>
        <v>0.2</v>
      </c>
      <c r="E274" s="334">
        <f>E196</f>
        <v>0.1</v>
      </c>
      <c r="F274" s="334">
        <f>F196</f>
        <v>0.1</v>
      </c>
      <c r="G274" s="334">
        <f>G196</f>
        <v>0.1</v>
      </c>
      <c r="H274" s="138"/>
      <c r="I274" s="138"/>
      <c r="J274" s="2"/>
    </row>
    <row r="275" spans="1:10" ht="13.15" x14ac:dyDescent="0.4">
      <c r="A275" s="99" t="s">
        <v>247</v>
      </c>
      <c r="B275" s="283"/>
      <c r="C275" s="330">
        <f>F251</f>
        <v>3.0170566555241279E-2</v>
      </c>
      <c r="D275" s="334">
        <v>0.03</v>
      </c>
      <c r="E275" s="334">
        <v>0.03</v>
      </c>
      <c r="F275" s="334">
        <v>0.03</v>
      </c>
      <c r="G275" s="334">
        <v>0.03</v>
      </c>
      <c r="H275" s="138"/>
      <c r="I275" s="138"/>
      <c r="J275" s="2"/>
    </row>
    <row r="276" spans="1:10" ht="13.15" x14ac:dyDescent="0.4">
      <c r="A276" s="99" t="s">
        <v>248</v>
      </c>
      <c r="B276" s="283"/>
      <c r="C276" s="330">
        <f>F252</f>
        <v>0.16156681237678924</v>
      </c>
      <c r="D276" s="334">
        <v>0.15</v>
      </c>
      <c r="E276" s="334">
        <v>0.15</v>
      </c>
      <c r="F276" s="334">
        <v>0.15</v>
      </c>
      <c r="G276" s="334">
        <v>0.15</v>
      </c>
      <c r="H276" s="138"/>
      <c r="I276" s="138"/>
      <c r="J276" s="2"/>
    </row>
    <row r="277" spans="1:10" ht="13.15" x14ac:dyDescent="0.4">
      <c r="A277" s="99" t="s">
        <v>249</v>
      </c>
      <c r="B277" s="283"/>
      <c r="C277" s="330">
        <f>F253</f>
        <v>4.9712865346704382E-2</v>
      </c>
      <c r="D277" s="334">
        <f>D201</f>
        <v>0.05</v>
      </c>
      <c r="E277" s="334">
        <f>E201</f>
        <v>0.1</v>
      </c>
      <c r="F277" s="334">
        <f>F201</f>
        <v>0.1</v>
      </c>
      <c r="G277" s="334">
        <f>G201</f>
        <v>0.1</v>
      </c>
      <c r="H277" s="138"/>
      <c r="I277" s="138"/>
      <c r="J277" s="2"/>
    </row>
    <row r="278" spans="1:10" ht="13.15" x14ac:dyDescent="0.4">
      <c r="A278" s="99" t="s">
        <v>250</v>
      </c>
      <c r="B278" s="283"/>
      <c r="C278" s="330">
        <f>F254</f>
        <v>-0.1080826262106797</v>
      </c>
      <c r="D278" s="334">
        <v>-0.03</v>
      </c>
      <c r="E278" s="334">
        <v>-0.03</v>
      </c>
      <c r="F278" s="334">
        <v>-0.03</v>
      </c>
      <c r="G278" s="334">
        <v>-0.03</v>
      </c>
      <c r="H278" s="138"/>
      <c r="I278" s="138"/>
      <c r="J278" s="2"/>
    </row>
    <row r="279" spans="1:10" ht="13.15" x14ac:dyDescent="0.4">
      <c r="A279" s="99" t="s">
        <v>251</v>
      </c>
      <c r="B279" s="283"/>
      <c r="C279" s="130">
        <f>F23+F24</f>
        <v>153.28</v>
      </c>
      <c r="D279" s="335">
        <v>0</v>
      </c>
      <c r="E279" s="335">
        <v>0</v>
      </c>
      <c r="F279" s="335">
        <v>0</v>
      </c>
      <c r="G279" s="335">
        <v>0</v>
      </c>
      <c r="H279" s="138"/>
      <c r="I279" s="138"/>
      <c r="J279" s="2"/>
    </row>
    <row r="280" spans="1:10" ht="13.15" x14ac:dyDescent="0.4">
      <c r="A280" s="99"/>
      <c r="B280" s="283"/>
      <c r="C280" s="330"/>
      <c r="D280" s="330"/>
      <c r="E280" s="330"/>
      <c r="F280" s="330"/>
      <c r="G280" s="330"/>
      <c r="H280" s="138"/>
      <c r="I280" s="138"/>
      <c r="J280" s="2"/>
    </row>
    <row r="281" spans="1:10" ht="13.15" x14ac:dyDescent="0.4">
      <c r="A281" s="99" t="s">
        <v>79</v>
      </c>
      <c r="B281" s="283"/>
      <c r="C281" s="336">
        <f>F9</f>
        <v>11667</v>
      </c>
      <c r="D281" s="337">
        <f>C281*(1+D274)</f>
        <v>14000.4</v>
      </c>
      <c r="E281" s="337">
        <f>D281*(1+E274)</f>
        <v>15400.44</v>
      </c>
      <c r="F281" s="337">
        <f>E281*(1+F274)</f>
        <v>16940.484</v>
      </c>
      <c r="G281" s="337">
        <f>F281*(1+G274)</f>
        <v>18634.532400000004</v>
      </c>
      <c r="H281" s="138"/>
      <c r="I281" s="138"/>
      <c r="J281" s="2"/>
    </row>
    <row r="282" spans="1:10" ht="13.15" x14ac:dyDescent="0.4">
      <c r="A282" s="99"/>
      <c r="B282" s="283"/>
      <c r="C282" s="99"/>
      <c r="D282" s="330"/>
      <c r="E282" s="330"/>
      <c r="F282" s="330"/>
      <c r="G282" s="330"/>
      <c r="H282" s="138"/>
      <c r="I282" s="138"/>
      <c r="J282" s="2"/>
    </row>
    <row r="283" spans="1:10" ht="13.15" x14ac:dyDescent="0.4">
      <c r="A283" s="99" t="s">
        <v>44</v>
      </c>
      <c r="B283" s="283"/>
      <c r="C283" s="336">
        <f>F259</f>
        <v>352</v>
      </c>
      <c r="D283" s="336">
        <f>D281*D275</f>
        <v>420.012</v>
      </c>
      <c r="E283" s="336">
        <f>E281*E275</f>
        <v>462.01319999999998</v>
      </c>
      <c r="F283" s="336">
        <f>F281*F275</f>
        <v>508.21451999999999</v>
      </c>
      <c r="G283" s="336">
        <f>G281*G275</f>
        <v>559.03597200000013</v>
      </c>
      <c r="H283" s="138"/>
      <c r="I283" s="138"/>
      <c r="J283" s="2"/>
    </row>
    <row r="284" spans="1:10" ht="13.15" x14ac:dyDescent="0.4">
      <c r="A284" s="99" t="s">
        <v>254</v>
      </c>
      <c r="B284" s="283"/>
      <c r="C284" s="337">
        <f>F260</f>
        <v>1885</v>
      </c>
      <c r="D284" s="337">
        <f>D281*D276</f>
        <v>2100.06</v>
      </c>
      <c r="E284" s="337">
        <f>E281*E276</f>
        <v>2310.0659999999998</v>
      </c>
      <c r="F284" s="337">
        <f>F281*F276</f>
        <v>2541.0726</v>
      </c>
      <c r="G284" s="337">
        <f>G281*G276</f>
        <v>2795.1798600000006</v>
      </c>
      <c r="H284" s="138"/>
      <c r="I284" s="138"/>
      <c r="J284" s="2"/>
    </row>
    <row r="285" spans="1:10" ht="13.15" x14ac:dyDescent="0.4">
      <c r="A285" s="99" t="s">
        <v>255</v>
      </c>
      <c r="B285" s="283"/>
      <c r="C285" s="337">
        <f>F261</f>
        <v>-580</v>
      </c>
      <c r="D285" s="337">
        <f>-D277*D281</f>
        <v>-700.02</v>
      </c>
      <c r="E285" s="337">
        <f>-E277*E281</f>
        <v>-1540.0440000000001</v>
      </c>
      <c r="F285" s="337">
        <f>-F277*F281</f>
        <v>-1694.0484000000001</v>
      </c>
      <c r="G285" s="337">
        <f>-G277*G281</f>
        <v>-1863.4532400000005</v>
      </c>
      <c r="H285" s="138"/>
      <c r="I285" s="138"/>
      <c r="J285" s="2"/>
    </row>
    <row r="286" spans="1:10" ht="13.15" x14ac:dyDescent="0.4">
      <c r="A286" s="99" t="s">
        <v>256</v>
      </c>
      <c r="B286" s="283"/>
      <c r="C286" s="337">
        <f>F262</f>
        <v>1261</v>
      </c>
      <c r="D286" s="337">
        <f>-D278*D281</f>
        <v>420.012</v>
      </c>
      <c r="E286" s="337">
        <f>-E278*E281</f>
        <v>462.01319999999998</v>
      </c>
      <c r="F286" s="337">
        <f>-F278*F281</f>
        <v>508.21451999999999</v>
      </c>
      <c r="G286" s="337">
        <f>-G278*G281</f>
        <v>559.03597200000013</v>
      </c>
      <c r="H286" s="138"/>
      <c r="I286" s="138"/>
      <c r="J286" s="2"/>
    </row>
    <row r="287" spans="1:10" ht="13.15" x14ac:dyDescent="0.4">
      <c r="A287" s="99" t="s">
        <v>251</v>
      </c>
      <c r="B287" s="283"/>
      <c r="C287" s="338">
        <f>C279</f>
        <v>153.28</v>
      </c>
      <c r="D287" s="338">
        <f>D279</f>
        <v>0</v>
      </c>
      <c r="E287" s="338">
        <f>E279</f>
        <v>0</v>
      </c>
      <c r="F287" s="338">
        <f>F279</f>
        <v>0</v>
      </c>
      <c r="G287" s="338">
        <f>G279</f>
        <v>0</v>
      </c>
      <c r="H287" s="138"/>
      <c r="I287" s="138"/>
      <c r="J287" s="2"/>
    </row>
    <row r="288" spans="1:10" ht="13.15" x14ac:dyDescent="0.4">
      <c r="A288" s="77" t="s">
        <v>260</v>
      </c>
      <c r="B288" s="138"/>
      <c r="C288" s="339">
        <f>SUM(C283:C287)</f>
        <v>3071.28</v>
      </c>
      <c r="D288" s="339">
        <f>SUM(D283:D287)</f>
        <v>2240.0640000000003</v>
      </c>
      <c r="E288" s="339">
        <f>SUM(E283:E287)</f>
        <v>1694.0483999999997</v>
      </c>
      <c r="F288" s="339">
        <f>SUM(F283:F287)</f>
        <v>1863.4532399999998</v>
      </c>
      <c r="G288" s="339">
        <f>SUM(G283:G287)</f>
        <v>2049.7985640000006</v>
      </c>
      <c r="H288" s="138"/>
      <c r="I288" s="138"/>
      <c r="J288" s="2"/>
    </row>
    <row r="289" spans="1:10" ht="13.15" x14ac:dyDescent="0.4">
      <c r="A289" s="99"/>
      <c r="B289" s="283"/>
      <c r="C289" s="330"/>
      <c r="D289" s="330"/>
      <c r="E289" s="330"/>
      <c r="F289" s="330"/>
      <c r="G289" s="330"/>
      <c r="H289" s="138"/>
      <c r="I289" s="138"/>
      <c r="J289" s="2"/>
    </row>
    <row r="290" spans="1:10" ht="13.15" x14ac:dyDescent="0.4">
      <c r="A290" s="99"/>
      <c r="B290" s="283"/>
      <c r="C290" s="330"/>
      <c r="D290" s="330"/>
      <c r="E290" s="330"/>
      <c r="F290" s="330"/>
      <c r="G290" s="330"/>
      <c r="H290" s="138"/>
      <c r="I290" s="138"/>
      <c r="J290" s="2"/>
    </row>
    <row r="291" spans="1:10" ht="13.15" x14ac:dyDescent="0.4">
      <c r="A291" s="77" t="s">
        <v>262</v>
      </c>
      <c r="B291" s="283"/>
      <c r="C291" s="330"/>
      <c r="D291" s="330"/>
      <c r="E291" s="330"/>
      <c r="F291" s="330"/>
      <c r="G291" s="330"/>
      <c r="H291" s="138"/>
      <c r="I291" s="138"/>
      <c r="J291" s="2"/>
    </row>
    <row r="292" spans="1:10" ht="13.15" x14ac:dyDescent="0.4">
      <c r="A292" s="99"/>
      <c r="B292" s="283"/>
      <c r="C292" s="330"/>
      <c r="D292" s="330"/>
      <c r="E292" s="330"/>
      <c r="F292" s="330"/>
      <c r="G292" s="330"/>
      <c r="H292" s="138"/>
      <c r="I292" s="138"/>
      <c r="J292" s="2"/>
    </row>
    <row r="293" spans="1:10" ht="13.15" x14ac:dyDescent="0.4">
      <c r="A293" s="99" t="s">
        <v>48</v>
      </c>
      <c r="B293" s="330">
        <f>G155</f>
        <v>0.125</v>
      </c>
      <c r="C293" s="330"/>
      <c r="D293" s="330"/>
      <c r="E293" s="330"/>
      <c r="F293" s="330"/>
      <c r="G293" s="330"/>
      <c r="H293" s="138"/>
      <c r="I293" s="138"/>
      <c r="J293" s="2"/>
    </row>
    <row r="294" spans="1:10" ht="13.15" x14ac:dyDescent="0.4">
      <c r="A294" s="99" t="s">
        <v>234</v>
      </c>
      <c r="B294" s="330">
        <v>0.02</v>
      </c>
      <c r="C294" s="330"/>
      <c r="D294" s="330"/>
      <c r="E294" s="330"/>
      <c r="F294" s="330"/>
      <c r="G294" s="330"/>
      <c r="H294" s="138"/>
      <c r="I294" s="138"/>
      <c r="J294" s="2"/>
    </row>
    <row r="295" spans="1:10" ht="13.15" x14ac:dyDescent="0.4">
      <c r="A295" s="99"/>
      <c r="B295" s="330"/>
      <c r="C295" s="330"/>
      <c r="D295" s="330"/>
      <c r="E295" s="330"/>
      <c r="F295" s="330"/>
      <c r="G295" s="330"/>
      <c r="H295" s="138"/>
      <c r="I295" s="138"/>
      <c r="J295" s="2"/>
    </row>
    <row r="296" spans="1:10" ht="13.15" x14ac:dyDescent="0.4">
      <c r="A296" s="99"/>
      <c r="B296" s="99"/>
      <c r="C296" s="304">
        <v>44561</v>
      </c>
      <c r="D296" s="304">
        <v>44926</v>
      </c>
      <c r="E296" s="304">
        <v>45291</v>
      </c>
      <c r="F296" s="304">
        <v>45657</v>
      </c>
      <c r="G296" s="304">
        <v>46022</v>
      </c>
      <c r="H296" s="138"/>
      <c r="I296" s="138"/>
      <c r="J296" s="2"/>
    </row>
    <row r="297" spans="1:10" ht="13.15" x14ac:dyDescent="0.4">
      <c r="A297" s="99"/>
      <c r="B297" s="77" t="s">
        <v>235</v>
      </c>
      <c r="C297" s="135">
        <v>0</v>
      </c>
      <c r="D297" s="135">
        <v>1</v>
      </c>
      <c r="E297" s="135">
        <v>2</v>
      </c>
      <c r="F297" s="135">
        <v>3</v>
      </c>
      <c r="G297" s="135">
        <v>4</v>
      </c>
      <c r="H297" s="138"/>
      <c r="I297" s="138"/>
      <c r="J297" s="2"/>
    </row>
    <row r="298" spans="1:10" ht="13.15" x14ac:dyDescent="0.4">
      <c r="A298" s="99"/>
      <c r="B298" s="330"/>
      <c r="C298" s="330"/>
      <c r="D298" s="330"/>
      <c r="E298" s="330"/>
      <c r="F298" s="330"/>
      <c r="G298" s="330"/>
      <c r="H298" s="138"/>
      <c r="I298" s="138"/>
      <c r="J298" s="2"/>
    </row>
    <row r="299" spans="1:10" ht="13.15" x14ac:dyDescent="0.4">
      <c r="A299" s="99" t="s">
        <v>263</v>
      </c>
      <c r="B299" s="330"/>
      <c r="C299" s="279">
        <f>C288</f>
        <v>3071.28</v>
      </c>
      <c r="D299" s="279">
        <f>D288</f>
        <v>2240.0640000000003</v>
      </c>
      <c r="E299" s="279">
        <f>E288</f>
        <v>1694.0483999999997</v>
      </c>
      <c r="F299" s="279">
        <f>F288</f>
        <v>1863.4532399999998</v>
      </c>
      <c r="G299" s="279">
        <f>G288</f>
        <v>2049.7985640000006</v>
      </c>
      <c r="H299" s="138"/>
      <c r="I299" s="138"/>
      <c r="J299" s="2"/>
    </row>
    <row r="300" spans="1:10" ht="13.15" x14ac:dyDescent="0.4">
      <c r="A300" s="340" t="s">
        <v>264</v>
      </c>
      <c r="B300" s="341"/>
      <c r="C300" s="341"/>
      <c r="D300" s="309">
        <f>D299/((1+$B$293)^D297)</f>
        <v>1991.1680000000003</v>
      </c>
      <c r="E300" s="309">
        <f>E299/((1+$B$293)^E297)</f>
        <v>1338.5073777777775</v>
      </c>
      <c r="F300" s="309">
        <f>F299/((1+$B$293)^F297)</f>
        <v>1308.762769382716</v>
      </c>
      <c r="G300" s="309">
        <f>G299/((1+$B$293)^G297)</f>
        <v>1279.6791522853227</v>
      </c>
      <c r="H300" s="310"/>
      <c r="I300" s="310"/>
      <c r="J300" s="9"/>
    </row>
    <row r="301" spans="1:10" ht="13.15" x14ac:dyDescent="0.4">
      <c r="A301" s="99"/>
      <c r="B301" s="330"/>
      <c r="C301" s="330"/>
      <c r="D301" s="279"/>
      <c r="E301" s="279"/>
      <c r="F301" s="279"/>
      <c r="G301" s="279"/>
      <c r="H301" s="138"/>
      <c r="I301" s="138"/>
      <c r="J301" s="2"/>
    </row>
    <row r="302" spans="1:10" ht="13.15" x14ac:dyDescent="0.4">
      <c r="A302" s="99" t="s">
        <v>238</v>
      </c>
      <c r="B302" s="330"/>
      <c r="C302" s="330"/>
      <c r="D302" s="279"/>
      <c r="E302" s="279"/>
      <c r="F302" s="279"/>
      <c r="G302" s="279">
        <f>(G299*(1+B294))/(B293-B294)</f>
        <v>19912.328907428579</v>
      </c>
      <c r="H302" s="138"/>
      <c r="I302" s="138"/>
      <c r="J302" s="2"/>
    </row>
    <row r="303" spans="1:10" ht="13.15" x14ac:dyDescent="0.4">
      <c r="A303" s="340" t="s">
        <v>239</v>
      </c>
      <c r="B303" s="341"/>
      <c r="C303" s="341"/>
      <c r="D303" s="309"/>
      <c r="E303" s="309"/>
      <c r="F303" s="309"/>
      <c r="G303" s="309">
        <f>G302/((1+B293)^G297)</f>
        <v>12431.168907914565</v>
      </c>
      <c r="H303" s="310"/>
      <c r="I303" s="310"/>
      <c r="J303" s="9"/>
    </row>
    <row r="304" spans="1:10" ht="13.15" x14ac:dyDescent="0.4">
      <c r="A304" s="99"/>
      <c r="B304" s="330"/>
      <c r="C304" s="330"/>
      <c r="D304" s="330"/>
      <c r="E304" s="330"/>
      <c r="F304" s="330"/>
      <c r="G304" s="330"/>
      <c r="H304" s="138"/>
      <c r="I304" s="138"/>
      <c r="J304" s="2"/>
    </row>
    <row r="305" spans="1:10" ht="13.15" x14ac:dyDescent="0.4">
      <c r="A305" s="99" t="s">
        <v>265</v>
      </c>
      <c r="B305" s="336">
        <f>SUM(D300:G300)+G303</f>
        <v>18349.286207360383</v>
      </c>
      <c r="C305" s="330"/>
      <c r="D305" s="330"/>
      <c r="E305" s="330"/>
      <c r="F305" s="330"/>
      <c r="G305" s="330"/>
      <c r="H305" s="138"/>
      <c r="I305" s="138"/>
      <c r="J305" s="2"/>
    </row>
    <row r="306" spans="1:10" ht="13.15" x14ac:dyDescent="0.4">
      <c r="A306" s="99" t="s">
        <v>266</v>
      </c>
      <c r="B306" s="342">
        <f>B230</f>
        <v>153.28</v>
      </c>
      <c r="C306" s="330"/>
      <c r="D306" s="330"/>
      <c r="E306" s="330"/>
      <c r="F306" s="330"/>
      <c r="G306" s="330"/>
      <c r="H306" s="138"/>
      <c r="I306" s="138"/>
      <c r="J306" s="2"/>
    </row>
    <row r="307" spans="1:10" ht="13.15" x14ac:dyDescent="0.4">
      <c r="A307" s="77" t="s">
        <v>267</v>
      </c>
      <c r="B307" s="343">
        <f>B305/B306</f>
        <v>119.71089644676658</v>
      </c>
      <c r="C307" s="330"/>
      <c r="D307" s="330"/>
      <c r="E307" s="330"/>
      <c r="F307" s="330"/>
      <c r="G307" s="330"/>
      <c r="H307" s="138"/>
      <c r="I307" s="138"/>
      <c r="J307" s="2"/>
    </row>
    <row r="308" spans="1:10" ht="13.15" x14ac:dyDescent="0.4">
      <c r="A308" s="99"/>
      <c r="B308" s="330"/>
      <c r="C308" s="330"/>
      <c r="D308" s="330"/>
      <c r="E308" s="330"/>
      <c r="F308" s="330"/>
      <c r="G308" s="330"/>
      <c r="H308" s="138"/>
      <c r="I308" s="138"/>
      <c r="J308" s="2"/>
    </row>
    <row r="309" spans="1:10" ht="13.15" x14ac:dyDescent="0.4">
      <c r="A309" s="99"/>
      <c r="B309" s="330"/>
      <c r="C309" s="330"/>
      <c r="D309" s="330"/>
      <c r="E309" s="330"/>
      <c r="F309" s="330"/>
      <c r="G309" s="330"/>
      <c r="H309" s="138"/>
      <c r="I309" s="138"/>
      <c r="J309" s="2"/>
    </row>
    <row r="310" spans="1:10" ht="13.15" x14ac:dyDescent="0.4">
      <c r="A310" s="99"/>
      <c r="B310" s="311"/>
      <c r="C310" s="365" t="s">
        <v>245</v>
      </c>
      <c r="D310" s="365"/>
      <c r="E310" s="365"/>
      <c r="F310" s="365"/>
      <c r="G310" s="365"/>
      <c r="H310" s="365"/>
      <c r="I310" s="138"/>
      <c r="J310" s="2"/>
    </row>
    <row r="311" spans="1:10" ht="13.15" x14ac:dyDescent="0.4">
      <c r="A311" s="99"/>
      <c r="B311" s="311"/>
      <c r="C311" s="312"/>
      <c r="D311" s="99"/>
      <c r="E311" s="99"/>
      <c r="F311" s="99"/>
      <c r="G311" s="99"/>
      <c r="H311" s="99"/>
      <c r="I311" s="138"/>
      <c r="J311" s="2"/>
    </row>
    <row r="312" spans="1:10" ht="13.15" x14ac:dyDescent="0.4">
      <c r="A312" s="99"/>
      <c r="B312" s="99"/>
      <c r="C312" s="99"/>
      <c r="D312" s="366" t="s">
        <v>234</v>
      </c>
      <c r="E312" s="366"/>
      <c r="F312" s="366"/>
      <c r="G312" s="366"/>
      <c r="H312" s="366"/>
      <c r="I312" s="138"/>
      <c r="J312" s="2"/>
    </row>
    <row r="313" spans="1:10" ht="13.15" x14ac:dyDescent="0.4">
      <c r="A313" s="99"/>
      <c r="B313" s="313"/>
      <c r="C313" s="314">
        <f>B307</f>
        <v>119.71089644676658</v>
      </c>
      <c r="D313" s="315">
        <v>3.5000000000000003E-2</v>
      </c>
      <c r="E313" s="315">
        <v>0.03</v>
      </c>
      <c r="F313" s="315">
        <v>2.5000000000000001E-2</v>
      </c>
      <c r="G313" s="315">
        <v>0.02</v>
      </c>
      <c r="H313" s="315">
        <v>1.4999999999999999E-2</v>
      </c>
      <c r="I313" s="138"/>
      <c r="J313" s="2"/>
    </row>
    <row r="314" spans="1:10" ht="13.15" x14ac:dyDescent="0.4">
      <c r="A314" s="99"/>
      <c r="B314" s="367" t="s">
        <v>48</v>
      </c>
      <c r="C314" s="316">
        <v>3.5000000000000003E-2</v>
      </c>
      <c r="D314" s="317" t="e">
        <v>#DIV/0!</v>
      </c>
      <c r="E314" s="317">
        <v>2447.7206810197381</v>
      </c>
      <c r="F314" s="317">
        <v>1241.5614541874152</v>
      </c>
      <c r="G314" s="317">
        <v>839.50837857664044</v>
      </c>
      <c r="H314" s="317">
        <v>638.48184077125291</v>
      </c>
      <c r="I314" s="138"/>
      <c r="J314" s="2"/>
    </row>
    <row r="315" spans="1:10" ht="13.15" x14ac:dyDescent="0.4">
      <c r="A315" s="99"/>
      <c r="B315" s="367"/>
      <c r="C315" s="316">
        <v>4.4999999999999998E-2</v>
      </c>
      <c r="D315" s="317">
        <v>1206.6217548382804</v>
      </c>
      <c r="E315" s="317">
        <v>816.0007734904566</v>
      </c>
      <c r="F315" s="317">
        <v>620.69028281654494</v>
      </c>
      <c r="G315" s="317">
        <v>503.50398841219811</v>
      </c>
      <c r="H315" s="317">
        <v>425.37979214263333</v>
      </c>
      <c r="I315" s="138"/>
      <c r="J315" s="2"/>
    </row>
    <row r="316" spans="1:10" ht="13.15" x14ac:dyDescent="0.4">
      <c r="A316" s="99"/>
      <c r="B316" s="367"/>
      <c r="C316" s="316">
        <v>5.5E-2</v>
      </c>
      <c r="D316" s="317">
        <v>603.56257064019519</v>
      </c>
      <c r="E316" s="317">
        <v>489.67710182973212</v>
      </c>
      <c r="F316" s="317">
        <v>413.75345595609008</v>
      </c>
      <c r="G316" s="317">
        <v>359.52228033206006</v>
      </c>
      <c r="H316" s="317">
        <v>318.84889861403752</v>
      </c>
      <c r="I316" s="138"/>
      <c r="J316" s="2"/>
    </row>
    <row r="317" spans="1:10" ht="13.15" x14ac:dyDescent="0.4">
      <c r="A317" s="99"/>
      <c r="B317" s="367"/>
      <c r="C317" s="316">
        <v>6.5000000000000002E-2</v>
      </c>
      <c r="D317" s="317">
        <v>402.55550214049424</v>
      </c>
      <c r="E317" s="317">
        <v>349.83766613584498</v>
      </c>
      <c r="F317" s="317">
        <v>310.29928913235807</v>
      </c>
      <c r="G317" s="317">
        <v>279.54721812964601</v>
      </c>
      <c r="H317" s="317">
        <v>254.94556132747636</v>
      </c>
      <c r="I317" s="138"/>
      <c r="J317" s="2"/>
    </row>
    <row r="318" spans="1:10" ht="13.15" x14ac:dyDescent="0.4">
      <c r="A318" s="99"/>
      <c r="B318" s="367"/>
      <c r="C318" s="316">
        <v>7.4999999999999997E-2</v>
      </c>
      <c r="D318" s="317">
        <v>302.06078849217289</v>
      </c>
      <c r="E318" s="317">
        <v>272.15895634299403</v>
      </c>
      <c r="F318" s="317">
        <v>248.23749062365098</v>
      </c>
      <c r="G318" s="317">
        <v>228.6653823078249</v>
      </c>
      <c r="H318" s="317">
        <v>212.35529204463643</v>
      </c>
      <c r="I318" s="138"/>
      <c r="J318" s="2"/>
    </row>
    <row r="319" spans="1:10" ht="13.15" x14ac:dyDescent="0.4">
      <c r="A319" s="99"/>
      <c r="B319" s="283"/>
      <c r="C319" s="283"/>
      <c r="D319" s="283"/>
      <c r="E319" s="283"/>
      <c r="F319" s="283"/>
      <c r="G319" s="283"/>
      <c r="H319" s="138"/>
      <c r="I319" s="138"/>
      <c r="J319" s="2"/>
    </row>
  </sheetData>
  <mergeCells count="9">
    <mergeCell ref="C310:H310"/>
    <mergeCell ref="D312:H312"/>
    <mergeCell ref="B314:B318"/>
    <mergeCell ref="A21:B21"/>
    <mergeCell ref="A22:B22"/>
    <mergeCell ref="C234:H234"/>
    <mergeCell ref="D236:H236"/>
    <mergeCell ref="B238:B242"/>
    <mergeCell ref="C255:F25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CE54-1AAF-4D21-A39E-84F358308873}">
  <dimension ref="D3:N21"/>
  <sheetViews>
    <sheetView topLeftCell="A2" zoomScale="126" workbookViewId="0">
      <selection activeCell="C22" sqref="C22"/>
    </sheetView>
  </sheetViews>
  <sheetFormatPr defaultRowHeight="12.75" x14ac:dyDescent="0.35"/>
  <cols>
    <col min="4" max="4" width="26.46484375" customWidth="1"/>
    <col min="5" max="5" width="12.3984375" customWidth="1"/>
  </cols>
  <sheetData>
    <row r="3" spans="4:8" ht="13.15" x14ac:dyDescent="0.4">
      <c r="D3" s="373" t="s">
        <v>269</v>
      </c>
      <c r="E3" s="373"/>
      <c r="F3" s="373"/>
      <c r="G3" s="373"/>
      <c r="H3" s="373"/>
    </row>
    <row r="4" spans="4:8" ht="13.15" thickBot="1" x14ac:dyDescent="0.4">
      <c r="E4" t="s">
        <v>270</v>
      </c>
    </row>
    <row r="5" spans="4:8" ht="13.15" x14ac:dyDescent="0.4">
      <c r="D5" s="374" t="s">
        <v>271</v>
      </c>
      <c r="E5" s="336">
        <f>EXPEDIA!B305</f>
        <v>18349.286207360383</v>
      </c>
    </row>
    <row r="6" spans="4:8" ht="13.5" thickBot="1" x14ac:dyDescent="0.45">
      <c r="D6" s="375" t="s">
        <v>272</v>
      </c>
      <c r="E6" s="376">
        <f>EXPEDIA!F158</f>
        <v>9750.1407999999992</v>
      </c>
    </row>
    <row r="7" spans="4:8" ht="13.15" x14ac:dyDescent="0.4">
      <c r="D7" s="377" t="s">
        <v>273</v>
      </c>
      <c r="E7" s="378">
        <f>E5</f>
        <v>18349.286207360383</v>
      </c>
    </row>
    <row r="8" spans="4:8" ht="13.5" thickBot="1" x14ac:dyDescent="0.45">
      <c r="D8" s="379" t="s">
        <v>274</v>
      </c>
      <c r="E8" s="380">
        <f>E7*0.04</f>
        <v>733.97144829441538</v>
      </c>
    </row>
    <row r="9" spans="4:8" ht="13.5" thickBot="1" x14ac:dyDescent="0.45">
      <c r="D9" s="381" t="s">
        <v>275</v>
      </c>
      <c r="E9" s="382">
        <f>E7+E8</f>
        <v>19083.257655654797</v>
      </c>
    </row>
    <row r="10" spans="4:8" ht="13.15" x14ac:dyDescent="0.4">
      <c r="D10" s="383" t="s">
        <v>276</v>
      </c>
      <c r="E10" s="384">
        <f>AIRBNB!B144</f>
        <v>127.96</v>
      </c>
    </row>
    <row r="11" spans="4:8" ht="13.5" thickBot="1" x14ac:dyDescent="0.45">
      <c r="D11" s="385" t="s">
        <v>277</v>
      </c>
      <c r="E11" s="386">
        <f>E9/E10</f>
        <v>149.13455498323538</v>
      </c>
    </row>
    <row r="12" spans="4:8" ht="13.15" x14ac:dyDescent="0.4">
      <c r="D12" s="387" t="s">
        <v>278</v>
      </c>
      <c r="E12" s="388">
        <f>E11*10</f>
        <v>1491.3455498323538</v>
      </c>
    </row>
    <row r="13" spans="4:8" ht="13.5" thickBot="1" x14ac:dyDescent="0.45">
      <c r="D13" s="375" t="s">
        <v>279</v>
      </c>
      <c r="E13" s="389">
        <f>E11*(E10-10)</f>
        <v>17591.912105822445</v>
      </c>
    </row>
    <row r="15" spans="4:8" ht="13.15" thickBot="1" x14ac:dyDescent="0.4"/>
    <row r="16" spans="4:8" ht="13.15" x14ac:dyDescent="0.4">
      <c r="D16" s="390" t="s">
        <v>280</v>
      </c>
      <c r="E16" s="391"/>
    </row>
    <row r="17" spans="4:14" ht="13.15" x14ac:dyDescent="0.4">
      <c r="D17" s="392" t="s">
        <v>281</v>
      </c>
      <c r="E17" s="393">
        <f>E9</f>
        <v>19083.257655654797</v>
      </c>
    </row>
    <row r="18" spans="4:14" ht="13.15" x14ac:dyDescent="0.4">
      <c r="D18" s="392" t="s">
        <v>282</v>
      </c>
      <c r="E18" s="393">
        <f>'[1]EXPE BS '!L25-'[1]EXPE BS '!L47</f>
        <v>0</v>
      </c>
    </row>
    <row r="19" spans="4:14" ht="13.5" thickBot="1" x14ac:dyDescent="0.45">
      <c r="D19" s="394" t="s">
        <v>283</v>
      </c>
      <c r="E19" s="395">
        <f>E17-E18</f>
        <v>19083.257655654797</v>
      </c>
    </row>
    <row r="21" spans="4:14" x14ac:dyDescent="0.35">
      <c r="D21" s="527" t="s">
        <v>284</v>
      </c>
      <c r="E21" s="527"/>
      <c r="F21" s="527"/>
      <c r="G21" s="527"/>
      <c r="H21" s="527"/>
      <c r="I21" s="527"/>
      <c r="J21" s="527"/>
      <c r="K21" s="527"/>
      <c r="L21" s="527"/>
      <c r="M21" s="527"/>
      <c r="N21" s="527"/>
    </row>
  </sheetData>
  <mergeCells count="1">
    <mergeCell ref="D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2C23-1D36-451B-89EF-67003B7794C9}">
  <dimension ref="C3:R45"/>
  <sheetViews>
    <sheetView topLeftCell="G20" zoomScale="127" workbookViewId="0">
      <selection activeCell="I8" sqref="I8"/>
    </sheetView>
  </sheetViews>
  <sheetFormatPr defaultRowHeight="12.75" x14ac:dyDescent="0.35"/>
  <cols>
    <col min="3" max="3" width="34.6640625" customWidth="1"/>
    <col min="4" max="4" width="13.1328125" customWidth="1"/>
    <col min="5" max="5" width="12" customWidth="1"/>
    <col min="6" max="6" width="14.9296875" customWidth="1"/>
    <col min="11" max="17" width="12.796875" customWidth="1"/>
  </cols>
  <sheetData>
    <row r="3" spans="3:18" ht="13.15" thickBot="1" x14ac:dyDescent="0.4"/>
    <row r="4" spans="3:18" ht="25.9" thickBot="1" x14ac:dyDescent="0.8">
      <c r="C4" s="396" t="s">
        <v>347</v>
      </c>
      <c r="D4" s="397"/>
      <c r="K4" s="464" t="s">
        <v>305</v>
      </c>
      <c r="L4" s="465"/>
      <c r="M4" s="465"/>
      <c r="N4" s="465"/>
      <c r="O4" s="465"/>
      <c r="P4" s="465"/>
      <c r="Q4" s="466"/>
      <c r="R4" s="402"/>
    </row>
    <row r="5" spans="3:18" ht="25.9" thickBot="1" x14ac:dyDescent="0.8">
      <c r="C5" s="396"/>
      <c r="D5" s="397"/>
      <c r="K5" s="467"/>
      <c r="L5" s="468"/>
      <c r="M5" s="469" t="s">
        <v>125</v>
      </c>
      <c r="N5" s="470"/>
      <c r="O5" s="470"/>
      <c r="P5" s="470"/>
      <c r="Q5" s="471"/>
      <c r="R5" s="402"/>
    </row>
    <row r="6" spans="3:18" ht="14.65" thickBot="1" x14ac:dyDescent="0.5">
      <c r="C6" s="398" t="s">
        <v>285</v>
      </c>
      <c r="D6" s="399" t="s">
        <v>286</v>
      </c>
      <c r="E6" s="400" t="s">
        <v>287</v>
      </c>
      <c r="F6" s="401"/>
      <c r="H6" s="402"/>
      <c r="K6" s="472"/>
      <c r="L6" s="402"/>
      <c r="M6" s="441"/>
      <c r="N6" s="442"/>
      <c r="O6" s="442"/>
      <c r="P6" s="442"/>
      <c r="Q6" s="473"/>
      <c r="R6" s="402"/>
    </row>
    <row r="7" spans="3:18" ht="14.65" thickBot="1" x14ac:dyDescent="0.5">
      <c r="C7" s="403" t="s">
        <v>288</v>
      </c>
      <c r="D7" s="586">
        <v>2022</v>
      </c>
      <c r="E7" s="587">
        <v>2022</v>
      </c>
      <c r="F7" s="588" t="s">
        <v>289</v>
      </c>
      <c r="H7" s="402"/>
      <c r="K7" s="474"/>
      <c r="L7" s="475"/>
      <c r="M7" s="476">
        <v>0.34781223580371301</v>
      </c>
      <c r="N7" s="477">
        <v>0.35</v>
      </c>
      <c r="O7" s="477">
        <v>0.37</v>
      </c>
      <c r="P7" s="477">
        <v>0.36</v>
      </c>
      <c r="Q7" s="478">
        <v>0.34</v>
      </c>
      <c r="R7" s="402"/>
    </row>
    <row r="8" spans="3:18" ht="14.65" thickBot="1" x14ac:dyDescent="0.5">
      <c r="C8" s="429" t="s">
        <v>290</v>
      </c>
      <c r="D8" s="404">
        <v>8399</v>
      </c>
      <c r="E8" s="405">
        <v>11667</v>
      </c>
      <c r="F8" s="406">
        <f>D8+E8</f>
        <v>20066</v>
      </c>
      <c r="H8" s="402"/>
      <c r="K8" s="402"/>
      <c r="L8" s="402"/>
      <c r="M8" s="479"/>
      <c r="N8" s="402"/>
      <c r="O8" s="402"/>
      <c r="P8" s="402"/>
      <c r="Q8" s="402"/>
      <c r="R8" s="402"/>
    </row>
    <row r="9" spans="3:18" ht="14.65" thickBot="1" x14ac:dyDescent="0.5">
      <c r="C9" s="430" t="s">
        <v>291</v>
      </c>
      <c r="D9" s="404">
        <v>-1499</v>
      </c>
      <c r="E9" s="405">
        <v>-1657</v>
      </c>
      <c r="F9" s="406">
        <f>D9+E9</f>
        <v>-3156</v>
      </c>
      <c r="H9" s="402"/>
      <c r="K9" s="480" t="s">
        <v>116</v>
      </c>
      <c r="L9" s="481"/>
      <c r="M9" s="482"/>
      <c r="N9" s="482"/>
      <c r="O9" s="482"/>
      <c r="P9" s="482"/>
      <c r="Q9" s="483"/>
      <c r="R9" s="402"/>
    </row>
    <row r="10" spans="3:18" ht="14.65" thickBot="1" x14ac:dyDescent="0.5">
      <c r="C10" s="431" t="s">
        <v>292</v>
      </c>
      <c r="D10" s="407">
        <f t="shared" ref="D10:E10" si="0">D8+D9</f>
        <v>6900</v>
      </c>
      <c r="E10" s="408">
        <f t="shared" si="0"/>
        <v>10010</v>
      </c>
      <c r="F10" s="409">
        <f>F8+F9</f>
        <v>16910</v>
      </c>
      <c r="H10" s="402"/>
      <c r="K10" s="484" t="s">
        <v>117</v>
      </c>
      <c r="L10" s="589">
        <v>2022</v>
      </c>
      <c r="M10" s="590">
        <f t="shared" ref="M10:Q10" si="1">L10+1</f>
        <v>2023</v>
      </c>
      <c r="N10" s="590">
        <f t="shared" si="1"/>
        <v>2024</v>
      </c>
      <c r="O10" s="590">
        <f t="shared" si="1"/>
        <v>2025</v>
      </c>
      <c r="P10" s="590">
        <f t="shared" si="1"/>
        <v>2026</v>
      </c>
      <c r="Q10" s="591">
        <f t="shared" si="1"/>
        <v>2027</v>
      </c>
      <c r="R10" s="402"/>
    </row>
    <row r="11" spans="3:18" ht="14.25" x14ac:dyDescent="0.45">
      <c r="C11" s="432" t="s">
        <v>293</v>
      </c>
      <c r="D11" s="404">
        <v>3980</v>
      </c>
      <c r="E11" s="405">
        <v>8029</v>
      </c>
      <c r="F11" s="406">
        <f t="shared" ref="F11:F18" si="2">D11+E11</f>
        <v>12009</v>
      </c>
      <c r="H11" s="402"/>
      <c r="K11" s="485" t="s">
        <v>79</v>
      </c>
      <c r="L11" s="444">
        <f>F8</f>
        <v>20066</v>
      </c>
      <c r="M11" s="445">
        <f>L11*(1+M7)</f>
        <v>27045.200323637306</v>
      </c>
      <c r="N11" s="445">
        <f t="shared" ref="N11:Q11" si="3">M11*(1+N7)</f>
        <v>36511.020436910367</v>
      </c>
      <c r="O11" s="445">
        <f t="shared" si="3"/>
        <v>50020.097998567209</v>
      </c>
      <c r="P11" s="445">
        <f t="shared" si="3"/>
        <v>68027.333278051403</v>
      </c>
      <c r="Q11" s="486">
        <f t="shared" si="3"/>
        <v>91156.626592588887</v>
      </c>
      <c r="R11" s="402"/>
    </row>
    <row r="12" spans="3:18" ht="14.25" x14ac:dyDescent="0.45">
      <c r="C12" s="432" t="s">
        <v>294</v>
      </c>
      <c r="D12" s="404">
        <v>909.4</v>
      </c>
      <c r="E12" s="405">
        <v>0</v>
      </c>
      <c r="F12" s="406">
        <f t="shared" si="2"/>
        <v>909.4</v>
      </c>
      <c r="H12" s="402"/>
      <c r="K12" s="485" t="s">
        <v>118</v>
      </c>
      <c r="L12" s="444">
        <f>F14</f>
        <v>3157</v>
      </c>
      <c r="M12" s="445">
        <f>M34*M11</f>
        <v>4255.0432284323215</v>
      </c>
      <c r="N12" s="445">
        <f>N34*N11</f>
        <v>6937.0938830129699</v>
      </c>
      <c r="O12" s="445">
        <f>O34*O11</f>
        <v>11004.421559684786</v>
      </c>
      <c r="P12" s="445">
        <f>P11*O34</f>
        <v>14966.013321171309</v>
      </c>
      <c r="Q12" s="486">
        <f>Q11*O34</f>
        <v>20054.457850369556</v>
      </c>
      <c r="R12" s="402"/>
    </row>
    <row r="13" spans="3:18" ht="14.25" x14ac:dyDescent="0.45">
      <c r="C13" s="433" t="s">
        <v>295</v>
      </c>
      <c r="D13" s="410">
        <v>42.6</v>
      </c>
      <c r="E13" s="411">
        <v>792</v>
      </c>
      <c r="F13" s="412">
        <f t="shared" si="2"/>
        <v>834.6</v>
      </c>
      <c r="H13" s="402"/>
      <c r="K13" s="485" t="s">
        <v>119</v>
      </c>
      <c r="L13" s="444">
        <f>L12*(1-I21)</f>
        <v>3157</v>
      </c>
      <c r="M13" s="487">
        <f>M12*(1-($I$20/100))</f>
        <v>4255.0432284323215</v>
      </c>
      <c r="N13" s="487">
        <f t="shared" ref="N13:Q13" si="4">N12*(1-($I$20/100))</f>
        <v>6937.0938830129699</v>
      </c>
      <c r="O13" s="487">
        <f t="shared" si="4"/>
        <v>11004.421559684786</v>
      </c>
      <c r="P13" s="487">
        <f t="shared" si="4"/>
        <v>14966.013321171309</v>
      </c>
      <c r="Q13" s="488">
        <f t="shared" si="4"/>
        <v>20054.457850369556</v>
      </c>
      <c r="R13" s="402"/>
    </row>
    <row r="14" spans="3:18" ht="14.25" x14ac:dyDescent="0.45">
      <c r="C14" s="434" t="s">
        <v>296</v>
      </c>
      <c r="D14" s="413">
        <f t="shared" ref="D14:F14" si="5">D10-(D11+D12+D13)</f>
        <v>1968</v>
      </c>
      <c r="E14" s="414">
        <f t="shared" si="5"/>
        <v>1189</v>
      </c>
      <c r="F14" s="415">
        <f t="shared" si="5"/>
        <v>3157</v>
      </c>
      <c r="H14" s="402"/>
      <c r="K14" s="485" t="s">
        <v>120</v>
      </c>
      <c r="L14" s="444">
        <f>'[1]Merged IS'!E11</f>
        <v>834.6</v>
      </c>
      <c r="M14" s="445">
        <f>M11*M33</f>
        <v>1124.8840920017788</v>
      </c>
      <c r="N14" s="445">
        <f>N11*N33</f>
        <v>1825.5510218455183</v>
      </c>
      <c r="O14" s="445">
        <f>O11*O33</f>
        <v>2000.8039199426885</v>
      </c>
      <c r="P14" s="445">
        <f>P11*O33</f>
        <v>2721.093331122056</v>
      </c>
      <c r="Q14" s="486">
        <f>Q11*O33</f>
        <v>3646.2650637035554</v>
      </c>
      <c r="R14" s="402"/>
    </row>
    <row r="15" spans="3:18" ht="14.25" x14ac:dyDescent="0.45">
      <c r="C15" s="432" t="s">
        <v>297</v>
      </c>
      <c r="D15" s="404">
        <v>162</v>
      </c>
      <c r="E15" s="405">
        <v>-217</v>
      </c>
      <c r="F15" s="406">
        <f t="shared" si="2"/>
        <v>-55</v>
      </c>
      <c r="H15" s="402"/>
      <c r="K15" s="485" t="s">
        <v>121</v>
      </c>
      <c r="L15" s="444">
        <f>'[1]EXPE FCFF'!F13+'[1]ABNB FCFF'!F12</f>
        <v>-1553.7249999999999</v>
      </c>
      <c r="M15" s="445">
        <f>M11*M35</f>
        <v>838.40121003275647</v>
      </c>
      <c r="N15" s="445">
        <f>N11*N35</f>
        <v>1460.4408174764146</v>
      </c>
      <c r="O15" s="445">
        <f>O11*O35</f>
        <v>2501.0048999283608</v>
      </c>
      <c r="P15" s="445">
        <f>P11*O35</f>
        <v>3401.3666639025705</v>
      </c>
      <c r="Q15" s="486">
        <f>Q11*O35</f>
        <v>4557.8313296294446</v>
      </c>
      <c r="R15" s="402"/>
    </row>
    <row r="16" spans="3:18" ht="14.25" x14ac:dyDescent="0.45">
      <c r="C16" s="432" t="s">
        <v>298</v>
      </c>
      <c r="D16" s="416">
        <v>-5.4</v>
      </c>
      <c r="E16" s="417">
        <v>0</v>
      </c>
      <c r="F16" s="406">
        <f t="shared" si="2"/>
        <v>-5.4</v>
      </c>
      <c r="H16" s="402"/>
      <c r="K16" s="489" t="s">
        <v>122</v>
      </c>
      <c r="L16" s="446">
        <f>'[1]Merged BS'!E62</f>
        <v>2740</v>
      </c>
      <c r="M16" s="447">
        <f>M11*N36</f>
        <v>1352.2600161818655</v>
      </c>
      <c r="N16" s="447">
        <f>N11*N36</f>
        <v>1825.5510218455183</v>
      </c>
      <c r="O16" s="447">
        <f>O11*O36</f>
        <v>1500.6029399570161</v>
      </c>
      <c r="P16" s="447">
        <f>P11*O36</f>
        <v>2040.819998341542</v>
      </c>
      <c r="Q16" s="490">
        <f>Q11*O36</f>
        <v>2734.6987977776666</v>
      </c>
      <c r="R16" s="402"/>
    </row>
    <row r="17" spans="3:18" ht="14.25" x14ac:dyDescent="0.45">
      <c r="C17" s="432" t="s">
        <v>299</v>
      </c>
      <c r="D17" s="404">
        <v>28.4</v>
      </c>
      <c r="E17" s="405">
        <v>-43</v>
      </c>
      <c r="F17" s="406">
        <f t="shared" si="2"/>
        <v>-14.600000000000001</v>
      </c>
      <c r="H17" s="402"/>
      <c r="K17" s="491" t="s">
        <v>123</v>
      </c>
      <c r="L17" s="444">
        <f t="shared" ref="L17:Q17" si="6">L13+L14-L15-L16</f>
        <v>2805.3249999999998</v>
      </c>
      <c r="M17" s="445">
        <f t="shared" si="6"/>
        <v>3189.2660942194789</v>
      </c>
      <c r="N17" s="445">
        <f t="shared" si="6"/>
        <v>5476.6530655365541</v>
      </c>
      <c r="O17" s="445">
        <f t="shared" si="6"/>
        <v>9003.6176397420986</v>
      </c>
      <c r="P17" s="445">
        <f t="shared" si="6"/>
        <v>12244.919990049253</v>
      </c>
      <c r="Q17" s="486">
        <f t="shared" si="6"/>
        <v>16408.192786666001</v>
      </c>
      <c r="R17" s="402"/>
    </row>
    <row r="18" spans="3:18" ht="14.25" x14ac:dyDescent="0.45">
      <c r="C18" s="432" t="s">
        <v>88</v>
      </c>
      <c r="D18" s="418">
        <v>-164</v>
      </c>
      <c r="E18" s="419">
        <v>-391</v>
      </c>
      <c r="F18" s="406">
        <f t="shared" si="2"/>
        <v>-555</v>
      </c>
      <c r="H18" s="402"/>
      <c r="K18" s="485"/>
      <c r="L18" s="444"/>
      <c r="M18" s="445"/>
      <c r="N18" s="445"/>
      <c r="O18" s="445"/>
      <c r="P18" s="445"/>
      <c r="Q18" s="486">
        <f>Q17*(1+D29)/D45</f>
        <v>221765.34060530167</v>
      </c>
      <c r="R18" s="443" t="s">
        <v>238</v>
      </c>
    </row>
    <row r="19" spans="3:18" ht="14.65" thickBot="1" x14ac:dyDescent="0.5">
      <c r="C19" s="431" t="s">
        <v>300</v>
      </c>
      <c r="D19" s="407">
        <f t="shared" ref="D19:E19" si="7">D14+(D15+D16+D17+D18)</f>
        <v>1989</v>
      </c>
      <c r="E19" s="408">
        <f t="shared" si="7"/>
        <v>538</v>
      </c>
      <c r="F19" s="409">
        <f>F14+(F15+F16+F17+F18)</f>
        <v>2527</v>
      </c>
      <c r="H19" s="402"/>
      <c r="K19" s="492" t="s">
        <v>124</v>
      </c>
      <c r="L19" s="493"/>
      <c r="M19" s="494">
        <f t="shared" ref="M19:Q19" si="8">SUM(M17:M18)</f>
        <v>3189.2660942194789</v>
      </c>
      <c r="N19" s="494">
        <f t="shared" si="8"/>
        <v>5476.6530655365541</v>
      </c>
      <c r="O19" s="494">
        <f t="shared" si="8"/>
        <v>9003.6176397420986</v>
      </c>
      <c r="P19" s="494">
        <f t="shared" si="8"/>
        <v>12244.919990049253</v>
      </c>
      <c r="Q19" s="495">
        <f t="shared" si="8"/>
        <v>238173.53339196768</v>
      </c>
      <c r="R19" s="402"/>
    </row>
    <row r="20" spans="3:18" ht="14.65" thickBot="1" x14ac:dyDescent="0.5">
      <c r="C20" s="432" t="s">
        <v>301</v>
      </c>
      <c r="D20" s="404">
        <v>-96</v>
      </c>
      <c r="E20" s="405">
        <v>-195</v>
      </c>
      <c r="F20" s="412">
        <f>D20+E20</f>
        <v>-291</v>
      </c>
      <c r="H20" s="402"/>
      <c r="K20" s="402"/>
      <c r="L20" s="443"/>
      <c r="R20" s="402"/>
    </row>
    <row r="21" spans="3:18" ht="14.65" thickBot="1" x14ac:dyDescent="0.5">
      <c r="C21" s="435" t="s">
        <v>302</v>
      </c>
      <c r="D21" s="420">
        <v>0</v>
      </c>
      <c r="E21" s="421">
        <v>9</v>
      </c>
      <c r="F21" s="422">
        <f>D21+E21</f>
        <v>9</v>
      </c>
      <c r="H21" s="402"/>
      <c r="K21" s="448" t="s">
        <v>139</v>
      </c>
      <c r="L21" s="449">
        <f>NPV(D45,M19:Q19)</f>
        <v>189323.41308077754</v>
      </c>
      <c r="R21" s="402"/>
    </row>
    <row r="22" spans="3:18" ht="14.25" x14ac:dyDescent="0.45">
      <c r="C22" s="436" t="s">
        <v>44</v>
      </c>
      <c r="D22" s="423">
        <f t="shared" ref="D22:E22" si="9">D19+(D20+D21)</f>
        <v>1893</v>
      </c>
      <c r="E22" s="424">
        <f t="shared" si="9"/>
        <v>352</v>
      </c>
      <c r="F22" s="425">
        <f>F19+(F20+F21)</f>
        <v>2245</v>
      </c>
      <c r="H22" s="402"/>
      <c r="K22" s="450" t="s">
        <v>140</v>
      </c>
      <c r="L22" s="451">
        <f>'[1]EXPE FCFF'!F20+'[1]ABNB FCFF'!F20</f>
        <v>2292</v>
      </c>
      <c r="R22" s="402"/>
    </row>
    <row r="23" spans="3:18" ht="14.65" thickBot="1" x14ac:dyDescent="0.5">
      <c r="C23" s="437" t="s">
        <v>303</v>
      </c>
      <c r="D23" s="426">
        <v>0</v>
      </c>
      <c r="E23" s="427">
        <v>0</v>
      </c>
      <c r="F23" s="428">
        <f>SUM(B23:C23)</f>
        <v>0</v>
      </c>
      <c r="H23" s="402"/>
      <c r="K23" s="452" t="s">
        <v>141</v>
      </c>
      <c r="L23" s="453">
        <f>'[1]EXPE FCFF'!F21+'[1]ABNB FCFF'!F21</f>
        <v>-73</v>
      </c>
      <c r="R23" s="402"/>
    </row>
    <row r="24" spans="3:18" ht="14.65" thickBot="1" x14ac:dyDescent="0.5">
      <c r="K24" s="448" t="s">
        <v>144</v>
      </c>
      <c r="L24" s="454">
        <f>L21+L22+L23</f>
        <v>191542.41308077754</v>
      </c>
      <c r="R24" s="402"/>
    </row>
    <row r="25" spans="3:18" ht="14.65" thickBot="1" x14ac:dyDescent="0.5">
      <c r="K25" s="455" t="s">
        <v>143</v>
      </c>
      <c r="L25" s="456">
        <f>'[1]EXPE FCFF'!F23+'[1]ABNB FCFF'!F23</f>
        <v>-8893</v>
      </c>
      <c r="R25" s="402"/>
    </row>
    <row r="26" spans="3:18" ht="14.65" thickBot="1" x14ac:dyDescent="0.5">
      <c r="C26" s="438" t="s">
        <v>102</v>
      </c>
      <c r="D26" s="439">
        <f>SUMMARY!K12</f>
        <v>104.5</v>
      </c>
      <c r="K26" s="448" t="s">
        <v>304</v>
      </c>
      <c r="L26" s="454">
        <f>L24+L25</f>
        <v>182649.41308077754</v>
      </c>
      <c r="R26" s="402"/>
    </row>
    <row r="27" spans="3:18" ht="14.65" thickBot="1" x14ac:dyDescent="0.5">
      <c r="C27" s="402"/>
      <c r="D27" s="402"/>
      <c r="K27" s="450" t="s">
        <v>145</v>
      </c>
      <c r="L27" s="457">
        <f>'[1]Goodwill '!B10+'[1]ABNB FCFF'!C7</f>
        <v>803.32656280701758</v>
      </c>
      <c r="R27" s="402"/>
    </row>
    <row r="28" spans="3:18" ht="14.65" thickBot="1" x14ac:dyDescent="0.5">
      <c r="C28" s="564" t="s">
        <v>103</v>
      </c>
      <c r="D28" s="565"/>
      <c r="K28" s="458" t="s">
        <v>146</v>
      </c>
      <c r="L28" s="563">
        <f>(L26/L27)*(1+I16)</f>
        <v>227.36633087614612</v>
      </c>
      <c r="R28" s="402"/>
    </row>
    <row r="29" spans="3:18" ht="14.65" thickBot="1" x14ac:dyDescent="0.5">
      <c r="C29" s="566" t="s">
        <v>104</v>
      </c>
      <c r="D29" s="567">
        <v>2.5000000000000001E-2</v>
      </c>
      <c r="K29" s="402"/>
      <c r="L29" s="443"/>
      <c r="R29" s="402"/>
    </row>
    <row r="30" spans="3:18" ht="14.25" x14ac:dyDescent="0.45">
      <c r="C30" s="463"/>
      <c r="D30" s="463"/>
      <c r="K30" s="402"/>
      <c r="L30" s="443"/>
      <c r="R30" s="402"/>
    </row>
    <row r="31" spans="3:18" ht="14.65" thickBot="1" x14ac:dyDescent="0.5">
      <c r="C31" s="568" t="s">
        <v>105</v>
      </c>
      <c r="D31" s="569">
        <f>EXPEDIA!F157</f>
        <v>153.28</v>
      </c>
      <c r="K31" s="402"/>
      <c r="L31" s="443"/>
      <c r="R31" s="402"/>
    </row>
    <row r="32" spans="3:18" ht="14.25" x14ac:dyDescent="0.45">
      <c r="C32" s="570" t="s">
        <v>106</v>
      </c>
      <c r="D32" s="571">
        <f>D26*D31</f>
        <v>16017.76</v>
      </c>
      <c r="K32" s="496"/>
      <c r="L32" s="468"/>
      <c r="M32" s="497">
        <f>M10</f>
        <v>2023</v>
      </c>
      <c r="N32" s="498">
        <f>N10</f>
        <v>2024</v>
      </c>
      <c r="O32" s="499">
        <f>O10</f>
        <v>2025</v>
      </c>
      <c r="P32" s="497">
        <f>P10</f>
        <v>2026</v>
      </c>
      <c r="Q32" s="498">
        <f>Q10</f>
        <v>2027</v>
      </c>
    </row>
    <row r="33" spans="3:17" ht="14.25" x14ac:dyDescent="0.45">
      <c r="C33" s="572" t="s">
        <v>107</v>
      </c>
      <c r="D33" s="571">
        <f>AIRBNB!B151+EXPEDIA!F159</f>
        <v>16071</v>
      </c>
      <c r="K33" s="500" t="s">
        <v>147</v>
      </c>
      <c r="L33" s="459"/>
      <c r="M33" s="460">
        <f>F13/F8</f>
        <v>4.159274394498156E-2</v>
      </c>
      <c r="N33" s="501">
        <v>0.05</v>
      </c>
      <c r="O33" s="502">
        <v>0.04</v>
      </c>
      <c r="P33" s="461"/>
      <c r="Q33" s="503"/>
    </row>
    <row r="34" spans="3:17" ht="14.25" x14ac:dyDescent="0.45">
      <c r="C34" s="568" t="s">
        <v>108</v>
      </c>
      <c r="D34" s="573">
        <v>1.28</v>
      </c>
      <c r="K34" s="500" t="s">
        <v>148</v>
      </c>
      <c r="L34" s="459"/>
      <c r="M34" s="460">
        <f>F14/F8</f>
        <v>0.15733080833250274</v>
      </c>
      <c r="N34" s="501">
        <v>0.19</v>
      </c>
      <c r="O34" s="502">
        <v>0.22</v>
      </c>
      <c r="P34" s="461"/>
      <c r="Q34" s="503"/>
    </row>
    <row r="35" spans="3:17" ht="14.25" x14ac:dyDescent="0.45">
      <c r="C35" s="570" t="s">
        <v>109</v>
      </c>
      <c r="D35" s="573">
        <v>3.82</v>
      </c>
      <c r="K35" s="500" t="s">
        <v>128</v>
      </c>
      <c r="L35" s="459"/>
      <c r="M35" s="460">
        <v>3.1E-2</v>
      </c>
      <c r="N35" s="501">
        <v>0.04</v>
      </c>
      <c r="O35" s="502">
        <v>0.05</v>
      </c>
      <c r="P35" s="461"/>
      <c r="Q35" s="503"/>
    </row>
    <row r="36" spans="3:17" ht="14.65" thickBot="1" x14ac:dyDescent="0.5">
      <c r="C36" s="570" t="s">
        <v>110</v>
      </c>
      <c r="D36" s="574">
        <v>6.06</v>
      </c>
      <c r="K36" s="504" t="s">
        <v>149</v>
      </c>
      <c r="L36" s="505"/>
      <c r="M36" s="506">
        <v>0.04</v>
      </c>
      <c r="N36" s="507">
        <v>0.05</v>
      </c>
      <c r="O36" s="508">
        <v>0.03</v>
      </c>
      <c r="P36" s="509"/>
      <c r="Q36" s="510"/>
    </row>
    <row r="37" spans="3:17" ht="13.9" x14ac:dyDescent="0.4">
      <c r="C37" s="575" t="s">
        <v>48</v>
      </c>
      <c r="D37" s="576">
        <f>(D35+(D34*D36))/100</f>
        <v>0.11576799999999998</v>
      </c>
    </row>
    <row r="38" spans="3:17" ht="14.25" x14ac:dyDescent="0.45">
      <c r="C38" s="568" t="s">
        <v>111</v>
      </c>
      <c r="D38" s="577">
        <f>D32/(D32+D33)</f>
        <v>0.49917042603079703</v>
      </c>
    </row>
    <row r="39" spans="3:17" ht="14.25" x14ac:dyDescent="0.45">
      <c r="C39" s="572" t="s">
        <v>112</v>
      </c>
      <c r="D39" s="577">
        <f>1-D38</f>
        <v>0.50082957396920302</v>
      </c>
    </row>
    <row r="40" spans="3:17" ht="14.25" x14ac:dyDescent="0.45">
      <c r="C40" s="568" t="s">
        <v>113</v>
      </c>
      <c r="D40" s="573">
        <v>1.48</v>
      </c>
    </row>
    <row r="41" spans="3:17" ht="14.25" x14ac:dyDescent="0.45">
      <c r="C41" s="570" t="s">
        <v>47</v>
      </c>
      <c r="D41" s="577">
        <f>(D40*D35)/100</f>
        <v>5.6536000000000003E-2</v>
      </c>
    </row>
    <row r="42" spans="3:17" ht="14.25" x14ac:dyDescent="0.45">
      <c r="C42" s="570" t="s">
        <v>56</v>
      </c>
      <c r="D42" s="578">
        <v>0.36249999999999999</v>
      </c>
    </row>
    <row r="43" spans="3:17" ht="13.9" x14ac:dyDescent="0.4">
      <c r="C43" s="575" t="s">
        <v>114</v>
      </c>
      <c r="D43" s="579">
        <f>(1-D42)*D41</f>
        <v>3.6041699999999996E-2</v>
      </c>
    </row>
    <row r="44" spans="3:17" ht="14.25" x14ac:dyDescent="0.45">
      <c r="C44" s="402"/>
      <c r="D44" s="402"/>
    </row>
    <row r="45" spans="3:17" ht="13.9" x14ac:dyDescent="0.4">
      <c r="C45" s="440" t="s">
        <v>49</v>
      </c>
      <c r="D45" s="580">
        <f>((D39*D43)+(D38*D37))</f>
        <v>7.5838711136859124E-2</v>
      </c>
    </row>
  </sheetData>
  <mergeCells count="11">
    <mergeCell ref="K34:L34"/>
    <mergeCell ref="O34:Q34"/>
    <mergeCell ref="K35:L35"/>
    <mergeCell ref="O35:Q35"/>
    <mergeCell ref="K4:Q4"/>
    <mergeCell ref="K36:L36"/>
    <mergeCell ref="O36:Q36"/>
    <mergeCell ref="C28:D28"/>
    <mergeCell ref="M5:Q6"/>
    <mergeCell ref="K33:L33"/>
    <mergeCell ref="O33:Q33"/>
  </mergeCells>
  <conditionalFormatting sqref="D29">
    <cfRule type="cellIs" dxfId="2" priority="1" operator="greaterThan">
      <formula>0.03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2876-C97A-4541-BE0F-8FFFE7317624}">
  <dimension ref="C2:G63"/>
  <sheetViews>
    <sheetView tabSelected="1" topLeftCell="B5" zoomScale="132" workbookViewId="0">
      <selection activeCell="J15" sqref="J15"/>
    </sheetView>
  </sheetViews>
  <sheetFormatPr defaultRowHeight="12.75" x14ac:dyDescent="0.35"/>
  <cols>
    <col min="3" max="3" width="32.53125" customWidth="1"/>
    <col min="4" max="4" width="15" customWidth="1"/>
    <col min="5" max="5" width="12.86328125" customWidth="1"/>
    <col min="6" max="6" width="13.796875" customWidth="1"/>
  </cols>
  <sheetData>
    <row r="2" spans="3:6" ht="25.5" x14ac:dyDescent="0.75">
      <c r="C2" s="396" t="s">
        <v>306</v>
      </c>
    </row>
    <row r="3" spans="3:6" ht="13.15" x14ac:dyDescent="0.4">
      <c r="C3" s="511"/>
    </row>
    <row r="4" spans="3:6" ht="13.15" x14ac:dyDescent="0.4">
      <c r="C4" s="122"/>
      <c r="D4" s="585" t="s">
        <v>286</v>
      </c>
      <c r="E4" s="585" t="s">
        <v>287</v>
      </c>
      <c r="F4" s="122"/>
    </row>
    <row r="5" spans="3:6" ht="14.25" thickBot="1" x14ac:dyDescent="0.45">
      <c r="C5" s="581" t="s">
        <v>307</v>
      </c>
      <c r="D5" s="582">
        <v>2022</v>
      </c>
      <c r="E5" s="583">
        <v>2022</v>
      </c>
      <c r="F5" s="584" t="s">
        <v>289</v>
      </c>
    </row>
    <row r="6" spans="3:6" ht="14.25" x14ac:dyDescent="0.45">
      <c r="C6" s="512" t="s">
        <v>308</v>
      </c>
      <c r="D6" s="528"/>
      <c r="E6" s="463"/>
      <c r="F6" s="529"/>
    </row>
    <row r="7" spans="3:6" ht="14.25" x14ac:dyDescent="0.45">
      <c r="C7" s="512" t="s">
        <v>309</v>
      </c>
      <c r="D7" s="528"/>
      <c r="E7" s="463"/>
      <c r="F7" s="529"/>
    </row>
    <row r="8" spans="3:6" ht="14.25" x14ac:dyDescent="0.45">
      <c r="C8" s="513"/>
      <c r="D8" s="528"/>
      <c r="E8" s="463"/>
      <c r="F8" s="529"/>
    </row>
    <row r="9" spans="3:6" ht="14.25" x14ac:dyDescent="0.45">
      <c r="C9" s="513" t="s">
        <v>310</v>
      </c>
      <c r="D9" s="530">
        <v>7378</v>
      </c>
      <c r="E9" s="531">
        <v>4096</v>
      </c>
      <c r="F9" s="532">
        <f>D9+E9</f>
        <v>11474</v>
      </c>
    </row>
    <row r="10" spans="3:6" ht="14.25" x14ac:dyDescent="0.45">
      <c r="C10" s="513" t="s">
        <v>311</v>
      </c>
      <c r="D10" s="533">
        <v>2244</v>
      </c>
      <c r="E10" s="534">
        <v>48</v>
      </c>
      <c r="F10" s="535">
        <f t="shared" ref="F10:F13" si="0">D10+E10</f>
        <v>2292</v>
      </c>
    </row>
    <row r="11" spans="3:6" ht="14.25" x14ac:dyDescent="0.45">
      <c r="C11" s="513" t="s">
        <v>312</v>
      </c>
      <c r="D11" s="530">
        <v>0</v>
      </c>
      <c r="E11" s="531">
        <v>2078</v>
      </c>
      <c r="F11" s="532">
        <f t="shared" si="0"/>
        <v>2078</v>
      </c>
    </row>
    <row r="12" spans="3:6" ht="14.25" x14ac:dyDescent="0.45">
      <c r="C12" s="513" t="s">
        <v>18</v>
      </c>
      <c r="D12" s="530">
        <v>0</v>
      </c>
      <c r="E12" s="531">
        <v>0</v>
      </c>
      <c r="F12" s="532">
        <f t="shared" si="0"/>
        <v>0</v>
      </c>
    </row>
    <row r="13" spans="3:6" ht="14.25" x14ac:dyDescent="0.45">
      <c r="C13" s="513" t="s">
        <v>313</v>
      </c>
      <c r="D13" s="530">
        <v>5239</v>
      </c>
      <c r="E13" s="531">
        <v>2569</v>
      </c>
      <c r="F13" s="532">
        <f t="shared" si="0"/>
        <v>7808</v>
      </c>
    </row>
    <row r="14" spans="3:6" ht="13.9" x14ac:dyDescent="0.4">
      <c r="C14" s="514" t="s">
        <v>20</v>
      </c>
      <c r="D14" s="536">
        <f t="shared" ref="D14:F14" si="1">SUM(D9:D13)</f>
        <v>14861</v>
      </c>
      <c r="E14" s="537">
        <f t="shared" si="1"/>
        <v>8791</v>
      </c>
      <c r="F14" s="538">
        <f t="shared" si="1"/>
        <v>23652</v>
      </c>
    </row>
    <row r="15" spans="3:6" ht="13.9" x14ac:dyDescent="0.4">
      <c r="C15" s="512"/>
      <c r="D15" s="539"/>
      <c r="E15" s="540"/>
      <c r="F15" s="541"/>
    </row>
    <row r="16" spans="3:6" ht="14.25" x14ac:dyDescent="0.45">
      <c r="C16" s="512" t="s">
        <v>314</v>
      </c>
      <c r="D16" s="542"/>
      <c r="E16" s="462"/>
      <c r="F16" s="543"/>
    </row>
    <row r="17" spans="3:6" ht="14.25" x14ac:dyDescent="0.45">
      <c r="C17" s="513" t="s">
        <v>315</v>
      </c>
      <c r="D17" s="530">
        <v>571</v>
      </c>
      <c r="E17" s="531">
        <v>5317</v>
      </c>
      <c r="F17" s="532">
        <f>D17+E17</f>
        <v>5888</v>
      </c>
    </row>
    <row r="18" spans="3:6" ht="14.25" x14ac:dyDescent="0.45">
      <c r="C18" s="513" t="s">
        <v>316</v>
      </c>
      <c r="D18" s="530">
        <v>312</v>
      </c>
      <c r="E18" s="531">
        <v>2744</v>
      </c>
      <c r="F18" s="532">
        <f t="shared" ref="F18:F21" si="2">D18+E18</f>
        <v>3056</v>
      </c>
    </row>
    <row r="19" spans="3:6" ht="14.25" x14ac:dyDescent="0.45">
      <c r="C19" s="513" t="s">
        <v>317</v>
      </c>
      <c r="D19" s="530">
        <v>0</v>
      </c>
      <c r="E19" s="531">
        <v>1184</v>
      </c>
      <c r="F19" s="532">
        <f t="shared" si="2"/>
        <v>1184</v>
      </c>
    </row>
    <row r="20" spans="3:6" ht="14.25" x14ac:dyDescent="0.45">
      <c r="C20" s="513" t="s">
        <v>318</v>
      </c>
      <c r="D20" s="530">
        <v>684</v>
      </c>
      <c r="E20" s="531">
        <v>8352</v>
      </c>
      <c r="F20" s="532">
        <f>D20+E20+'[1]Goodwill '!C19</f>
        <v>9036</v>
      </c>
    </row>
    <row r="21" spans="3:6" ht="14.25" x14ac:dyDescent="0.45">
      <c r="C21" s="513" t="s">
        <v>319</v>
      </c>
      <c r="D21" s="530">
        <v>234</v>
      </c>
      <c r="E21" s="531">
        <v>661</v>
      </c>
      <c r="F21" s="532">
        <f t="shared" si="2"/>
        <v>895</v>
      </c>
    </row>
    <row r="22" spans="3:6" ht="14.25" thickBot="1" x14ac:dyDescent="0.45">
      <c r="C22" s="516" t="s">
        <v>320</v>
      </c>
      <c r="D22" s="592">
        <f t="shared" ref="D22:F22" si="3">(D17-D18)+D19+D21+D20</f>
        <v>1177</v>
      </c>
      <c r="E22" s="593">
        <f t="shared" si="3"/>
        <v>12770</v>
      </c>
      <c r="F22" s="594">
        <f t="shared" si="3"/>
        <v>13947</v>
      </c>
    </row>
    <row r="23" spans="3:6" ht="14.25" thickBot="1" x14ac:dyDescent="0.45">
      <c r="C23" s="517" t="s">
        <v>30</v>
      </c>
      <c r="D23" s="544">
        <f t="shared" ref="D23:F23" si="4">D22+D14</f>
        <v>16038</v>
      </c>
      <c r="E23" s="545">
        <f t="shared" si="4"/>
        <v>21561</v>
      </c>
      <c r="F23" s="546">
        <f t="shared" si="4"/>
        <v>37599</v>
      </c>
    </row>
    <row r="24" spans="3:6" ht="13.9" x14ac:dyDescent="0.4">
      <c r="C24" s="512"/>
      <c r="D24" s="539"/>
      <c r="E24" s="540"/>
      <c r="F24" s="541"/>
    </row>
    <row r="25" spans="3:6" ht="14.25" x14ac:dyDescent="0.45">
      <c r="C25" s="512" t="s">
        <v>321</v>
      </c>
      <c r="D25" s="542"/>
      <c r="E25" s="462"/>
      <c r="F25" s="543"/>
    </row>
    <row r="26" spans="3:6" ht="14.25" x14ac:dyDescent="0.45">
      <c r="C26" s="512" t="s">
        <v>31</v>
      </c>
      <c r="D26" s="542"/>
      <c r="E26" s="462"/>
      <c r="F26" s="543"/>
    </row>
    <row r="27" spans="3:6" ht="14.25" x14ac:dyDescent="0.45">
      <c r="C27" s="513" t="s">
        <v>322</v>
      </c>
      <c r="D27" s="530">
        <v>137</v>
      </c>
      <c r="E27" s="531">
        <v>1709</v>
      </c>
      <c r="F27" s="532">
        <f>D27+E27</f>
        <v>1846</v>
      </c>
    </row>
    <row r="28" spans="3:6" ht="14.25" x14ac:dyDescent="0.45">
      <c r="C28" s="513" t="s">
        <v>323</v>
      </c>
      <c r="D28" s="530">
        <v>0</v>
      </c>
      <c r="E28" s="531">
        <v>21</v>
      </c>
      <c r="F28" s="532">
        <f t="shared" ref="F28:F35" si="5">D28+E28</f>
        <v>21</v>
      </c>
    </row>
    <row r="29" spans="3:6" ht="14.25" x14ac:dyDescent="0.45">
      <c r="C29" s="513" t="s">
        <v>324</v>
      </c>
      <c r="D29" s="530">
        <v>6445</v>
      </c>
      <c r="E29" s="531">
        <v>710</v>
      </c>
      <c r="F29" s="532">
        <f t="shared" si="5"/>
        <v>7155</v>
      </c>
    </row>
    <row r="30" spans="3:6" ht="14.25" x14ac:dyDescent="0.45">
      <c r="C30" s="513" t="s">
        <v>325</v>
      </c>
      <c r="D30" s="530">
        <v>0</v>
      </c>
      <c r="E30" s="531">
        <v>7314</v>
      </c>
      <c r="F30" s="532">
        <f t="shared" si="5"/>
        <v>7314</v>
      </c>
    </row>
    <row r="31" spans="3:6" ht="14.25" x14ac:dyDescent="0.45">
      <c r="C31" s="513" t="s">
        <v>326</v>
      </c>
      <c r="D31" s="530">
        <v>0</v>
      </c>
      <c r="E31" s="531">
        <v>0</v>
      </c>
      <c r="F31" s="532">
        <f t="shared" si="5"/>
        <v>0</v>
      </c>
    </row>
    <row r="32" spans="3:6" ht="14.25" x14ac:dyDescent="0.45">
      <c r="C32" s="513" t="s">
        <v>327</v>
      </c>
      <c r="D32" s="530">
        <v>0</v>
      </c>
      <c r="E32" s="531">
        <v>0</v>
      </c>
      <c r="F32" s="532">
        <f t="shared" si="5"/>
        <v>0</v>
      </c>
    </row>
    <row r="33" spans="3:6" ht="14.25" x14ac:dyDescent="0.45">
      <c r="C33" s="513" t="s">
        <v>90</v>
      </c>
      <c r="D33" s="530">
        <v>59</v>
      </c>
      <c r="E33" s="531">
        <v>77</v>
      </c>
      <c r="F33" s="532">
        <f t="shared" si="5"/>
        <v>136</v>
      </c>
    </row>
    <row r="34" spans="3:6" ht="14.25" x14ac:dyDescent="0.45">
      <c r="C34" s="513" t="s">
        <v>328</v>
      </c>
      <c r="D34" s="530">
        <v>0</v>
      </c>
      <c r="E34" s="531">
        <v>0</v>
      </c>
      <c r="F34" s="532">
        <f t="shared" si="5"/>
        <v>0</v>
      </c>
    </row>
    <row r="35" spans="3:6" ht="14.65" thickBot="1" x14ac:dyDescent="0.5">
      <c r="C35" s="513" t="s">
        <v>329</v>
      </c>
      <c r="D35" s="530">
        <v>1337</v>
      </c>
      <c r="E35" s="531">
        <v>947</v>
      </c>
      <c r="F35" s="532">
        <f t="shared" si="5"/>
        <v>2284</v>
      </c>
    </row>
    <row r="36" spans="3:6" ht="14.25" thickBot="1" x14ac:dyDescent="0.45">
      <c r="C36" s="517" t="s">
        <v>33</v>
      </c>
      <c r="D36" s="547">
        <f t="shared" ref="D36:F36" si="6">SUM(D27:D35)</f>
        <v>7978</v>
      </c>
      <c r="E36" s="548">
        <f t="shared" si="6"/>
        <v>10778</v>
      </c>
      <c r="F36" s="549">
        <f t="shared" si="6"/>
        <v>18756</v>
      </c>
    </row>
    <row r="37" spans="3:6" ht="13.9" x14ac:dyDescent="0.4">
      <c r="C37" s="512"/>
      <c r="D37" s="539"/>
      <c r="E37" s="540"/>
      <c r="F37" s="541"/>
    </row>
    <row r="38" spans="3:6" ht="14.25" x14ac:dyDescent="0.45">
      <c r="C38" s="512" t="s">
        <v>330</v>
      </c>
      <c r="D38" s="542"/>
      <c r="E38" s="462"/>
      <c r="F38" s="543"/>
    </row>
    <row r="39" spans="3:6" ht="14.25" x14ac:dyDescent="0.45">
      <c r="C39" s="513" t="s">
        <v>331</v>
      </c>
      <c r="D39" s="530">
        <v>1987</v>
      </c>
      <c r="E39" s="531">
        <v>6240</v>
      </c>
      <c r="F39" s="532">
        <f>D39+E39</f>
        <v>8227</v>
      </c>
    </row>
    <row r="40" spans="3:6" ht="14.25" x14ac:dyDescent="0.45">
      <c r="C40" s="513" t="s">
        <v>332</v>
      </c>
      <c r="D40" s="530">
        <v>0</v>
      </c>
      <c r="E40" s="531">
        <v>0</v>
      </c>
      <c r="F40" s="532">
        <f t="shared" ref="F40:F43" si="7">D40+E40</f>
        <v>0</v>
      </c>
    </row>
    <row r="41" spans="3:6" ht="14.25" x14ac:dyDescent="0.45">
      <c r="C41" s="513" t="s">
        <v>92</v>
      </c>
      <c r="D41" s="530">
        <v>295</v>
      </c>
      <c r="E41" s="531">
        <v>312</v>
      </c>
      <c r="F41" s="532">
        <f t="shared" si="7"/>
        <v>607</v>
      </c>
    </row>
    <row r="42" spans="3:6" ht="14.25" x14ac:dyDescent="0.45">
      <c r="C42" s="513" t="s">
        <v>333</v>
      </c>
      <c r="D42" s="530">
        <v>0</v>
      </c>
      <c r="E42" s="531">
        <v>52</v>
      </c>
      <c r="F42" s="532">
        <f t="shared" si="7"/>
        <v>52</v>
      </c>
    </row>
    <row r="43" spans="3:6" ht="14.25" x14ac:dyDescent="0.45">
      <c r="C43" s="513" t="s">
        <v>334</v>
      </c>
      <c r="D43" s="530">
        <v>218</v>
      </c>
      <c r="E43" s="531">
        <v>451</v>
      </c>
      <c r="F43" s="532">
        <f t="shared" si="7"/>
        <v>669</v>
      </c>
    </row>
    <row r="44" spans="3:6" ht="14.25" thickBot="1" x14ac:dyDescent="0.45">
      <c r="C44" s="516" t="s">
        <v>335</v>
      </c>
      <c r="D44" s="550">
        <f t="shared" ref="D44:F44" si="8">SUM(D39:D43)</f>
        <v>2500</v>
      </c>
      <c r="E44" s="551">
        <f t="shared" si="8"/>
        <v>7055</v>
      </c>
      <c r="F44" s="552">
        <f t="shared" si="8"/>
        <v>9555</v>
      </c>
    </row>
    <row r="45" spans="3:6" ht="14.25" thickBot="1" x14ac:dyDescent="0.45">
      <c r="C45" s="517" t="s">
        <v>38</v>
      </c>
      <c r="D45" s="553">
        <f t="shared" ref="D45:F45" si="9">D44+D36</f>
        <v>10478</v>
      </c>
      <c r="E45" s="554">
        <f t="shared" si="9"/>
        <v>17833</v>
      </c>
      <c r="F45" s="549">
        <f t="shared" si="9"/>
        <v>28311</v>
      </c>
    </row>
    <row r="46" spans="3:6" ht="13.9" x14ac:dyDescent="0.4">
      <c r="C46" s="512"/>
      <c r="D46" s="539"/>
      <c r="E46" s="540"/>
      <c r="F46" s="541"/>
    </row>
    <row r="47" spans="3:6" ht="14.25" x14ac:dyDescent="0.45">
      <c r="C47" s="512" t="s">
        <v>336</v>
      </c>
      <c r="D47" s="542"/>
      <c r="E47" s="462"/>
      <c r="F47" s="543"/>
    </row>
    <row r="48" spans="3:6" ht="14.25" x14ac:dyDescent="0.45">
      <c r="C48" s="513" t="s">
        <v>93</v>
      </c>
      <c r="D48" s="530">
        <v>0</v>
      </c>
      <c r="E48" s="531">
        <v>0</v>
      </c>
      <c r="F48" s="555">
        <v>0</v>
      </c>
    </row>
    <row r="49" spans="3:7" ht="14.25" x14ac:dyDescent="0.45">
      <c r="C49" s="513" t="s">
        <v>337</v>
      </c>
      <c r="D49" s="530">
        <v>0</v>
      </c>
      <c r="E49" s="531">
        <v>0</v>
      </c>
      <c r="F49" s="555">
        <v>0</v>
      </c>
    </row>
    <row r="50" spans="3:7" ht="14.25" x14ac:dyDescent="0.45">
      <c r="C50" s="513" t="s">
        <v>338</v>
      </c>
      <c r="D50" s="530">
        <v>0</v>
      </c>
      <c r="E50" s="531">
        <v>0</v>
      </c>
      <c r="F50" s="555">
        <f>'[1]Goodwill '!C12</f>
        <v>0</v>
      </c>
    </row>
    <row r="51" spans="3:7" ht="14.25" x14ac:dyDescent="0.45">
      <c r="C51" s="513" t="s">
        <v>339</v>
      </c>
      <c r="D51" s="530">
        <v>11557</v>
      </c>
      <c r="E51" s="531">
        <v>14795</v>
      </c>
      <c r="F51" s="556">
        <f>11557 +'[1]Goodwill '!C13</f>
        <v>11557</v>
      </c>
    </row>
    <row r="52" spans="3:7" ht="14.25" x14ac:dyDescent="0.45">
      <c r="C52" s="513" t="s">
        <v>340</v>
      </c>
      <c r="D52" s="530">
        <v>0</v>
      </c>
      <c r="E52" s="531">
        <v>10869</v>
      </c>
      <c r="F52" s="555">
        <v>0</v>
      </c>
    </row>
    <row r="53" spans="3:7" ht="14.25" x14ac:dyDescent="0.45">
      <c r="C53" s="513" t="s">
        <v>341</v>
      </c>
      <c r="D53" s="530">
        <v>-5965</v>
      </c>
      <c r="E53" s="531">
        <v>-1409</v>
      </c>
      <c r="F53" s="555">
        <f>-6317+'[1]Merged IS'!E21</f>
        <v>-6317</v>
      </c>
    </row>
    <row r="54" spans="3:7" ht="14.25" x14ac:dyDescent="0.45">
      <c r="C54" s="521" t="s">
        <v>94</v>
      </c>
      <c r="D54" s="557">
        <v>-32</v>
      </c>
      <c r="E54" s="558">
        <v>-234</v>
      </c>
      <c r="F54" s="559">
        <v>-32</v>
      </c>
    </row>
    <row r="55" spans="3:7" ht="14.25" x14ac:dyDescent="0.45">
      <c r="C55" s="513" t="s">
        <v>342</v>
      </c>
      <c r="D55" s="560">
        <f>D51-D52+D53+D54</f>
        <v>5560</v>
      </c>
      <c r="E55" s="561">
        <f>E51-E52+E53+E54</f>
        <v>2283</v>
      </c>
      <c r="F55" s="562">
        <f>F51-F52+F53+F54+F50</f>
        <v>5208</v>
      </c>
    </row>
    <row r="56" spans="3:7" ht="14.65" thickBot="1" x14ac:dyDescent="0.5">
      <c r="C56" s="513" t="s">
        <v>343</v>
      </c>
      <c r="D56" s="530">
        <v>0</v>
      </c>
      <c r="E56" s="531">
        <v>1445</v>
      </c>
      <c r="F56" s="555">
        <v>0</v>
      </c>
    </row>
    <row r="57" spans="3:7" ht="14.25" thickBot="1" x14ac:dyDescent="0.45">
      <c r="C57" s="517" t="s">
        <v>344</v>
      </c>
      <c r="D57" s="518">
        <f>D55+D56</f>
        <v>5560</v>
      </c>
      <c r="E57" s="519">
        <f>E55+E56</f>
        <v>3728</v>
      </c>
      <c r="F57" s="520">
        <f>F55+F56</f>
        <v>5208</v>
      </c>
    </row>
    <row r="58" spans="3:7" ht="13.9" x14ac:dyDescent="0.4">
      <c r="D58" s="515"/>
      <c r="E58" s="522"/>
    </row>
    <row r="59" spans="3:7" ht="13.9" x14ac:dyDescent="0.4">
      <c r="C59" s="523" t="s">
        <v>345</v>
      </c>
      <c r="D59" s="524">
        <f>D57+D45</f>
        <v>16038</v>
      </c>
      <c r="E59" s="525">
        <f>E57+E45</f>
        <v>21561</v>
      </c>
      <c r="F59" s="525">
        <f>F57+F45</f>
        <v>33519</v>
      </c>
      <c r="G59" s="526"/>
    </row>
    <row r="60" spans="3:7" x14ac:dyDescent="0.35">
      <c r="F60" s="526"/>
    </row>
    <row r="61" spans="3:7" x14ac:dyDescent="0.35">
      <c r="C61" s="527" t="s">
        <v>346</v>
      </c>
      <c r="D61" s="527"/>
      <c r="E61" s="527"/>
    </row>
    <row r="63" spans="3:7" x14ac:dyDescent="0.35">
      <c r="C63" t="s">
        <v>136</v>
      </c>
      <c r="F63" s="526">
        <f>F9+F11+F13-F27-F28-F29-F30-F35</f>
        <v>2740</v>
      </c>
    </row>
  </sheetData>
  <conditionalFormatting sqref="D22:F22">
    <cfRule type="notContainsBlanks" dxfId="1" priority="2">
      <formula>LEN(TRIM(D22))&gt;0</formula>
    </cfRule>
  </conditionalFormatting>
  <conditionalFormatting sqref="D57:F57">
    <cfRule type="cellIs" dxfId="0" priority="1" operator="notEqual">
      <formula>$E$24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AIRBNB</vt:lpstr>
      <vt:lpstr>EXPEDIA</vt:lpstr>
      <vt:lpstr>Goodwill</vt:lpstr>
      <vt:lpstr>Merged IS</vt:lpstr>
      <vt:lpstr>Merged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Bolster</dc:creator>
  <cp:lastModifiedBy>Varun Jain</cp:lastModifiedBy>
  <cp:lastPrinted>2004-05-27T15:28:03Z</cp:lastPrinted>
  <dcterms:created xsi:type="dcterms:W3CDTF">2004-05-17T02:46:34Z</dcterms:created>
  <dcterms:modified xsi:type="dcterms:W3CDTF">2023-06-30T17:50:23Z</dcterms:modified>
</cp:coreProperties>
</file>