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ython\Machine Learning\Stock Prediction\"/>
    </mc:Choice>
  </mc:AlternateContent>
  <xr:revisionPtr revIDLastSave="0" documentId="13_ncr:1_{A5FC5898-B0CA-403C-B1DC-92FB31A5CB37}" xr6:coauthVersionLast="36" xr6:coauthVersionMax="36" xr10:uidLastSave="{00000000-0000-0000-0000-000000000000}"/>
  <bookViews>
    <workbookView xWindow="0" yWindow="0" windowWidth="23040" windowHeight="906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501" i="1" l="1"/>
  <c r="G501" i="1"/>
  <c r="F501" i="1"/>
  <c r="E501" i="1"/>
  <c r="D501" i="1"/>
  <c r="C501" i="1"/>
  <c r="B501" i="1"/>
  <c r="J500" i="1"/>
  <c r="G500" i="1"/>
  <c r="F500" i="1"/>
  <c r="E500" i="1"/>
  <c r="D500" i="1"/>
  <c r="C500" i="1"/>
  <c r="B500" i="1"/>
  <c r="J499" i="1"/>
  <c r="G499" i="1"/>
  <c r="F499" i="1"/>
  <c r="E499" i="1"/>
  <c r="D499" i="1"/>
  <c r="C499" i="1"/>
  <c r="B499" i="1"/>
  <c r="J498" i="1"/>
  <c r="G498" i="1"/>
  <c r="F498" i="1"/>
  <c r="E498" i="1"/>
  <c r="D498" i="1"/>
  <c r="C498" i="1"/>
  <c r="B498" i="1"/>
  <c r="J497" i="1"/>
  <c r="G497" i="1"/>
  <c r="F497" i="1"/>
  <c r="E497" i="1"/>
  <c r="D497" i="1"/>
  <c r="C497" i="1"/>
  <c r="B497" i="1"/>
  <c r="J496" i="1"/>
  <c r="G496" i="1"/>
  <c r="F496" i="1"/>
  <c r="E496" i="1"/>
  <c r="D496" i="1"/>
  <c r="I496" i="1" s="1"/>
  <c r="C496" i="1"/>
  <c r="B496" i="1"/>
  <c r="J495" i="1"/>
  <c r="G495" i="1"/>
  <c r="F495" i="1"/>
  <c r="E495" i="1"/>
  <c r="D495" i="1"/>
  <c r="C495" i="1"/>
  <c r="B495" i="1"/>
  <c r="J494" i="1"/>
  <c r="G494" i="1"/>
  <c r="F494" i="1"/>
  <c r="E494" i="1"/>
  <c r="D494" i="1"/>
  <c r="C494" i="1"/>
  <c r="B494" i="1"/>
  <c r="J493" i="1"/>
  <c r="G493" i="1"/>
  <c r="F493" i="1"/>
  <c r="E493" i="1"/>
  <c r="D493" i="1"/>
  <c r="C493" i="1"/>
  <c r="B493" i="1"/>
  <c r="J492" i="1"/>
  <c r="G492" i="1"/>
  <c r="F492" i="1"/>
  <c r="E492" i="1"/>
  <c r="D492" i="1"/>
  <c r="C492" i="1"/>
  <c r="B492" i="1"/>
  <c r="J491" i="1"/>
  <c r="G491" i="1"/>
  <c r="F491" i="1"/>
  <c r="E491" i="1"/>
  <c r="D491" i="1"/>
  <c r="C491" i="1"/>
  <c r="B491" i="1"/>
  <c r="J490" i="1"/>
  <c r="G490" i="1"/>
  <c r="F490" i="1"/>
  <c r="E490" i="1"/>
  <c r="D490" i="1"/>
  <c r="C490" i="1"/>
  <c r="B490" i="1"/>
  <c r="J489" i="1"/>
  <c r="G489" i="1"/>
  <c r="F489" i="1"/>
  <c r="E489" i="1"/>
  <c r="D489" i="1"/>
  <c r="C489" i="1"/>
  <c r="B489" i="1"/>
  <c r="J488" i="1"/>
  <c r="G488" i="1"/>
  <c r="F488" i="1"/>
  <c r="E488" i="1"/>
  <c r="D488" i="1"/>
  <c r="I488" i="1" s="1"/>
  <c r="C488" i="1"/>
  <c r="B488" i="1"/>
  <c r="J487" i="1"/>
  <c r="G487" i="1"/>
  <c r="F487" i="1"/>
  <c r="E487" i="1"/>
  <c r="D487" i="1"/>
  <c r="C487" i="1"/>
  <c r="H487" i="1" s="1"/>
  <c r="B487" i="1"/>
  <c r="J486" i="1"/>
  <c r="G486" i="1"/>
  <c r="F486" i="1"/>
  <c r="E486" i="1"/>
  <c r="D486" i="1"/>
  <c r="C486" i="1"/>
  <c r="B486" i="1"/>
  <c r="J485" i="1"/>
  <c r="G485" i="1"/>
  <c r="F485" i="1"/>
  <c r="E485" i="1"/>
  <c r="D485" i="1"/>
  <c r="C485" i="1"/>
  <c r="B485" i="1"/>
  <c r="J484" i="1"/>
  <c r="G484" i="1"/>
  <c r="F484" i="1"/>
  <c r="E484" i="1"/>
  <c r="D484" i="1"/>
  <c r="C484" i="1"/>
  <c r="B484" i="1"/>
  <c r="J483" i="1"/>
  <c r="G483" i="1"/>
  <c r="F483" i="1"/>
  <c r="E483" i="1"/>
  <c r="D483" i="1"/>
  <c r="C483" i="1"/>
  <c r="B483" i="1"/>
  <c r="J482" i="1"/>
  <c r="G482" i="1"/>
  <c r="F482" i="1"/>
  <c r="E482" i="1"/>
  <c r="D482" i="1"/>
  <c r="C482" i="1"/>
  <c r="B482" i="1"/>
  <c r="J481" i="1"/>
  <c r="G481" i="1"/>
  <c r="F481" i="1"/>
  <c r="E481" i="1"/>
  <c r="D481" i="1"/>
  <c r="C481" i="1"/>
  <c r="B481" i="1"/>
  <c r="J480" i="1"/>
  <c r="G480" i="1"/>
  <c r="F480" i="1"/>
  <c r="E480" i="1"/>
  <c r="D480" i="1"/>
  <c r="C480" i="1"/>
  <c r="B480" i="1"/>
  <c r="J479" i="1"/>
  <c r="G479" i="1"/>
  <c r="F479" i="1"/>
  <c r="E479" i="1"/>
  <c r="D479" i="1"/>
  <c r="C479" i="1"/>
  <c r="B479" i="1"/>
  <c r="J478" i="1"/>
  <c r="G478" i="1"/>
  <c r="F478" i="1"/>
  <c r="E478" i="1"/>
  <c r="D478" i="1"/>
  <c r="C478" i="1"/>
  <c r="B478" i="1"/>
  <c r="J477" i="1"/>
  <c r="G477" i="1"/>
  <c r="F477" i="1"/>
  <c r="E477" i="1"/>
  <c r="D477" i="1"/>
  <c r="C477" i="1"/>
  <c r="H477" i="1" s="1"/>
  <c r="B477" i="1"/>
  <c r="J476" i="1"/>
  <c r="G476" i="1"/>
  <c r="F476" i="1"/>
  <c r="E476" i="1"/>
  <c r="D476" i="1"/>
  <c r="C476" i="1"/>
  <c r="B476" i="1"/>
  <c r="J475" i="1"/>
  <c r="G475" i="1"/>
  <c r="F475" i="1"/>
  <c r="E475" i="1"/>
  <c r="D475" i="1"/>
  <c r="C475" i="1"/>
  <c r="B475" i="1"/>
  <c r="J474" i="1"/>
  <c r="G474" i="1"/>
  <c r="F474" i="1"/>
  <c r="E474" i="1"/>
  <c r="D474" i="1"/>
  <c r="C474" i="1"/>
  <c r="B474" i="1"/>
  <c r="J473" i="1"/>
  <c r="G473" i="1"/>
  <c r="F473" i="1"/>
  <c r="E473" i="1"/>
  <c r="H473" i="1" s="1"/>
  <c r="D473" i="1"/>
  <c r="C473" i="1"/>
  <c r="B473" i="1"/>
  <c r="J472" i="1"/>
  <c r="G472" i="1"/>
  <c r="F472" i="1"/>
  <c r="E472" i="1"/>
  <c r="D472" i="1"/>
  <c r="C472" i="1"/>
  <c r="B472" i="1"/>
  <c r="J471" i="1"/>
  <c r="G471" i="1"/>
  <c r="F471" i="1"/>
  <c r="E471" i="1"/>
  <c r="D471" i="1"/>
  <c r="C471" i="1"/>
  <c r="B471" i="1"/>
  <c r="J470" i="1"/>
  <c r="G470" i="1"/>
  <c r="F470" i="1"/>
  <c r="E470" i="1"/>
  <c r="D470" i="1"/>
  <c r="C470" i="1"/>
  <c r="B470" i="1"/>
  <c r="J469" i="1"/>
  <c r="G469" i="1"/>
  <c r="F469" i="1"/>
  <c r="E469" i="1"/>
  <c r="D469" i="1"/>
  <c r="C469" i="1"/>
  <c r="B469" i="1"/>
  <c r="J468" i="1"/>
  <c r="G468" i="1"/>
  <c r="F468" i="1"/>
  <c r="E468" i="1"/>
  <c r="D468" i="1"/>
  <c r="C468" i="1"/>
  <c r="B468" i="1"/>
  <c r="J467" i="1"/>
  <c r="G467" i="1"/>
  <c r="F467" i="1"/>
  <c r="E467" i="1"/>
  <c r="D467" i="1"/>
  <c r="C467" i="1"/>
  <c r="B467" i="1"/>
  <c r="J466" i="1"/>
  <c r="G466" i="1"/>
  <c r="F466" i="1"/>
  <c r="E466" i="1"/>
  <c r="D466" i="1"/>
  <c r="C466" i="1"/>
  <c r="B466" i="1"/>
  <c r="J465" i="1"/>
  <c r="G465" i="1"/>
  <c r="F465" i="1"/>
  <c r="E465" i="1"/>
  <c r="D465" i="1"/>
  <c r="C465" i="1"/>
  <c r="B465" i="1"/>
  <c r="J464" i="1"/>
  <c r="G464" i="1"/>
  <c r="F464" i="1"/>
  <c r="E464" i="1"/>
  <c r="D464" i="1"/>
  <c r="C464" i="1"/>
  <c r="B464" i="1"/>
  <c r="J463" i="1"/>
  <c r="G463" i="1"/>
  <c r="F463" i="1"/>
  <c r="E463" i="1"/>
  <c r="D463" i="1"/>
  <c r="C463" i="1"/>
  <c r="B463" i="1"/>
  <c r="J462" i="1"/>
  <c r="G462" i="1"/>
  <c r="F462" i="1"/>
  <c r="E462" i="1"/>
  <c r="D462" i="1"/>
  <c r="C462" i="1"/>
  <c r="B462" i="1"/>
  <c r="J461" i="1"/>
  <c r="G461" i="1"/>
  <c r="F461" i="1"/>
  <c r="E461" i="1"/>
  <c r="D461" i="1"/>
  <c r="C461" i="1"/>
  <c r="B461" i="1"/>
  <c r="J460" i="1"/>
  <c r="G460" i="1"/>
  <c r="F460" i="1"/>
  <c r="E460" i="1"/>
  <c r="D460" i="1"/>
  <c r="C460" i="1"/>
  <c r="B460" i="1"/>
  <c r="J459" i="1"/>
  <c r="G459" i="1"/>
  <c r="F459" i="1"/>
  <c r="E459" i="1"/>
  <c r="D459" i="1"/>
  <c r="C459" i="1"/>
  <c r="B459" i="1"/>
  <c r="J458" i="1"/>
  <c r="G458" i="1"/>
  <c r="F458" i="1"/>
  <c r="E458" i="1"/>
  <c r="D458" i="1"/>
  <c r="C458" i="1"/>
  <c r="B458" i="1"/>
  <c r="J457" i="1"/>
  <c r="G457" i="1"/>
  <c r="F457" i="1"/>
  <c r="E457" i="1"/>
  <c r="D457" i="1"/>
  <c r="C457" i="1"/>
  <c r="B457" i="1"/>
  <c r="J456" i="1"/>
  <c r="G456" i="1"/>
  <c r="F456" i="1"/>
  <c r="E456" i="1"/>
  <c r="D456" i="1"/>
  <c r="C456" i="1"/>
  <c r="B456" i="1"/>
  <c r="J455" i="1"/>
  <c r="G455" i="1"/>
  <c r="F455" i="1"/>
  <c r="E455" i="1"/>
  <c r="D455" i="1"/>
  <c r="C455" i="1"/>
  <c r="B455" i="1"/>
  <c r="J454" i="1"/>
  <c r="G454" i="1"/>
  <c r="F454" i="1"/>
  <c r="E454" i="1"/>
  <c r="D454" i="1"/>
  <c r="C454" i="1"/>
  <c r="B454" i="1"/>
  <c r="J453" i="1"/>
  <c r="G453" i="1"/>
  <c r="F453" i="1"/>
  <c r="E453" i="1"/>
  <c r="D453" i="1"/>
  <c r="C453" i="1"/>
  <c r="B453" i="1"/>
  <c r="J452" i="1"/>
  <c r="G452" i="1"/>
  <c r="F452" i="1"/>
  <c r="E452" i="1"/>
  <c r="D452" i="1"/>
  <c r="C452" i="1"/>
  <c r="B452" i="1"/>
  <c r="J451" i="1"/>
  <c r="G451" i="1"/>
  <c r="F451" i="1"/>
  <c r="E451" i="1"/>
  <c r="D451" i="1"/>
  <c r="C451" i="1"/>
  <c r="B451" i="1"/>
  <c r="J450" i="1"/>
  <c r="G450" i="1"/>
  <c r="F450" i="1"/>
  <c r="E450" i="1"/>
  <c r="D450" i="1"/>
  <c r="C450" i="1"/>
  <c r="B450" i="1"/>
  <c r="J449" i="1"/>
  <c r="G449" i="1"/>
  <c r="F449" i="1"/>
  <c r="E449" i="1"/>
  <c r="D449" i="1"/>
  <c r="C449" i="1"/>
  <c r="B449" i="1"/>
  <c r="J448" i="1"/>
  <c r="G448" i="1"/>
  <c r="F448" i="1"/>
  <c r="E448" i="1"/>
  <c r="D448" i="1"/>
  <c r="C448" i="1"/>
  <c r="B448" i="1"/>
  <c r="J447" i="1"/>
  <c r="G447" i="1"/>
  <c r="F447" i="1"/>
  <c r="E447" i="1"/>
  <c r="D447" i="1"/>
  <c r="C447" i="1"/>
  <c r="B447" i="1"/>
  <c r="J446" i="1"/>
  <c r="G446" i="1"/>
  <c r="F446" i="1"/>
  <c r="E446" i="1"/>
  <c r="D446" i="1"/>
  <c r="C446" i="1"/>
  <c r="B446" i="1"/>
  <c r="J445" i="1"/>
  <c r="G445" i="1"/>
  <c r="F445" i="1"/>
  <c r="E445" i="1"/>
  <c r="D445" i="1"/>
  <c r="C445" i="1"/>
  <c r="B445" i="1"/>
  <c r="J444" i="1"/>
  <c r="G444" i="1"/>
  <c r="F444" i="1"/>
  <c r="E444" i="1"/>
  <c r="D444" i="1"/>
  <c r="C444" i="1"/>
  <c r="B444" i="1"/>
  <c r="J443" i="1"/>
  <c r="G443" i="1"/>
  <c r="F443" i="1"/>
  <c r="E443" i="1"/>
  <c r="D443" i="1"/>
  <c r="C443" i="1"/>
  <c r="B443" i="1"/>
  <c r="J442" i="1"/>
  <c r="G442" i="1"/>
  <c r="F442" i="1"/>
  <c r="E442" i="1"/>
  <c r="D442" i="1"/>
  <c r="C442" i="1"/>
  <c r="B442" i="1"/>
  <c r="J441" i="1"/>
  <c r="G441" i="1"/>
  <c r="F441" i="1"/>
  <c r="E441" i="1"/>
  <c r="D441" i="1"/>
  <c r="C441" i="1"/>
  <c r="B441" i="1"/>
  <c r="J440" i="1"/>
  <c r="G440" i="1"/>
  <c r="F440" i="1"/>
  <c r="E440" i="1"/>
  <c r="D440" i="1"/>
  <c r="C440" i="1"/>
  <c r="B440" i="1"/>
  <c r="J439" i="1"/>
  <c r="G439" i="1"/>
  <c r="F439" i="1"/>
  <c r="E439" i="1"/>
  <c r="D439" i="1"/>
  <c r="C439" i="1"/>
  <c r="B439" i="1"/>
  <c r="J438" i="1"/>
  <c r="G438" i="1"/>
  <c r="F438" i="1"/>
  <c r="E438" i="1"/>
  <c r="D438" i="1"/>
  <c r="C438" i="1"/>
  <c r="B438" i="1"/>
  <c r="J437" i="1"/>
  <c r="G437" i="1"/>
  <c r="F437" i="1"/>
  <c r="E437" i="1"/>
  <c r="D437" i="1"/>
  <c r="C437" i="1"/>
  <c r="B437" i="1"/>
  <c r="J436" i="1"/>
  <c r="G436" i="1"/>
  <c r="F436" i="1"/>
  <c r="E436" i="1"/>
  <c r="D436" i="1"/>
  <c r="C436" i="1"/>
  <c r="B436" i="1"/>
  <c r="J435" i="1"/>
  <c r="G435" i="1"/>
  <c r="F435" i="1"/>
  <c r="E435" i="1"/>
  <c r="D435" i="1"/>
  <c r="C435" i="1"/>
  <c r="B435" i="1"/>
  <c r="J434" i="1"/>
  <c r="G434" i="1"/>
  <c r="F434" i="1"/>
  <c r="E434" i="1"/>
  <c r="D434" i="1"/>
  <c r="C434" i="1"/>
  <c r="B434" i="1"/>
  <c r="J433" i="1"/>
  <c r="G433" i="1"/>
  <c r="F433" i="1"/>
  <c r="E433" i="1"/>
  <c r="D433" i="1"/>
  <c r="C433" i="1"/>
  <c r="B433" i="1"/>
  <c r="J432" i="1"/>
  <c r="G432" i="1"/>
  <c r="F432" i="1"/>
  <c r="E432" i="1"/>
  <c r="D432" i="1"/>
  <c r="C432" i="1"/>
  <c r="B432" i="1"/>
  <c r="J431" i="1"/>
  <c r="G431" i="1"/>
  <c r="F431" i="1"/>
  <c r="E431" i="1"/>
  <c r="D431" i="1"/>
  <c r="C431" i="1"/>
  <c r="B431" i="1"/>
  <c r="J430" i="1"/>
  <c r="G430" i="1"/>
  <c r="F430" i="1"/>
  <c r="E430" i="1"/>
  <c r="D430" i="1"/>
  <c r="C430" i="1"/>
  <c r="B430" i="1"/>
  <c r="J429" i="1"/>
  <c r="G429" i="1"/>
  <c r="F429" i="1"/>
  <c r="E429" i="1"/>
  <c r="D429" i="1"/>
  <c r="C429" i="1"/>
  <c r="B429" i="1"/>
  <c r="J428" i="1"/>
  <c r="G428" i="1"/>
  <c r="F428" i="1"/>
  <c r="E428" i="1"/>
  <c r="D428" i="1"/>
  <c r="C428" i="1"/>
  <c r="B428" i="1"/>
  <c r="J427" i="1"/>
  <c r="G427" i="1"/>
  <c r="F427" i="1"/>
  <c r="E427" i="1"/>
  <c r="D427" i="1"/>
  <c r="C427" i="1"/>
  <c r="B427" i="1"/>
  <c r="J426" i="1"/>
  <c r="G426" i="1"/>
  <c r="F426" i="1"/>
  <c r="E426" i="1"/>
  <c r="D426" i="1"/>
  <c r="C426" i="1"/>
  <c r="B426" i="1"/>
  <c r="J425" i="1"/>
  <c r="G425" i="1"/>
  <c r="F425" i="1"/>
  <c r="E425" i="1"/>
  <c r="D425" i="1"/>
  <c r="C425" i="1"/>
  <c r="B425" i="1"/>
  <c r="J424" i="1"/>
  <c r="G424" i="1"/>
  <c r="F424" i="1"/>
  <c r="E424" i="1"/>
  <c r="D424" i="1"/>
  <c r="C424" i="1"/>
  <c r="B424" i="1"/>
  <c r="J423" i="1"/>
  <c r="G423" i="1"/>
  <c r="F423" i="1"/>
  <c r="E423" i="1"/>
  <c r="D423" i="1"/>
  <c r="C423" i="1"/>
  <c r="B423" i="1"/>
  <c r="J422" i="1"/>
  <c r="G422" i="1"/>
  <c r="F422" i="1"/>
  <c r="E422" i="1"/>
  <c r="D422" i="1"/>
  <c r="C422" i="1"/>
  <c r="B422" i="1"/>
  <c r="J421" i="1"/>
  <c r="G421" i="1"/>
  <c r="F421" i="1"/>
  <c r="E421" i="1"/>
  <c r="D421" i="1"/>
  <c r="C421" i="1"/>
  <c r="B421" i="1"/>
  <c r="J420" i="1"/>
  <c r="G420" i="1"/>
  <c r="F420" i="1"/>
  <c r="E420" i="1"/>
  <c r="D420" i="1"/>
  <c r="C420" i="1"/>
  <c r="B420" i="1"/>
  <c r="J419" i="1"/>
  <c r="G419" i="1"/>
  <c r="F419" i="1"/>
  <c r="E419" i="1"/>
  <c r="D419" i="1"/>
  <c r="C419" i="1"/>
  <c r="B419" i="1"/>
  <c r="J418" i="1"/>
  <c r="G418" i="1"/>
  <c r="F418" i="1"/>
  <c r="E418" i="1"/>
  <c r="D418" i="1"/>
  <c r="C418" i="1"/>
  <c r="B418" i="1"/>
  <c r="J417" i="1"/>
  <c r="G417" i="1"/>
  <c r="F417" i="1"/>
  <c r="E417" i="1"/>
  <c r="D417" i="1"/>
  <c r="C417" i="1"/>
  <c r="B417" i="1"/>
  <c r="J416" i="1"/>
  <c r="G416" i="1"/>
  <c r="F416" i="1"/>
  <c r="E416" i="1"/>
  <c r="D416" i="1"/>
  <c r="C416" i="1"/>
  <c r="B416" i="1"/>
  <c r="J415" i="1"/>
  <c r="G415" i="1"/>
  <c r="F415" i="1"/>
  <c r="E415" i="1"/>
  <c r="D415" i="1"/>
  <c r="C415" i="1"/>
  <c r="H415" i="1" s="1"/>
  <c r="B415" i="1"/>
  <c r="J414" i="1"/>
  <c r="G414" i="1"/>
  <c r="F414" i="1"/>
  <c r="E414" i="1"/>
  <c r="D414" i="1"/>
  <c r="C414" i="1"/>
  <c r="B414" i="1"/>
  <c r="J413" i="1"/>
  <c r="G413" i="1"/>
  <c r="F413" i="1"/>
  <c r="E413" i="1"/>
  <c r="D413" i="1"/>
  <c r="C413" i="1"/>
  <c r="B413" i="1"/>
  <c r="J412" i="1"/>
  <c r="G412" i="1"/>
  <c r="F412" i="1"/>
  <c r="E412" i="1"/>
  <c r="D412" i="1"/>
  <c r="C412" i="1"/>
  <c r="B412" i="1"/>
  <c r="J411" i="1"/>
  <c r="G411" i="1"/>
  <c r="F411" i="1"/>
  <c r="E411" i="1"/>
  <c r="D411" i="1"/>
  <c r="C411" i="1"/>
  <c r="B411" i="1"/>
  <c r="J410" i="1"/>
  <c r="G410" i="1"/>
  <c r="F410" i="1"/>
  <c r="E410" i="1"/>
  <c r="D410" i="1"/>
  <c r="C410" i="1"/>
  <c r="B410" i="1"/>
  <c r="J409" i="1"/>
  <c r="G409" i="1"/>
  <c r="F409" i="1"/>
  <c r="E409" i="1"/>
  <c r="D409" i="1"/>
  <c r="C409" i="1"/>
  <c r="B409" i="1"/>
  <c r="J408" i="1"/>
  <c r="G408" i="1"/>
  <c r="F408" i="1"/>
  <c r="E408" i="1"/>
  <c r="D408" i="1"/>
  <c r="C408" i="1"/>
  <c r="B408" i="1"/>
  <c r="J407" i="1"/>
  <c r="G407" i="1"/>
  <c r="F407" i="1"/>
  <c r="E407" i="1"/>
  <c r="D407" i="1"/>
  <c r="C407" i="1"/>
  <c r="B407" i="1"/>
  <c r="J406" i="1"/>
  <c r="G406" i="1"/>
  <c r="F406" i="1"/>
  <c r="E406" i="1"/>
  <c r="D406" i="1"/>
  <c r="C406" i="1"/>
  <c r="B406" i="1"/>
  <c r="J405" i="1"/>
  <c r="G405" i="1"/>
  <c r="F405" i="1"/>
  <c r="E405" i="1"/>
  <c r="D405" i="1"/>
  <c r="C405" i="1"/>
  <c r="B405" i="1"/>
  <c r="J404" i="1"/>
  <c r="G404" i="1"/>
  <c r="F404" i="1"/>
  <c r="E404" i="1"/>
  <c r="D404" i="1"/>
  <c r="C404" i="1"/>
  <c r="B404" i="1"/>
  <c r="J403" i="1"/>
  <c r="G403" i="1"/>
  <c r="F403" i="1"/>
  <c r="E403" i="1"/>
  <c r="D403" i="1"/>
  <c r="C403" i="1"/>
  <c r="B403" i="1"/>
  <c r="J402" i="1"/>
  <c r="G402" i="1"/>
  <c r="F402" i="1"/>
  <c r="E402" i="1"/>
  <c r="D402" i="1"/>
  <c r="C402" i="1"/>
  <c r="B402" i="1"/>
  <c r="J401" i="1"/>
  <c r="G401" i="1"/>
  <c r="F401" i="1"/>
  <c r="E401" i="1"/>
  <c r="D401" i="1"/>
  <c r="C401" i="1"/>
  <c r="B401" i="1"/>
  <c r="J400" i="1"/>
  <c r="G400" i="1"/>
  <c r="F400" i="1"/>
  <c r="E400" i="1"/>
  <c r="D400" i="1"/>
  <c r="C400" i="1"/>
  <c r="B400" i="1"/>
  <c r="J399" i="1"/>
  <c r="G399" i="1"/>
  <c r="F399" i="1"/>
  <c r="E399" i="1"/>
  <c r="D399" i="1"/>
  <c r="C399" i="1"/>
  <c r="B399" i="1"/>
  <c r="J398" i="1"/>
  <c r="G398" i="1"/>
  <c r="F398" i="1"/>
  <c r="E398" i="1"/>
  <c r="D398" i="1"/>
  <c r="C398" i="1"/>
  <c r="B398" i="1"/>
  <c r="J397" i="1"/>
  <c r="G397" i="1"/>
  <c r="F397" i="1"/>
  <c r="E397" i="1"/>
  <c r="D397" i="1"/>
  <c r="C397" i="1"/>
  <c r="B397" i="1"/>
  <c r="J396" i="1"/>
  <c r="G396" i="1"/>
  <c r="F396" i="1"/>
  <c r="E396" i="1"/>
  <c r="D396" i="1"/>
  <c r="C396" i="1"/>
  <c r="B396" i="1"/>
  <c r="J395" i="1"/>
  <c r="G395" i="1"/>
  <c r="F395" i="1"/>
  <c r="E395" i="1"/>
  <c r="D395" i="1"/>
  <c r="C395" i="1"/>
  <c r="B395" i="1"/>
  <c r="J394" i="1"/>
  <c r="G394" i="1"/>
  <c r="F394" i="1"/>
  <c r="E394" i="1"/>
  <c r="D394" i="1"/>
  <c r="C394" i="1"/>
  <c r="B394" i="1"/>
  <c r="J393" i="1"/>
  <c r="G393" i="1"/>
  <c r="F393" i="1"/>
  <c r="E393" i="1"/>
  <c r="D393" i="1"/>
  <c r="C393" i="1"/>
  <c r="B393" i="1"/>
  <c r="J392" i="1"/>
  <c r="G392" i="1"/>
  <c r="F392" i="1"/>
  <c r="E392" i="1"/>
  <c r="D392" i="1"/>
  <c r="C392" i="1"/>
  <c r="B392" i="1"/>
  <c r="J391" i="1"/>
  <c r="G391" i="1"/>
  <c r="F391" i="1"/>
  <c r="E391" i="1"/>
  <c r="D391" i="1"/>
  <c r="C391" i="1"/>
  <c r="B391" i="1"/>
  <c r="J390" i="1"/>
  <c r="G390" i="1"/>
  <c r="F390" i="1"/>
  <c r="E390" i="1"/>
  <c r="D390" i="1"/>
  <c r="C390" i="1"/>
  <c r="B390" i="1"/>
  <c r="J389" i="1"/>
  <c r="G389" i="1"/>
  <c r="F389" i="1"/>
  <c r="E389" i="1"/>
  <c r="D389" i="1"/>
  <c r="C389" i="1"/>
  <c r="B389" i="1"/>
  <c r="J388" i="1"/>
  <c r="G388" i="1"/>
  <c r="F388" i="1"/>
  <c r="E388" i="1"/>
  <c r="D388" i="1"/>
  <c r="C388" i="1"/>
  <c r="B388" i="1"/>
  <c r="J387" i="1"/>
  <c r="G387" i="1"/>
  <c r="F387" i="1"/>
  <c r="E387" i="1"/>
  <c r="D387" i="1"/>
  <c r="C387" i="1"/>
  <c r="B387" i="1"/>
  <c r="J386" i="1"/>
  <c r="G386" i="1"/>
  <c r="F386" i="1"/>
  <c r="E386" i="1"/>
  <c r="D386" i="1"/>
  <c r="C386" i="1"/>
  <c r="B386" i="1"/>
  <c r="J385" i="1"/>
  <c r="G385" i="1"/>
  <c r="F385" i="1"/>
  <c r="E385" i="1"/>
  <c r="D385" i="1"/>
  <c r="C385" i="1"/>
  <c r="B385" i="1"/>
  <c r="J384" i="1"/>
  <c r="G384" i="1"/>
  <c r="F384" i="1"/>
  <c r="E384" i="1"/>
  <c r="D384" i="1"/>
  <c r="C384" i="1"/>
  <c r="B384" i="1"/>
  <c r="J383" i="1"/>
  <c r="G383" i="1"/>
  <c r="F383" i="1"/>
  <c r="E383" i="1"/>
  <c r="D383" i="1"/>
  <c r="C383" i="1"/>
  <c r="B383" i="1"/>
  <c r="J382" i="1"/>
  <c r="G382" i="1"/>
  <c r="F382" i="1"/>
  <c r="E382" i="1"/>
  <c r="D382" i="1"/>
  <c r="C382" i="1"/>
  <c r="B382" i="1"/>
  <c r="J381" i="1"/>
  <c r="G381" i="1"/>
  <c r="F381" i="1"/>
  <c r="E381" i="1"/>
  <c r="D381" i="1"/>
  <c r="C381" i="1"/>
  <c r="B381" i="1"/>
  <c r="J380" i="1"/>
  <c r="G380" i="1"/>
  <c r="F380" i="1"/>
  <c r="E380" i="1"/>
  <c r="D380" i="1"/>
  <c r="C380" i="1"/>
  <c r="B380" i="1"/>
  <c r="J379" i="1"/>
  <c r="G379" i="1"/>
  <c r="F379" i="1"/>
  <c r="E379" i="1"/>
  <c r="D379" i="1"/>
  <c r="C379" i="1"/>
  <c r="B379" i="1"/>
  <c r="J378" i="1"/>
  <c r="G378" i="1"/>
  <c r="F378" i="1"/>
  <c r="E378" i="1"/>
  <c r="D378" i="1"/>
  <c r="C378" i="1"/>
  <c r="B378" i="1"/>
  <c r="J377" i="1"/>
  <c r="G377" i="1"/>
  <c r="F377" i="1"/>
  <c r="E377" i="1"/>
  <c r="H377" i="1" s="1"/>
  <c r="D377" i="1"/>
  <c r="C377" i="1"/>
  <c r="B377" i="1"/>
  <c r="J376" i="1"/>
  <c r="G376" i="1"/>
  <c r="F376" i="1"/>
  <c r="E376" i="1"/>
  <c r="D376" i="1"/>
  <c r="C376" i="1"/>
  <c r="B376" i="1"/>
  <c r="J375" i="1"/>
  <c r="G375" i="1"/>
  <c r="F375" i="1"/>
  <c r="E375" i="1"/>
  <c r="D375" i="1"/>
  <c r="C375" i="1"/>
  <c r="B375" i="1"/>
  <c r="J374" i="1"/>
  <c r="G374" i="1"/>
  <c r="F374" i="1"/>
  <c r="E374" i="1"/>
  <c r="D374" i="1"/>
  <c r="C374" i="1"/>
  <c r="B374" i="1"/>
  <c r="J373" i="1"/>
  <c r="G373" i="1"/>
  <c r="F373" i="1"/>
  <c r="E373" i="1"/>
  <c r="D373" i="1"/>
  <c r="C373" i="1"/>
  <c r="B373" i="1"/>
  <c r="J372" i="1"/>
  <c r="G372" i="1"/>
  <c r="F372" i="1"/>
  <c r="E372" i="1"/>
  <c r="D372" i="1"/>
  <c r="C372" i="1"/>
  <c r="B372" i="1"/>
  <c r="J371" i="1"/>
  <c r="G371" i="1"/>
  <c r="F371" i="1"/>
  <c r="E371" i="1"/>
  <c r="D371" i="1"/>
  <c r="C371" i="1"/>
  <c r="B371" i="1"/>
  <c r="J370" i="1"/>
  <c r="G370" i="1"/>
  <c r="F370" i="1"/>
  <c r="E370" i="1"/>
  <c r="D370" i="1"/>
  <c r="C370" i="1"/>
  <c r="B370" i="1"/>
  <c r="J369" i="1"/>
  <c r="G369" i="1"/>
  <c r="F369" i="1"/>
  <c r="E369" i="1"/>
  <c r="D369" i="1"/>
  <c r="C369" i="1"/>
  <c r="B369" i="1"/>
  <c r="J368" i="1"/>
  <c r="G368" i="1"/>
  <c r="F368" i="1"/>
  <c r="E368" i="1"/>
  <c r="D368" i="1"/>
  <c r="C368" i="1"/>
  <c r="B368" i="1"/>
  <c r="J367" i="1"/>
  <c r="G367" i="1"/>
  <c r="F367" i="1"/>
  <c r="E367" i="1"/>
  <c r="D367" i="1"/>
  <c r="C367" i="1"/>
  <c r="B367" i="1"/>
  <c r="J366" i="1"/>
  <c r="G366" i="1"/>
  <c r="F366" i="1"/>
  <c r="E366" i="1"/>
  <c r="D366" i="1"/>
  <c r="C366" i="1"/>
  <c r="B366" i="1"/>
  <c r="J365" i="1"/>
  <c r="G365" i="1"/>
  <c r="F365" i="1"/>
  <c r="E365" i="1"/>
  <c r="D365" i="1"/>
  <c r="C365" i="1"/>
  <c r="B365" i="1"/>
  <c r="J364" i="1"/>
  <c r="G364" i="1"/>
  <c r="F364" i="1"/>
  <c r="E364" i="1"/>
  <c r="D364" i="1"/>
  <c r="C364" i="1"/>
  <c r="B364" i="1"/>
  <c r="J363" i="1"/>
  <c r="G363" i="1"/>
  <c r="F363" i="1"/>
  <c r="E363" i="1"/>
  <c r="D363" i="1"/>
  <c r="C363" i="1"/>
  <c r="B363" i="1"/>
  <c r="J362" i="1"/>
  <c r="G362" i="1"/>
  <c r="F362" i="1"/>
  <c r="E362" i="1"/>
  <c r="D362" i="1"/>
  <c r="C362" i="1"/>
  <c r="B362" i="1"/>
  <c r="J361" i="1"/>
  <c r="G361" i="1"/>
  <c r="F361" i="1"/>
  <c r="E361" i="1"/>
  <c r="D361" i="1"/>
  <c r="C361" i="1"/>
  <c r="B361" i="1"/>
  <c r="J360" i="1"/>
  <c r="G360" i="1"/>
  <c r="F360" i="1"/>
  <c r="E360" i="1"/>
  <c r="D360" i="1"/>
  <c r="C360" i="1"/>
  <c r="B360" i="1"/>
  <c r="J359" i="1"/>
  <c r="G359" i="1"/>
  <c r="F359" i="1"/>
  <c r="E359" i="1"/>
  <c r="D359" i="1"/>
  <c r="C359" i="1"/>
  <c r="B359" i="1"/>
  <c r="J358" i="1"/>
  <c r="G358" i="1"/>
  <c r="F358" i="1"/>
  <c r="E358" i="1"/>
  <c r="D358" i="1"/>
  <c r="C358" i="1"/>
  <c r="B358" i="1"/>
  <c r="J357" i="1"/>
  <c r="G357" i="1"/>
  <c r="F357" i="1"/>
  <c r="E357" i="1"/>
  <c r="D357" i="1"/>
  <c r="C357" i="1"/>
  <c r="B357" i="1"/>
  <c r="J356" i="1"/>
  <c r="G356" i="1"/>
  <c r="F356" i="1"/>
  <c r="E356" i="1"/>
  <c r="D356" i="1"/>
  <c r="I356" i="1" s="1"/>
  <c r="C356" i="1"/>
  <c r="B356" i="1"/>
  <c r="J355" i="1"/>
  <c r="G355" i="1"/>
  <c r="F355" i="1"/>
  <c r="E355" i="1"/>
  <c r="D355" i="1"/>
  <c r="C355" i="1"/>
  <c r="B355" i="1"/>
  <c r="J354" i="1"/>
  <c r="G354" i="1"/>
  <c r="F354" i="1"/>
  <c r="E354" i="1"/>
  <c r="D354" i="1"/>
  <c r="C354" i="1"/>
  <c r="B354" i="1"/>
  <c r="J353" i="1"/>
  <c r="G353" i="1"/>
  <c r="F353" i="1"/>
  <c r="E353" i="1"/>
  <c r="D353" i="1"/>
  <c r="C353" i="1"/>
  <c r="B353" i="1"/>
  <c r="J352" i="1"/>
  <c r="G352" i="1"/>
  <c r="F352" i="1"/>
  <c r="E352" i="1"/>
  <c r="D352" i="1"/>
  <c r="C352" i="1"/>
  <c r="B352" i="1"/>
  <c r="J351" i="1"/>
  <c r="G351" i="1"/>
  <c r="F351" i="1"/>
  <c r="E351" i="1"/>
  <c r="D351" i="1"/>
  <c r="C351" i="1"/>
  <c r="B351" i="1"/>
  <c r="J350" i="1"/>
  <c r="G350" i="1"/>
  <c r="F350" i="1"/>
  <c r="E350" i="1"/>
  <c r="D350" i="1"/>
  <c r="C350" i="1"/>
  <c r="B350" i="1"/>
  <c r="J349" i="1"/>
  <c r="G349" i="1"/>
  <c r="F349" i="1"/>
  <c r="E349" i="1"/>
  <c r="D349" i="1"/>
  <c r="C349" i="1"/>
  <c r="B349" i="1"/>
  <c r="J348" i="1"/>
  <c r="G348" i="1"/>
  <c r="F348" i="1"/>
  <c r="E348" i="1"/>
  <c r="D348" i="1"/>
  <c r="C348" i="1"/>
  <c r="B348" i="1"/>
  <c r="J347" i="1"/>
  <c r="G347" i="1"/>
  <c r="F347" i="1"/>
  <c r="E347" i="1"/>
  <c r="D347" i="1"/>
  <c r="C347" i="1"/>
  <c r="B347" i="1"/>
  <c r="J346" i="1"/>
  <c r="G346" i="1"/>
  <c r="F346" i="1"/>
  <c r="E346" i="1"/>
  <c r="D346" i="1"/>
  <c r="C346" i="1"/>
  <c r="B346" i="1"/>
  <c r="J345" i="1"/>
  <c r="G345" i="1"/>
  <c r="F345" i="1"/>
  <c r="E345" i="1"/>
  <c r="D345" i="1"/>
  <c r="C345" i="1"/>
  <c r="B345" i="1"/>
  <c r="J344" i="1"/>
  <c r="G344" i="1"/>
  <c r="F344" i="1"/>
  <c r="E344" i="1"/>
  <c r="D344" i="1"/>
  <c r="C344" i="1"/>
  <c r="B344" i="1"/>
  <c r="J343" i="1"/>
  <c r="G343" i="1"/>
  <c r="F343" i="1"/>
  <c r="E343" i="1"/>
  <c r="D343" i="1"/>
  <c r="C343" i="1"/>
  <c r="B343" i="1"/>
  <c r="J342" i="1"/>
  <c r="G342" i="1"/>
  <c r="F342" i="1"/>
  <c r="E342" i="1"/>
  <c r="D342" i="1"/>
  <c r="C342" i="1"/>
  <c r="B342" i="1"/>
  <c r="J341" i="1"/>
  <c r="G341" i="1"/>
  <c r="F341" i="1"/>
  <c r="E341" i="1"/>
  <c r="D341" i="1"/>
  <c r="C341" i="1"/>
  <c r="B341" i="1"/>
  <c r="J340" i="1"/>
  <c r="G340" i="1"/>
  <c r="F340" i="1"/>
  <c r="E340" i="1"/>
  <c r="D340" i="1"/>
  <c r="I340" i="1" s="1"/>
  <c r="C340" i="1"/>
  <c r="B340" i="1"/>
  <c r="J339" i="1"/>
  <c r="G339" i="1"/>
  <c r="F339" i="1"/>
  <c r="E339" i="1"/>
  <c r="D339" i="1"/>
  <c r="C339" i="1"/>
  <c r="H339" i="1" s="1"/>
  <c r="B339" i="1"/>
  <c r="J338" i="1"/>
  <c r="G338" i="1"/>
  <c r="F338" i="1"/>
  <c r="E338" i="1"/>
  <c r="D338" i="1"/>
  <c r="C338" i="1"/>
  <c r="B338" i="1"/>
  <c r="J337" i="1"/>
  <c r="G337" i="1"/>
  <c r="F337" i="1"/>
  <c r="E337" i="1"/>
  <c r="D337" i="1"/>
  <c r="C337" i="1"/>
  <c r="B337" i="1"/>
  <c r="J336" i="1"/>
  <c r="G336" i="1"/>
  <c r="F336" i="1"/>
  <c r="E336" i="1"/>
  <c r="D336" i="1"/>
  <c r="C336" i="1"/>
  <c r="B336" i="1"/>
  <c r="J335" i="1"/>
  <c r="G335" i="1"/>
  <c r="F335" i="1"/>
  <c r="E335" i="1"/>
  <c r="D335" i="1"/>
  <c r="C335" i="1"/>
  <c r="B335" i="1"/>
  <c r="J334" i="1"/>
  <c r="G334" i="1"/>
  <c r="F334" i="1"/>
  <c r="E334" i="1"/>
  <c r="D334" i="1"/>
  <c r="C334" i="1"/>
  <c r="B334" i="1"/>
  <c r="J333" i="1"/>
  <c r="G333" i="1"/>
  <c r="F333" i="1"/>
  <c r="E333" i="1"/>
  <c r="D333" i="1"/>
  <c r="C333" i="1"/>
  <c r="B333" i="1"/>
  <c r="J332" i="1"/>
  <c r="G332" i="1"/>
  <c r="F332" i="1"/>
  <c r="E332" i="1"/>
  <c r="D332" i="1"/>
  <c r="C332" i="1"/>
  <c r="B332" i="1"/>
  <c r="J331" i="1"/>
  <c r="G331" i="1"/>
  <c r="F331" i="1"/>
  <c r="E331" i="1"/>
  <c r="D331" i="1"/>
  <c r="C331" i="1"/>
  <c r="B331" i="1"/>
  <c r="J330" i="1"/>
  <c r="G330" i="1"/>
  <c r="F330" i="1"/>
  <c r="E330" i="1"/>
  <c r="D330" i="1"/>
  <c r="C330" i="1"/>
  <c r="B330" i="1"/>
  <c r="J329" i="1"/>
  <c r="G329" i="1"/>
  <c r="F329" i="1"/>
  <c r="E329" i="1"/>
  <c r="D329" i="1"/>
  <c r="C329" i="1"/>
  <c r="B329" i="1"/>
  <c r="J328" i="1"/>
  <c r="G328" i="1"/>
  <c r="F328" i="1"/>
  <c r="E328" i="1"/>
  <c r="D328" i="1"/>
  <c r="C328" i="1"/>
  <c r="B328" i="1"/>
  <c r="J327" i="1"/>
  <c r="G327" i="1"/>
  <c r="F327" i="1"/>
  <c r="E327" i="1"/>
  <c r="D327" i="1"/>
  <c r="C327" i="1"/>
  <c r="B327" i="1"/>
  <c r="J326" i="1"/>
  <c r="G326" i="1"/>
  <c r="F326" i="1"/>
  <c r="E326" i="1"/>
  <c r="D326" i="1"/>
  <c r="C326" i="1"/>
  <c r="B326" i="1"/>
  <c r="J325" i="1"/>
  <c r="G325" i="1"/>
  <c r="F325" i="1"/>
  <c r="E325" i="1"/>
  <c r="D325" i="1"/>
  <c r="C325" i="1"/>
  <c r="B325" i="1"/>
  <c r="J324" i="1"/>
  <c r="G324" i="1"/>
  <c r="F324" i="1"/>
  <c r="E324" i="1"/>
  <c r="D324" i="1"/>
  <c r="I324" i="1" s="1"/>
  <c r="C324" i="1"/>
  <c r="B324" i="1"/>
  <c r="J323" i="1"/>
  <c r="G323" i="1"/>
  <c r="F323" i="1"/>
  <c r="E323" i="1"/>
  <c r="D323" i="1"/>
  <c r="C323" i="1"/>
  <c r="B323" i="1"/>
  <c r="J322" i="1"/>
  <c r="G322" i="1"/>
  <c r="F322" i="1"/>
  <c r="E322" i="1"/>
  <c r="D322" i="1"/>
  <c r="C322" i="1"/>
  <c r="B322" i="1"/>
  <c r="J321" i="1"/>
  <c r="G321" i="1"/>
  <c r="F321" i="1"/>
  <c r="E321" i="1"/>
  <c r="D321" i="1"/>
  <c r="C321" i="1"/>
  <c r="B321" i="1"/>
  <c r="J320" i="1"/>
  <c r="G320" i="1"/>
  <c r="F320" i="1"/>
  <c r="E320" i="1"/>
  <c r="D320" i="1"/>
  <c r="C320" i="1"/>
  <c r="B320" i="1"/>
  <c r="J319" i="1"/>
  <c r="G319" i="1"/>
  <c r="F319" i="1"/>
  <c r="E319" i="1"/>
  <c r="D319" i="1"/>
  <c r="C319" i="1"/>
  <c r="B319" i="1"/>
  <c r="J318" i="1"/>
  <c r="G318" i="1"/>
  <c r="F318" i="1"/>
  <c r="E318" i="1"/>
  <c r="D318" i="1"/>
  <c r="C318" i="1"/>
  <c r="B318" i="1"/>
  <c r="J317" i="1"/>
  <c r="G317" i="1"/>
  <c r="F317" i="1"/>
  <c r="E317" i="1"/>
  <c r="D317" i="1"/>
  <c r="C317" i="1"/>
  <c r="B317" i="1"/>
  <c r="J316" i="1"/>
  <c r="G316" i="1"/>
  <c r="F316" i="1"/>
  <c r="E316" i="1"/>
  <c r="D316" i="1"/>
  <c r="C316" i="1"/>
  <c r="B316" i="1"/>
  <c r="J315" i="1"/>
  <c r="G315" i="1"/>
  <c r="F315" i="1"/>
  <c r="E315" i="1"/>
  <c r="D315" i="1"/>
  <c r="C315" i="1"/>
  <c r="B315" i="1"/>
  <c r="J314" i="1"/>
  <c r="G314" i="1"/>
  <c r="F314" i="1"/>
  <c r="E314" i="1"/>
  <c r="D314" i="1"/>
  <c r="C314" i="1"/>
  <c r="B314" i="1"/>
  <c r="J313" i="1"/>
  <c r="G313" i="1"/>
  <c r="F313" i="1"/>
  <c r="E313" i="1"/>
  <c r="H313" i="1" s="1"/>
  <c r="D313" i="1"/>
  <c r="C313" i="1"/>
  <c r="B313" i="1"/>
  <c r="J312" i="1"/>
  <c r="G312" i="1"/>
  <c r="F312" i="1"/>
  <c r="E312" i="1"/>
  <c r="D312" i="1"/>
  <c r="C312" i="1"/>
  <c r="B312" i="1"/>
  <c r="J311" i="1"/>
  <c r="G311" i="1"/>
  <c r="F311" i="1"/>
  <c r="E311" i="1"/>
  <c r="D311" i="1"/>
  <c r="C311" i="1"/>
  <c r="B311" i="1"/>
  <c r="J310" i="1"/>
  <c r="G310" i="1"/>
  <c r="F310" i="1"/>
  <c r="E310" i="1"/>
  <c r="D310" i="1"/>
  <c r="C310" i="1"/>
  <c r="B310" i="1"/>
  <c r="J309" i="1"/>
  <c r="G309" i="1"/>
  <c r="F309" i="1"/>
  <c r="E309" i="1"/>
  <c r="D309" i="1"/>
  <c r="C309" i="1"/>
  <c r="B309" i="1"/>
  <c r="J308" i="1"/>
  <c r="G308" i="1"/>
  <c r="F308" i="1"/>
  <c r="E308" i="1"/>
  <c r="D308" i="1"/>
  <c r="C308" i="1"/>
  <c r="B308" i="1"/>
  <c r="J307" i="1"/>
  <c r="G307" i="1"/>
  <c r="F307" i="1"/>
  <c r="E307" i="1"/>
  <c r="D307" i="1"/>
  <c r="C307" i="1"/>
  <c r="B307" i="1"/>
  <c r="J306" i="1"/>
  <c r="G306" i="1"/>
  <c r="F306" i="1"/>
  <c r="E306" i="1"/>
  <c r="D306" i="1"/>
  <c r="C306" i="1"/>
  <c r="B306" i="1"/>
  <c r="J305" i="1"/>
  <c r="G305" i="1"/>
  <c r="F305" i="1"/>
  <c r="E305" i="1"/>
  <c r="D305" i="1"/>
  <c r="C305" i="1"/>
  <c r="B305" i="1"/>
  <c r="J304" i="1"/>
  <c r="G304" i="1"/>
  <c r="F304" i="1"/>
  <c r="E304" i="1"/>
  <c r="D304" i="1"/>
  <c r="C304" i="1"/>
  <c r="B304" i="1"/>
  <c r="J303" i="1"/>
  <c r="G303" i="1"/>
  <c r="F303" i="1"/>
  <c r="E303" i="1"/>
  <c r="D303" i="1"/>
  <c r="C303" i="1"/>
  <c r="B303" i="1"/>
  <c r="J302" i="1"/>
  <c r="G302" i="1"/>
  <c r="F302" i="1"/>
  <c r="E302" i="1"/>
  <c r="D302" i="1"/>
  <c r="C302" i="1"/>
  <c r="B302" i="1"/>
  <c r="J301" i="1"/>
  <c r="G301" i="1"/>
  <c r="F301" i="1"/>
  <c r="E301" i="1"/>
  <c r="D301" i="1"/>
  <c r="C301" i="1"/>
  <c r="B301" i="1"/>
  <c r="J300" i="1"/>
  <c r="G300" i="1"/>
  <c r="F300" i="1"/>
  <c r="E300" i="1"/>
  <c r="D300" i="1"/>
  <c r="C300" i="1"/>
  <c r="B300" i="1"/>
  <c r="J299" i="1"/>
  <c r="G299" i="1"/>
  <c r="F299" i="1"/>
  <c r="E299" i="1"/>
  <c r="D299" i="1"/>
  <c r="C299" i="1"/>
  <c r="B299" i="1"/>
  <c r="J298" i="1"/>
  <c r="G298" i="1"/>
  <c r="F298" i="1"/>
  <c r="E298" i="1"/>
  <c r="D298" i="1"/>
  <c r="C298" i="1"/>
  <c r="B298" i="1"/>
  <c r="J297" i="1"/>
  <c r="G297" i="1"/>
  <c r="F297" i="1"/>
  <c r="E297" i="1"/>
  <c r="D297" i="1"/>
  <c r="C297" i="1"/>
  <c r="B297" i="1"/>
  <c r="J296" i="1"/>
  <c r="G296" i="1"/>
  <c r="F296" i="1"/>
  <c r="E296" i="1"/>
  <c r="D296" i="1"/>
  <c r="C296" i="1"/>
  <c r="B296" i="1"/>
  <c r="J295" i="1"/>
  <c r="G295" i="1"/>
  <c r="F295" i="1"/>
  <c r="E295" i="1"/>
  <c r="D295" i="1"/>
  <c r="C295" i="1"/>
  <c r="B295" i="1"/>
  <c r="J294" i="1"/>
  <c r="G294" i="1"/>
  <c r="F294" i="1"/>
  <c r="E294" i="1"/>
  <c r="D294" i="1"/>
  <c r="C294" i="1"/>
  <c r="B294" i="1"/>
  <c r="J293" i="1"/>
  <c r="G293" i="1"/>
  <c r="F293" i="1"/>
  <c r="E293" i="1"/>
  <c r="D293" i="1"/>
  <c r="C293" i="1"/>
  <c r="B293" i="1"/>
  <c r="J292" i="1"/>
  <c r="G292" i="1"/>
  <c r="F292" i="1"/>
  <c r="E292" i="1"/>
  <c r="D292" i="1"/>
  <c r="C292" i="1"/>
  <c r="B292" i="1"/>
  <c r="J291" i="1"/>
  <c r="G291" i="1"/>
  <c r="F291" i="1"/>
  <c r="E291" i="1"/>
  <c r="D291" i="1"/>
  <c r="C291" i="1"/>
  <c r="B291" i="1"/>
  <c r="J290" i="1"/>
  <c r="G290" i="1"/>
  <c r="F290" i="1"/>
  <c r="E290" i="1"/>
  <c r="D290" i="1"/>
  <c r="C290" i="1"/>
  <c r="B290" i="1"/>
  <c r="J289" i="1"/>
  <c r="G289" i="1"/>
  <c r="F289" i="1"/>
  <c r="E289" i="1"/>
  <c r="D289" i="1"/>
  <c r="C289" i="1"/>
  <c r="B289" i="1"/>
  <c r="J288" i="1"/>
  <c r="G288" i="1"/>
  <c r="F288" i="1"/>
  <c r="E288" i="1"/>
  <c r="D288" i="1"/>
  <c r="C288" i="1"/>
  <c r="B288" i="1"/>
  <c r="J287" i="1"/>
  <c r="G287" i="1"/>
  <c r="F287" i="1"/>
  <c r="E287" i="1"/>
  <c r="D287" i="1"/>
  <c r="C287" i="1"/>
  <c r="B287" i="1"/>
  <c r="J286" i="1"/>
  <c r="G286" i="1"/>
  <c r="F286" i="1"/>
  <c r="E286" i="1"/>
  <c r="D286" i="1"/>
  <c r="C286" i="1"/>
  <c r="B286" i="1"/>
  <c r="J285" i="1"/>
  <c r="G285" i="1"/>
  <c r="F285" i="1"/>
  <c r="E285" i="1"/>
  <c r="D285" i="1"/>
  <c r="C285" i="1"/>
  <c r="B285" i="1"/>
  <c r="J284" i="1"/>
  <c r="G284" i="1"/>
  <c r="F284" i="1"/>
  <c r="E284" i="1"/>
  <c r="D284" i="1"/>
  <c r="C284" i="1"/>
  <c r="B284" i="1"/>
  <c r="J283" i="1"/>
  <c r="G283" i="1"/>
  <c r="F283" i="1"/>
  <c r="E283" i="1"/>
  <c r="D283" i="1"/>
  <c r="C283" i="1"/>
  <c r="B283" i="1"/>
  <c r="J282" i="1"/>
  <c r="G282" i="1"/>
  <c r="F282" i="1"/>
  <c r="E282" i="1"/>
  <c r="D282" i="1"/>
  <c r="C282" i="1"/>
  <c r="B282" i="1"/>
  <c r="J281" i="1"/>
  <c r="G281" i="1"/>
  <c r="F281" i="1"/>
  <c r="E281" i="1"/>
  <c r="D281" i="1"/>
  <c r="C281" i="1"/>
  <c r="B281" i="1"/>
  <c r="J280" i="1"/>
  <c r="G280" i="1"/>
  <c r="F280" i="1"/>
  <c r="E280" i="1"/>
  <c r="D280" i="1"/>
  <c r="C280" i="1"/>
  <c r="B280" i="1"/>
  <c r="J279" i="1"/>
  <c r="G279" i="1"/>
  <c r="F279" i="1"/>
  <c r="E279" i="1"/>
  <c r="D279" i="1"/>
  <c r="C279" i="1"/>
  <c r="B279" i="1"/>
  <c r="J278" i="1"/>
  <c r="G278" i="1"/>
  <c r="F278" i="1"/>
  <c r="E278" i="1"/>
  <c r="D278" i="1"/>
  <c r="C278" i="1"/>
  <c r="B278" i="1"/>
  <c r="J277" i="1"/>
  <c r="G277" i="1"/>
  <c r="F277" i="1"/>
  <c r="E277" i="1"/>
  <c r="D277" i="1"/>
  <c r="C277" i="1"/>
  <c r="B277" i="1"/>
  <c r="J276" i="1"/>
  <c r="G276" i="1"/>
  <c r="F276" i="1"/>
  <c r="E276" i="1"/>
  <c r="D276" i="1"/>
  <c r="C276" i="1"/>
  <c r="B276" i="1"/>
  <c r="J275" i="1"/>
  <c r="G275" i="1"/>
  <c r="F275" i="1"/>
  <c r="E275" i="1"/>
  <c r="D275" i="1"/>
  <c r="C275" i="1"/>
  <c r="B275" i="1"/>
  <c r="J274" i="1"/>
  <c r="G274" i="1"/>
  <c r="F274" i="1"/>
  <c r="E274" i="1"/>
  <c r="D274" i="1"/>
  <c r="C274" i="1"/>
  <c r="B274" i="1"/>
  <c r="J273" i="1"/>
  <c r="G273" i="1"/>
  <c r="F273" i="1"/>
  <c r="E273" i="1"/>
  <c r="D273" i="1"/>
  <c r="C273" i="1"/>
  <c r="B273" i="1"/>
  <c r="J272" i="1"/>
  <c r="G272" i="1"/>
  <c r="F272" i="1"/>
  <c r="E272" i="1"/>
  <c r="D272" i="1"/>
  <c r="C272" i="1"/>
  <c r="B272" i="1"/>
  <c r="J271" i="1"/>
  <c r="G271" i="1"/>
  <c r="F271" i="1"/>
  <c r="E271" i="1"/>
  <c r="D271" i="1"/>
  <c r="C271" i="1"/>
  <c r="B271" i="1"/>
  <c r="J270" i="1"/>
  <c r="G270" i="1"/>
  <c r="F270" i="1"/>
  <c r="E270" i="1"/>
  <c r="D270" i="1"/>
  <c r="C270" i="1"/>
  <c r="B270" i="1"/>
  <c r="J269" i="1"/>
  <c r="G269" i="1"/>
  <c r="F269" i="1"/>
  <c r="E269" i="1"/>
  <c r="D269" i="1"/>
  <c r="C269" i="1"/>
  <c r="B269" i="1"/>
  <c r="J268" i="1"/>
  <c r="G268" i="1"/>
  <c r="F268" i="1"/>
  <c r="E268" i="1"/>
  <c r="D268" i="1"/>
  <c r="C268" i="1"/>
  <c r="B268" i="1"/>
  <c r="J267" i="1"/>
  <c r="G267" i="1"/>
  <c r="F267" i="1"/>
  <c r="E267" i="1"/>
  <c r="D267" i="1"/>
  <c r="C267" i="1"/>
  <c r="B267" i="1"/>
  <c r="J266" i="1"/>
  <c r="G266" i="1"/>
  <c r="F266" i="1"/>
  <c r="E266" i="1"/>
  <c r="D266" i="1"/>
  <c r="C266" i="1"/>
  <c r="B266" i="1"/>
  <c r="J265" i="1"/>
  <c r="G265" i="1"/>
  <c r="F265" i="1"/>
  <c r="E265" i="1"/>
  <c r="D265" i="1"/>
  <c r="C265" i="1"/>
  <c r="B265" i="1"/>
  <c r="J264" i="1"/>
  <c r="G264" i="1"/>
  <c r="F264" i="1"/>
  <c r="E264" i="1"/>
  <c r="D264" i="1"/>
  <c r="C264" i="1"/>
  <c r="B264" i="1"/>
  <c r="J263" i="1"/>
  <c r="G263" i="1"/>
  <c r="F263" i="1"/>
  <c r="E263" i="1"/>
  <c r="D263" i="1"/>
  <c r="C263" i="1"/>
  <c r="B263" i="1"/>
  <c r="J262" i="1"/>
  <c r="G262" i="1"/>
  <c r="F262" i="1"/>
  <c r="E262" i="1"/>
  <c r="D262" i="1"/>
  <c r="C262" i="1"/>
  <c r="B262" i="1"/>
  <c r="J261" i="1"/>
  <c r="G261" i="1"/>
  <c r="F261" i="1"/>
  <c r="E261" i="1"/>
  <c r="D261" i="1"/>
  <c r="C261" i="1"/>
  <c r="B261" i="1"/>
  <c r="J260" i="1"/>
  <c r="G260" i="1"/>
  <c r="F260" i="1"/>
  <c r="E260" i="1"/>
  <c r="D260" i="1"/>
  <c r="C260" i="1"/>
  <c r="B260" i="1"/>
  <c r="J259" i="1"/>
  <c r="G259" i="1"/>
  <c r="F259" i="1"/>
  <c r="E259" i="1"/>
  <c r="D259" i="1"/>
  <c r="C259" i="1"/>
  <c r="B259" i="1"/>
  <c r="J258" i="1"/>
  <c r="G258" i="1"/>
  <c r="F258" i="1"/>
  <c r="E258" i="1"/>
  <c r="D258" i="1"/>
  <c r="C258" i="1"/>
  <c r="B258" i="1"/>
  <c r="J257" i="1"/>
  <c r="G257" i="1"/>
  <c r="F257" i="1"/>
  <c r="E257" i="1"/>
  <c r="D257" i="1"/>
  <c r="C257" i="1"/>
  <c r="B257" i="1"/>
  <c r="J256" i="1"/>
  <c r="G256" i="1"/>
  <c r="F256" i="1"/>
  <c r="E256" i="1"/>
  <c r="D256" i="1"/>
  <c r="C256" i="1"/>
  <c r="B256" i="1"/>
  <c r="J255" i="1"/>
  <c r="G255" i="1"/>
  <c r="F255" i="1"/>
  <c r="E255" i="1"/>
  <c r="D255" i="1"/>
  <c r="C255" i="1"/>
  <c r="B255" i="1"/>
  <c r="J254" i="1"/>
  <c r="G254" i="1"/>
  <c r="F254" i="1"/>
  <c r="E254" i="1"/>
  <c r="D254" i="1"/>
  <c r="C254" i="1"/>
  <c r="B254" i="1"/>
  <c r="J253" i="1"/>
  <c r="G253" i="1"/>
  <c r="F253" i="1"/>
  <c r="E253" i="1"/>
  <c r="D253" i="1"/>
  <c r="C253" i="1"/>
  <c r="B253" i="1"/>
  <c r="J252" i="1"/>
  <c r="G252" i="1"/>
  <c r="F252" i="1"/>
  <c r="E252" i="1"/>
  <c r="D252" i="1"/>
  <c r="C252" i="1"/>
  <c r="B252" i="1"/>
  <c r="J251" i="1"/>
  <c r="G251" i="1"/>
  <c r="F251" i="1"/>
  <c r="E251" i="1"/>
  <c r="D251" i="1"/>
  <c r="C251" i="1"/>
  <c r="B251" i="1"/>
  <c r="J250" i="1"/>
  <c r="G250" i="1"/>
  <c r="F250" i="1"/>
  <c r="E250" i="1"/>
  <c r="D250" i="1"/>
  <c r="C250" i="1"/>
  <c r="B250" i="1"/>
  <c r="J249" i="1"/>
  <c r="G249" i="1"/>
  <c r="F249" i="1"/>
  <c r="E249" i="1"/>
  <c r="D249" i="1"/>
  <c r="C249" i="1"/>
  <c r="B249" i="1"/>
  <c r="J248" i="1"/>
  <c r="G248" i="1"/>
  <c r="F248" i="1"/>
  <c r="E248" i="1"/>
  <c r="D248" i="1"/>
  <c r="C248" i="1"/>
  <c r="B248" i="1"/>
  <c r="J247" i="1"/>
  <c r="G247" i="1"/>
  <c r="F247" i="1"/>
  <c r="E247" i="1"/>
  <c r="D247" i="1"/>
  <c r="C247" i="1"/>
  <c r="B247" i="1"/>
  <c r="J246" i="1"/>
  <c r="G246" i="1"/>
  <c r="F246" i="1"/>
  <c r="E246" i="1"/>
  <c r="D246" i="1"/>
  <c r="C246" i="1"/>
  <c r="B246" i="1"/>
  <c r="J245" i="1"/>
  <c r="G245" i="1"/>
  <c r="F245" i="1"/>
  <c r="E245" i="1"/>
  <c r="D245" i="1"/>
  <c r="C245" i="1"/>
  <c r="B245" i="1"/>
  <c r="J244" i="1"/>
  <c r="G244" i="1"/>
  <c r="F244" i="1"/>
  <c r="E244" i="1"/>
  <c r="D244" i="1"/>
  <c r="C244" i="1"/>
  <c r="B244" i="1"/>
  <c r="J243" i="1"/>
  <c r="G243" i="1"/>
  <c r="F243" i="1"/>
  <c r="E243" i="1"/>
  <c r="D243" i="1"/>
  <c r="C243" i="1"/>
  <c r="B243" i="1"/>
  <c r="J242" i="1"/>
  <c r="G242" i="1"/>
  <c r="F242" i="1"/>
  <c r="E242" i="1"/>
  <c r="D242" i="1"/>
  <c r="C242" i="1"/>
  <c r="B242" i="1"/>
  <c r="J241" i="1"/>
  <c r="G241" i="1"/>
  <c r="F241" i="1"/>
  <c r="E241" i="1"/>
  <c r="D241" i="1"/>
  <c r="C241" i="1"/>
  <c r="B241" i="1"/>
  <c r="J240" i="1"/>
  <c r="G240" i="1"/>
  <c r="F240" i="1"/>
  <c r="E240" i="1"/>
  <c r="D240" i="1"/>
  <c r="C240" i="1"/>
  <c r="B240" i="1"/>
  <c r="J239" i="1"/>
  <c r="G239" i="1"/>
  <c r="F239" i="1"/>
  <c r="E239" i="1"/>
  <c r="D239" i="1"/>
  <c r="C239" i="1"/>
  <c r="B239" i="1"/>
  <c r="J238" i="1"/>
  <c r="G238" i="1"/>
  <c r="F238" i="1"/>
  <c r="E238" i="1"/>
  <c r="D238" i="1"/>
  <c r="C238" i="1"/>
  <c r="B238" i="1"/>
  <c r="J237" i="1"/>
  <c r="G237" i="1"/>
  <c r="F237" i="1"/>
  <c r="E237" i="1"/>
  <c r="D237" i="1"/>
  <c r="C237" i="1"/>
  <c r="B237" i="1"/>
  <c r="J236" i="1"/>
  <c r="G236" i="1"/>
  <c r="F236" i="1"/>
  <c r="E236" i="1"/>
  <c r="D236" i="1"/>
  <c r="C236" i="1"/>
  <c r="B236" i="1"/>
  <c r="J235" i="1"/>
  <c r="G235" i="1"/>
  <c r="F235" i="1"/>
  <c r="E235" i="1"/>
  <c r="D235" i="1"/>
  <c r="C235" i="1"/>
  <c r="B235" i="1"/>
  <c r="J234" i="1"/>
  <c r="G234" i="1"/>
  <c r="F234" i="1"/>
  <c r="E234" i="1"/>
  <c r="D234" i="1"/>
  <c r="C234" i="1"/>
  <c r="B234" i="1"/>
  <c r="J233" i="1"/>
  <c r="G233" i="1"/>
  <c r="F233" i="1"/>
  <c r="E233" i="1"/>
  <c r="D233" i="1"/>
  <c r="C233" i="1"/>
  <c r="B233" i="1"/>
  <c r="J232" i="1"/>
  <c r="G232" i="1"/>
  <c r="F232" i="1"/>
  <c r="E232" i="1"/>
  <c r="D232" i="1"/>
  <c r="C232" i="1"/>
  <c r="B232" i="1"/>
  <c r="J231" i="1"/>
  <c r="G231" i="1"/>
  <c r="F231" i="1"/>
  <c r="E231" i="1"/>
  <c r="D231" i="1"/>
  <c r="C231" i="1"/>
  <c r="B231" i="1"/>
  <c r="J230" i="1"/>
  <c r="G230" i="1"/>
  <c r="F230" i="1"/>
  <c r="E230" i="1"/>
  <c r="D230" i="1"/>
  <c r="C230" i="1"/>
  <c r="B230" i="1"/>
  <c r="J229" i="1"/>
  <c r="G229" i="1"/>
  <c r="F229" i="1"/>
  <c r="E229" i="1"/>
  <c r="D229" i="1"/>
  <c r="C229" i="1"/>
  <c r="B229" i="1"/>
  <c r="J228" i="1"/>
  <c r="G228" i="1"/>
  <c r="F228" i="1"/>
  <c r="E228" i="1"/>
  <c r="D228" i="1"/>
  <c r="C228" i="1"/>
  <c r="H228" i="1" s="1"/>
  <c r="B228" i="1"/>
  <c r="J227" i="1"/>
  <c r="G227" i="1"/>
  <c r="F227" i="1"/>
  <c r="E227" i="1"/>
  <c r="D227" i="1"/>
  <c r="C227" i="1"/>
  <c r="B227" i="1"/>
  <c r="J226" i="1"/>
  <c r="G226" i="1"/>
  <c r="F226" i="1"/>
  <c r="E226" i="1"/>
  <c r="D226" i="1"/>
  <c r="I226" i="1" s="1"/>
  <c r="C226" i="1"/>
  <c r="B226" i="1"/>
  <c r="J225" i="1"/>
  <c r="G225" i="1"/>
  <c r="F225" i="1"/>
  <c r="E225" i="1"/>
  <c r="D225" i="1"/>
  <c r="C225" i="1"/>
  <c r="B225" i="1"/>
  <c r="J224" i="1"/>
  <c r="G224" i="1"/>
  <c r="F224" i="1"/>
  <c r="E224" i="1"/>
  <c r="D224" i="1"/>
  <c r="C224" i="1"/>
  <c r="B224" i="1"/>
  <c r="J223" i="1"/>
  <c r="G223" i="1"/>
  <c r="F223" i="1"/>
  <c r="E223" i="1"/>
  <c r="D223" i="1"/>
  <c r="C223" i="1"/>
  <c r="B223" i="1"/>
  <c r="J222" i="1"/>
  <c r="G222" i="1"/>
  <c r="F222" i="1"/>
  <c r="E222" i="1"/>
  <c r="D222" i="1"/>
  <c r="C222" i="1"/>
  <c r="B222" i="1"/>
  <c r="J221" i="1"/>
  <c r="G221" i="1"/>
  <c r="F221" i="1"/>
  <c r="E221" i="1"/>
  <c r="D221" i="1"/>
  <c r="C221" i="1"/>
  <c r="B221" i="1"/>
  <c r="J220" i="1"/>
  <c r="G220" i="1"/>
  <c r="F220" i="1"/>
  <c r="E220" i="1"/>
  <c r="D220" i="1"/>
  <c r="C220" i="1"/>
  <c r="B220" i="1"/>
  <c r="J219" i="1"/>
  <c r="G219" i="1"/>
  <c r="F219" i="1"/>
  <c r="E219" i="1"/>
  <c r="D219" i="1"/>
  <c r="C219" i="1"/>
  <c r="B219" i="1"/>
  <c r="J218" i="1"/>
  <c r="G218" i="1"/>
  <c r="F218" i="1"/>
  <c r="E218" i="1"/>
  <c r="D218" i="1"/>
  <c r="C218" i="1"/>
  <c r="B218" i="1"/>
  <c r="J217" i="1"/>
  <c r="G217" i="1"/>
  <c r="F217" i="1"/>
  <c r="E217" i="1"/>
  <c r="D217" i="1"/>
  <c r="I217" i="1" s="1"/>
  <c r="C217" i="1"/>
  <c r="B217" i="1"/>
  <c r="J216" i="1"/>
  <c r="G216" i="1"/>
  <c r="F216" i="1"/>
  <c r="E216" i="1"/>
  <c r="D216" i="1"/>
  <c r="C216" i="1"/>
  <c r="B216" i="1"/>
  <c r="J215" i="1"/>
  <c r="G215" i="1"/>
  <c r="F215" i="1"/>
  <c r="E215" i="1"/>
  <c r="D215" i="1"/>
  <c r="C215" i="1"/>
  <c r="B215" i="1"/>
  <c r="J214" i="1"/>
  <c r="G214" i="1"/>
  <c r="F214" i="1"/>
  <c r="E214" i="1"/>
  <c r="D214" i="1"/>
  <c r="C214" i="1"/>
  <c r="B214" i="1"/>
  <c r="J213" i="1"/>
  <c r="G213" i="1"/>
  <c r="F213" i="1"/>
  <c r="E213" i="1"/>
  <c r="D213" i="1"/>
  <c r="C213" i="1"/>
  <c r="B213" i="1"/>
  <c r="J212" i="1"/>
  <c r="G212" i="1"/>
  <c r="F212" i="1"/>
  <c r="E212" i="1"/>
  <c r="D212" i="1"/>
  <c r="C212" i="1"/>
  <c r="B212" i="1"/>
  <c r="J211" i="1"/>
  <c r="G211" i="1"/>
  <c r="F211" i="1"/>
  <c r="E211" i="1"/>
  <c r="D211" i="1"/>
  <c r="C211" i="1"/>
  <c r="B211" i="1"/>
  <c r="J210" i="1"/>
  <c r="G210" i="1"/>
  <c r="F210" i="1"/>
  <c r="E210" i="1"/>
  <c r="D210" i="1"/>
  <c r="C210" i="1"/>
  <c r="B210" i="1"/>
  <c r="J209" i="1"/>
  <c r="G209" i="1"/>
  <c r="F209" i="1"/>
  <c r="E209" i="1"/>
  <c r="D209" i="1"/>
  <c r="C209" i="1"/>
  <c r="B209" i="1"/>
  <c r="J208" i="1"/>
  <c r="G208" i="1"/>
  <c r="F208" i="1"/>
  <c r="E208" i="1"/>
  <c r="D208" i="1"/>
  <c r="C208" i="1"/>
  <c r="B208" i="1"/>
  <c r="J207" i="1"/>
  <c r="G207" i="1"/>
  <c r="F207" i="1"/>
  <c r="E207" i="1"/>
  <c r="D207" i="1"/>
  <c r="C207" i="1"/>
  <c r="B207" i="1"/>
  <c r="J206" i="1"/>
  <c r="G206" i="1"/>
  <c r="F206" i="1"/>
  <c r="E206" i="1"/>
  <c r="D206" i="1"/>
  <c r="C206" i="1"/>
  <c r="B206" i="1"/>
  <c r="J205" i="1"/>
  <c r="G205" i="1"/>
  <c r="F205" i="1"/>
  <c r="E205" i="1"/>
  <c r="D205" i="1"/>
  <c r="C205" i="1"/>
  <c r="B205" i="1"/>
  <c r="J204" i="1"/>
  <c r="G204" i="1"/>
  <c r="F204" i="1"/>
  <c r="E204" i="1"/>
  <c r="D204" i="1"/>
  <c r="C204" i="1"/>
  <c r="B204" i="1"/>
  <c r="J203" i="1"/>
  <c r="G203" i="1"/>
  <c r="F203" i="1"/>
  <c r="E203" i="1"/>
  <c r="D203" i="1"/>
  <c r="C203" i="1"/>
  <c r="B203" i="1"/>
  <c r="J202" i="1"/>
  <c r="G202" i="1"/>
  <c r="F202" i="1"/>
  <c r="E202" i="1"/>
  <c r="D202" i="1"/>
  <c r="C202" i="1"/>
  <c r="B202" i="1"/>
  <c r="J201" i="1"/>
  <c r="G201" i="1"/>
  <c r="F201" i="1"/>
  <c r="E201" i="1"/>
  <c r="D201" i="1"/>
  <c r="C201" i="1"/>
  <c r="B201" i="1"/>
  <c r="J200" i="1"/>
  <c r="G200" i="1"/>
  <c r="F200" i="1"/>
  <c r="E200" i="1"/>
  <c r="D200" i="1"/>
  <c r="C200" i="1"/>
  <c r="B200" i="1"/>
  <c r="J199" i="1"/>
  <c r="G199" i="1"/>
  <c r="F199" i="1"/>
  <c r="E199" i="1"/>
  <c r="D199" i="1"/>
  <c r="C199" i="1"/>
  <c r="B199" i="1"/>
  <c r="J198" i="1"/>
  <c r="G198" i="1"/>
  <c r="F198" i="1"/>
  <c r="E198" i="1"/>
  <c r="D198" i="1"/>
  <c r="C198" i="1"/>
  <c r="B198" i="1"/>
  <c r="J197" i="1"/>
  <c r="G197" i="1"/>
  <c r="F197" i="1"/>
  <c r="E197" i="1"/>
  <c r="D197" i="1"/>
  <c r="C197" i="1"/>
  <c r="B197" i="1"/>
  <c r="J196" i="1"/>
  <c r="G196" i="1"/>
  <c r="F196" i="1"/>
  <c r="E196" i="1"/>
  <c r="D196" i="1"/>
  <c r="C196" i="1"/>
  <c r="B196" i="1"/>
  <c r="J195" i="1"/>
  <c r="G195" i="1"/>
  <c r="F195" i="1"/>
  <c r="E195" i="1"/>
  <c r="D195" i="1"/>
  <c r="C195" i="1"/>
  <c r="B195" i="1"/>
  <c r="J194" i="1"/>
  <c r="G194" i="1"/>
  <c r="F194" i="1"/>
  <c r="E194" i="1"/>
  <c r="D194" i="1"/>
  <c r="C194" i="1"/>
  <c r="B194" i="1"/>
  <c r="J193" i="1"/>
  <c r="G193" i="1"/>
  <c r="F193" i="1"/>
  <c r="E193" i="1"/>
  <c r="D193" i="1"/>
  <c r="C193" i="1"/>
  <c r="B193" i="1"/>
  <c r="J192" i="1"/>
  <c r="G192" i="1"/>
  <c r="F192" i="1"/>
  <c r="E192" i="1"/>
  <c r="D192" i="1"/>
  <c r="C192" i="1"/>
  <c r="B192" i="1"/>
  <c r="J191" i="1"/>
  <c r="G191" i="1"/>
  <c r="F191" i="1"/>
  <c r="E191" i="1"/>
  <c r="D191" i="1"/>
  <c r="C191" i="1"/>
  <c r="B191" i="1"/>
  <c r="J190" i="1"/>
  <c r="G190" i="1"/>
  <c r="F190" i="1"/>
  <c r="E190" i="1"/>
  <c r="D190" i="1"/>
  <c r="C190" i="1"/>
  <c r="B190" i="1"/>
  <c r="J189" i="1"/>
  <c r="G189" i="1"/>
  <c r="F189" i="1"/>
  <c r="E189" i="1"/>
  <c r="D189" i="1"/>
  <c r="C189" i="1"/>
  <c r="B189" i="1"/>
  <c r="J188" i="1"/>
  <c r="G188" i="1"/>
  <c r="F188" i="1"/>
  <c r="E188" i="1"/>
  <c r="D188" i="1"/>
  <c r="C188" i="1"/>
  <c r="B188" i="1"/>
  <c r="J187" i="1"/>
  <c r="G187" i="1"/>
  <c r="F187" i="1"/>
  <c r="E187" i="1"/>
  <c r="D187" i="1"/>
  <c r="C187" i="1"/>
  <c r="B187" i="1"/>
  <c r="J186" i="1"/>
  <c r="G186" i="1"/>
  <c r="F186" i="1"/>
  <c r="E186" i="1"/>
  <c r="D186" i="1"/>
  <c r="C186" i="1"/>
  <c r="B186" i="1"/>
  <c r="J185" i="1"/>
  <c r="G185" i="1"/>
  <c r="F185" i="1"/>
  <c r="E185" i="1"/>
  <c r="D185" i="1"/>
  <c r="C185" i="1"/>
  <c r="B185" i="1"/>
  <c r="J184" i="1"/>
  <c r="G184" i="1"/>
  <c r="F184" i="1"/>
  <c r="E184" i="1"/>
  <c r="D184" i="1"/>
  <c r="C184" i="1"/>
  <c r="B184" i="1"/>
  <c r="J183" i="1"/>
  <c r="G183" i="1"/>
  <c r="F183" i="1"/>
  <c r="E183" i="1"/>
  <c r="D183" i="1"/>
  <c r="C183" i="1"/>
  <c r="B183" i="1"/>
  <c r="J182" i="1"/>
  <c r="G182" i="1"/>
  <c r="F182" i="1"/>
  <c r="E182" i="1"/>
  <c r="D182" i="1"/>
  <c r="C182" i="1"/>
  <c r="B182" i="1"/>
  <c r="J181" i="1"/>
  <c r="G181" i="1"/>
  <c r="F181" i="1"/>
  <c r="E181" i="1"/>
  <c r="D181" i="1"/>
  <c r="C181" i="1"/>
  <c r="B181" i="1"/>
  <c r="J180" i="1"/>
  <c r="G180" i="1"/>
  <c r="F180" i="1"/>
  <c r="E180" i="1"/>
  <c r="D180" i="1"/>
  <c r="C180" i="1"/>
  <c r="B180" i="1"/>
  <c r="J179" i="1"/>
  <c r="G179" i="1"/>
  <c r="F179" i="1"/>
  <c r="E179" i="1"/>
  <c r="D179" i="1"/>
  <c r="C179" i="1"/>
  <c r="B179" i="1"/>
  <c r="J178" i="1"/>
  <c r="G178" i="1"/>
  <c r="F178" i="1"/>
  <c r="E178" i="1"/>
  <c r="D178" i="1"/>
  <c r="C178" i="1"/>
  <c r="B178" i="1"/>
  <c r="J177" i="1"/>
  <c r="G177" i="1"/>
  <c r="F177" i="1"/>
  <c r="E177" i="1"/>
  <c r="D177" i="1"/>
  <c r="C177" i="1"/>
  <c r="B177" i="1"/>
  <c r="J176" i="1"/>
  <c r="G176" i="1"/>
  <c r="F176" i="1"/>
  <c r="E176" i="1"/>
  <c r="D176" i="1"/>
  <c r="C176" i="1"/>
  <c r="B176" i="1"/>
  <c r="J175" i="1"/>
  <c r="G175" i="1"/>
  <c r="F175" i="1"/>
  <c r="E175" i="1"/>
  <c r="D175" i="1"/>
  <c r="C175" i="1"/>
  <c r="B175" i="1"/>
  <c r="J174" i="1"/>
  <c r="G174" i="1"/>
  <c r="F174" i="1"/>
  <c r="E174" i="1"/>
  <c r="D174" i="1"/>
  <c r="C174" i="1"/>
  <c r="B174" i="1"/>
  <c r="J173" i="1"/>
  <c r="G173" i="1"/>
  <c r="F173" i="1"/>
  <c r="E173" i="1"/>
  <c r="D173" i="1"/>
  <c r="C173" i="1"/>
  <c r="B173" i="1"/>
  <c r="J172" i="1"/>
  <c r="G172" i="1"/>
  <c r="F172" i="1"/>
  <c r="E172" i="1"/>
  <c r="D172" i="1"/>
  <c r="C172" i="1"/>
  <c r="B172" i="1"/>
  <c r="J171" i="1"/>
  <c r="G171" i="1"/>
  <c r="F171" i="1"/>
  <c r="E171" i="1"/>
  <c r="D171" i="1"/>
  <c r="C171" i="1"/>
  <c r="B171" i="1"/>
  <c r="J170" i="1"/>
  <c r="G170" i="1"/>
  <c r="F170" i="1"/>
  <c r="E170" i="1"/>
  <c r="D170" i="1"/>
  <c r="C170" i="1"/>
  <c r="B170" i="1"/>
  <c r="J169" i="1"/>
  <c r="G169" i="1"/>
  <c r="F169" i="1"/>
  <c r="E169" i="1"/>
  <c r="D169" i="1"/>
  <c r="C169" i="1"/>
  <c r="B169" i="1"/>
  <c r="J168" i="1"/>
  <c r="G168" i="1"/>
  <c r="F168" i="1"/>
  <c r="E168" i="1"/>
  <c r="D168" i="1"/>
  <c r="C168" i="1"/>
  <c r="B168" i="1"/>
  <c r="J167" i="1"/>
  <c r="G167" i="1"/>
  <c r="F167" i="1"/>
  <c r="E167" i="1"/>
  <c r="D167" i="1"/>
  <c r="C167" i="1"/>
  <c r="B167" i="1"/>
  <c r="J166" i="1"/>
  <c r="G166" i="1"/>
  <c r="F166" i="1"/>
  <c r="E166" i="1"/>
  <c r="D166" i="1"/>
  <c r="C166" i="1"/>
  <c r="B166" i="1"/>
  <c r="J165" i="1"/>
  <c r="G165" i="1"/>
  <c r="F165" i="1"/>
  <c r="E165" i="1"/>
  <c r="D165" i="1"/>
  <c r="C165" i="1"/>
  <c r="B165" i="1"/>
  <c r="J164" i="1"/>
  <c r="G164" i="1"/>
  <c r="F164" i="1"/>
  <c r="E164" i="1"/>
  <c r="D164" i="1"/>
  <c r="C164" i="1"/>
  <c r="B164" i="1"/>
  <c r="J163" i="1"/>
  <c r="G163" i="1"/>
  <c r="F163" i="1"/>
  <c r="E163" i="1"/>
  <c r="D163" i="1"/>
  <c r="C163" i="1"/>
  <c r="B163" i="1"/>
  <c r="J162" i="1"/>
  <c r="G162" i="1"/>
  <c r="F162" i="1"/>
  <c r="E162" i="1"/>
  <c r="D162" i="1"/>
  <c r="C162" i="1"/>
  <c r="B162" i="1"/>
  <c r="J161" i="1"/>
  <c r="G161" i="1"/>
  <c r="F161" i="1"/>
  <c r="E161" i="1"/>
  <c r="D161" i="1"/>
  <c r="C161" i="1"/>
  <c r="B161" i="1"/>
  <c r="J160" i="1"/>
  <c r="G160" i="1"/>
  <c r="F160" i="1"/>
  <c r="E160" i="1"/>
  <c r="D160" i="1"/>
  <c r="C160" i="1"/>
  <c r="B160" i="1"/>
  <c r="J159" i="1"/>
  <c r="G159" i="1"/>
  <c r="F159" i="1"/>
  <c r="E159" i="1"/>
  <c r="D159" i="1"/>
  <c r="C159" i="1"/>
  <c r="B159" i="1"/>
  <c r="J158" i="1"/>
  <c r="G158" i="1"/>
  <c r="F158" i="1"/>
  <c r="E158" i="1"/>
  <c r="D158" i="1"/>
  <c r="C158" i="1"/>
  <c r="B158" i="1"/>
  <c r="J157" i="1"/>
  <c r="G157" i="1"/>
  <c r="F157" i="1"/>
  <c r="E157" i="1"/>
  <c r="D157" i="1"/>
  <c r="C157" i="1"/>
  <c r="B157" i="1"/>
  <c r="J156" i="1"/>
  <c r="G156" i="1"/>
  <c r="F156" i="1"/>
  <c r="E156" i="1"/>
  <c r="D156" i="1"/>
  <c r="C156" i="1"/>
  <c r="B156" i="1"/>
  <c r="J155" i="1"/>
  <c r="G155" i="1"/>
  <c r="F155" i="1"/>
  <c r="E155" i="1"/>
  <c r="D155" i="1"/>
  <c r="C155" i="1"/>
  <c r="B155" i="1"/>
  <c r="J154" i="1"/>
  <c r="G154" i="1"/>
  <c r="F154" i="1"/>
  <c r="E154" i="1"/>
  <c r="D154" i="1"/>
  <c r="C154" i="1"/>
  <c r="B154" i="1"/>
  <c r="J153" i="1"/>
  <c r="G153" i="1"/>
  <c r="F153" i="1"/>
  <c r="E153" i="1"/>
  <c r="D153" i="1"/>
  <c r="C153" i="1"/>
  <c r="B153" i="1"/>
  <c r="J152" i="1"/>
  <c r="G152" i="1"/>
  <c r="F152" i="1"/>
  <c r="E152" i="1"/>
  <c r="D152" i="1"/>
  <c r="C152" i="1"/>
  <c r="B152" i="1"/>
  <c r="J151" i="1"/>
  <c r="G151" i="1"/>
  <c r="F151" i="1"/>
  <c r="E151" i="1"/>
  <c r="D151" i="1"/>
  <c r="C151" i="1"/>
  <c r="B151" i="1"/>
  <c r="J150" i="1"/>
  <c r="G150" i="1"/>
  <c r="F150" i="1"/>
  <c r="E150" i="1"/>
  <c r="D150" i="1"/>
  <c r="C150" i="1"/>
  <c r="B150" i="1"/>
  <c r="J149" i="1"/>
  <c r="G149" i="1"/>
  <c r="F149" i="1"/>
  <c r="E149" i="1"/>
  <c r="D149" i="1"/>
  <c r="C149" i="1"/>
  <c r="B149" i="1"/>
  <c r="J148" i="1"/>
  <c r="G148" i="1"/>
  <c r="F148" i="1"/>
  <c r="E148" i="1"/>
  <c r="D148" i="1"/>
  <c r="C148" i="1"/>
  <c r="B148" i="1"/>
  <c r="J147" i="1"/>
  <c r="G147" i="1"/>
  <c r="F147" i="1"/>
  <c r="E147" i="1"/>
  <c r="D147" i="1"/>
  <c r="C147" i="1"/>
  <c r="B147" i="1"/>
  <c r="J146" i="1"/>
  <c r="G146" i="1"/>
  <c r="F146" i="1"/>
  <c r="E146" i="1"/>
  <c r="D146" i="1"/>
  <c r="C146" i="1"/>
  <c r="B146" i="1"/>
  <c r="J145" i="1"/>
  <c r="G145" i="1"/>
  <c r="F145" i="1"/>
  <c r="E145" i="1"/>
  <c r="D145" i="1"/>
  <c r="C145" i="1"/>
  <c r="B145" i="1"/>
  <c r="J144" i="1"/>
  <c r="G144" i="1"/>
  <c r="F144" i="1"/>
  <c r="E144" i="1"/>
  <c r="D144" i="1"/>
  <c r="C144" i="1"/>
  <c r="B144" i="1"/>
  <c r="J143" i="1"/>
  <c r="G143" i="1"/>
  <c r="F143" i="1"/>
  <c r="E143" i="1"/>
  <c r="D143" i="1"/>
  <c r="C143" i="1"/>
  <c r="B143" i="1"/>
  <c r="J142" i="1"/>
  <c r="G142" i="1"/>
  <c r="F142" i="1"/>
  <c r="E142" i="1"/>
  <c r="D142" i="1"/>
  <c r="C142" i="1"/>
  <c r="B142" i="1"/>
  <c r="J141" i="1"/>
  <c r="G141" i="1"/>
  <c r="F141" i="1"/>
  <c r="E141" i="1"/>
  <c r="D141" i="1"/>
  <c r="C141" i="1"/>
  <c r="B141" i="1"/>
  <c r="J140" i="1"/>
  <c r="G140" i="1"/>
  <c r="F140" i="1"/>
  <c r="E140" i="1"/>
  <c r="D140" i="1"/>
  <c r="C140" i="1"/>
  <c r="B140" i="1"/>
  <c r="J139" i="1"/>
  <c r="G139" i="1"/>
  <c r="F139" i="1"/>
  <c r="E139" i="1"/>
  <c r="D139" i="1"/>
  <c r="C139" i="1"/>
  <c r="B139" i="1"/>
  <c r="J138" i="1"/>
  <c r="G138" i="1"/>
  <c r="F138" i="1"/>
  <c r="E138" i="1"/>
  <c r="D138" i="1"/>
  <c r="C138" i="1"/>
  <c r="B138" i="1"/>
  <c r="J137" i="1"/>
  <c r="G137" i="1"/>
  <c r="F137" i="1"/>
  <c r="E137" i="1"/>
  <c r="D137" i="1"/>
  <c r="C137" i="1"/>
  <c r="B137" i="1"/>
  <c r="J136" i="1"/>
  <c r="G136" i="1"/>
  <c r="F136" i="1"/>
  <c r="E136" i="1"/>
  <c r="D136" i="1"/>
  <c r="C136" i="1"/>
  <c r="B136" i="1"/>
  <c r="J135" i="1"/>
  <c r="G135" i="1"/>
  <c r="F135" i="1"/>
  <c r="E135" i="1"/>
  <c r="D135" i="1"/>
  <c r="C135" i="1"/>
  <c r="B135" i="1"/>
  <c r="J134" i="1"/>
  <c r="G134" i="1"/>
  <c r="F134" i="1"/>
  <c r="E134" i="1"/>
  <c r="D134" i="1"/>
  <c r="C134" i="1"/>
  <c r="B134" i="1"/>
  <c r="J133" i="1"/>
  <c r="G133" i="1"/>
  <c r="F133" i="1"/>
  <c r="E133" i="1"/>
  <c r="D133" i="1"/>
  <c r="C133" i="1"/>
  <c r="B133" i="1"/>
  <c r="J132" i="1"/>
  <c r="G132" i="1"/>
  <c r="F132" i="1"/>
  <c r="E132" i="1"/>
  <c r="D132" i="1"/>
  <c r="C132" i="1"/>
  <c r="B132" i="1"/>
  <c r="J131" i="1"/>
  <c r="G131" i="1"/>
  <c r="F131" i="1"/>
  <c r="E131" i="1"/>
  <c r="D131" i="1"/>
  <c r="C131" i="1"/>
  <c r="B131" i="1"/>
  <c r="J130" i="1"/>
  <c r="G130" i="1"/>
  <c r="F130" i="1"/>
  <c r="E130" i="1"/>
  <c r="D130" i="1"/>
  <c r="C130" i="1"/>
  <c r="B130" i="1"/>
  <c r="J129" i="1"/>
  <c r="G129" i="1"/>
  <c r="F129" i="1"/>
  <c r="E129" i="1"/>
  <c r="D129" i="1"/>
  <c r="C129" i="1"/>
  <c r="B129" i="1"/>
  <c r="J128" i="1"/>
  <c r="G128" i="1"/>
  <c r="F128" i="1"/>
  <c r="E128" i="1"/>
  <c r="D128" i="1"/>
  <c r="C128" i="1"/>
  <c r="B128" i="1"/>
  <c r="J127" i="1"/>
  <c r="G127" i="1"/>
  <c r="F127" i="1"/>
  <c r="E127" i="1"/>
  <c r="D127" i="1"/>
  <c r="C127" i="1"/>
  <c r="B127" i="1"/>
  <c r="J126" i="1"/>
  <c r="G126" i="1"/>
  <c r="F126" i="1"/>
  <c r="E126" i="1"/>
  <c r="D126" i="1"/>
  <c r="C126" i="1"/>
  <c r="B126" i="1"/>
  <c r="J125" i="1"/>
  <c r="G125" i="1"/>
  <c r="F125" i="1"/>
  <c r="E125" i="1"/>
  <c r="D125" i="1"/>
  <c r="C125" i="1"/>
  <c r="B125" i="1"/>
  <c r="J124" i="1"/>
  <c r="G124" i="1"/>
  <c r="F124" i="1"/>
  <c r="E124" i="1"/>
  <c r="D124" i="1"/>
  <c r="C124" i="1"/>
  <c r="B124" i="1"/>
  <c r="J123" i="1"/>
  <c r="G123" i="1"/>
  <c r="F123" i="1"/>
  <c r="E123" i="1"/>
  <c r="D123" i="1"/>
  <c r="C123" i="1"/>
  <c r="B123" i="1"/>
  <c r="J122" i="1"/>
  <c r="G122" i="1"/>
  <c r="F122" i="1"/>
  <c r="E122" i="1"/>
  <c r="D122" i="1"/>
  <c r="C122" i="1"/>
  <c r="B122" i="1"/>
  <c r="J121" i="1"/>
  <c r="G121" i="1"/>
  <c r="F121" i="1"/>
  <c r="E121" i="1"/>
  <c r="D121" i="1"/>
  <c r="C121" i="1"/>
  <c r="B121" i="1"/>
  <c r="J120" i="1"/>
  <c r="G120" i="1"/>
  <c r="F120" i="1"/>
  <c r="E120" i="1"/>
  <c r="D120" i="1"/>
  <c r="C120" i="1"/>
  <c r="B120" i="1"/>
  <c r="J119" i="1"/>
  <c r="G119" i="1"/>
  <c r="F119" i="1"/>
  <c r="E119" i="1"/>
  <c r="D119" i="1"/>
  <c r="C119" i="1"/>
  <c r="B119" i="1"/>
  <c r="J118" i="1"/>
  <c r="G118" i="1"/>
  <c r="F118" i="1"/>
  <c r="E118" i="1"/>
  <c r="D118" i="1"/>
  <c r="C118" i="1"/>
  <c r="B118" i="1"/>
  <c r="J117" i="1"/>
  <c r="G117" i="1"/>
  <c r="F117" i="1"/>
  <c r="E117" i="1"/>
  <c r="D117" i="1"/>
  <c r="C117" i="1"/>
  <c r="B117" i="1"/>
  <c r="J116" i="1"/>
  <c r="G116" i="1"/>
  <c r="F116" i="1"/>
  <c r="E116" i="1"/>
  <c r="D116" i="1"/>
  <c r="C116" i="1"/>
  <c r="B116" i="1"/>
  <c r="J115" i="1"/>
  <c r="G115" i="1"/>
  <c r="F115" i="1"/>
  <c r="E115" i="1"/>
  <c r="D115" i="1"/>
  <c r="C115" i="1"/>
  <c r="B115" i="1"/>
  <c r="J114" i="1"/>
  <c r="G114" i="1"/>
  <c r="F114" i="1"/>
  <c r="E114" i="1"/>
  <c r="D114" i="1"/>
  <c r="C114" i="1"/>
  <c r="B114" i="1"/>
  <c r="J113" i="1"/>
  <c r="G113" i="1"/>
  <c r="F113" i="1"/>
  <c r="E113" i="1"/>
  <c r="D113" i="1"/>
  <c r="C113" i="1"/>
  <c r="B113" i="1"/>
  <c r="J112" i="1"/>
  <c r="G112" i="1"/>
  <c r="F112" i="1"/>
  <c r="E112" i="1"/>
  <c r="D112" i="1"/>
  <c r="C112" i="1"/>
  <c r="B112" i="1"/>
  <c r="J111" i="1"/>
  <c r="G111" i="1"/>
  <c r="F111" i="1"/>
  <c r="E111" i="1"/>
  <c r="D111" i="1"/>
  <c r="C111" i="1"/>
  <c r="B111" i="1"/>
  <c r="J110" i="1"/>
  <c r="G110" i="1"/>
  <c r="F110" i="1"/>
  <c r="E110" i="1"/>
  <c r="D110" i="1"/>
  <c r="C110" i="1"/>
  <c r="B110" i="1"/>
  <c r="J109" i="1"/>
  <c r="G109" i="1"/>
  <c r="F109" i="1"/>
  <c r="E109" i="1"/>
  <c r="D109" i="1"/>
  <c r="C109" i="1"/>
  <c r="B109" i="1"/>
  <c r="J108" i="1"/>
  <c r="G108" i="1"/>
  <c r="F108" i="1"/>
  <c r="E108" i="1"/>
  <c r="D108" i="1"/>
  <c r="C108" i="1"/>
  <c r="B108" i="1"/>
  <c r="J107" i="1"/>
  <c r="G107" i="1"/>
  <c r="F107" i="1"/>
  <c r="E107" i="1"/>
  <c r="D107" i="1"/>
  <c r="C107" i="1"/>
  <c r="B107" i="1"/>
  <c r="J106" i="1"/>
  <c r="G106" i="1"/>
  <c r="F106" i="1"/>
  <c r="E106" i="1"/>
  <c r="D106" i="1"/>
  <c r="C106" i="1"/>
  <c r="B106" i="1"/>
  <c r="J105" i="1"/>
  <c r="G105" i="1"/>
  <c r="F105" i="1"/>
  <c r="E105" i="1"/>
  <c r="D105" i="1"/>
  <c r="C105" i="1"/>
  <c r="B105" i="1"/>
  <c r="J104" i="1"/>
  <c r="G104" i="1"/>
  <c r="F104" i="1"/>
  <c r="E104" i="1"/>
  <c r="D104" i="1"/>
  <c r="C104" i="1"/>
  <c r="B104" i="1"/>
  <c r="J103" i="1"/>
  <c r="G103" i="1"/>
  <c r="F103" i="1"/>
  <c r="E103" i="1"/>
  <c r="D103" i="1"/>
  <c r="C103" i="1"/>
  <c r="B103" i="1"/>
  <c r="J102" i="1"/>
  <c r="G102" i="1"/>
  <c r="F102" i="1"/>
  <c r="E102" i="1"/>
  <c r="D102" i="1"/>
  <c r="C102" i="1"/>
  <c r="B102" i="1"/>
  <c r="J101" i="1"/>
  <c r="G101" i="1"/>
  <c r="F101" i="1"/>
  <c r="E101" i="1"/>
  <c r="D101" i="1"/>
  <c r="C101" i="1"/>
  <c r="B101" i="1"/>
  <c r="J100" i="1"/>
  <c r="G100" i="1"/>
  <c r="F100" i="1"/>
  <c r="E100" i="1"/>
  <c r="D100" i="1"/>
  <c r="C100" i="1"/>
  <c r="B100" i="1"/>
  <c r="J99" i="1"/>
  <c r="G99" i="1"/>
  <c r="F99" i="1"/>
  <c r="E99" i="1"/>
  <c r="D99" i="1"/>
  <c r="C99" i="1"/>
  <c r="B99" i="1"/>
  <c r="J98" i="1"/>
  <c r="G98" i="1"/>
  <c r="F98" i="1"/>
  <c r="E98" i="1"/>
  <c r="D98" i="1"/>
  <c r="C98" i="1"/>
  <c r="B98" i="1"/>
  <c r="J97" i="1"/>
  <c r="G97" i="1"/>
  <c r="F97" i="1"/>
  <c r="E97" i="1"/>
  <c r="D97" i="1"/>
  <c r="C97" i="1"/>
  <c r="B97" i="1"/>
  <c r="J96" i="1"/>
  <c r="G96" i="1"/>
  <c r="F96" i="1"/>
  <c r="E96" i="1"/>
  <c r="D96" i="1"/>
  <c r="C96" i="1"/>
  <c r="B96" i="1"/>
  <c r="J95" i="1"/>
  <c r="G95" i="1"/>
  <c r="F95" i="1"/>
  <c r="E95" i="1"/>
  <c r="D95" i="1"/>
  <c r="C95" i="1"/>
  <c r="B95" i="1"/>
  <c r="J94" i="1"/>
  <c r="G94" i="1"/>
  <c r="F94" i="1"/>
  <c r="E94" i="1"/>
  <c r="D94" i="1"/>
  <c r="C94" i="1"/>
  <c r="B94" i="1"/>
  <c r="J93" i="1"/>
  <c r="G93" i="1"/>
  <c r="F93" i="1"/>
  <c r="E93" i="1"/>
  <c r="D93" i="1"/>
  <c r="C93" i="1"/>
  <c r="B93" i="1"/>
  <c r="J92" i="1"/>
  <c r="G92" i="1"/>
  <c r="F92" i="1"/>
  <c r="E92" i="1"/>
  <c r="D92" i="1"/>
  <c r="C92" i="1"/>
  <c r="B92" i="1"/>
  <c r="J91" i="1"/>
  <c r="G91" i="1"/>
  <c r="F91" i="1"/>
  <c r="E91" i="1"/>
  <c r="D91" i="1"/>
  <c r="C91" i="1"/>
  <c r="B91" i="1"/>
  <c r="J90" i="1"/>
  <c r="G90" i="1"/>
  <c r="F90" i="1"/>
  <c r="E90" i="1"/>
  <c r="D90" i="1"/>
  <c r="C90" i="1"/>
  <c r="B90" i="1"/>
  <c r="J89" i="1"/>
  <c r="G89" i="1"/>
  <c r="F89" i="1"/>
  <c r="E89" i="1"/>
  <c r="D89" i="1"/>
  <c r="C89" i="1"/>
  <c r="B89" i="1"/>
  <c r="J88" i="1"/>
  <c r="G88" i="1"/>
  <c r="F88" i="1"/>
  <c r="E88" i="1"/>
  <c r="D88" i="1"/>
  <c r="C88" i="1"/>
  <c r="B88" i="1"/>
  <c r="J87" i="1"/>
  <c r="G87" i="1"/>
  <c r="F87" i="1"/>
  <c r="E87" i="1"/>
  <c r="D87" i="1"/>
  <c r="C87" i="1"/>
  <c r="B87" i="1"/>
  <c r="J86" i="1"/>
  <c r="G86" i="1"/>
  <c r="F86" i="1"/>
  <c r="E86" i="1"/>
  <c r="D86" i="1"/>
  <c r="C86" i="1"/>
  <c r="B86" i="1"/>
  <c r="J85" i="1"/>
  <c r="G85" i="1"/>
  <c r="F85" i="1"/>
  <c r="E85" i="1"/>
  <c r="D85" i="1"/>
  <c r="C85" i="1"/>
  <c r="B85" i="1"/>
  <c r="J84" i="1"/>
  <c r="G84" i="1"/>
  <c r="F84" i="1"/>
  <c r="E84" i="1"/>
  <c r="D84" i="1"/>
  <c r="C84" i="1"/>
  <c r="B84" i="1"/>
  <c r="J83" i="1"/>
  <c r="G83" i="1"/>
  <c r="F83" i="1"/>
  <c r="E83" i="1"/>
  <c r="D83" i="1"/>
  <c r="C83" i="1"/>
  <c r="B83" i="1"/>
  <c r="J82" i="1"/>
  <c r="G82" i="1"/>
  <c r="F82" i="1"/>
  <c r="E82" i="1"/>
  <c r="D82" i="1"/>
  <c r="C82" i="1"/>
  <c r="B82" i="1"/>
  <c r="J81" i="1"/>
  <c r="G81" i="1"/>
  <c r="F81" i="1"/>
  <c r="E81" i="1"/>
  <c r="D81" i="1"/>
  <c r="C81" i="1"/>
  <c r="B81" i="1"/>
  <c r="J80" i="1"/>
  <c r="G80" i="1"/>
  <c r="F80" i="1"/>
  <c r="E80" i="1"/>
  <c r="D80" i="1"/>
  <c r="C80" i="1"/>
  <c r="B80" i="1"/>
  <c r="J79" i="1"/>
  <c r="G79" i="1"/>
  <c r="F79" i="1"/>
  <c r="E79" i="1"/>
  <c r="D79" i="1"/>
  <c r="C79" i="1"/>
  <c r="B79" i="1"/>
  <c r="J78" i="1"/>
  <c r="G78" i="1"/>
  <c r="F78" i="1"/>
  <c r="E78" i="1"/>
  <c r="D78" i="1"/>
  <c r="C78" i="1"/>
  <c r="B78" i="1"/>
  <c r="J77" i="1"/>
  <c r="G77" i="1"/>
  <c r="F77" i="1"/>
  <c r="E77" i="1"/>
  <c r="D77" i="1"/>
  <c r="C77" i="1"/>
  <c r="B77" i="1"/>
  <c r="J76" i="1"/>
  <c r="G76" i="1"/>
  <c r="F76" i="1"/>
  <c r="E76" i="1"/>
  <c r="D76" i="1"/>
  <c r="C76" i="1"/>
  <c r="B76" i="1"/>
  <c r="J75" i="1"/>
  <c r="G75" i="1"/>
  <c r="F75" i="1"/>
  <c r="E75" i="1"/>
  <c r="D75" i="1"/>
  <c r="C75" i="1"/>
  <c r="B75" i="1"/>
  <c r="J74" i="1"/>
  <c r="G74" i="1"/>
  <c r="F74" i="1"/>
  <c r="E74" i="1"/>
  <c r="D74" i="1"/>
  <c r="C74" i="1"/>
  <c r="B74" i="1"/>
  <c r="J73" i="1"/>
  <c r="G73" i="1"/>
  <c r="F73" i="1"/>
  <c r="E73" i="1"/>
  <c r="D73" i="1"/>
  <c r="C73" i="1"/>
  <c r="B73" i="1"/>
  <c r="J72" i="1"/>
  <c r="G72" i="1"/>
  <c r="F72" i="1"/>
  <c r="E72" i="1"/>
  <c r="D72" i="1"/>
  <c r="C72" i="1"/>
  <c r="B72" i="1"/>
  <c r="J71" i="1"/>
  <c r="G71" i="1"/>
  <c r="F71" i="1"/>
  <c r="E71" i="1"/>
  <c r="D71" i="1"/>
  <c r="C71" i="1"/>
  <c r="B71" i="1"/>
  <c r="J70" i="1"/>
  <c r="G70" i="1"/>
  <c r="F70" i="1"/>
  <c r="E70" i="1"/>
  <c r="D70" i="1"/>
  <c r="C70" i="1"/>
  <c r="B70" i="1"/>
  <c r="J69" i="1"/>
  <c r="G69" i="1"/>
  <c r="F69" i="1"/>
  <c r="E69" i="1"/>
  <c r="D69" i="1"/>
  <c r="C69" i="1"/>
  <c r="B69" i="1"/>
  <c r="J68" i="1"/>
  <c r="G68" i="1"/>
  <c r="F68" i="1"/>
  <c r="E68" i="1"/>
  <c r="D68" i="1"/>
  <c r="C68" i="1"/>
  <c r="B68" i="1"/>
  <c r="J67" i="1"/>
  <c r="G67" i="1"/>
  <c r="F67" i="1"/>
  <c r="E67" i="1"/>
  <c r="D67" i="1"/>
  <c r="C67" i="1"/>
  <c r="B67" i="1"/>
  <c r="J66" i="1"/>
  <c r="G66" i="1"/>
  <c r="F66" i="1"/>
  <c r="E66" i="1"/>
  <c r="D66" i="1"/>
  <c r="C66" i="1"/>
  <c r="B66" i="1"/>
  <c r="J65" i="1"/>
  <c r="G65" i="1"/>
  <c r="F65" i="1"/>
  <c r="E65" i="1"/>
  <c r="D65" i="1"/>
  <c r="C65" i="1"/>
  <c r="B65" i="1"/>
  <c r="J64" i="1"/>
  <c r="G64" i="1"/>
  <c r="F64" i="1"/>
  <c r="E64" i="1"/>
  <c r="D64" i="1"/>
  <c r="C64" i="1"/>
  <c r="B64" i="1"/>
  <c r="J63" i="1"/>
  <c r="G63" i="1"/>
  <c r="F63" i="1"/>
  <c r="E63" i="1"/>
  <c r="D63" i="1"/>
  <c r="C63" i="1"/>
  <c r="B63" i="1"/>
  <c r="J62" i="1"/>
  <c r="G62" i="1"/>
  <c r="F62" i="1"/>
  <c r="E62" i="1"/>
  <c r="D62" i="1"/>
  <c r="C62" i="1"/>
  <c r="B62" i="1"/>
  <c r="J61" i="1"/>
  <c r="G61" i="1"/>
  <c r="F61" i="1"/>
  <c r="E61" i="1"/>
  <c r="D61" i="1"/>
  <c r="C61" i="1"/>
  <c r="B61" i="1"/>
  <c r="J60" i="1"/>
  <c r="G60" i="1"/>
  <c r="F60" i="1"/>
  <c r="E60" i="1"/>
  <c r="D60" i="1"/>
  <c r="C60" i="1"/>
  <c r="B60" i="1"/>
  <c r="J59" i="1"/>
  <c r="G59" i="1"/>
  <c r="F59" i="1"/>
  <c r="E59" i="1"/>
  <c r="D59" i="1"/>
  <c r="C59" i="1"/>
  <c r="B59" i="1"/>
  <c r="J58" i="1"/>
  <c r="G58" i="1"/>
  <c r="F58" i="1"/>
  <c r="E58" i="1"/>
  <c r="D58" i="1"/>
  <c r="C58" i="1"/>
  <c r="B58" i="1"/>
  <c r="J57" i="1"/>
  <c r="G57" i="1"/>
  <c r="F57" i="1"/>
  <c r="E57" i="1"/>
  <c r="D57" i="1"/>
  <c r="C57" i="1"/>
  <c r="B57" i="1"/>
  <c r="J56" i="1"/>
  <c r="G56" i="1"/>
  <c r="F56" i="1"/>
  <c r="E56" i="1"/>
  <c r="D56" i="1"/>
  <c r="C56" i="1"/>
  <c r="B56" i="1"/>
  <c r="J55" i="1"/>
  <c r="G55" i="1"/>
  <c r="F55" i="1"/>
  <c r="E55" i="1"/>
  <c r="D55" i="1"/>
  <c r="C55" i="1"/>
  <c r="B55" i="1"/>
  <c r="J54" i="1"/>
  <c r="G54" i="1"/>
  <c r="F54" i="1"/>
  <c r="E54" i="1"/>
  <c r="D54" i="1"/>
  <c r="C54" i="1"/>
  <c r="B54" i="1"/>
  <c r="J53" i="1"/>
  <c r="G53" i="1"/>
  <c r="F53" i="1"/>
  <c r="E53" i="1"/>
  <c r="D53" i="1"/>
  <c r="C53" i="1"/>
  <c r="B53" i="1"/>
  <c r="J52" i="1"/>
  <c r="G52" i="1"/>
  <c r="F52" i="1"/>
  <c r="E52" i="1"/>
  <c r="D52" i="1"/>
  <c r="C52" i="1"/>
  <c r="B52" i="1"/>
  <c r="J51" i="1"/>
  <c r="G51" i="1"/>
  <c r="F51" i="1"/>
  <c r="E51" i="1"/>
  <c r="D51" i="1"/>
  <c r="C51" i="1"/>
  <c r="B51" i="1"/>
  <c r="J50" i="1"/>
  <c r="G50" i="1"/>
  <c r="F50" i="1"/>
  <c r="E50" i="1"/>
  <c r="D50" i="1"/>
  <c r="C50" i="1"/>
  <c r="B50" i="1"/>
  <c r="J49" i="1"/>
  <c r="G49" i="1"/>
  <c r="F49" i="1"/>
  <c r="E49" i="1"/>
  <c r="D49" i="1"/>
  <c r="C49" i="1"/>
  <c r="B49" i="1"/>
  <c r="J48" i="1"/>
  <c r="G48" i="1"/>
  <c r="F48" i="1"/>
  <c r="E48" i="1"/>
  <c r="D48" i="1"/>
  <c r="C48" i="1"/>
  <c r="B48" i="1"/>
  <c r="J47" i="1"/>
  <c r="G47" i="1"/>
  <c r="F47" i="1"/>
  <c r="E47" i="1"/>
  <c r="D47" i="1"/>
  <c r="C47" i="1"/>
  <c r="B47" i="1"/>
  <c r="J46" i="1"/>
  <c r="G46" i="1"/>
  <c r="F46" i="1"/>
  <c r="E46" i="1"/>
  <c r="D46" i="1"/>
  <c r="C46" i="1"/>
  <c r="B46" i="1"/>
  <c r="J45" i="1"/>
  <c r="G45" i="1"/>
  <c r="F45" i="1"/>
  <c r="E45" i="1"/>
  <c r="D45" i="1"/>
  <c r="C45" i="1"/>
  <c r="B45" i="1"/>
  <c r="J44" i="1"/>
  <c r="G44" i="1"/>
  <c r="F44" i="1"/>
  <c r="E44" i="1"/>
  <c r="D44" i="1"/>
  <c r="C44" i="1"/>
  <c r="B44" i="1"/>
  <c r="J43" i="1"/>
  <c r="G43" i="1"/>
  <c r="F43" i="1"/>
  <c r="E43" i="1"/>
  <c r="D43" i="1"/>
  <c r="C43" i="1"/>
  <c r="B43" i="1"/>
  <c r="J42" i="1"/>
  <c r="G42" i="1"/>
  <c r="F42" i="1"/>
  <c r="E42" i="1"/>
  <c r="D42" i="1"/>
  <c r="C42" i="1"/>
  <c r="B42" i="1"/>
  <c r="J41" i="1"/>
  <c r="G41" i="1"/>
  <c r="F41" i="1"/>
  <c r="E41" i="1"/>
  <c r="D41" i="1"/>
  <c r="C41" i="1"/>
  <c r="B41" i="1"/>
  <c r="J40" i="1"/>
  <c r="G40" i="1"/>
  <c r="F40" i="1"/>
  <c r="E40" i="1"/>
  <c r="D40" i="1"/>
  <c r="C40" i="1"/>
  <c r="B40" i="1"/>
  <c r="J39" i="1"/>
  <c r="G39" i="1"/>
  <c r="F39" i="1"/>
  <c r="E39" i="1"/>
  <c r="D39" i="1"/>
  <c r="C39" i="1"/>
  <c r="B39" i="1"/>
  <c r="J38" i="1"/>
  <c r="G38" i="1"/>
  <c r="F38" i="1"/>
  <c r="E38" i="1"/>
  <c r="D38" i="1"/>
  <c r="C38" i="1"/>
  <c r="B38" i="1"/>
  <c r="J37" i="1"/>
  <c r="G37" i="1"/>
  <c r="F37" i="1"/>
  <c r="E37" i="1"/>
  <c r="D37" i="1"/>
  <c r="C37" i="1"/>
  <c r="B37" i="1"/>
  <c r="J36" i="1"/>
  <c r="G36" i="1"/>
  <c r="F36" i="1"/>
  <c r="E36" i="1"/>
  <c r="D36" i="1"/>
  <c r="C36" i="1"/>
  <c r="B36" i="1"/>
  <c r="J35" i="1"/>
  <c r="G35" i="1"/>
  <c r="F35" i="1"/>
  <c r="E35" i="1"/>
  <c r="D35" i="1"/>
  <c r="C35" i="1"/>
  <c r="B35" i="1"/>
  <c r="J34" i="1"/>
  <c r="G34" i="1"/>
  <c r="F34" i="1"/>
  <c r="E34" i="1"/>
  <c r="D34" i="1"/>
  <c r="C34" i="1"/>
  <c r="B34" i="1"/>
  <c r="J33" i="1"/>
  <c r="G33" i="1"/>
  <c r="F33" i="1"/>
  <c r="E33" i="1"/>
  <c r="D33" i="1"/>
  <c r="C33" i="1"/>
  <c r="B33" i="1"/>
  <c r="J32" i="1"/>
  <c r="G32" i="1"/>
  <c r="F32" i="1"/>
  <c r="E32" i="1"/>
  <c r="D32" i="1"/>
  <c r="C32" i="1"/>
  <c r="B32" i="1"/>
  <c r="J31" i="1"/>
  <c r="G31" i="1"/>
  <c r="F31" i="1"/>
  <c r="E31" i="1"/>
  <c r="D31" i="1"/>
  <c r="C31" i="1"/>
  <c r="B31" i="1"/>
  <c r="J30" i="1"/>
  <c r="G30" i="1"/>
  <c r="F30" i="1"/>
  <c r="E30" i="1"/>
  <c r="D30" i="1"/>
  <c r="C30" i="1"/>
  <c r="B30" i="1"/>
  <c r="J29" i="1"/>
  <c r="G29" i="1"/>
  <c r="F29" i="1"/>
  <c r="E29" i="1"/>
  <c r="D29" i="1"/>
  <c r="C29" i="1"/>
  <c r="B29" i="1"/>
  <c r="J28" i="1"/>
  <c r="G28" i="1"/>
  <c r="F28" i="1"/>
  <c r="E28" i="1"/>
  <c r="D28" i="1"/>
  <c r="C28" i="1"/>
  <c r="B28" i="1"/>
  <c r="J27" i="1"/>
  <c r="G27" i="1"/>
  <c r="F27" i="1"/>
  <c r="E27" i="1"/>
  <c r="D27" i="1"/>
  <c r="C27" i="1"/>
  <c r="B27" i="1"/>
  <c r="J26" i="1"/>
  <c r="G26" i="1"/>
  <c r="F26" i="1"/>
  <c r="E26" i="1"/>
  <c r="D26" i="1"/>
  <c r="C26" i="1"/>
  <c r="B26" i="1"/>
  <c r="J25" i="1"/>
  <c r="G25" i="1"/>
  <c r="F25" i="1"/>
  <c r="E25" i="1"/>
  <c r="D25" i="1"/>
  <c r="C25" i="1"/>
  <c r="B25" i="1"/>
  <c r="J24" i="1"/>
  <c r="G24" i="1"/>
  <c r="F24" i="1"/>
  <c r="E24" i="1"/>
  <c r="D24" i="1"/>
  <c r="C24" i="1"/>
  <c r="B24" i="1"/>
  <c r="J23" i="1"/>
  <c r="G23" i="1"/>
  <c r="F23" i="1"/>
  <c r="E23" i="1"/>
  <c r="D23" i="1"/>
  <c r="C23" i="1"/>
  <c r="B23" i="1"/>
  <c r="J22" i="1"/>
  <c r="G22" i="1"/>
  <c r="F22" i="1"/>
  <c r="E22" i="1"/>
  <c r="D22" i="1"/>
  <c r="C22" i="1"/>
  <c r="B22" i="1"/>
  <c r="J21" i="1"/>
  <c r="G21" i="1"/>
  <c r="F21" i="1"/>
  <c r="E21" i="1"/>
  <c r="D21" i="1"/>
  <c r="C21" i="1"/>
  <c r="B21" i="1"/>
  <c r="J20" i="1"/>
  <c r="G20" i="1"/>
  <c r="F20" i="1"/>
  <c r="E20" i="1"/>
  <c r="D20" i="1"/>
  <c r="C20" i="1"/>
  <c r="B20" i="1"/>
  <c r="J19" i="1"/>
  <c r="G19" i="1"/>
  <c r="F19" i="1"/>
  <c r="E19" i="1"/>
  <c r="D19" i="1"/>
  <c r="C19" i="1"/>
  <c r="B19" i="1"/>
  <c r="J18" i="1"/>
  <c r="G18" i="1"/>
  <c r="F18" i="1"/>
  <c r="E18" i="1"/>
  <c r="D18" i="1"/>
  <c r="C18" i="1"/>
  <c r="H18" i="1" s="1"/>
  <c r="B18" i="1"/>
  <c r="J17" i="1"/>
  <c r="G17" i="1"/>
  <c r="F17" i="1"/>
  <c r="E17" i="1"/>
  <c r="D17" i="1"/>
  <c r="C17" i="1"/>
  <c r="B17" i="1"/>
  <c r="J16" i="1"/>
  <c r="G16" i="1"/>
  <c r="F16" i="1"/>
  <c r="E16" i="1"/>
  <c r="D16" i="1"/>
  <c r="C16" i="1"/>
  <c r="B16" i="1"/>
  <c r="J15" i="1"/>
  <c r="G15" i="1"/>
  <c r="F15" i="1"/>
  <c r="E15" i="1"/>
  <c r="D15" i="1"/>
  <c r="C15" i="1"/>
  <c r="B15" i="1"/>
  <c r="J14" i="1"/>
  <c r="G14" i="1"/>
  <c r="F14" i="1"/>
  <c r="E14" i="1"/>
  <c r="D14" i="1"/>
  <c r="C14" i="1"/>
  <c r="B14" i="1"/>
  <c r="J13" i="1"/>
  <c r="G13" i="1"/>
  <c r="F13" i="1"/>
  <c r="E13" i="1"/>
  <c r="D13" i="1"/>
  <c r="C13" i="1"/>
  <c r="B13" i="1"/>
  <c r="J12" i="1"/>
  <c r="G12" i="1"/>
  <c r="F12" i="1"/>
  <c r="E12" i="1"/>
  <c r="D12" i="1"/>
  <c r="C12" i="1"/>
  <c r="B12" i="1"/>
  <c r="J11" i="1"/>
  <c r="G11" i="1"/>
  <c r="F11" i="1"/>
  <c r="E11" i="1"/>
  <c r="D11" i="1"/>
  <c r="C11" i="1"/>
  <c r="B11" i="1"/>
  <c r="J10" i="1"/>
  <c r="G10" i="1"/>
  <c r="F10" i="1"/>
  <c r="E10" i="1"/>
  <c r="D10" i="1"/>
  <c r="C10" i="1"/>
  <c r="H10" i="1" s="1"/>
  <c r="B10" i="1"/>
  <c r="J9" i="1"/>
  <c r="G9" i="1"/>
  <c r="F9" i="1"/>
  <c r="E9" i="1"/>
  <c r="D9" i="1"/>
  <c r="C9" i="1"/>
  <c r="B9" i="1"/>
  <c r="J8" i="1"/>
  <c r="G8" i="1"/>
  <c r="F8" i="1"/>
  <c r="E8" i="1"/>
  <c r="H8" i="1" s="1"/>
  <c r="D8" i="1"/>
  <c r="C8" i="1"/>
  <c r="B8" i="1"/>
  <c r="J7" i="1"/>
  <c r="G7" i="1"/>
  <c r="F7" i="1"/>
  <c r="E7" i="1"/>
  <c r="D7" i="1"/>
  <c r="I7" i="1" s="1"/>
  <c r="C7" i="1"/>
  <c r="B7" i="1"/>
  <c r="J6" i="1"/>
  <c r="G6" i="1"/>
  <c r="F6" i="1"/>
  <c r="E6" i="1"/>
  <c r="H6" i="1" s="1"/>
  <c r="D6" i="1"/>
  <c r="C6" i="1"/>
  <c r="B6" i="1"/>
  <c r="J5" i="1"/>
  <c r="G5" i="1"/>
  <c r="F5" i="1"/>
  <c r="E5" i="1"/>
  <c r="D5" i="1"/>
  <c r="C5" i="1"/>
  <c r="B5" i="1"/>
  <c r="J4" i="1"/>
  <c r="G4" i="1"/>
  <c r="F4" i="1"/>
  <c r="E4" i="1"/>
  <c r="D4" i="1"/>
  <c r="C4" i="1"/>
  <c r="B4" i="1"/>
  <c r="J3" i="1"/>
  <c r="G3" i="1"/>
  <c r="F3" i="1"/>
  <c r="E3" i="1"/>
  <c r="D3" i="1"/>
  <c r="C3" i="1"/>
  <c r="B3" i="1"/>
  <c r="J2" i="1"/>
  <c r="G2" i="1"/>
  <c r="F2" i="1"/>
  <c r="E2" i="1"/>
  <c r="D2" i="1"/>
  <c r="C2" i="1"/>
  <c r="B2" i="1"/>
  <c r="I197" i="1" l="1"/>
  <c r="I213" i="1"/>
  <c r="I238" i="1"/>
  <c r="I91" i="1"/>
  <c r="I99" i="1"/>
  <c r="I107" i="1"/>
  <c r="I115" i="1"/>
  <c r="I245" i="1"/>
  <c r="I253" i="1"/>
  <c r="H307" i="1"/>
  <c r="I364" i="1"/>
  <c r="I15" i="1"/>
  <c r="I31" i="1"/>
  <c r="I46" i="1"/>
  <c r="I47" i="1"/>
  <c r="I78" i="1"/>
  <c r="I215" i="1"/>
  <c r="I305" i="1"/>
  <c r="I313" i="1"/>
  <c r="H2" i="1"/>
  <c r="H29" i="1"/>
  <c r="H37" i="1"/>
  <c r="H47" i="1"/>
  <c r="H69" i="1"/>
  <c r="H191" i="1"/>
  <c r="H215" i="1"/>
  <c r="H231" i="1"/>
  <c r="H262" i="1"/>
  <c r="H294" i="1"/>
  <c r="H334" i="1"/>
  <c r="H374" i="1"/>
  <c r="H376" i="1"/>
  <c r="H382" i="1"/>
  <c r="H390" i="1"/>
  <c r="H398" i="1"/>
  <c r="H414" i="1"/>
  <c r="H430" i="1"/>
  <c r="H12" i="1"/>
  <c r="H44" i="1"/>
  <c r="H221" i="1"/>
  <c r="H230" i="1"/>
  <c r="H30" i="1"/>
  <c r="I269" i="1"/>
  <c r="I325" i="1"/>
  <c r="I333" i="1"/>
  <c r="I429" i="1"/>
  <c r="H476" i="1"/>
  <c r="H500" i="1"/>
  <c r="H363" i="1"/>
  <c r="H89" i="1"/>
  <c r="H121" i="1"/>
  <c r="H129" i="1"/>
  <c r="H137" i="1"/>
  <c r="H145" i="1"/>
  <c r="H177" i="1"/>
  <c r="I288" i="1"/>
  <c r="I376" i="1"/>
  <c r="I400" i="1"/>
  <c r="H239" i="1"/>
  <c r="I342" i="1"/>
  <c r="H357" i="1"/>
  <c r="I381" i="1"/>
  <c r="I405" i="1"/>
  <c r="I493" i="1"/>
  <c r="I122" i="1"/>
  <c r="I130" i="1"/>
  <c r="I154" i="1"/>
  <c r="I210" i="1"/>
  <c r="I412" i="1"/>
  <c r="I41" i="1"/>
  <c r="I73" i="1"/>
  <c r="H80" i="1"/>
  <c r="H88" i="1"/>
  <c r="H120" i="1"/>
  <c r="H144" i="1"/>
  <c r="H152" i="1"/>
  <c r="H160" i="1"/>
  <c r="H168" i="1"/>
  <c r="H200" i="1"/>
  <c r="H208" i="1"/>
  <c r="I323" i="1"/>
  <c r="H362" i="1"/>
  <c r="I289" i="1"/>
  <c r="H456" i="1"/>
  <c r="H19" i="1"/>
  <c r="H43" i="1"/>
  <c r="H51" i="1"/>
  <c r="I132" i="1"/>
  <c r="H187" i="1"/>
  <c r="I188" i="1"/>
  <c r="H195" i="1"/>
  <c r="H203" i="1"/>
  <c r="H220" i="1"/>
  <c r="H229" i="1"/>
  <c r="I322" i="1"/>
  <c r="I332" i="1"/>
  <c r="I341" i="1"/>
  <c r="I357" i="1"/>
  <c r="I365" i="1"/>
  <c r="H462" i="1"/>
  <c r="H478" i="1"/>
  <c r="H486" i="1"/>
  <c r="H494" i="1"/>
  <c r="H314" i="1"/>
  <c r="I58" i="1"/>
  <c r="I66" i="1"/>
  <c r="I254" i="1"/>
  <c r="I261" i="1"/>
  <c r="I304" i="1"/>
  <c r="I312" i="1"/>
  <c r="I403" i="1"/>
  <c r="I437" i="1"/>
  <c r="I461" i="1"/>
  <c r="H302" i="1"/>
  <c r="H310" i="1"/>
  <c r="H312" i="1"/>
  <c r="H318" i="1"/>
  <c r="I419" i="1"/>
  <c r="H426" i="1"/>
  <c r="I460" i="1"/>
  <c r="H467" i="1"/>
  <c r="H475" i="1"/>
  <c r="H499" i="1"/>
  <c r="H17" i="1"/>
  <c r="I24" i="1"/>
  <c r="I32" i="1"/>
  <c r="I40" i="1"/>
  <c r="I56" i="1"/>
  <c r="I64" i="1"/>
  <c r="H73" i="1"/>
  <c r="I87" i="1"/>
  <c r="H95" i="1"/>
  <c r="I111" i="1"/>
  <c r="I119" i="1"/>
  <c r="I120" i="1"/>
  <c r="I159" i="1"/>
  <c r="H218" i="1"/>
  <c r="I225" i="1"/>
  <c r="H226" i="1"/>
  <c r="H238" i="1"/>
  <c r="H243" i="1"/>
  <c r="I244" i="1"/>
  <c r="H251" i="1"/>
  <c r="I276" i="1"/>
  <c r="I284" i="1"/>
  <c r="H301" i="1"/>
  <c r="I369" i="1"/>
  <c r="I377" i="1"/>
  <c r="H378" i="1"/>
  <c r="I385" i="1"/>
  <c r="I392" i="1"/>
  <c r="H434" i="1"/>
  <c r="H442" i="1"/>
  <c r="H450" i="1"/>
  <c r="H458" i="1"/>
  <c r="H498" i="1"/>
  <c r="H32" i="1"/>
  <c r="H38" i="1"/>
  <c r="H56" i="1"/>
  <c r="H70" i="1"/>
  <c r="H102" i="1"/>
  <c r="H118" i="1"/>
  <c r="H232" i="1"/>
  <c r="I22" i="1"/>
  <c r="I30" i="1"/>
  <c r="I38" i="1"/>
  <c r="I126" i="1"/>
  <c r="I134" i="1"/>
  <c r="I142" i="1"/>
  <c r="I182" i="1"/>
  <c r="I190" i="1"/>
  <c r="I198" i="1"/>
  <c r="I206" i="1"/>
  <c r="I214" i="1"/>
  <c r="I292" i="1"/>
  <c r="I473" i="1"/>
  <c r="I497" i="1"/>
  <c r="I72" i="1"/>
  <c r="I88" i="1"/>
  <c r="I147" i="1"/>
  <c r="I233" i="1"/>
  <c r="I28" i="1"/>
  <c r="I70" i="1"/>
  <c r="I112" i="1"/>
  <c r="I11" i="1"/>
  <c r="I52" i="1"/>
  <c r="H79" i="1"/>
  <c r="I86" i="1"/>
  <c r="I95" i="1"/>
  <c r="H104" i="1"/>
  <c r="H112" i="1"/>
  <c r="I169" i="1"/>
  <c r="I177" i="1"/>
  <c r="I185" i="1"/>
  <c r="I209" i="1"/>
  <c r="I241" i="1"/>
  <c r="I249" i="1"/>
  <c r="I256" i="1"/>
  <c r="I265" i="1"/>
  <c r="I273" i="1"/>
  <c r="I281" i="1"/>
  <c r="I291" i="1"/>
  <c r="I308" i="1"/>
  <c r="I318" i="1"/>
  <c r="I345" i="1"/>
  <c r="H346" i="1"/>
  <c r="I353" i="1"/>
  <c r="I372" i="1"/>
  <c r="H373" i="1"/>
  <c r="I416" i="1"/>
  <c r="I424" i="1"/>
  <c r="I433" i="1"/>
  <c r="I441" i="1"/>
  <c r="I449" i="1"/>
  <c r="I469" i="1"/>
  <c r="I477" i="1"/>
  <c r="I485" i="1"/>
  <c r="I258" i="1"/>
  <c r="I283" i="1"/>
  <c r="I294" i="1"/>
  <c r="I426" i="1"/>
  <c r="I443" i="1"/>
  <c r="I62" i="1"/>
  <c r="H72" i="1"/>
  <c r="I79" i="1"/>
  <c r="I346" i="1"/>
  <c r="I373" i="1"/>
  <c r="I459" i="1"/>
  <c r="I19" i="1"/>
  <c r="I26" i="1"/>
  <c r="I34" i="1"/>
  <c r="H59" i="1"/>
  <c r="I60" i="1"/>
  <c r="I68" i="1"/>
  <c r="H76" i="1"/>
  <c r="I85" i="1"/>
  <c r="I110" i="1"/>
  <c r="I128" i="1"/>
  <c r="H143" i="1"/>
  <c r="H151" i="1"/>
  <c r="I152" i="1"/>
  <c r="H167" i="1"/>
  <c r="H199" i="1"/>
  <c r="H207" i="1"/>
  <c r="H209" i="1"/>
  <c r="H247" i="1"/>
  <c r="H256" i="1"/>
  <c r="I264" i="1"/>
  <c r="I272" i="1"/>
  <c r="H298" i="1"/>
  <c r="H306" i="1"/>
  <c r="I336" i="1"/>
  <c r="I361" i="1"/>
  <c r="H370" i="1"/>
  <c r="I371" i="1"/>
  <c r="H388" i="1"/>
  <c r="I397" i="1"/>
  <c r="I414" i="1"/>
  <c r="I415" i="1"/>
  <c r="I440" i="1"/>
  <c r="I468" i="1"/>
  <c r="H469" i="1"/>
  <c r="I476" i="1"/>
  <c r="I492" i="1"/>
  <c r="I105" i="1"/>
  <c r="I267" i="1"/>
  <c r="I275" i="1"/>
  <c r="I320" i="1"/>
  <c r="I96" i="1"/>
  <c r="I170" i="1"/>
  <c r="I408" i="1"/>
  <c r="H7" i="1"/>
  <c r="I6" i="1"/>
  <c r="I8" i="1"/>
  <c r="I9" i="1"/>
  <c r="I16" i="1"/>
  <c r="I17" i="1"/>
  <c r="H24" i="1"/>
  <c r="I50" i="1"/>
  <c r="H66" i="1"/>
  <c r="H75" i="1"/>
  <c r="H92" i="1"/>
  <c r="I93" i="1"/>
  <c r="I101" i="1"/>
  <c r="H108" i="1"/>
  <c r="I109" i="1"/>
  <c r="I117" i="1"/>
  <c r="I127" i="1"/>
  <c r="H134" i="1"/>
  <c r="H136" i="1"/>
  <c r="I143" i="1"/>
  <c r="H150" i="1"/>
  <c r="H158" i="1"/>
  <c r="I191" i="1"/>
  <c r="H198" i="1"/>
  <c r="I237" i="1"/>
  <c r="I247" i="1"/>
  <c r="H278" i="1"/>
  <c r="H286" i="1"/>
  <c r="I316" i="1"/>
  <c r="H342" i="1"/>
  <c r="H350" i="1"/>
  <c r="I360" i="1"/>
  <c r="H361" i="1"/>
  <c r="I388" i="1"/>
  <c r="H395" i="1"/>
  <c r="I396" i="1"/>
  <c r="H397" i="1"/>
  <c r="I404" i="1"/>
  <c r="H412" i="1"/>
  <c r="I413" i="1"/>
  <c r="H446" i="1"/>
  <c r="I456" i="1"/>
  <c r="H466" i="1"/>
  <c r="I54" i="1"/>
  <c r="I63" i="1"/>
  <c r="I222" i="1"/>
  <c r="I310" i="1"/>
  <c r="I309" i="1"/>
  <c r="H366" i="1"/>
  <c r="H15" i="1"/>
  <c r="H40" i="1"/>
  <c r="H48" i="1"/>
  <c r="H125" i="1"/>
  <c r="H141" i="1"/>
  <c r="H173" i="1"/>
  <c r="H181" i="1"/>
  <c r="H224" i="1"/>
  <c r="H235" i="1"/>
  <c r="H253" i="1"/>
  <c r="H260" i="1"/>
  <c r="I296" i="1"/>
  <c r="H322" i="1"/>
  <c r="H332" i="1"/>
  <c r="H394" i="1"/>
  <c r="H411" i="1"/>
  <c r="H420" i="1"/>
  <c r="I438" i="1"/>
  <c r="I445" i="1"/>
  <c r="H454" i="1"/>
  <c r="I155" i="1"/>
  <c r="I366" i="1"/>
  <c r="I452" i="1"/>
  <c r="I104" i="1"/>
  <c r="I301" i="1"/>
  <c r="H14" i="1"/>
  <c r="H22" i="1"/>
  <c r="H39" i="1"/>
  <c r="I55" i="1"/>
  <c r="H81" i="1"/>
  <c r="I90" i="1"/>
  <c r="I98" i="1"/>
  <c r="I114" i="1"/>
  <c r="H164" i="1"/>
  <c r="H196" i="1"/>
  <c r="H212" i="1"/>
  <c r="H223" i="1"/>
  <c r="I229" i="1"/>
  <c r="H252" i="1"/>
  <c r="H268" i="1"/>
  <c r="H303" i="1"/>
  <c r="H331" i="1"/>
  <c r="H348" i="1"/>
  <c r="I393" i="1"/>
  <c r="H402" i="1"/>
  <c r="H410" i="1"/>
  <c r="I444" i="1"/>
  <c r="I453" i="1"/>
  <c r="H480" i="1"/>
  <c r="H496" i="1"/>
  <c r="H13" i="1"/>
  <c r="I14" i="1"/>
  <c r="I23" i="1"/>
  <c r="H31" i="1"/>
  <c r="I33" i="1"/>
  <c r="H34" i="1"/>
  <c r="H45" i="1"/>
  <c r="H50" i="1"/>
  <c r="H60" i="1"/>
  <c r="H62" i="1"/>
  <c r="I82" i="1"/>
  <c r="I83" i="1"/>
  <c r="H93" i="1"/>
  <c r="I94" i="1"/>
  <c r="I102" i="1"/>
  <c r="H109" i="1"/>
  <c r="H113" i="1"/>
  <c r="H124" i="1"/>
  <c r="I125" i="1"/>
  <c r="I133" i="1"/>
  <c r="H140" i="1"/>
  <c r="I141" i="1"/>
  <c r="I144" i="1"/>
  <c r="H153" i="1"/>
  <c r="H155" i="1"/>
  <c r="I162" i="1"/>
  <c r="I163" i="1"/>
  <c r="I173" i="1"/>
  <c r="H174" i="1"/>
  <c r="H188" i="1"/>
  <c r="I189" i="1"/>
  <c r="H190" i="1"/>
  <c r="I202" i="1"/>
  <c r="I223" i="1"/>
  <c r="I234" i="1"/>
  <c r="H245" i="1"/>
  <c r="I257" i="1"/>
  <c r="I268" i="1"/>
  <c r="H276" i="1"/>
  <c r="H284" i="1"/>
  <c r="I285" i="1"/>
  <c r="I297" i="1"/>
  <c r="I307" i="1"/>
  <c r="H309" i="1"/>
  <c r="H330" i="1"/>
  <c r="H340" i="1"/>
  <c r="H343" i="1"/>
  <c r="I344" i="1"/>
  <c r="H345" i="1"/>
  <c r="I352" i="1"/>
  <c r="I374" i="1"/>
  <c r="I384" i="1"/>
  <c r="I395" i="1"/>
  <c r="H403" i="1"/>
  <c r="I417" i="1"/>
  <c r="H433" i="1"/>
  <c r="H435" i="1"/>
  <c r="I436" i="1"/>
  <c r="H437" i="1"/>
  <c r="I454" i="1"/>
  <c r="I466" i="1"/>
  <c r="I467" i="1"/>
  <c r="I494" i="1"/>
  <c r="H33" i="1"/>
  <c r="H202" i="1"/>
  <c r="H210" i="1"/>
  <c r="H257" i="1"/>
  <c r="H297" i="1"/>
  <c r="H344" i="1"/>
  <c r="H405" i="1"/>
  <c r="H406" i="1"/>
  <c r="H417" i="1"/>
  <c r="I435" i="1"/>
  <c r="H443" i="1"/>
  <c r="H445" i="1"/>
  <c r="H452" i="1"/>
  <c r="I480" i="1"/>
  <c r="H484" i="1"/>
  <c r="H492" i="1"/>
  <c r="H23" i="1"/>
  <c r="I20" i="1"/>
  <c r="I44" i="1"/>
  <c r="I48" i="1"/>
  <c r="I67" i="1"/>
  <c r="I76" i="1"/>
  <c r="I80" i="1"/>
  <c r="I100" i="1"/>
  <c r="I123" i="1"/>
  <c r="I131" i="1"/>
  <c r="I139" i="1"/>
  <c r="I160" i="1"/>
  <c r="I187" i="1"/>
  <c r="I195" i="1"/>
  <c r="I196" i="1"/>
  <c r="I199" i="1"/>
  <c r="I200" i="1"/>
  <c r="I221" i="1"/>
  <c r="H123" i="1"/>
  <c r="H139" i="1"/>
  <c r="I168" i="1"/>
  <c r="H170" i="1"/>
  <c r="I178" i="1"/>
  <c r="I193" i="1"/>
  <c r="I207" i="1"/>
  <c r="I230" i="1"/>
  <c r="I242" i="1"/>
  <c r="I262" i="1"/>
  <c r="H264" i="1"/>
  <c r="H265" i="1"/>
  <c r="I293" i="1"/>
  <c r="I317" i="1"/>
  <c r="I328" i="1"/>
  <c r="I349" i="1"/>
  <c r="H360" i="1"/>
  <c r="I389" i="1"/>
  <c r="I401" i="1"/>
  <c r="I422" i="1"/>
  <c r="I430" i="1"/>
  <c r="I431" i="1"/>
  <c r="I451" i="1"/>
  <c r="I462" i="1"/>
  <c r="I472" i="1"/>
  <c r="I483" i="1"/>
  <c r="I491" i="1"/>
  <c r="I500" i="1"/>
  <c r="H4" i="1"/>
  <c r="I5" i="1"/>
  <c r="H9" i="1"/>
  <c r="I27" i="1"/>
  <c r="H36" i="1"/>
  <c r="I39" i="1"/>
  <c r="I42" i="1"/>
  <c r="H46" i="1"/>
  <c r="H54" i="1"/>
  <c r="H64" i="1"/>
  <c r="I74" i="1"/>
  <c r="H78" i="1"/>
  <c r="H86" i="1"/>
  <c r="H91" i="1"/>
  <c r="H97" i="1"/>
  <c r="H105" i="1"/>
  <c r="H107" i="1"/>
  <c r="H111" i="1"/>
  <c r="I118" i="1"/>
  <c r="H128" i="1"/>
  <c r="I137" i="1"/>
  <c r="H148" i="1"/>
  <c r="I149" i="1"/>
  <c r="H157" i="1"/>
  <c r="I158" i="1"/>
  <c r="H166" i="1"/>
  <c r="H176" i="1"/>
  <c r="H205" i="1"/>
  <c r="H242" i="1"/>
  <c r="H271" i="1"/>
  <c r="H290" i="1"/>
  <c r="H293" i="1"/>
  <c r="H300" i="1"/>
  <c r="H317" i="1"/>
  <c r="H400" i="1"/>
  <c r="H401" i="1"/>
  <c r="H422" i="1"/>
  <c r="H461" i="1"/>
  <c r="H41" i="1"/>
  <c r="H42" i="1"/>
  <c r="H53" i="1"/>
  <c r="H63" i="1"/>
  <c r="H96" i="1"/>
  <c r="H127" i="1"/>
  <c r="I135" i="1"/>
  <c r="I136" i="1"/>
  <c r="I157" i="1"/>
  <c r="I192" i="1"/>
  <c r="H204" i="1"/>
  <c r="I205" i="1"/>
  <c r="H213" i="1"/>
  <c r="H216" i="1"/>
  <c r="I250" i="1"/>
  <c r="H259" i="1"/>
  <c r="I260" i="1"/>
  <c r="H270" i="1"/>
  <c r="H279" i="1"/>
  <c r="I280" i="1"/>
  <c r="H287" i="1"/>
  <c r="H299" i="1"/>
  <c r="I300" i="1"/>
  <c r="I326" i="1"/>
  <c r="I334" i="1"/>
  <c r="H336" i="1"/>
  <c r="H337" i="1"/>
  <c r="I347" i="1"/>
  <c r="H354" i="1"/>
  <c r="H358" i="1"/>
  <c r="H364" i="1"/>
  <c r="I368" i="1"/>
  <c r="H369" i="1"/>
  <c r="I379" i="1"/>
  <c r="I387" i="1"/>
  <c r="I398" i="1"/>
  <c r="I409" i="1"/>
  <c r="I420" i="1"/>
  <c r="I428" i="1"/>
  <c r="H429" i="1"/>
  <c r="H438" i="1"/>
  <c r="H441" i="1"/>
  <c r="I448" i="1"/>
  <c r="H449" i="1"/>
  <c r="H479" i="1"/>
  <c r="I481" i="1"/>
  <c r="I489" i="1"/>
  <c r="H3" i="1"/>
  <c r="I3" i="1"/>
  <c r="I25" i="1"/>
  <c r="I35" i="1"/>
  <c r="I71" i="1"/>
  <c r="I103" i="1"/>
  <c r="I146" i="1"/>
  <c r="H325" i="1"/>
  <c r="H326" i="1"/>
  <c r="H368" i="1"/>
  <c r="H409" i="1"/>
  <c r="I246" i="1"/>
  <c r="H246" i="1"/>
  <c r="H5" i="1"/>
  <c r="H11" i="1"/>
  <c r="I12" i="1"/>
  <c r="I18" i="1"/>
  <c r="H25" i="1"/>
  <c r="H26" i="1"/>
  <c r="H52" i="1"/>
  <c r="H58" i="1"/>
  <c r="I59" i="1"/>
  <c r="I65" i="1"/>
  <c r="H71" i="1"/>
  <c r="H85" i="1"/>
  <c r="I92" i="1"/>
  <c r="I97" i="1"/>
  <c r="H99" i="1"/>
  <c r="H103" i="1"/>
  <c r="H117" i="1"/>
  <c r="I124" i="1"/>
  <c r="I129" i="1"/>
  <c r="H131" i="1"/>
  <c r="H135" i="1"/>
  <c r="I150" i="1"/>
  <c r="I153" i="1"/>
  <c r="H159" i="1"/>
  <c r="H175" i="1"/>
  <c r="H184" i="1"/>
  <c r="I186" i="1"/>
  <c r="I277" i="1"/>
  <c r="H65" i="1"/>
  <c r="H77" i="1"/>
  <c r="H84" i="1"/>
  <c r="H110" i="1"/>
  <c r="H116" i="1"/>
  <c r="H142" i="1"/>
  <c r="H183" i="1"/>
  <c r="I4" i="1"/>
  <c r="I10" i="1"/>
  <c r="I51" i="1"/>
  <c r="I57" i="1"/>
  <c r="I84" i="1"/>
  <c r="I89" i="1"/>
  <c r="I116" i="1"/>
  <c r="I121" i="1"/>
  <c r="I148" i="1"/>
  <c r="I164" i="1"/>
  <c r="I174" i="1"/>
  <c r="I329" i="1"/>
  <c r="I464" i="1"/>
  <c r="I484" i="1"/>
  <c r="I151" i="1"/>
  <c r="H380" i="1"/>
  <c r="I380" i="1"/>
  <c r="I421" i="1"/>
  <c r="H421" i="1"/>
  <c r="H57" i="1"/>
  <c r="I2" i="1"/>
  <c r="H16" i="1"/>
  <c r="H21" i="1"/>
  <c r="H28" i="1"/>
  <c r="H35" i="1"/>
  <c r="I36" i="1"/>
  <c r="I43" i="1"/>
  <c r="I49" i="1"/>
  <c r="H55" i="1"/>
  <c r="H68" i="1"/>
  <c r="H74" i="1"/>
  <c r="I75" i="1"/>
  <c r="I81" i="1"/>
  <c r="H83" i="1"/>
  <c r="H87" i="1"/>
  <c r="H101" i="1"/>
  <c r="I108" i="1"/>
  <c r="I113" i="1"/>
  <c r="H115" i="1"/>
  <c r="H119" i="1"/>
  <c r="H133" i="1"/>
  <c r="I140" i="1"/>
  <c r="I145" i="1"/>
  <c r="H147" i="1"/>
  <c r="H161" i="1"/>
  <c r="H169" i="1"/>
  <c r="H171" i="1"/>
  <c r="I181" i="1"/>
  <c r="H182" i="1"/>
  <c r="I194" i="1"/>
  <c r="I348" i="1"/>
  <c r="H470" i="1"/>
  <c r="H20" i="1"/>
  <c r="H27" i="1"/>
  <c r="H49" i="1"/>
  <c r="H61" i="1"/>
  <c r="H67" i="1"/>
  <c r="H94" i="1"/>
  <c r="H100" i="1"/>
  <c r="I106" i="1"/>
  <c r="H126" i="1"/>
  <c r="H132" i="1"/>
  <c r="I138" i="1"/>
  <c r="H156" i="1"/>
  <c r="H179" i="1"/>
  <c r="H149" i="1"/>
  <c r="I156" i="1"/>
  <c r="I161" i="1"/>
  <c r="H163" i="1"/>
  <c r="H172" i="1"/>
  <c r="I175" i="1"/>
  <c r="H178" i="1"/>
  <c r="H189" i="1"/>
  <c r="H192" i="1"/>
  <c r="H194" i="1"/>
  <c r="H211" i="1"/>
  <c r="H214" i="1"/>
  <c r="H227" i="1"/>
  <c r="I231" i="1"/>
  <c r="H234" i="1"/>
  <c r="H258" i="1"/>
  <c r="I259" i="1"/>
  <c r="H261" i="1"/>
  <c r="H275" i="1"/>
  <c r="I278" i="1"/>
  <c r="H281" i="1"/>
  <c r="H292" i="1"/>
  <c r="H296" i="1"/>
  <c r="I298" i="1"/>
  <c r="I299" i="1"/>
  <c r="I302" i="1"/>
  <c r="I303" i="1"/>
  <c r="H305" i="1"/>
  <c r="H324" i="1"/>
  <c r="I331" i="1"/>
  <c r="H333" i="1"/>
  <c r="H347" i="1"/>
  <c r="I350" i="1"/>
  <c r="H352" i="1"/>
  <c r="H353" i="1"/>
  <c r="H372" i="1"/>
  <c r="H379" i="1"/>
  <c r="I382" i="1"/>
  <c r="H384" i="1"/>
  <c r="H385" i="1"/>
  <c r="H419" i="1"/>
  <c r="I425" i="1"/>
  <c r="H440" i="1"/>
  <c r="I442" i="1"/>
  <c r="H453" i="1"/>
  <c r="H460" i="1"/>
  <c r="H463" i="1"/>
  <c r="I465" i="1"/>
  <c r="H483" i="1"/>
  <c r="I486" i="1"/>
  <c r="I487" i="1"/>
  <c r="H488" i="1"/>
  <c r="H489" i="1"/>
  <c r="H493" i="1"/>
  <c r="H274" i="1"/>
  <c r="H277" i="1"/>
  <c r="H291" i="1"/>
  <c r="H295" i="1"/>
  <c r="H323" i="1"/>
  <c r="H328" i="1"/>
  <c r="H329" i="1"/>
  <c r="H349" i="1"/>
  <c r="H371" i="1"/>
  <c r="H375" i="1"/>
  <c r="H381" i="1"/>
  <c r="H396" i="1"/>
  <c r="H418" i="1"/>
  <c r="H424" i="1"/>
  <c r="H425" i="1"/>
  <c r="H436" i="1"/>
  <c r="H439" i="1"/>
  <c r="H459" i="1"/>
  <c r="H464" i="1"/>
  <c r="H465" i="1"/>
  <c r="H482" i="1"/>
  <c r="H485" i="1"/>
  <c r="H501" i="1"/>
  <c r="I482" i="1"/>
  <c r="I501" i="1"/>
  <c r="H165" i="1"/>
  <c r="I166" i="1"/>
  <c r="I167" i="1"/>
  <c r="H180" i="1"/>
  <c r="I183" i="1"/>
  <c r="H186" i="1"/>
  <c r="H197" i="1"/>
  <c r="I201" i="1"/>
  <c r="H206" i="1"/>
  <c r="H219" i="1"/>
  <c r="H222" i="1"/>
  <c r="H237" i="1"/>
  <c r="H244" i="1"/>
  <c r="I252" i="1"/>
  <c r="H254" i="1"/>
  <c r="H267" i="1"/>
  <c r="I270" i="1"/>
  <c r="H272" i="1"/>
  <c r="H273" i="1"/>
  <c r="H283" i="1"/>
  <c r="I286" i="1"/>
  <c r="I287" i="1"/>
  <c r="H289" i="1"/>
  <c r="H316" i="1"/>
  <c r="I321" i="1"/>
  <c r="H338" i="1"/>
  <c r="I339" i="1"/>
  <c r="H341" i="1"/>
  <c r="H356" i="1"/>
  <c r="I362" i="1"/>
  <c r="I363" i="1"/>
  <c r="H365" i="1"/>
  <c r="H387" i="1"/>
  <c r="I390" i="1"/>
  <c r="H392" i="1"/>
  <c r="H393" i="1"/>
  <c r="I410" i="1"/>
  <c r="I411" i="1"/>
  <c r="H413" i="1"/>
  <c r="H428" i="1"/>
  <c r="H431" i="1"/>
  <c r="I432" i="1"/>
  <c r="H451" i="1"/>
  <c r="H455" i="1"/>
  <c r="I457" i="1"/>
  <c r="H474" i="1"/>
  <c r="I475" i="1"/>
  <c r="I478" i="1"/>
  <c r="H481" i="1"/>
  <c r="H491" i="1"/>
  <c r="H495" i="1"/>
  <c r="I499" i="1"/>
  <c r="H217" i="1"/>
  <c r="H236" i="1"/>
  <c r="H240" i="1"/>
  <c r="H249" i="1"/>
  <c r="H250" i="1"/>
  <c r="H266" i="1"/>
  <c r="H269" i="1"/>
  <c r="H282" i="1"/>
  <c r="H285" i="1"/>
  <c r="H308" i="1"/>
  <c r="H315" i="1"/>
  <c r="H320" i="1"/>
  <c r="H321" i="1"/>
  <c r="H355" i="1"/>
  <c r="H359" i="1"/>
  <c r="H386" i="1"/>
  <c r="H389" i="1"/>
  <c r="H404" i="1"/>
  <c r="H407" i="1"/>
  <c r="H427" i="1"/>
  <c r="H444" i="1"/>
  <c r="H447" i="1"/>
  <c r="H457" i="1"/>
  <c r="H468" i="1"/>
  <c r="H471" i="1"/>
  <c r="H490" i="1"/>
  <c r="H497" i="1"/>
  <c r="I218" i="1"/>
  <c r="I235" i="1"/>
  <c r="I236" i="1"/>
  <c r="I239" i="1"/>
  <c r="I240" i="1"/>
  <c r="I282" i="1"/>
  <c r="I315" i="1"/>
  <c r="I337" i="1"/>
  <c r="I355" i="1"/>
  <c r="I358" i="1"/>
  <c r="I386" i="1"/>
  <c r="I406" i="1"/>
  <c r="I427" i="1"/>
  <c r="I446" i="1"/>
  <c r="I447" i="1"/>
  <c r="I470" i="1"/>
  <c r="I471" i="1"/>
  <c r="I13" i="1"/>
  <c r="I21" i="1"/>
  <c r="I29" i="1"/>
  <c r="I37" i="1"/>
  <c r="I45" i="1"/>
  <c r="I53" i="1"/>
  <c r="I61" i="1"/>
  <c r="I69" i="1"/>
  <c r="I77" i="1"/>
  <c r="H185" i="1"/>
  <c r="H225" i="1"/>
  <c r="I227" i="1"/>
  <c r="I228" i="1"/>
  <c r="I232" i="1"/>
  <c r="H280" i="1"/>
  <c r="I290" i="1"/>
  <c r="I295" i="1"/>
  <c r="H351" i="1"/>
  <c r="I351" i="1"/>
  <c r="I354" i="1"/>
  <c r="I359" i="1"/>
  <c r="H408" i="1"/>
  <c r="I418" i="1"/>
  <c r="I474" i="1"/>
  <c r="I479" i="1"/>
  <c r="I219" i="1"/>
  <c r="I220" i="1"/>
  <c r="I224" i="1"/>
  <c r="I274" i="1"/>
  <c r="I279" i="1"/>
  <c r="H335" i="1"/>
  <c r="I335" i="1"/>
  <c r="I338" i="1"/>
  <c r="I343" i="1"/>
  <c r="H399" i="1"/>
  <c r="I399" i="1"/>
  <c r="I402" i="1"/>
  <c r="I407" i="1"/>
  <c r="H448" i="1"/>
  <c r="I458" i="1"/>
  <c r="I463" i="1"/>
  <c r="I171" i="1"/>
  <c r="I172" i="1"/>
  <c r="I176" i="1"/>
  <c r="I211" i="1"/>
  <c r="I212" i="1"/>
  <c r="I216" i="1"/>
  <c r="H263" i="1"/>
  <c r="I263" i="1"/>
  <c r="I266" i="1"/>
  <c r="I271" i="1"/>
  <c r="H327" i="1"/>
  <c r="I327" i="1"/>
  <c r="I330" i="1"/>
  <c r="H391" i="1"/>
  <c r="I391" i="1"/>
  <c r="I394" i="1"/>
  <c r="I450" i="1"/>
  <c r="I455" i="1"/>
  <c r="H82" i="1"/>
  <c r="H90" i="1"/>
  <c r="H98" i="1"/>
  <c r="H106" i="1"/>
  <c r="H114" i="1"/>
  <c r="H122" i="1"/>
  <c r="H130" i="1"/>
  <c r="H138" i="1"/>
  <c r="H146" i="1"/>
  <c r="H154" i="1"/>
  <c r="H162" i="1"/>
  <c r="H255" i="1"/>
  <c r="I255" i="1"/>
  <c r="H319" i="1"/>
  <c r="I319" i="1"/>
  <c r="H383" i="1"/>
  <c r="I383" i="1"/>
  <c r="I179" i="1"/>
  <c r="I184" i="1"/>
  <c r="I203" i="1"/>
  <c r="I204" i="1"/>
  <c r="I208" i="1"/>
  <c r="H241" i="1"/>
  <c r="H248" i="1"/>
  <c r="I248" i="1"/>
  <c r="I251" i="1"/>
  <c r="H304" i="1"/>
  <c r="H311" i="1"/>
  <c r="I311" i="1"/>
  <c r="I314" i="1"/>
  <c r="I378" i="1"/>
  <c r="H432" i="1"/>
  <c r="I434" i="1"/>
  <c r="I439" i="1"/>
  <c r="I498" i="1"/>
  <c r="H233" i="1"/>
  <c r="I243" i="1"/>
  <c r="I306" i="1"/>
  <c r="H367" i="1"/>
  <c r="I367" i="1"/>
  <c r="I370" i="1"/>
  <c r="I375" i="1"/>
  <c r="I490" i="1"/>
  <c r="I495" i="1"/>
  <c r="I180" i="1"/>
  <c r="I165" i="1"/>
  <c r="H288" i="1"/>
  <c r="H416" i="1"/>
  <c r="H423" i="1"/>
  <c r="I423" i="1"/>
  <c r="H472" i="1"/>
  <c r="H193" i="1"/>
  <c r="H201" i="1"/>
</calcChain>
</file>

<file path=xl/sharedStrings.xml><?xml version="1.0" encoding="utf-8"?>
<sst xmlns="http://schemas.openxmlformats.org/spreadsheetml/2006/main" count="510" uniqueCount="510">
  <si>
    <t>Ticker</t>
  </si>
  <si>
    <t>LTP</t>
  </si>
  <si>
    <t>Open</t>
  </si>
  <si>
    <t>High</t>
  </si>
  <si>
    <t>Low</t>
  </si>
  <si>
    <t>Prev Close</t>
  </si>
  <si>
    <t>Volume</t>
  </si>
  <si>
    <t>Buy</t>
  </si>
  <si>
    <t>Sell</t>
  </si>
  <si>
    <t>% Change</t>
  </si>
  <si>
    <t>IDEA</t>
  </si>
  <si>
    <t>TATAMOTORS</t>
  </si>
  <si>
    <t>BEL</t>
  </si>
  <si>
    <t>BHEL</t>
  </si>
  <si>
    <t>CIPLA</t>
  </si>
  <si>
    <t>SBIN</t>
  </si>
  <si>
    <t>MOTHERSUMI</t>
  </si>
  <si>
    <t>RBLBANK</t>
  </si>
  <si>
    <t>IBULHSGFIN</t>
  </si>
  <si>
    <t>ASHOKLEY</t>
  </si>
  <si>
    <t>IDFCFIRSTB</t>
  </si>
  <si>
    <t>BANKBARODA</t>
  </si>
  <si>
    <t>FEDERALBNK</t>
  </si>
  <si>
    <t>TATAPOWER</t>
  </si>
  <si>
    <t>SAIL</t>
  </si>
  <si>
    <t>ICICIBANK</t>
  </si>
  <si>
    <t>SUZLON</t>
  </si>
  <si>
    <t>HFCL</t>
  </si>
  <si>
    <t>PNB</t>
  </si>
  <si>
    <t>CONCOR</t>
  </si>
  <si>
    <t>ITC</t>
  </si>
  <si>
    <t>SUNPHARMA</t>
  </si>
  <si>
    <t>IOC</t>
  </si>
  <si>
    <t>IDFC</t>
  </si>
  <si>
    <t>AXISBANK</t>
  </si>
  <si>
    <t>EQUITAS</t>
  </si>
  <si>
    <t>LUPIN</t>
  </si>
  <si>
    <t>DLF</t>
  </si>
  <si>
    <t>BANDHANBNK</t>
  </si>
  <si>
    <t>ZEEL</t>
  </si>
  <si>
    <t>JINDALSTEL</t>
  </si>
  <si>
    <t>APOLLOTYRE</t>
  </si>
  <si>
    <t>RECLTD</t>
  </si>
  <si>
    <t>RELIANCE</t>
  </si>
  <si>
    <t>M&amp;M</t>
  </si>
  <si>
    <t>NTPC</t>
  </si>
  <si>
    <t>TATASTEEL</t>
  </si>
  <si>
    <t>LT</t>
  </si>
  <si>
    <t>SOUTHBANK</t>
  </si>
  <si>
    <t>HDFCBANK</t>
  </si>
  <si>
    <t>PFC</t>
  </si>
  <si>
    <t>ADANIPOWER</t>
  </si>
  <si>
    <t>EMAMILTD</t>
  </si>
  <si>
    <t>AUROPHARMA</t>
  </si>
  <si>
    <t>MANAPPURAM</t>
  </si>
  <si>
    <t>BHARTIARTL</t>
  </si>
  <si>
    <t>INDUSINDBK</t>
  </si>
  <si>
    <t>HINDALCO</t>
  </si>
  <si>
    <t>NMDC</t>
  </si>
  <si>
    <t>FCONSUMER</t>
  </si>
  <si>
    <t>GMRINFRA</t>
  </si>
  <si>
    <t>BPCL</t>
  </si>
  <si>
    <t>NATIONALUM</t>
  </si>
  <si>
    <t>CADILAHC</t>
  </si>
  <si>
    <t>GAIL</t>
  </si>
  <si>
    <t>TATAMTRDVR</t>
  </si>
  <si>
    <t>HINDPETRO</t>
  </si>
  <si>
    <t>GLENMARK</t>
  </si>
  <si>
    <t>UPL</t>
  </si>
  <si>
    <t>L&amp;TFH</t>
  </si>
  <si>
    <t>BAJFINANCE</t>
  </si>
  <si>
    <t>COALINDIA</t>
  </si>
  <si>
    <t>ONGC</t>
  </si>
  <si>
    <t>BIOCON</t>
  </si>
  <si>
    <t>GRANULES</t>
  </si>
  <si>
    <t>TATACONSUM</t>
  </si>
  <si>
    <t>PRAJIND</t>
  </si>
  <si>
    <t>JSWSTEEL</t>
  </si>
  <si>
    <t>BHARATFORG</t>
  </si>
  <si>
    <t>WIPRO</t>
  </si>
  <si>
    <t>STAR</t>
  </si>
  <si>
    <t>CHOLAFIN</t>
  </si>
  <si>
    <t>DIVISLAB</t>
  </si>
  <si>
    <t>BALRAMCHIN</t>
  </si>
  <si>
    <t>INFY</t>
  </si>
  <si>
    <t>SCI</t>
  </si>
  <si>
    <t>ITI</t>
  </si>
  <si>
    <t>DABUR</t>
  </si>
  <si>
    <t>TECHM</t>
  </si>
  <si>
    <t>TRIDENT</t>
  </si>
  <si>
    <t>TITAN</t>
  </si>
  <si>
    <t>M&amp;MFIN</t>
  </si>
  <si>
    <t>NCC</t>
  </si>
  <si>
    <t>NBCC</t>
  </si>
  <si>
    <t>HIMATSEIDE</t>
  </si>
  <si>
    <t>BOMDYEING</t>
  </si>
  <si>
    <t>BSOFT</t>
  </si>
  <si>
    <t>POWERGRID</t>
  </si>
  <si>
    <t>DCBBANK</t>
  </si>
  <si>
    <t>PTC</t>
  </si>
  <si>
    <t>HINDZINC</t>
  </si>
  <si>
    <t>PNBHOUSING</t>
  </si>
  <si>
    <t>FRETAIL</t>
  </si>
  <si>
    <t>LICHSGFIN</t>
  </si>
  <si>
    <t>HCLTECH</t>
  </si>
  <si>
    <t>LAURUSLABS</t>
  </si>
  <si>
    <t>IBREALEST</t>
  </si>
  <si>
    <t>MUTHOOTFIN</t>
  </si>
  <si>
    <t>TATASTLBSL</t>
  </si>
  <si>
    <t>ASHOKA</t>
  </si>
  <si>
    <t>GSPL</t>
  </si>
  <si>
    <t>JSWENERGY</t>
  </si>
  <si>
    <t>EXIDEIND</t>
  </si>
  <si>
    <t>CANBK</t>
  </si>
  <si>
    <t>TAKE</t>
  </si>
  <si>
    <t>INDHOTEL</t>
  </si>
  <si>
    <t>AMBUJACEM</t>
  </si>
  <si>
    <t>BDL</t>
  </si>
  <si>
    <t>ADANIPORTS</t>
  </si>
  <si>
    <t>DELTACORP</t>
  </si>
  <si>
    <t>RCF</t>
  </si>
  <si>
    <t>HDFC</t>
  </si>
  <si>
    <t>IFCI</t>
  </si>
  <si>
    <t>KOTAKBANK</t>
  </si>
  <si>
    <t>TCS</t>
  </si>
  <si>
    <t>BATAINDIA</t>
  </si>
  <si>
    <t>CENTURYTEX</t>
  </si>
  <si>
    <t>TV18BRDCST</t>
  </si>
  <si>
    <t>CAPLIPOINT</t>
  </si>
  <si>
    <t>ABCAPITAL</t>
  </si>
  <si>
    <t>MARICO</t>
  </si>
  <si>
    <t>SRTRANSFIN</t>
  </si>
  <si>
    <t>SEQUENT</t>
  </si>
  <si>
    <t>WELSPUNIND</t>
  </si>
  <si>
    <t>J&amp;KBANK</t>
  </si>
  <si>
    <t>IPCALAB</t>
  </si>
  <si>
    <t>UJJIVAN</t>
  </si>
  <si>
    <t>KARURVYSYA</t>
  </si>
  <si>
    <t>DISHTV</t>
  </si>
  <si>
    <t>IEX</t>
  </si>
  <si>
    <t>NHPC</t>
  </si>
  <si>
    <t>PRESTIGE</t>
  </si>
  <si>
    <t>RVNL</t>
  </si>
  <si>
    <t>IGL</t>
  </si>
  <si>
    <t>CANFINHOME</t>
  </si>
  <si>
    <t>PETRONET</t>
  </si>
  <si>
    <t>SPARC</t>
  </si>
  <si>
    <t>ICICIPRULI</t>
  </si>
  <si>
    <t>AMARAJABAT</t>
  </si>
  <si>
    <t>TVSMOTOR</t>
  </si>
  <si>
    <t>HDFCLIFE</t>
  </si>
  <si>
    <t>JAICORPLTD</t>
  </si>
  <si>
    <t>EDELWEISS</t>
  </si>
  <si>
    <t>CDSL</t>
  </si>
  <si>
    <t>VAKRANGEE</t>
  </si>
  <si>
    <t>GRASIM</t>
  </si>
  <si>
    <t>FSL</t>
  </si>
  <si>
    <t>ENGINERSIN</t>
  </si>
  <si>
    <t>ASIANPAINT</t>
  </si>
  <si>
    <t>INDIACEM</t>
  </si>
  <si>
    <t>UJJIVANSFB</t>
  </si>
  <si>
    <t>BEML</t>
  </si>
  <si>
    <t>HAVELLS</t>
  </si>
  <si>
    <t>DRREDDY</t>
  </si>
  <si>
    <t>GREAVESCOT</t>
  </si>
  <si>
    <t>IOB</t>
  </si>
  <si>
    <t>MAHABANK</t>
  </si>
  <si>
    <t>NATCOPHARM</t>
  </si>
  <si>
    <t>UNIONBANK</t>
  </si>
  <si>
    <t>BERGEPAINT</t>
  </si>
  <si>
    <t>MCDOWELL-N</t>
  </si>
  <si>
    <t>IDBI</t>
  </si>
  <si>
    <t>ESCORTS</t>
  </si>
  <si>
    <t>DEEPAKNTR</t>
  </si>
  <si>
    <t>MARUTI</t>
  </si>
  <si>
    <t>FDC</t>
  </si>
  <si>
    <t>PIDILITIND</t>
  </si>
  <si>
    <t>TORNTPOWER</t>
  </si>
  <si>
    <t>JSL</t>
  </si>
  <si>
    <t>PEL</t>
  </si>
  <si>
    <t>JAMNAAUTO</t>
  </si>
  <si>
    <t>HINDUNILVR</t>
  </si>
  <si>
    <t>RENUKA</t>
  </si>
  <si>
    <t>VOLTAS</t>
  </si>
  <si>
    <t>JKPAPER</t>
  </si>
  <si>
    <t>JSLHISAR</t>
  </si>
  <si>
    <t>COCHINSHIP</t>
  </si>
  <si>
    <t>GNFC</t>
  </si>
  <si>
    <t>IRB</t>
  </si>
  <si>
    <t>RAYMOND</t>
  </si>
  <si>
    <t>INDIGO</t>
  </si>
  <si>
    <t>CUB</t>
  </si>
  <si>
    <t>VIPIND</t>
  </si>
  <si>
    <t>SPICEJET</t>
  </si>
  <si>
    <t>JUBLFOOD</t>
  </si>
  <si>
    <t>INDIANB</t>
  </si>
  <si>
    <t>KTKBANK</t>
  </si>
  <si>
    <t>JYOTHYLAB</t>
  </si>
  <si>
    <t>WOCKPHARMA</t>
  </si>
  <si>
    <t>TORNTPHARM</t>
  </si>
  <si>
    <t>FORTIS</t>
  </si>
  <si>
    <t>MRPL</t>
  </si>
  <si>
    <t>HAL</t>
  </si>
  <si>
    <t>EIHOTEL</t>
  </si>
  <si>
    <t>SBICARD</t>
  </si>
  <si>
    <t>GUJGASLTD</t>
  </si>
  <si>
    <t>CASTROLIND</t>
  </si>
  <si>
    <t>BAJAJCON</t>
  </si>
  <si>
    <t>BANKINDIA</t>
  </si>
  <si>
    <t>NAM-INDIA</t>
  </si>
  <si>
    <t>LEMONTREE</t>
  </si>
  <si>
    <t>IRCON</t>
  </si>
  <si>
    <t>ABFRL</t>
  </si>
  <si>
    <t>PHILIPCARB</t>
  </si>
  <si>
    <t>NH</t>
  </si>
  <si>
    <t>WELCORP</t>
  </si>
  <si>
    <t>RALLIS</t>
  </si>
  <si>
    <t>SBILIFE</t>
  </si>
  <si>
    <t>MIDHANI</t>
  </si>
  <si>
    <t>APOLLOHOSP</t>
  </si>
  <si>
    <t>BBTC</t>
  </si>
  <si>
    <t>GODREJIND</t>
  </si>
  <si>
    <t>MINDACORP</t>
  </si>
  <si>
    <t>RAIN</t>
  </si>
  <si>
    <t>NFL</t>
  </si>
  <si>
    <t>SUMICHEM</t>
  </si>
  <si>
    <t>HSCL</t>
  </si>
  <si>
    <t>ADANIGREEN</t>
  </si>
  <si>
    <t>UCOBANK</t>
  </si>
  <si>
    <t>JBCHEPHARM</t>
  </si>
  <si>
    <t>CHAMBLFERT</t>
  </si>
  <si>
    <t>HUDCO</t>
  </si>
  <si>
    <t>JUBILANT</t>
  </si>
  <si>
    <t>JKTYRE</t>
  </si>
  <si>
    <t>BRIGADE</t>
  </si>
  <si>
    <t>BLISSGVS</t>
  </si>
  <si>
    <t>KPITTECH</t>
  </si>
  <si>
    <t>GICRE</t>
  </si>
  <si>
    <t>RAMCOCEM</t>
  </si>
  <si>
    <t>SIEMENS</t>
  </si>
  <si>
    <t>SYNGENE</t>
  </si>
  <si>
    <t>CYIENT</t>
  </si>
  <si>
    <t>ALLCARGO</t>
  </si>
  <si>
    <t>SUNTV</t>
  </si>
  <si>
    <t>SJVN</t>
  </si>
  <si>
    <t>SRF</t>
  </si>
  <si>
    <t>BRITANNIA</t>
  </si>
  <si>
    <t>JINDALSAW</t>
  </si>
  <si>
    <t>MMTC</t>
  </si>
  <si>
    <t>OMAXE</t>
  </si>
  <si>
    <t>JUSTDIAL</t>
  </si>
  <si>
    <t>GRSE</t>
  </si>
  <si>
    <t>HINDCOPPER</t>
  </si>
  <si>
    <t>DCAL</t>
  </si>
  <si>
    <t>KSCL</t>
  </si>
  <si>
    <t>NBVENTURES</t>
  </si>
  <si>
    <t>GSFC</t>
  </si>
  <si>
    <t>CENTRALBK</t>
  </si>
  <si>
    <t>ADANITRANS</t>
  </si>
  <si>
    <t>TATAELXSI</t>
  </si>
  <si>
    <t>INOXLEISUR</t>
  </si>
  <si>
    <t>KALPATPOWR</t>
  </si>
  <si>
    <t>MGL</t>
  </si>
  <si>
    <t>HEROMOTOCO</t>
  </si>
  <si>
    <t>ICICIGI</t>
  </si>
  <si>
    <t>SWSOLAR</t>
  </si>
  <si>
    <t>BIRLACORPN</t>
  </si>
  <si>
    <t>CUMMINSIND</t>
  </si>
  <si>
    <t>KANSAINER</t>
  </si>
  <si>
    <t>BALKRISIND</t>
  </si>
  <si>
    <t>GRAPHITE</t>
  </si>
  <si>
    <t>POLYMED</t>
  </si>
  <si>
    <t>GPPL</t>
  </si>
  <si>
    <t>BAJAJFINSV</t>
  </si>
  <si>
    <t>NAUKRI</t>
  </si>
  <si>
    <t>WESTLIFE</t>
  </si>
  <si>
    <t>GMDCLTD</t>
  </si>
  <si>
    <t>ULTRACEMCO</t>
  </si>
  <si>
    <t>KRBL</t>
  </si>
  <si>
    <t>DBL</t>
  </si>
  <si>
    <t>COLPAL</t>
  </si>
  <si>
    <t>CENTURYPLY</t>
  </si>
  <si>
    <t>ACC</t>
  </si>
  <si>
    <t>NIACL</t>
  </si>
  <si>
    <t>CHENNPETRO</t>
  </si>
  <si>
    <t>APLLTD</t>
  </si>
  <si>
    <t>PVR</t>
  </si>
  <si>
    <t>NAVINFLUOR</t>
  </si>
  <si>
    <t>ALKEM</t>
  </si>
  <si>
    <t>SUDARSCHEM</t>
  </si>
  <si>
    <t>GODREJCP</t>
  </si>
  <si>
    <t>ADVENZYMES</t>
  </si>
  <si>
    <t>IIFL</t>
  </si>
  <si>
    <t>OIL</t>
  </si>
  <si>
    <t>MFSL</t>
  </si>
  <si>
    <t>CROMPTON</t>
  </si>
  <si>
    <t>KEI</t>
  </si>
  <si>
    <t>HDFCAMC</t>
  </si>
  <si>
    <t>MPHASIS</t>
  </si>
  <si>
    <t>SONATSOFTW</t>
  </si>
  <si>
    <t>INFIBEAM</t>
  </si>
  <si>
    <t>BAJAJ-AUTO</t>
  </si>
  <si>
    <t>REPCOHOME</t>
  </si>
  <si>
    <t>TIMETECHNO</t>
  </si>
  <si>
    <t>SOBHA</t>
  </si>
  <si>
    <t>NLCINDIA</t>
  </si>
  <si>
    <t>TATACOMM</t>
  </si>
  <si>
    <t>AVANTIFEED</t>
  </si>
  <si>
    <t>TIINDIA</t>
  </si>
  <si>
    <t>COROMANDEL</t>
  </si>
  <si>
    <t>REDINGTON</t>
  </si>
  <si>
    <t>INTELLECT</t>
  </si>
  <si>
    <t>JMFINANCIL</t>
  </si>
  <si>
    <t>ORIENTELEC</t>
  </si>
  <si>
    <t>EIDPARRY</t>
  </si>
  <si>
    <t>DMART</t>
  </si>
  <si>
    <t>AJANTPHARM</t>
  </si>
  <si>
    <t>MCX</t>
  </si>
  <si>
    <t>RITES</t>
  </si>
  <si>
    <t>TVTODAY</t>
  </si>
  <si>
    <t>ORIENTCEM</t>
  </si>
  <si>
    <t>MINDTREE</t>
  </si>
  <si>
    <t>KEC</t>
  </si>
  <si>
    <t>HEG</t>
  </si>
  <si>
    <t>POLYCAB</t>
  </si>
  <si>
    <t>MINDAIND</t>
  </si>
  <si>
    <t>SUNTECK</t>
  </si>
  <si>
    <t>HATHWAY</t>
  </si>
  <si>
    <t>AARTIIND</t>
  </si>
  <si>
    <t>GMMPFAUDLR</t>
  </si>
  <si>
    <t>PERSISTENT</t>
  </si>
  <si>
    <t>INDOCO</t>
  </si>
  <si>
    <t>IRCTC</t>
  </si>
  <si>
    <t>VGUARD</t>
  </si>
  <si>
    <t>VARROC</t>
  </si>
  <si>
    <t>ASTERDM</t>
  </si>
  <si>
    <t>UBL</t>
  </si>
  <si>
    <t>PNCINFRA</t>
  </si>
  <si>
    <t>NIITTECH</t>
  </si>
  <si>
    <t>MAHLOG</t>
  </si>
  <si>
    <t>PIIND</t>
  </si>
  <si>
    <t>CESC</t>
  </si>
  <si>
    <t>AUBANK</t>
  </si>
  <si>
    <t>JAGRAN</t>
  </si>
  <si>
    <t>DBCORP</t>
  </si>
  <si>
    <t>AEGISCHEM</t>
  </si>
  <si>
    <t>GODREJPROP</t>
  </si>
  <si>
    <t>UFLEX</t>
  </si>
  <si>
    <t>RELAXO</t>
  </si>
  <si>
    <t>SUPRAJIT</t>
  </si>
  <si>
    <t>ISEC</t>
  </si>
  <si>
    <t>DCMSHRIRAM</t>
  </si>
  <si>
    <t>ARVINDFASN</t>
  </si>
  <si>
    <t>SADBHAV</t>
  </si>
  <si>
    <t>TRENT</t>
  </si>
  <si>
    <t>AMBER</t>
  </si>
  <si>
    <t>HEIDELBERG</t>
  </si>
  <si>
    <t>PFIZER</t>
  </si>
  <si>
    <t>ERIS</t>
  </si>
  <si>
    <t>RADICO</t>
  </si>
  <si>
    <t>LTI</t>
  </si>
  <si>
    <t>BAJAJELEC</t>
  </si>
  <si>
    <t>ABB</t>
  </si>
  <si>
    <t>GET&amp;D</t>
  </si>
  <si>
    <t>BLUESTARCO</t>
  </si>
  <si>
    <t>GODREJAGRO</t>
  </si>
  <si>
    <t>THYROCARE</t>
  </si>
  <si>
    <t>NESCO</t>
  </si>
  <si>
    <t>HERITGFOOD</t>
  </si>
  <si>
    <t>ASTRAZEN</t>
  </si>
  <si>
    <t>SCHNEIDER</t>
  </si>
  <si>
    <t>VBL</t>
  </si>
  <si>
    <t>MOIL</t>
  </si>
  <si>
    <t>JKLAKSHMI</t>
  </si>
  <si>
    <t>ZENSARTECH</t>
  </si>
  <si>
    <t>BSE</t>
  </si>
  <si>
    <t>EICHERMOT</t>
  </si>
  <si>
    <t>ESSELPACK</t>
  </si>
  <si>
    <t>PRSMJOHNSN</t>
  </si>
  <si>
    <t>DALBHARAT</t>
  </si>
  <si>
    <t>SHOPERSTOP</t>
  </si>
  <si>
    <t>KOLTEPATIL</t>
  </si>
  <si>
    <t>GHCL</t>
  </si>
  <si>
    <t>BALMLAWRIE</t>
  </si>
  <si>
    <t>VRLLOG</t>
  </si>
  <si>
    <t>QUESS</t>
  </si>
  <si>
    <t>FLUOROCHEM</t>
  </si>
  <si>
    <t>CCL</t>
  </si>
  <si>
    <t>AFFLE</t>
  </si>
  <si>
    <t>METROPOLIS</t>
  </si>
  <si>
    <t>ECLERX</t>
  </si>
  <si>
    <t>SWANENERGY</t>
  </si>
  <si>
    <t>GESHIP</t>
  </si>
  <si>
    <t>GODFRYPHLP</t>
  </si>
  <si>
    <t>SHREECEM</t>
  </si>
  <si>
    <t>HATSUN</t>
  </si>
  <si>
    <t>VENKEYS</t>
  </si>
  <si>
    <t>CARBORUNIV</t>
  </si>
  <si>
    <t>ASAHIINDIA</t>
  </si>
  <si>
    <t>DIXON</t>
  </si>
  <si>
    <t>FINCABLES</t>
  </si>
  <si>
    <t>KAJARIACER</t>
  </si>
  <si>
    <t>CEATLTD</t>
  </si>
  <si>
    <t>LALPATHLAB</t>
  </si>
  <si>
    <t>STARCEMENT</t>
  </si>
  <si>
    <t>DHANUKA</t>
  </si>
  <si>
    <t>OBEROIRLTY</t>
  </si>
  <si>
    <t>MAHINDCIE</t>
  </si>
  <si>
    <t>LINDEINDIA</t>
  </si>
  <si>
    <t>GUJALKALI</t>
  </si>
  <si>
    <t>LTTS</t>
  </si>
  <si>
    <t>TEAMLEASE</t>
  </si>
  <si>
    <t>KNRCON</t>
  </si>
  <si>
    <t>CSBBANK</t>
  </si>
  <si>
    <t>SUNDRMFAST</t>
  </si>
  <si>
    <t>CARERATING</t>
  </si>
  <si>
    <t>RAJESHEXPO</t>
  </si>
  <si>
    <t>IFBIND</t>
  </si>
  <si>
    <t>SANOFI</t>
  </si>
  <si>
    <t>ELGIEQUIP</t>
  </si>
  <si>
    <t>CREDITACC</t>
  </si>
  <si>
    <t>INDIAMART</t>
  </si>
  <si>
    <t>SIS</t>
  </si>
  <si>
    <t>GLAXO</t>
  </si>
  <si>
    <t>BASF</t>
  </si>
  <si>
    <t>VINATIORGA</t>
  </si>
  <si>
    <t>ALKYLAMINE</t>
  </si>
  <si>
    <t>NESTLEIND</t>
  </si>
  <si>
    <t>SOLARINDS</t>
  </si>
  <si>
    <t>ZYDUSWELL</t>
  </si>
  <si>
    <t>ASTRAL</t>
  </si>
  <si>
    <t>LAOPALA</t>
  </si>
  <si>
    <t>LUXIND</t>
  </si>
  <si>
    <t>MOTILALOFS</t>
  </si>
  <si>
    <t>ABBOTINDIA</t>
  </si>
  <si>
    <t>JKCEMENT</t>
  </si>
  <si>
    <t>ATUL</t>
  </si>
  <si>
    <t>MAHSEAMLES</t>
  </si>
  <si>
    <t>ENDURANCE</t>
  </si>
  <si>
    <t>SFL</t>
  </si>
  <si>
    <t>APLAPOLLO</t>
  </si>
  <si>
    <t>BAYERCROP</t>
  </si>
  <si>
    <t>GULFOILLUB</t>
  </si>
  <si>
    <t>BOSCHLTD</t>
  </si>
  <si>
    <t>AAVAS</t>
  </si>
  <si>
    <t>INGERRAND</t>
  </si>
  <si>
    <t>PHOENIXLTD</t>
  </si>
  <si>
    <t>GALAXYSURF</t>
  </si>
  <si>
    <t>OFSS</t>
  </si>
  <si>
    <t>PGHL</t>
  </si>
  <si>
    <t>GARFIBRES</t>
  </si>
  <si>
    <t>SUPREMEIND</t>
  </si>
  <si>
    <t>MASFIN</t>
  </si>
  <si>
    <t>SHRIRAMCIT</t>
  </si>
  <si>
    <t>PAGEIND</t>
  </si>
  <si>
    <t>FINPIPE</t>
  </si>
  <si>
    <t>ORIENTREF</t>
  </si>
  <si>
    <t>TATAINVEST</t>
  </si>
  <si>
    <t>BAJAJHLDNG</t>
  </si>
  <si>
    <t>WHIRLPOOL</t>
  </si>
  <si>
    <t>VTL</t>
  </si>
  <si>
    <t>CRISIL</t>
  </si>
  <si>
    <t>SUNDARMFIN</t>
  </si>
  <si>
    <t>BHARATRAS</t>
  </si>
  <si>
    <t>CHOLAHLDNG</t>
  </si>
  <si>
    <t>MHRIL</t>
  </si>
  <si>
    <t>JCHAC</t>
  </si>
  <si>
    <t>NILKAMAL</t>
  </si>
  <si>
    <t>VAIBHAVGBL</t>
  </si>
  <si>
    <t>ITDC</t>
  </si>
  <si>
    <t>SKFINDIA</t>
  </si>
  <si>
    <t>WABCOINDIA</t>
  </si>
  <si>
    <t>GRINDWELL</t>
  </si>
  <si>
    <t>AKZOINDIA</t>
  </si>
  <si>
    <t>KSB</t>
  </si>
  <si>
    <t>CGCL</t>
  </si>
  <si>
    <t>GEPIL</t>
  </si>
  <si>
    <t>SYMPHONY</t>
  </si>
  <si>
    <t>SPANDANA</t>
  </si>
  <si>
    <t>VSTIND</t>
  </si>
  <si>
    <t>THERMAX</t>
  </si>
  <si>
    <t>INDOSTAR</t>
  </si>
  <si>
    <t>FINEORG</t>
  </si>
  <si>
    <t>VMART</t>
  </si>
  <si>
    <t>RATNAMANI</t>
  </si>
  <si>
    <t>AIAENG</t>
  </si>
  <si>
    <t>TCIEXP</t>
  </si>
  <si>
    <t>BLUEDART</t>
  </si>
  <si>
    <t>TTKPRESTIG</t>
  </si>
  <si>
    <t>IIFLWAM</t>
  </si>
  <si>
    <t>MAHSCOOTER</t>
  </si>
  <si>
    <t>SCHAEFFLER</t>
  </si>
  <si>
    <t>TCNSBRANDS</t>
  </si>
  <si>
    <t>HONAUT</t>
  </si>
  <si>
    <t>MRF</t>
  </si>
  <si>
    <t>GILLETTE</t>
  </si>
  <si>
    <t>TIMKEN</t>
  </si>
  <si>
    <t>3MINDIA</t>
  </si>
  <si>
    <t>KPRMILL</t>
  </si>
  <si>
    <t>LAXMIMACH</t>
  </si>
  <si>
    <t>CERA</t>
  </si>
  <si>
    <t>TASTYBITE</t>
  </si>
  <si>
    <t>PGHH</t>
  </si>
  <si>
    <t>ICRA</t>
  </si>
  <si>
    <t>ESABINDIA</t>
  </si>
  <si>
    <t>VESUVIUS</t>
  </si>
  <si>
    <t>ATGL</t>
  </si>
  <si>
    <t>INDUSTOWER</t>
  </si>
  <si>
    <t>DHANI</t>
  </si>
  <si>
    <t>STLTECH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</si>
</sst>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charset val="1"/>
    </font>
    <font>
      <sz val="11"/>
      <color rgb="FFFFFFFF"/>
      <name val="Arial"/>
      <charset val="1"/>
    </font>
    <font>
      <sz val="11"/>
      <color rgb="FF666666"/>
      <name val="Arial"/>
      <charset val="1"/>
    </font>
    <font>
      <sz val="11"/>
      <color rgb="FFD9D9D9"/>
      <name val="Arial"/>
      <charset val="1"/>
    </font>
    <font>
      <sz val="11"/>
      <color rgb="FF000000"/>
      <name val="Arial"/>
      <charset val="1"/>
    </font>
    <font>
      <sz val="8"/>
      <color rgb="FF000000"/>
      <name val="Arial"/>
      <charset val="1"/>
    </font>
    <font>
      <sz val="11"/>
      <color rgb="FF000000"/>
      <name val="Inconsolata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zoomScaleNormal="100" workbookViewId="0">
      <selection activeCell="H23" sqref="H23"/>
    </sheetView>
  </sheetViews>
  <sheetFormatPr defaultColWidth="14.44140625" defaultRowHeight="13.2"/>
  <sheetData>
    <row r="1" spans="1:10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3.8">
      <c r="A2" s="5" t="s">
        <v>10</v>
      </c>
      <c r="B2" s="6">
        <f ca="1">IFERROR(__xludf.dummyfunction("GOOGLEFINANCE(""NSE:""&amp;A120, ""price"")"),9.1)</f>
        <v>9.1</v>
      </c>
      <c r="C2" s="6">
        <f ca="1">IFERROR(__xludf.dummyfunction("GOOGLEFINANCE(""NSE:""&amp;A120, ""priceopen"")"),9)</f>
        <v>9</v>
      </c>
      <c r="D2" s="6">
        <f ca="1">IFERROR(__xludf.dummyfunction("GOOGLEFINANCE(""NSE:""&amp;A120, ""high"")"),9.2)</f>
        <v>9.1999999999999993</v>
      </c>
      <c r="E2" s="6">
        <f ca="1">IFERROR(__xludf.dummyfunction("GOOGLEFINANCE(""NSE:""&amp;A120, ""low"")"),8.8)</f>
        <v>8.8000000000000007</v>
      </c>
      <c r="F2" s="6">
        <f ca="1">IFERROR(__xludf.dummyfunction("GOOGLEFINANCE(""NSE:""&amp;A120, ""closeyest"")"),8.85)</f>
        <v>8.85</v>
      </c>
      <c r="G2" s="6">
        <f ca="1">IFERROR(__xludf.dummyfunction("GOOGLEFINANCE(""NSE:""&amp;A120, ""volume"")"),418346262)</f>
        <v>418346262</v>
      </c>
      <c r="H2" s="6" t="b">
        <f t="shared" ref="H2:H65" ca="1" si="0">C2=E2</f>
        <v>0</v>
      </c>
      <c r="I2" s="6" t="b">
        <f t="shared" ref="I2:I65" ca="1" si="1">D2=C2</f>
        <v>0</v>
      </c>
      <c r="J2" s="7">
        <f ca="1">IFERROR(__xludf.dummyfunction("GOOGLEFINANCE(""NSE:""&amp;A120, ""changepct"")"),2.82)</f>
        <v>2.82</v>
      </c>
    </row>
    <row r="3" spans="1:10" ht="13.8">
      <c r="A3" s="5" t="s">
        <v>11</v>
      </c>
      <c r="B3" s="6">
        <f ca="1">IFERROR(__xludf.dummyfunction("GOOGLEFINANCE(""NSE:""&amp;A90, ""price"")"),123.35)</f>
        <v>123.35</v>
      </c>
      <c r="C3" s="6">
        <f ca="1">IFERROR(__xludf.dummyfunction("GOOGLEFINANCE(""NSE:""&amp;A90, ""priceopen"")"),119.95)</f>
        <v>119.95</v>
      </c>
      <c r="D3" s="6">
        <f ca="1">IFERROR(__xludf.dummyfunction("GOOGLEFINANCE(""NSE:""&amp;A90, ""high"")"),124.7)</f>
        <v>124.7</v>
      </c>
      <c r="E3" s="6">
        <f ca="1">IFERROR(__xludf.dummyfunction("GOOGLEFINANCE(""NSE:""&amp;A90, ""low"")"),119.7)</f>
        <v>119.7</v>
      </c>
      <c r="F3" s="6">
        <f ca="1">IFERROR(__xludf.dummyfunction("GOOGLEFINANCE(""NSE:""&amp;A90, ""closeyest"")"),119.1)</f>
        <v>119.1</v>
      </c>
      <c r="G3" s="6">
        <f ca="1">IFERROR(__xludf.dummyfunction("GOOGLEFINANCE(""NSE:""&amp;A90, ""volume"")"),71095910)</f>
        <v>71095910</v>
      </c>
      <c r="H3" s="6" t="b">
        <f t="shared" ca="1" si="0"/>
        <v>0</v>
      </c>
      <c r="I3" s="6" t="b">
        <f t="shared" ca="1" si="1"/>
        <v>0</v>
      </c>
      <c r="J3" s="7">
        <f ca="1">IFERROR(__xludf.dummyfunction("GOOGLEFINANCE(""NSE:""&amp;A90, ""changepct"")"),3.57)</f>
        <v>3.57</v>
      </c>
    </row>
    <row r="4" spans="1:10" ht="13.8">
      <c r="A4" s="5" t="s">
        <v>12</v>
      </c>
      <c r="B4" s="6">
        <f ca="1">IFERROR(__xludf.dummyfunction("GOOGLEFINANCE(""NSE:""&amp;A19, ""price"")"),108.25)</f>
        <v>108.25</v>
      </c>
      <c r="C4" s="6">
        <f ca="1">IFERROR(__xludf.dummyfunction("GOOGLEFINANCE(""NSE:""&amp;A19, ""priceopen"")"),105.45)</f>
        <v>105.45</v>
      </c>
      <c r="D4" s="6">
        <f ca="1">IFERROR(__xludf.dummyfunction("GOOGLEFINANCE(""NSE:""&amp;A19, ""high"")"),113.9)</f>
        <v>113.9</v>
      </c>
      <c r="E4" s="6">
        <f ca="1">IFERROR(__xludf.dummyfunction("GOOGLEFINANCE(""NSE:""&amp;A19, ""low"")"),104.4)</f>
        <v>104.4</v>
      </c>
      <c r="F4" s="6">
        <f ca="1">IFERROR(__xludf.dummyfunction("GOOGLEFINANCE(""NSE:""&amp;A19, ""closeyest"")"),99.2)</f>
        <v>99.2</v>
      </c>
      <c r="G4" s="6">
        <f ca="1">IFERROR(__xludf.dummyfunction("GOOGLEFINANCE(""NSE:""&amp;A19, ""volume"")"),65821856)</f>
        <v>65821856</v>
      </c>
      <c r="H4" s="6" t="b">
        <f t="shared" ca="1" si="0"/>
        <v>0</v>
      </c>
      <c r="I4" s="6" t="b">
        <f t="shared" ca="1" si="1"/>
        <v>0</v>
      </c>
      <c r="J4" s="7">
        <f ca="1">IFERROR(__xludf.dummyfunction("GOOGLEFINANCE(""NSE:""&amp;A19, ""changepct"")"),9.12)</f>
        <v>9.1199999999999992</v>
      </c>
    </row>
    <row r="5" spans="1:10" ht="13.8">
      <c r="A5" s="5" t="s">
        <v>13</v>
      </c>
      <c r="B5" s="6">
        <f ca="1">IFERROR(__xludf.dummyfunction("GOOGLEFINANCE(""NSE:""&amp;A110, ""price"")"),36.35)</f>
        <v>36.35</v>
      </c>
      <c r="C5" s="6">
        <f ca="1">IFERROR(__xludf.dummyfunction("GOOGLEFINANCE(""NSE:""&amp;A110, ""priceopen"")"),36)</f>
        <v>36</v>
      </c>
      <c r="D5" s="6">
        <f ca="1">IFERROR(__xludf.dummyfunction("GOOGLEFINANCE(""NSE:""&amp;A110, ""high"")"),37.65)</f>
        <v>37.65</v>
      </c>
      <c r="E5" s="6">
        <f ca="1">IFERROR(__xludf.dummyfunction("GOOGLEFINANCE(""NSE:""&amp;A110, ""low"")"),35.85)</f>
        <v>35.85</v>
      </c>
      <c r="F5" s="6">
        <f ca="1">IFERROR(__xludf.dummyfunction("GOOGLEFINANCE(""NSE:""&amp;A110, ""closeyest"")"),35.25)</f>
        <v>35.25</v>
      </c>
      <c r="G5" s="6">
        <f ca="1">IFERROR(__xludf.dummyfunction("GOOGLEFINANCE(""NSE:""&amp;A110, ""volume"")"),60898741)</f>
        <v>60898741</v>
      </c>
      <c r="H5" s="6" t="b">
        <f t="shared" ca="1" si="0"/>
        <v>0</v>
      </c>
      <c r="I5" s="6" t="b">
        <f t="shared" ca="1" si="1"/>
        <v>0</v>
      </c>
      <c r="J5" s="7">
        <f ca="1">IFERROR(__xludf.dummyfunction("GOOGLEFINANCE(""NSE:""&amp;A110, ""changepct"")"),3.12)</f>
        <v>3.12</v>
      </c>
    </row>
    <row r="6" spans="1:10" ht="13.8">
      <c r="A6" s="5" t="s">
        <v>14</v>
      </c>
      <c r="B6" s="6">
        <f ca="1">IFERROR(__xludf.dummyfunction("GOOGLEFINANCE(""NSE:""&amp;A16, ""price"")"),797.7)</f>
        <v>797.7</v>
      </c>
      <c r="C6" s="6">
        <f ca="1">IFERROR(__xludf.dummyfunction("GOOGLEFINANCE(""NSE:""&amp;A16, ""priceopen"")"),760)</f>
        <v>760</v>
      </c>
      <c r="D6" s="6">
        <f ca="1">IFERROR(__xludf.dummyfunction("GOOGLEFINANCE(""NSE:""&amp;A16, ""high"")"),814.5)</f>
        <v>814.5</v>
      </c>
      <c r="E6" s="6">
        <f ca="1">IFERROR(__xludf.dummyfunction("GOOGLEFINANCE(""NSE:""&amp;A16, ""low"")"),751.35)</f>
        <v>751.35</v>
      </c>
      <c r="F6" s="6">
        <f ca="1">IFERROR(__xludf.dummyfunction("GOOGLEFINANCE(""NSE:""&amp;A16, ""closeyest"")"),728.65)</f>
        <v>728.65</v>
      </c>
      <c r="G6" s="6">
        <f ca="1">IFERROR(__xludf.dummyfunction("GOOGLEFINANCE(""NSE:""&amp;A16, ""volume"")"),56895564)</f>
        <v>56895564</v>
      </c>
      <c r="H6" s="6" t="b">
        <f t="shared" ca="1" si="0"/>
        <v>0</v>
      </c>
      <c r="I6" s="6" t="b">
        <f t="shared" ca="1" si="1"/>
        <v>0</v>
      </c>
      <c r="J6" s="7">
        <f ca="1">IFERROR(__xludf.dummyfunction("GOOGLEFINANCE(""NSE:""&amp;A16, ""changepct"")"),9.48)</f>
        <v>9.48</v>
      </c>
    </row>
    <row r="7" spans="1:10" ht="13.8">
      <c r="A7" s="5" t="s">
        <v>15</v>
      </c>
      <c r="B7" s="6">
        <f ca="1">IFERROR(__xludf.dummyfunction("GOOGLEFINANCE(""NSE:""&amp;A184, ""price"")"),193.75)</f>
        <v>193.75</v>
      </c>
      <c r="C7" s="6">
        <f ca="1">IFERROR(__xludf.dummyfunction("GOOGLEFINANCE(""NSE:""&amp;A184, ""priceopen"")"),191.85)</f>
        <v>191.85</v>
      </c>
      <c r="D7" s="6">
        <f ca="1">IFERROR(__xludf.dummyfunction("GOOGLEFINANCE(""NSE:""&amp;A184, ""high"")"),195.5)</f>
        <v>195.5</v>
      </c>
      <c r="E7" s="6">
        <f ca="1">IFERROR(__xludf.dummyfunction("GOOGLEFINANCE(""NSE:""&amp;A184, ""low"")"),191.7)</f>
        <v>191.7</v>
      </c>
      <c r="F7" s="6">
        <f ca="1">IFERROR(__xludf.dummyfunction("GOOGLEFINANCE(""NSE:""&amp;A184, ""closeyest"")"),190.65)</f>
        <v>190.65</v>
      </c>
      <c r="G7" s="6">
        <f ca="1">IFERROR(__xludf.dummyfunction("GOOGLEFINANCE(""NSE:""&amp;A184, ""volume"")"),48785067)</f>
        <v>48785067</v>
      </c>
      <c r="H7" s="6" t="b">
        <f t="shared" ca="1" si="0"/>
        <v>0</v>
      </c>
      <c r="I7" s="6" t="b">
        <f t="shared" ca="1" si="1"/>
        <v>0</v>
      </c>
      <c r="J7" s="7">
        <f ca="1">IFERROR(__xludf.dummyfunction("GOOGLEFINANCE(""NSE:""&amp;A184, ""changepct"")"),1.63)</f>
        <v>1.63</v>
      </c>
    </row>
    <row r="8" spans="1:10" ht="13.8">
      <c r="A8" s="5" t="s">
        <v>16</v>
      </c>
      <c r="B8" s="6">
        <f ca="1">IFERROR(__xludf.dummyfunction("GOOGLEFINANCE(""NSE:""&amp;A63, ""price"")"),104.5)</f>
        <v>104.5</v>
      </c>
      <c r="C8" s="6">
        <f ca="1">IFERROR(__xludf.dummyfunction("GOOGLEFINANCE(""NSE:""&amp;A63, ""priceopen"")"),99.9)</f>
        <v>99.9</v>
      </c>
      <c r="D8" s="6">
        <f ca="1">IFERROR(__xludf.dummyfunction("GOOGLEFINANCE(""NSE:""&amp;A63, ""high"")"),108.25)</f>
        <v>108.25</v>
      </c>
      <c r="E8" s="6">
        <f ca="1">IFERROR(__xludf.dummyfunction("GOOGLEFINANCE(""NSE:""&amp;A63, ""low"")"),99.55)</f>
        <v>99.55</v>
      </c>
      <c r="F8" s="6">
        <f ca="1">IFERROR(__xludf.dummyfunction("GOOGLEFINANCE(""NSE:""&amp;A63, ""closeyest"")"),99.8)</f>
        <v>99.8</v>
      </c>
      <c r="G8" s="6">
        <f ca="1">IFERROR(__xludf.dummyfunction("GOOGLEFINANCE(""NSE:""&amp;A63, ""volume"")"),39373983)</f>
        <v>39373983</v>
      </c>
      <c r="H8" s="6" t="b">
        <f t="shared" ca="1" si="0"/>
        <v>0</v>
      </c>
      <c r="I8" s="6" t="b">
        <f t="shared" ca="1" si="1"/>
        <v>0</v>
      </c>
      <c r="J8" s="7">
        <f ca="1">IFERROR(__xludf.dummyfunction("GOOGLEFINANCE(""NSE:""&amp;A63, ""changepct"")"),4.71)</f>
        <v>4.71</v>
      </c>
    </row>
    <row r="9" spans="1:10" ht="13.8">
      <c r="A9" s="5" t="s">
        <v>17</v>
      </c>
      <c r="B9" s="6">
        <f ca="1">IFERROR(__xludf.dummyfunction("GOOGLEFINANCE(""NSE:""&amp;A500, ""price"")"),180.6)</f>
        <v>180.6</v>
      </c>
      <c r="C9" s="6">
        <f ca="1">IFERROR(__xludf.dummyfunction("GOOGLEFINANCE(""NSE:""&amp;A500, ""priceopen"")"),190.75)</f>
        <v>190.75</v>
      </c>
      <c r="D9" s="6">
        <f ca="1">IFERROR(__xludf.dummyfunction("GOOGLEFINANCE(""NSE:""&amp;A500, ""high"")"),193.3)</f>
        <v>193.3</v>
      </c>
      <c r="E9" s="6">
        <f ca="1">IFERROR(__xludf.dummyfunction("GOOGLEFINANCE(""NSE:""&amp;A500, ""low"")"),180.1)</f>
        <v>180.1</v>
      </c>
      <c r="F9" s="6">
        <f ca="1">IFERROR(__xludf.dummyfunction("GOOGLEFINANCE(""NSE:""&amp;A500, ""closeyest"")"),191.3)</f>
        <v>191.3</v>
      </c>
      <c r="G9" s="6">
        <f ca="1">IFERROR(__xludf.dummyfunction("GOOGLEFINANCE(""NSE:""&amp;A500, ""volume"")"),33997206)</f>
        <v>33997206</v>
      </c>
      <c r="H9" s="6" t="b">
        <f t="shared" ca="1" si="0"/>
        <v>0</v>
      </c>
      <c r="I9" s="6" t="b">
        <f t="shared" ca="1" si="1"/>
        <v>0</v>
      </c>
      <c r="J9" s="7">
        <f ca="1">IFERROR(__xludf.dummyfunction("GOOGLEFINANCE(""NSE:""&amp;A500, ""changepct"")"),-5.59)</f>
        <v>-5.59</v>
      </c>
    </row>
    <row r="10" spans="1:10" ht="13.8">
      <c r="A10" s="5" t="s">
        <v>18</v>
      </c>
      <c r="B10" s="6">
        <f ca="1">IFERROR(__xludf.dummyfunction("GOOGLEFINANCE(""NSE:""&amp;A38, ""price"")"),205)</f>
        <v>205</v>
      </c>
      <c r="C10" s="6">
        <f ca="1">IFERROR(__xludf.dummyfunction("GOOGLEFINANCE(""NSE:""&amp;A38, ""priceopen"")"),195.2)</f>
        <v>195.2</v>
      </c>
      <c r="D10" s="6">
        <f ca="1">IFERROR(__xludf.dummyfunction("GOOGLEFINANCE(""NSE:""&amp;A38, ""high"")"),212.65)</f>
        <v>212.65</v>
      </c>
      <c r="E10" s="6">
        <f ca="1">IFERROR(__xludf.dummyfunction("GOOGLEFINANCE(""NSE:""&amp;A38, ""low"")"),194.8)</f>
        <v>194.8</v>
      </c>
      <c r="F10" s="6">
        <f ca="1">IFERROR(__xludf.dummyfunction("GOOGLEFINANCE(""NSE:""&amp;A38, ""closeyest"")"),193.35)</f>
        <v>193.35</v>
      </c>
      <c r="G10" s="6">
        <f ca="1">IFERROR(__xludf.dummyfunction("GOOGLEFINANCE(""NSE:""&amp;A38, ""volume"")"),33936822)</f>
        <v>33936822</v>
      </c>
      <c r="H10" s="6" t="b">
        <f t="shared" ca="1" si="0"/>
        <v>0</v>
      </c>
      <c r="I10" s="6" t="b">
        <f t="shared" ca="1" si="1"/>
        <v>0</v>
      </c>
      <c r="J10" s="7">
        <f ca="1">IFERROR(__xludf.dummyfunction("GOOGLEFINANCE(""NSE:""&amp;A38, ""changepct"")"),6.03)</f>
        <v>6.03</v>
      </c>
    </row>
    <row r="11" spans="1:10" ht="13.8">
      <c r="A11" s="5" t="s">
        <v>19</v>
      </c>
      <c r="B11" s="6">
        <f ca="1">IFERROR(__xludf.dummyfunction("GOOGLEFINANCE(""NSE:""&amp;A121, ""price"")"),51.35)</f>
        <v>51.35</v>
      </c>
      <c r="C11" s="6">
        <f ca="1">IFERROR(__xludf.dummyfunction("GOOGLEFINANCE(""NSE:""&amp;A121, ""priceopen"")"),50.55)</f>
        <v>50.55</v>
      </c>
      <c r="D11" s="6">
        <f ca="1">IFERROR(__xludf.dummyfunction("GOOGLEFINANCE(""NSE:""&amp;A121, ""high"")"),51.85)</f>
        <v>51.85</v>
      </c>
      <c r="E11" s="6">
        <f ca="1">IFERROR(__xludf.dummyfunction("GOOGLEFINANCE(""NSE:""&amp;A121, ""low"")"),50.35)</f>
        <v>50.35</v>
      </c>
      <c r="F11" s="6">
        <f ca="1">IFERROR(__xludf.dummyfunction("GOOGLEFINANCE(""NSE:""&amp;A121, ""closeyest"")"),49.95)</f>
        <v>49.95</v>
      </c>
      <c r="G11" s="6">
        <f ca="1">IFERROR(__xludf.dummyfunction("GOOGLEFINANCE(""NSE:""&amp;A121, ""volume"")"),33052640)</f>
        <v>33052640</v>
      </c>
      <c r="H11" s="6" t="b">
        <f t="shared" ca="1" si="0"/>
        <v>0</v>
      </c>
      <c r="I11" s="6" t="b">
        <f t="shared" ca="1" si="1"/>
        <v>0</v>
      </c>
      <c r="J11" s="7">
        <f ca="1">IFERROR(__xludf.dummyfunction("GOOGLEFINANCE(""NSE:""&amp;A121, ""changepct"")"),2.8)</f>
        <v>2.8</v>
      </c>
    </row>
    <row r="12" spans="1:10" ht="13.8">
      <c r="A12" s="5" t="s">
        <v>20</v>
      </c>
      <c r="B12" s="6">
        <f ca="1">IFERROR(__xludf.dummyfunction("GOOGLEFINANCE(""NSE:""&amp;A285, ""price"")"),28.5)</f>
        <v>28.5</v>
      </c>
      <c r="C12" s="6">
        <f ca="1">IFERROR(__xludf.dummyfunction("GOOGLEFINANCE(""NSE:""&amp;A285, ""priceopen"")"),28.6)</f>
        <v>28.6</v>
      </c>
      <c r="D12" s="6">
        <f ca="1">IFERROR(__xludf.dummyfunction("GOOGLEFINANCE(""NSE:""&amp;A285, ""high"")"),28.7)</f>
        <v>28.7</v>
      </c>
      <c r="E12" s="6">
        <f ca="1">IFERROR(__xludf.dummyfunction("GOOGLEFINANCE(""NSE:""&amp;A285, ""low"")"),27.95)</f>
        <v>27.95</v>
      </c>
      <c r="F12" s="6">
        <f ca="1">IFERROR(__xludf.dummyfunction("GOOGLEFINANCE(""NSE:""&amp;A285, ""closeyest"")"),28.4)</f>
        <v>28.4</v>
      </c>
      <c r="G12" s="6">
        <f ca="1">IFERROR(__xludf.dummyfunction("GOOGLEFINANCE(""NSE:""&amp;A285, ""volume"")"),30306959)</f>
        <v>30306959</v>
      </c>
      <c r="H12" s="6" t="b">
        <f t="shared" ca="1" si="0"/>
        <v>0</v>
      </c>
      <c r="I12" s="6" t="b">
        <f t="shared" ca="1" si="1"/>
        <v>0</v>
      </c>
      <c r="J12" s="7">
        <f ca="1">IFERROR(__xludf.dummyfunction("GOOGLEFINANCE(""NSE:""&amp;A285, ""changepct"")"),0.35)</f>
        <v>0.35</v>
      </c>
    </row>
    <row r="13" spans="1:10" ht="13.8">
      <c r="A13" s="5" t="s">
        <v>21</v>
      </c>
      <c r="B13" s="6">
        <f ca="1">IFERROR(__xludf.dummyfunction("GOOGLEFINANCE(""NSE:""&amp;A217, ""price"")"),48.9)</f>
        <v>48.9</v>
      </c>
      <c r="C13" s="6">
        <f ca="1">IFERROR(__xludf.dummyfunction("GOOGLEFINANCE(""NSE:""&amp;A217, ""priceopen"")"),48.95)</f>
        <v>48.95</v>
      </c>
      <c r="D13" s="6">
        <f ca="1">IFERROR(__xludf.dummyfunction("GOOGLEFINANCE(""NSE:""&amp;A217, ""high"")"),49.25)</f>
        <v>49.25</v>
      </c>
      <c r="E13" s="6">
        <f ca="1">IFERROR(__xludf.dummyfunction("GOOGLEFINANCE(""NSE:""&amp;A217, ""low"")"),47.9)</f>
        <v>47.9</v>
      </c>
      <c r="F13" s="6">
        <f ca="1">IFERROR(__xludf.dummyfunction("GOOGLEFINANCE(""NSE:""&amp;A217, ""closeyest"")"),48.35)</f>
        <v>48.35</v>
      </c>
      <c r="G13" s="6">
        <f ca="1">IFERROR(__xludf.dummyfunction("GOOGLEFINANCE(""NSE:""&amp;A217, ""volume"")"),28220299)</f>
        <v>28220299</v>
      </c>
      <c r="H13" s="6" t="b">
        <f t="shared" ca="1" si="0"/>
        <v>0</v>
      </c>
      <c r="I13" s="6" t="b">
        <f t="shared" ca="1" si="1"/>
        <v>0</v>
      </c>
      <c r="J13" s="7">
        <f ca="1">IFERROR(__xludf.dummyfunction("GOOGLEFINANCE(""NSE:""&amp;A217, ""changepct"")"),1.14)</f>
        <v>1.1399999999999999</v>
      </c>
    </row>
    <row r="14" spans="1:10" ht="13.8">
      <c r="A14" s="5" t="s">
        <v>22</v>
      </c>
      <c r="B14" s="6">
        <f ca="1">IFERROR(__xludf.dummyfunction("GOOGLEFINANCE(""NSE:""&amp;A435, ""price"")"),54.05)</f>
        <v>54.05</v>
      </c>
      <c r="C14" s="6">
        <f ca="1">IFERROR(__xludf.dummyfunction("GOOGLEFINANCE(""NSE:""&amp;A435, ""priceopen"")"),54.95)</f>
        <v>54.95</v>
      </c>
      <c r="D14" s="6">
        <f ca="1">IFERROR(__xludf.dummyfunction("GOOGLEFINANCE(""NSE:""&amp;A435, ""high"")"),55.25)</f>
        <v>55.25</v>
      </c>
      <c r="E14" s="6">
        <f ca="1">IFERROR(__xludf.dummyfunction("GOOGLEFINANCE(""NSE:""&amp;A435, ""low"")"),53.65)</f>
        <v>53.65</v>
      </c>
      <c r="F14" s="6">
        <f ca="1">IFERROR(__xludf.dummyfunction("GOOGLEFINANCE(""NSE:""&amp;A435, ""closeyest"")"),54.65)</f>
        <v>54.65</v>
      </c>
      <c r="G14" s="6">
        <f ca="1">IFERROR(__xludf.dummyfunction("GOOGLEFINANCE(""NSE:""&amp;A435, ""volume"")"),27635791)</f>
        <v>27635791</v>
      </c>
      <c r="H14" s="6" t="b">
        <f t="shared" ca="1" si="0"/>
        <v>0</v>
      </c>
      <c r="I14" s="6" t="b">
        <f t="shared" ca="1" si="1"/>
        <v>0</v>
      </c>
      <c r="J14" s="7">
        <f ca="1">IFERROR(__xludf.dummyfunction("GOOGLEFINANCE(""NSE:""&amp;A435, ""changepct"")"),-1.1)</f>
        <v>-1.1000000000000001</v>
      </c>
    </row>
    <row r="15" spans="1:10" ht="13.8">
      <c r="A15" s="5" t="s">
        <v>23</v>
      </c>
      <c r="B15" s="6">
        <f ca="1">IFERROR(__xludf.dummyfunction("GOOGLEFINANCE(""NSE:""&amp;A82, ""price"")"),51.6)</f>
        <v>51.6</v>
      </c>
      <c r="C15" s="6">
        <f ca="1">IFERROR(__xludf.dummyfunction("GOOGLEFINANCE(""NSE:""&amp;A82, ""priceopen"")"),49.8)</f>
        <v>49.8</v>
      </c>
      <c r="D15" s="6">
        <f ca="1">IFERROR(__xludf.dummyfunction("GOOGLEFINANCE(""NSE:""&amp;A82, ""high"")"),51.9)</f>
        <v>51.9</v>
      </c>
      <c r="E15" s="6">
        <f ca="1">IFERROR(__xludf.dummyfunction("GOOGLEFINANCE(""NSE:""&amp;A82, ""low"")"),49.8)</f>
        <v>49.8</v>
      </c>
      <c r="F15" s="6">
        <f ca="1">IFERROR(__xludf.dummyfunction("GOOGLEFINANCE(""NSE:""&amp;A82, ""closeyest"")"),49.7)</f>
        <v>49.7</v>
      </c>
      <c r="G15" s="6">
        <f ca="1">IFERROR(__xludf.dummyfunction("GOOGLEFINANCE(""NSE:""&amp;A82, ""volume"")"),27048832)</f>
        <v>27048832</v>
      </c>
      <c r="H15" s="6" t="b">
        <f t="shared" ca="1" si="0"/>
        <v>1</v>
      </c>
      <c r="I15" s="6" t="b">
        <f t="shared" ca="1" si="1"/>
        <v>0</v>
      </c>
      <c r="J15" s="7">
        <f ca="1">IFERROR(__xludf.dummyfunction("GOOGLEFINANCE(""NSE:""&amp;A82, ""changepct"")"),3.82)</f>
        <v>3.82</v>
      </c>
    </row>
    <row r="16" spans="1:10" ht="13.8">
      <c r="A16" s="5" t="s">
        <v>24</v>
      </c>
      <c r="B16" s="6">
        <f ca="1">IFERROR(__xludf.dummyfunction("GOOGLEFINANCE(""NSE:""&amp;A209, ""price"")"),38.2)</f>
        <v>38.200000000000003</v>
      </c>
      <c r="C16" s="6">
        <f ca="1">IFERROR(__xludf.dummyfunction("GOOGLEFINANCE(""NSE:""&amp;A209, ""priceopen"")"),38)</f>
        <v>38</v>
      </c>
      <c r="D16" s="6">
        <f ca="1">IFERROR(__xludf.dummyfunction("GOOGLEFINANCE(""NSE:""&amp;A209, ""high"")"),38.3)</f>
        <v>38.299999999999997</v>
      </c>
      <c r="E16" s="6">
        <f ca="1">IFERROR(__xludf.dummyfunction("GOOGLEFINANCE(""NSE:""&amp;A209, ""low"")"),37.15)</f>
        <v>37.15</v>
      </c>
      <c r="F16" s="6">
        <f ca="1">IFERROR(__xludf.dummyfunction("GOOGLEFINANCE(""NSE:""&amp;A209, ""closeyest"")"),37.7)</f>
        <v>37.700000000000003</v>
      </c>
      <c r="G16" s="6">
        <f ca="1">IFERROR(__xludf.dummyfunction("GOOGLEFINANCE(""NSE:""&amp;A209, ""volume"")"),24216999)</f>
        <v>24216999</v>
      </c>
      <c r="H16" s="6" t="b">
        <f t="shared" ca="1" si="0"/>
        <v>0</v>
      </c>
      <c r="I16" s="6" t="b">
        <f t="shared" ca="1" si="1"/>
        <v>0</v>
      </c>
      <c r="J16" s="7">
        <f ca="1">IFERROR(__xludf.dummyfunction("GOOGLEFINANCE(""NSE:""&amp;A209, ""changepct"")"),1.33)</f>
        <v>1.33</v>
      </c>
    </row>
    <row r="17" spans="1:10" ht="13.8">
      <c r="A17" s="5" t="s">
        <v>25</v>
      </c>
      <c r="B17" s="6">
        <f ca="1">IFERROR(__xludf.dummyfunction("GOOGLEFINANCE(""NSE:""&amp;A175, ""price"")"),364.2)</f>
        <v>364.2</v>
      </c>
      <c r="C17" s="6">
        <f ca="1">IFERROR(__xludf.dummyfunction("GOOGLEFINANCE(""NSE:""&amp;A175, ""priceopen"")"),359.5)</f>
        <v>359.5</v>
      </c>
      <c r="D17" s="6">
        <f ca="1">IFERROR(__xludf.dummyfunction("GOOGLEFINANCE(""NSE:""&amp;A175, ""high"")"),364.95)</f>
        <v>364.95</v>
      </c>
      <c r="E17" s="6">
        <f ca="1">IFERROR(__xludf.dummyfunction("GOOGLEFINANCE(""NSE:""&amp;A175, ""low"")"),357.35)</f>
        <v>357.35</v>
      </c>
      <c r="F17" s="6">
        <f ca="1">IFERROR(__xludf.dummyfunction("GOOGLEFINANCE(""NSE:""&amp;A175, ""closeyest"")"),357.95)</f>
        <v>357.95</v>
      </c>
      <c r="G17" s="6">
        <f ca="1">IFERROR(__xludf.dummyfunction("GOOGLEFINANCE(""NSE:""&amp;A175, ""volume"")"),22857226)</f>
        <v>22857226</v>
      </c>
      <c r="H17" s="6" t="b">
        <f t="shared" ca="1" si="0"/>
        <v>0</v>
      </c>
      <c r="I17" s="6" t="b">
        <f t="shared" ca="1" si="1"/>
        <v>0</v>
      </c>
      <c r="J17" s="7">
        <f ca="1">IFERROR(__xludf.dummyfunction("GOOGLEFINANCE(""NSE:""&amp;A175, ""changepct"")"),1.75)</f>
        <v>1.75</v>
      </c>
    </row>
    <row r="18" spans="1:10" ht="13.8">
      <c r="A18" s="5" t="s">
        <v>26</v>
      </c>
      <c r="B18" s="6">
        <f ca="1">IFERROR(__xludf.dummyfunction("GOOGLEFINANCE(""NSE:""&amp;A219, ""price"")"),4.45)</f>
        <v>4.45</v>
      </c>
      <c r="C18" s="6">
        <f ca="1">IFERROR(__xludf.dummyfunction("GOOGLEFINANCE(""NSE:""&amp;A219, ""priceopen"")"),4.4)</f>
        <v>4.4000000000000004</v>
      </c>
      <c r="D18" s="6">
        <f ca="1">IFERROR(__xludf.dummyfunction("GOOGLEFINANCE(""NSE:""&amp;A219, ""high"")"),4.6)</f>
        <v>4.5999999999999996</v>
      </c>
      <c r="E18" s="6">
        <f ca="1">IFERROR(__xludf.dummyfunction("GOOGLEFINANCE(""NSE:""&amp;A219, ""low"")"),4.35)</f>
        <v>4.3499999999999996</v>
      </c>
      <c r="F18" s="6">
        <f ca="1">IFERROR(__xludf.dummyfunction("GOOGLEFINANCE(""NSE:""&amp;A219, ""closeyest"")"),4.4)</f>
        <v>4.4000000000000004</v>
      </c>
      <c r="G18" s="6">
        <f ca="1">IFERROR(__xludf.dummyfunction("GOOGLEFINANCE(""NSE:""&amp;A219, ""volume"")"),22446348)</f>
        <v>22446348</v>
      </c>
      <c r="H18" s="6" t="b">
        <f t="shared" ca="1" si="0"/>
        <v>0</v>
      </c>
      <c r="I18" s="6" t="b">
        <f t="shared" ca="1" si="1"/>
        <v>0</v>
      </c>
      <c r="J18" s="7">
        <f ca="1">IFERROR(__xludf.dummyfunction("GOOGLEFINANCE(""NSE:""&amp;A219, ""changepct"")"),1.14)</f>
        <v>1.1399999999999999</v>
      </c>
    </row>
    <row r="19" spans="1:10" ht="13.8">
      <c r="A19" s="5" t="s">
        <v>27</v>
      </c>
      <c r="B19" s="6">
        <f ca="1">IFERROR(__xludf.dummyfunction("GOOGLEFINANCE(""NSE:""&amp;A3, ""price"")"),17.15)</f>
        <v>17.149999999999999</v>
      </c>
      <c r="C19" s="6">
        <f ca="1">IFERROR(__xludf.dummyfunction("GOOGLEFINANCE(""NSE:""&amp;A3, ""priceopen"")"),14.4)</f>
        <v>14.4</v>
      </c>
      <c r="D19" s="6">
        <f ca="1">IFERROR(__xludf.dummyfunction("GOOGLEFINANCE(""NSE:""&amp;A3, ""high"")"),17.15)</f>
        <v>17.149999999999999</v>
      </c>
      <c r="E19" s="6">
        <f ca="1">IFERROR(__xludf.dummyfunction("GOOGLEFINANCE(""NSE:""&amp;A3, ""low"")"),14.4)</f>
        <v>14.4</v>
      </c>
      <c r="F19" s="6">
        <f ca="1">IFERROR(__xludf.dummyfunction("GOOGLEFINANCE(""NSE:""&amp;A3, ""closeyest"")"),14.3)</f>
        <v>14.3</v>
      </c>
      <c r="G19" s="6">
        <f ca="1">IFERROR(__xludf.dummyfunction("GOOGLEFINANCE(""NSE:""&amp;A3, ""volume"")"),19945663)</f>
        <v>19945663</v>
      </c>
      <c r="H19" s="6" t="b">
        <f t="shared" ca="1" si="0"/>
        <v>1</v>
      </c>
      <c r="I19" s="6" t="b">
        <f t="shared" ca="1" si="1"/>
        <v>0</v>
      </c>
      <c r="J19" s="7">
        <f ca="1">IFERROR(__xludf.dummyfunction("GOOGLEFINANCE(""NSE:""&amp;A3, ""changepct"")"),19.93)</f>
        <v>19.93</v>
      </c>
    </row>
    <row r="20" spans="1:10" ht="13.8">
      <c r="A20" s="5" t="s">
        <v>28</v>
      </c>
      <c r="B20" s="6">
        <f ca="1">IFERROR(__xludf.dummyfunction("GOOGLEFINANCE(""NSE:""&amp;A301, ""price"")"),32.85)</f>
        <v>32.85</v>
      </c>
      <c r="C20" s="6">
        <f ca="1">IFERROR(__xludf.dummyfunction("GOOGLEFINANCE(""NSE:""&amp;A301, ""priceopen"")"),33)</f>
        <v>33</v>
      </c>
      <c r="D20" s="6">
        <f ca="1">IFERROR(__xludf.dummyfunction("GOOGLEFINANCE(""NSE:""&amp;A301, ""high"")"),33.3)</f>
        <v>33.299999999999997</v>
      </c>
      <c r="E20" s="6">
        <f ca="1">IFERROR(__xludf.dummyfunction("GOOGLEFINANCE(""NSE:""&amp;A301, ""low"")"),32.7)</f>
        <v>32.700000000000003</v>
      </c>
      <c r="F20" s="6">
        <f ca="1">IFERROR(__xludf.dummyfunction("GOOGLEFINANCE(""NSE:""&amp;A301, ""closeyest"")"),32.8)</f>
        <v>32.799999999999997</v>
      </c>
      <c r="G20" s="6">
        <f ca="1">IFERROR(__xludf.dummyfunction("GOOGLEFINANCE(""NSE:""&amp;A301, ""volume"")"),18269325)</f>
        <v>18269325</v>
      </c>
      <c r="H20" s="6" t="b">
        <f t="shared" ca="1" si="0"/>
        <v>0</v>
      </c>
      <c r="I20" s="6" t="b">
        <f t="shared" ca="1" si="1"/>
        <v>0</v>
      </c>
      <c r="J20" s="7">
        <f ca="1">IFERROR(__xludf.dummyfunction("GOOGLEFINANCE(""NSE:""&amp;A301, ""changepct"")"),0.15)</f>
        <v>0.15</v>
      </c>
    </row>
    <row r="21" spans="1:10" ht="13.8">
      <c r="A21" s="5" t="s">
        <v>29</v>
      </c>
      <c r="B21" s="6">
        <f ca="1">IFERROR(__xludf.dummyfunction("GOOGLEFINANCE(""NSE:""&amp;A502, ""price"")"),386.8)</f>
        <v>386.8</v>
      </c>
      <c r="C21" s="6">
        <f ca="1">IFERROR(__xludf.dummyfunction("GOOGLEFINANCE(""NSE:""&amp;A502, ""priceopen"")"),433)</f>
        <v>433</v>
      </c>
      <c r="D21" s="6">
        <f ca="1">IFERROR(__xludf.dummyfunction("GOOGLEFINANCE(""NSE:""&amp;A502, ""high"")"),438.9)</f>
        <v>438.9</v>
      </c>
      <c r="E21" s="6">
        <f ca="1">IFERROR(__xludf.dummyfunction("GOOGLEFINANCE(""NSE:""&amp;A502, ""low"")"),365.95)</f>
        <v>365.95</v>
      </c>
      <c r="F21" s="6">
        <f ca="1">IFERROR(__xludf.dummyfunction("GOOGLEFINANCE(""NSE:""&amp;A502, ""closeyest"")"),455.9)</f>
        <v>455.9</v>
      </c>
      <c r="G21" s="6">
        <f ca="1">IFERROR(__xludf.dummyfunction("GOOGLEFINANCE(""NSE:""&amp;A502, ""volume"")"),18123494)</f>
        <v>18123494</v>
      </c>
      <c r="H21" s="6" t="b">
        <f t="shared" ca="1" si="0"/>
        <v>0</v>
      </c>
      <c r="I21" s="6" t="b">
        <f t="shared" ca="1" si="1"/>
        <v>0</v>
      </c>
      <c r="J21" s="7">
        <f ca="1">IFERROR(__xludf.dummyfunction("GOOGLEFINANCE(""NSE:""&amp;A502, ""changepct"")"),-15.16)</f>
        <v>-15.16</v>
      </c>
    </row>
    <row r="22" spans="1:10" ht="13.8">
      <c r="A22" s="5" t="s">
        <v>30</v>
      </c>
      <c r="B22" s="6">
        <f ca="1">IFERROR(__xludf.dummyfunction("GOOGLEFINANCE(""NSE:""&amp;A177, ""price"")"),199.45)</f>
        <v>199.45</v>
      </c>
      <c r="C22" s="6">
        <f ca="1">IFERROR(__xludf.dummyfunction("GOOGLEFINANCE(""NSE:""&amp;A177, ""priceopen"")"),196.4)</f>
        <v>196.4</v>
      </c>
      <c r="D22" s="6">
        <f ca="1">IFERROR(__xludf.dummyfunction("GOOGLEFINANCE(""NSE:""&amp;A177, ""high"")"),199.65)</f>
        <v>199.65</v>
      </c>
      <c r="E22" s="6">
        <f ca="1">IFERROR(__xludf.dummyfunction("GOOGLEFINANCE(""NSE:""&amp;A177, ""low"")"),196.4)</f>
        <v>196.4</v>
      </c>
      <c r="F22" s="6">
        <f ca="1">IFERROR(__xludf.dummyfunction("GOOGLEFINANCE(""NSE:""&amp;A177, ""closeyest"")"),196.05)</f>
        <v>196.05</v>
      </c>
      <c r="G22" s="6">
        <f ca="1">IFERROR(__xludf.dummyfunction("GOOGLEFINANCE(""NSE:""&amp;A177, ""volume"")"),16474715)</f>
        <v>16474715</v>
      </c>
      <c r="H22" s="6" t="b">
        <f t="shared" ca="1" si="0"/>
        <v>1</v>
      </c>
      <c r="I22" s="6" t="b">
        <f t="shared" ca="1" si="1"/>
        <v>0</v>
      </c>
      <c r="J22" s="7">
        <f ca="1">IFERROR(__xludf.dummyfunction("GOOGLEFINANCE(""NSE:""&amp;A177, ""changepct"")"),1.73)</f>
        <v>1.73</v>
      </c>
    </row>
    <row r="23" spans="1:10" ht="13.8">
      <c r="A23" s="5" t="s">
        <v>31</v>
      </c>
      <c r="B23" s="6">
        <f ca="1">IFERROR(__xludf.dummyfunction("GOOGLEFINANCE(""NSE:""&amp;A96, ""price"")"),544.1)</f>
        <v>544.1</v>
      </c>
      <c r="C23" s="6">
        <f ca="1">IFERROR(__xludf.dummyfunction("GOOGLEFINANCE(""NSE:""&amp;A96, ""priceopen"")"),526)</f>
        <v>526</v>
      </c>
      <c r="D23" s="6">
        <f ca="1">IFERROR(__xludf.dummyfunction("GOOGLEFINANCE(""NSE:""&amp;A96, ""high"")"),550.8)</f>
        <v>550.79999999999995</v>
      </c>
      <c r="E23" s="6">
        <f ca="1">IFERROR(__xludf.dummyfunction("GOOGLEFINANCE(""NSE:""&amp;A96, ""low"")"),526)</f>
        <v>526</v>
      </c>
      <c r="F23" s="6">
        <f ca="1">IFERROR(__xludf.dummyfunction("GOOGLEFINANCE(""NSE:""&amp;A96, ""closeyest"")"),525.95)</f>
        <v>525.95000000000005</v>
      </c>
      <c r="G23" s="6">
        <f ca="1">IFERROR(__xludf.dummyfunction("GOOGLEFINANCE(""NSE:""&amp;A96, ""volume"")"),16271351)</f>
        <v>16271351</v>
      </c>
      <c r="H23" s="6" t="b">
        <f t="shared" ca="1" si="0"/>
        <v>1</v>
      </c>
      <c r="I23" s="6" t="b">
        <f t="shared" ca="1" si="1"/>
        <v>0</v>
      </c>
      <c r="J23" s="7">
        <f ca="1">IFERROR(__xludf.dummyfunction("GOOGLEFINANCE(""NSE:""&amp;A96, ""changepct"")"),3.45)</f>
        <v>3.45</v>
      </c>
    </row>
    <row r="24" spans="1:10" ht="13.8">
      <c r="A24" s="5" t="s">
        <v>32</v>
      </c>
      <c r="B24" s="6">
        <f ca="1">IFERROR(__xludf.dummyfunction("GOOGLEFINANCE(""NSE:""&amp;A238, ""price"")"),87.2)</f>
        <v>87.2</v>
      </c>
      <c r="C24" s="6">
        <f ca="1">IFERROR(__xludf.dummyfunction("GOOGLEFINANCE(""NSE:""&amp;A238, ""priceopen"")"),86.6)</f>
        <v>86.6</v>
      </c>
      <c r="D24" s="6">
        <f ca="1">IFERROR(__xludf.dummyfunction("GOOGLEFINANCE(""NSE:""&amp;A238, ""high"")"),87.7)</f>
        <v>87.7</v>
      </c>
      <c r="E24" s="6">
        <f ca="1">IFERROR(__xludf.dummyfunction("GOOGLEFINANCE(""NSE:""&amp;A238, ""low"")"),86.2)</f>
        <v>86.2</v>
      </c>
      <c r="F24" s="6">
        <f ca="1">IFERROR(__xludf.dummyfunction("GOOGLEFINANCE(""NSE:""&amp;A238, ""closeyest"")"),86.4)</f>
        <v>86.4</v>
      </c>
      <c r="G24" s="6">
        <f ca="1">IFERROR(__xludf.dummyfunction("GOOGLEFINANCE(""NSE:""&amp;A238, ""volume"")"),16255605)</f>
        <v>16255605</v>
      </c>
      <c r="H24" s="6" t="b">
        <f t="shared" ca="1" si="0"/>
        <v>0</v>
      </c>
      <c r="I24" s="6" t="b">
        <f t="shared" ca="1" si="1"/>
        <v>0</v>
      </c>
      <c r="J24" s="7">
        <f ca="1">IFERROR(__xludf.dummyfunction("GOOGLEFINANCE(""NSE:""&amp;A238, ""changepct"")"),0.93)</f>
        <v>0.93</v>
      </c>
    </row>
    <row r="25" spans="1:10" ht="13.8">
      <c r="A25" s="5" t="s">
        <v>33</v>
      </c>
      <c r="B25" s="6">
        <f ca="1">IFERROR(__xludf.dummyfunction("GOOGLEFINANCE(""NSE:""&amp;A156, ""price"")"),20.65)</f>
        <v>20.65</v>
      </c>
      <c r="C25" s="6">
        <f ca="1">IFERROR(__xludf.dummyfunction("GOOGLEFINANCE(""NSE:""&amp;A156, ""priceopen"")"),20.6)</f>
        <v>20.6</v>
      </c>
      <c r="D25" s="6">
        <f ca="1">IFERROR(__xludf.dummyfunction("GOOGLEFINANCE(""NSE:""&amp;A156, ""high"")"),21.1)</f>
        <v>21.1</v>
      </c>
      <c r="E25" s="6">
        <f ca="1">IFERROR(__xludf.dummyfunction("GOOGLEFINANCE(""NSE:""&amp;A156, ""low"")"),20.45)</f>
        <v>20.45</v>
      </c>
      <c r="F25" s="6">
        <f ca="1">IFERROR(__xludf.dummyfunction("GOOGLEFINANCE(""NSE:""&amp;A156, ""closeyest"")"),20.25)</f>
        <v>20.25</v>
      </c>
      <c r="G25" s="6">
        <f ca="1">IFERROR(__xludf.dummyfunction("GOOGLEFINANCE(""NSE:""&amp;A156, ""volume"")"),15553891)</f>
        <v>15553891</v>
      </c>
      <c r="H25" s="6" t="b">
        <f t="shared" ca="1" si="0"/>
        <v>0</v>
      </c>
      <c r="I25" s="6" t="b">
        <f t="shared" ca="1" si="1"/>
        <v>0</v>
      </c>
      <c r="J25" s="7">
        <f ca="1">IFERROR(__xludf.dummyfunction("GOOGLEFINANCE(""NSE:""&amp;A156, ""changepct"")"),1.98)</f>
        <v>1.98</v>
      </c>
    </row>
    <row r="26" spans="1:10" ht="13.8">
      <c r="A26" s="5" t="s">
        <v>34</v>
      </c>
      <c r="B26" s="6">
        <f ca="1">IFERROR(__xludf.dummyfunction("GOOGLEFINANCE(""NSE:""&amp;A361, ""price"")"),431.8)</f>
        <v>431.8</v>
      </c>
      <c r="C26" s="6">
        <f ca="1">IFERROR(__xludf.dummyfunction("GOOGLEFINANCE(""NSE:""&amp;A361, ""priceopen"")"),434)</f>
        <v>434</v>
      </c>
      <c r="D26" s="6">
        <f ca="1">IFERROR(__xludf.dummyfunction("GOOGLEFINANCE(""NSE:""&amp;A361, ""high"")"),437)</f>
        <v>437</v>
      </c>
      <c r="E26" s="6">
        <f ca="1">IFERROR(__xludf.dummyfunction("GOOGLEFINANCE(""NSE:""&amp;A361, ""low"")"),429.3)</f>
        <v>429.3</v>
      </c>
      <c r="F26" s="6">
        <f ca="1">IFERROR(__xludf.dummyfunction("GOOGLEFINANCE(""NSE:""&amp;A361, ""closeyest"")"),433.3)</f>
        <v>433.3</v>
      </c>
      <c r="G26" s="6">
        <f ca="1">IFERROR(__xludf.dummyfunction("GOOGLEFINANCE(""NSE:""&amp;A361, ""volume"")"),14888275)</f>
        <v>14888275</v>
      </c>
      <c r="H26" s="6" t="b">
        <f t="shared" ca="1" si="0"/>
        <v>0</v>
      </c>
      <c r="I26" s="6" t="b">
        <f t="shared" ca="1" si="1"/>
        <v>0</v>
      </c>
      <c r="J26" s="7">
        <f ca="1">IFERROR(__xludf.dummyfunction("GOOGLEFINANCE(""NSE:""&amp;A361, ""changepct"")"),-0.35)</f>
        <v>-0.35</v>
      </c>
    </row>
    <row r="27" spans="1:10" ht="13.8">
      <c r="A27" s="5" t="s">
        <v>35</v>
      </c>
      <c r="B27" s="6">
        <f ca="1">IFERROR(__xludf.dummyfunction("GOOGLEFINANCE(""NSE:""&amp;A137, ""price"")"),52.15)</f>
        <v>52.15</v>
      </c>
      <c r="C27" s="6">
        <f ca="1">IFERROR(__xludf.dummyfunction("GOOGLEFINANCE(""NSE:""&amp;A137, ""priceopen"")"),51.5)</f>
        <v>51.5</v>
      </c>
      <c r="D27" s="6">
        <f ca="1">IFERROR(__xludf.dummyfunction("GOOGLEFINANCE(""NSE:""&amp;A137, ""high"")"),53.2)</f>
        <v>53.2</v>
      </c>
      <c r="E27" s="6">
        <f ca="1">IFERROR(__xludf.dummyfunction("GOOGLEFINANCE(""NSE:""&amp;A137, ""low"")"),50.65)</f>
        <v>50.65</v>
      </c>
      <c r="F27" s="6">
        <f ca="1">IFERROR(__xludf.dummyfunction("GOOGLEFINANCE(""NSE:""&amp;A137, ""closeyest"")"),50.95)</f>
        <v>50.95</v>
      </c>
      <c r="G27" s="6">
        <f ca="1">IFERROR(__xludf.dummyfunction("GOOGLEFINANCE(""NSE:""&amp;A137, ""volume"")"),14777381)</f>
        <v>14777381</v>
      </c>
      <c r="H27" s="6" t="b">
        <f t="shared" ca="1" si="0"/>
        <v>0</v>
      </c>
      <c r="I27" s="6" t="b">
        <f t="shared" ca="1" si="1"/>
        <v>0</v>
      </c>
      <c r="J27" s="7">
        <f ca="1">IFERROR(__xludf.dummyfunction("GOOGLEFINANCE(""NSE:""&amp;A137, ""changepct"")"),2.36)</f>
        <v>2.36</v>
      </c>
    </row>
    <row r="28" spans="1:10" ht="13.8">
      <c r="A28" s="5" t="s">
        <v>36</v>
      </c>
      <c r="B28" s="6">
        <f ca="1">IFERROR(__xludf.dummyfunction("GOOGLEFINANCE(""NSE:""&amp;A23, ""price"")"),953.1)</f>
        <v>953.1</v>
      </c>
      <c r="C28" s="6">
        <f ca="1">IFERROR(__xludf.dummyfunction("GOOGLEFINANCE(""NSE:""&amp;A23, ""priceopen"")"),886.9)</f>
        <v>886.9</v>
      </c>
      <c r="D28" s="6">
        <f ca="1">IFERROR(__xludf.dummyfunction("GOOGLEFINANCE(""NSE:""&amp;A23, ""high"")"),999.4)</f>
        <v>999.4</v>
      </c>
      <c r="E28" s="6">
        <f ca="1">IFERROR(__xludf.dummyfunction("GOOGLEFINANCE(""NSE:""&amp;A23, ""low"")"),886.05)</f>
        <v>886.05</v>
      </c>
      <c r="F28" s="6">
        <f ca="1">IFERROR(__xludf.dummyfunction("GOOGLEFINANCE(""NSE:""&amp;A23, ""closeyest"")"),879.85)</f>
        <v>879.85</v>
      </c>
      <c r="G28" s="6">
        <f ca="1">IFERROR(__xludf.dummyfunction("GOOGLEFINANCE(""NSE:""&amp;A23, ""volume"")"),14698542)</f>
        <v>14698542</v>
      </c>
      <c r="H28" s="6" t="b">
        <f t="shared" ca="1" si="0"/>
        <v>0</v>
      </c>
      <c r="I28" s="6" t="b">
        <f t="shared" ca="1" si="1"/>
        <v>0</v>
      </c>
      <c r="J28" s="7">
        <f ca="1">IFERROR(__xludf.dummyfunction("GOOGLEFINANCE(""NSE:""&amp;A23, ""changepct"")"),8.33)</f>
        <v>8.33</v>
      </c>
    </row>
    <row r="29" spans="1:10" ht="13.8">
      <c r="A29" s="5" t="s">
        <v>37</v>
      </c>
      <c r="B29" s="6">
        <f ca="1">IFERROR(__xludf.dummyfunction("GOOGLEFINANCE(""NSE:""&amp;A67, ""price"")"),148.3)</f>
        <v>148.30000000000001</v>
      </c>
      <c r="C29" s="6">
        <f ca="1">IFERROR(__xludf.dummyfunction("GOOGLEFINANCE(""NSE:""&amp;A67, ""priceopen"")"),142.5)</f>
        <v>142.5</v>
      </c>
      <c r="D29" s="6">
        <f ca="1">IFERROR(__xludf.dummyfunction("GOOGLEFINANCE(""NSE:""&amp;A67, ""high"")"),150.3)</f>
        <v>150.30000000000001</v>
      </c>
      <c r="E29" s="6">
        <f ca="1">IFERROR(__xludf.dummyfunction("GOOGLEFINANCE(""NSE:""&amp;A67, ""low"")"),142.4)</f>
        <v>142.4</v>
      </c>
      <c r="F29" s="6">
        <f ca="1">IFERROR(__xludf.dummyfunction("GOOGLEFINANCE(""NSE:""&amp;A67, ""closeyest"")"),141.85)</f>
        <v>141.85</v>
      </c>
      <c r="G29" s="6">
        <f ca="1">IFERROR(__xludf.dummyfunction("GOOGLEFINANCE(""NSE:""&amp;A67, ""volume"")"),14527334)</f>
        <v>14527334</v>
      </c>
      <c r="H29" s="6" t="b">
        <f t="shared" ca="1" si="0"/>
        <v>0</v>
      </c>
      <c r="I29" s="6" t="b">
        <f t="shared" ca="1" si="1"/>
        <v>0</v>
      </c>
      <c r="J29" s="7">
        <f ca="1">IFERROR(__xludf.dummyfunction("GOOGLEFINANCE(""NSE:""&amp;A67, ""changepct"")"),4.55)</f>
        <v>4.55</v>
      </c>
    </row>
    <row r="30" spans="1:10" ht="13.8">
      <c r="A30" s="5" t="s">
        <v>38</v>
      </c>
      <c r="B30" s="6">
        <f ca="1">IFERROR(__xludf.dummyfunction("GOOGLEFINANCE(""NSE:""&amp;A468, ""price"")"),302.1)</f>
        <v>302.10000000000002</v>
      </c>
      <c r="C30" s="6">
        <f ca="1">IFERROR(__xludf.dummyfunction("GOOGLEFINANCE(""NSE:""&amp;A468, ""priceopen"")"),309.65)</f>
        <v>309.64999999999998</v>
      </c>
      <c r="D30" s="6">
        <f ca="1">IFERROR(__xludf.dummyfunction("GOOGLEFINANCE(""NSE:""&amp;A468, ""high"")"),311.9)</f>
        <v>311.89999999999998</v>
      </c>
      <c r="E30" s="6">
        <f ca="1">IFERROR(__xludf.dummyfunction("GOOGLEFINANCE(""NSE:""&amp;A468, ""low"")"),300)</f>
        <v>300</v>
      </c>
      <c r="F30" s="6">
        <f ca="1">IFERROR(__xludf.dummyfunction("GOOGLEFINANCE(""NSE:""&amp;A468, ""closeyest"")"),307.5)</f>
        <v>307.5</v>
      </c>
      <c r="G30" s="6">
        <f ca="1">IFERROR(__xludf.dummyfunction("GOOGLEFINANCE(""NSE:""&amp;A468, ""volume"")"),13379863)</f>
        <v>13379863</v>
      </c>
      <c r="H30" s="6" t="b">
        <f t="shared" ca="1" si="0"/>
        <v>0</v>
      </c>
      <c r="I30" s="6" t="b">
        <f t="shared" ca="1" si="1"/>
        <v>0</v>
      </c>
      <c r="J30" s="7">
        <f ca="1">IFERROR(__xludf.dummyfunction("GOOGLEFINANCE(""NSE:""&amp;A468, ""changepct"")"),-1.76)</f>
        <v>-1.76</v>
      </c>
    </row>
    <row r="31" spans="1:10" ht="13.8">
      <c r="A31" s="5" t="s">
        <v>39</v>
      </c>
      <c r="B31" s="6">
        <f ca="1">IFERROR(__xludf.dummyfunction("GOOGLEFINANCE(""NSE:""&amp;A233, ""price"")"),151.6)</f>
        <v>151.6</v>
      </c>
      <c r="C31" s="6">
        <f ca="1">IFERROR(__xludf.dummyfunction("GOOGLEFINANCE(""NSE:""&amp;A233, ""priceopen"")"),150.6)</f>
        <v>150.6</v>
      </c>
      <c r="D31" s="6">
        <f ca="1">IFERROR(__xludf.dummyfunction("GOOGLEFINANCE(""NSE:""&amp;A233, ""high"")"),154)</f>
        <v>154</v>
      </c>
      <c r="E31" s="6">
        <f ca="1">IFERROR(__xludf.dummyfunction("GOOGLEFINANCE(""NSE:""&amp;A233, ""low"")"),149)</f>
        <v>149</v>
      </c>
      <c r="F31" s="6">
        <f ca="1">IFERROR(__xludf.dummyfunction("GOOGLEFINANCE(""NSE:""&amp;A233, ""closeyest"")"),150.1)</f>
        <v>150.1</v>
      </c>
      <c r="G31" s="6">
        <f ca="1">IFERROR(__xludf.dummyfunction("GOOGLEFINANCE(""NSE:""&amp;A233, ""volume"")"),13344014)</f>
        <v>13344014</v>
      </c>
      <c r="H31" s="6" t="b">
        <f t="shared" ca="1" si="0"/>
        <v>0</v>
      </c>
      <c r="I31" s="6" t="b">
        <f t="shared" ca="1" si="1"/>
        <v>0</v>
      </c>
      <c r="J31" s="7">
        <f ca="1">IFERROR(__xludf.dummyfunction("GOOGLEFINANCE(""NSE:""&amp;A233, ""changepct"")"),1)</f>
        <v>1</v>
      </c>
    </row>
    <row r="32" spans="1:10" ht="13.8">
      <c r="A32" s="5" t="s">
        <v>40</v>
      </c>
      <c r="B32" s="6">
        <f ca="1">IFERROR(__xludf.dummyfunction("GOOGLEFINANCE(""NSE:""&amp;A246, ""price"")"),201.1)</f>
        <v>201.1</v>
      </c>
      <c r="C32" s="6">
        <f ca="1">IFERROR(__xludf.dummyfunction("GOOGLEFINANCE(""NSE:""&amp;A246, ""priceopen"")"),200)</f>
        <v>200</v>
      </c>
      <c r="D32" s="6">
        <f ca="1">IFERROR(__xludf.dummyfunction("GOOGLEFINANCE(""NSE:""&amp;A246, ""high"")"),204)</f>
        <v>204</v>
      </c>
      <c r="E32" s="6">
        <f ca="1">IFERROR(__xludf.dummyfunction("GOOGLEFINANCE(""NSE:""&amp;A246, ""low"")"),196.8)</f>
        <v>196.8</v>
      </c>
      <c r="F32" s="6">
        <f ca="1">IFERROR(__xludf.dummyfunction("GOOGLEFINANCE(""NSE:""&amp;A246, ""closeyest"")"),199.4)</f>
        <v>199.4</v>
      </c>
      <c r="G32" s="6">
        <f ca="1">IFERROR(__xludf.dummyfunction("GOOGLEFINANCE(""NSE:""&amp;A246, ""volume"")"),13127160)</f>
        <v>13127160</v>
      </c>
      <c r="H32" s="6" t="b">
        <f t="shared" ca="1" si="0"/>
        <v>0</v>
      </c>
      <c r="I32" s="6" t="b">
        <f t="shared" ca="1" si="1"/>
        <v>0</v>
      </c>
      <c r="J32" s="7">
        <f ca="1">IFERROR(__xludf.dummyfunction("GOOGLEFINANCE(""NSE:""&amp;A246, ""changepct"")"),0.85)</f>
        <v>0.85</v>
      </c>
    </row>
    <row r="33" spans="1:10" ht="13.8">
      <c r="A33" s="5" t="s">
        <v>41</v>
      </c>
      <c r="B33" s="6">
        <f ca="1">IFERROR(__xludf.dummyfunction("GOOGLEFINANCE(""NSE:""&amp;A132, ""price"")"),126.55)</f>
        <v>126.55</v>
      </c>
      <c r="C33" s="6">
        <f ca="1">IFERROR(__xludf.dummyfunction("GOOGLEFINANCE(""NSE:""&amp;A132, ""priceopen"")"),123.45)</f>
        <v>123.45</v>
      </c>
      <c r="D33" s="6">
        <f ca="1">IFERROR(__xludf.dummyfunction("GOOGLEFINANCE(""NSE:""&amp;A132, ""high"")"),128.4)</f>
        <v>128.4</v>
      </c>
      <c r="E33" s="6">
        <f ca="1">IFERROR(__xludf.dummyfunction("GOOGLEFINANCE(""NSE:""&amp;A132, ""low"")"),122.8)</f>
        <v>122.8</v>
      </c>
      <c r="F33" s="6">
        <f ca="1">IFERROR(__xludf.dummyfunction("GOOGLEFINANCE(""NSE:""&amp;A132, ""closeyest"")"),123.55)</f>
        <v>123.55</v>
      </c>
      <c r="G33" s="6">
        <f ca="1">IFERROR(__xludf.dummyfunction("GOOGLEFINANCE(""NSE:""&amp;A132, ""volume"")"),13098697)</f>
        <v>13098697</v>
      </c>
      <c r="H33" s="6" t="b">
        <f t="shared" ca="1" si="0"/>
        <v>0</v>
      </c>
      <c r="I33" s="6" t="b">
        <f t="shared" ca="1" si="1"/>
        <v>0</v>
      </c>
      <c r="J33" s="7">
        <f ca="1">IFERROR(__xludf.dummyfunction("GOOGLEFINANCE(""NSE:""&amp;A132, ""changepct"")"),2.43)</f>
        <v>2.4300000000000002</v>
      </c>
    </row>
    <row r="34" spans="1:10" ht="13.8">
      <c r="A34" s="5" t="s">
        <v>42</v>
      </c>
      <c r="B34" s="6">
        <f ca="1">IFERROR(__xludf.dummyfunction("GOOGLEFINANCE(""NSE:""&amp;A174, ""price"")"),107.65)</f>
        <v>107.65</v>
      </c>
      <c r="C34" s="6">
        <f ca="1">IFERROR(__xludf.dummyfunction("GOOGLEFINANCE(""NSE:""&amp;A174, ""priceopen"")"),111.9)</f>
        <v>111.9</v>
      </c>
      <c r="D34" s="6">
        <f ca="1">IFERROR(__xludf.dummyfunction("GOOGLEFINANCE(""NSE:""&amp;A174, ""high"")"),111.9)</f>
        <v>111.9</v>
      </c>
      <c r="E34" s="6">
        <f ca="1">IFERROR(__xludf.dummyfunction("GOOGLEFINANCE(""NSE:""&amp;A174, ""low"")"),107)</f>
        <v>107</v>
      </c>
      <c r="F34" s="6">
        <f ca="1">IFERROR(__xludf.dummyfunction("GOOGLEFINANCE(""NSE:""&amp;A174, ""closeyest"")"),105.75)</f>
        <v>105.75</v>
      </c>
      <c r="G34" s="6">
        <f ca="1">IFERROR(__xludf.dummyfunction("GOOGLEFINANCE(""NSE:""&amp;A174, ""volume"")"),12944097)</f>
        <v>12944097</v>
      </c>
      <c r="H34" s="6" t="b">
        <f t="shared" ca="1" si="0"/>
        <v>0</v>
      </c>
      <c r="I34" s="6" t="b">
        <f t="shared" ca="1" si="1"/>
        <v>1</v>
      </c>
      <c r="J34" s="7">
        <f ca="1">IFERROR(__xludf.dummyfunction("GOOGLEFINANCE(""NSE:""&amp;A174, ""changepct"")"),1.8)</f>
        <v>1.8</v>
      </c>
    </row>
    <row r="35" spans="1:10" ht="13.8">
      <c r="A35" s="5" t="s">
        <v>43</v>
      </c>
      <c r="B35" s="6">
        <f ca="1">IFERROR(__xludf.dummyfunction("GOOGLEFINANCE(""NSE:""&amp;A441, ""price"")"),2121.6)</f>
        <v>2121.6</v>
      </c>
      <c r="C35" s="6">
        <f ca="1">IFERROR(__xludf.dummyfunction("GOOGLEFINANCE(""NSE:""&amp;A441, ""priceopen"")"),2159.1)</f>
        <v>2159.1</v>
      </c>
      <c r="D35" s="6">
        <f ca="1">IFERROR(__xludf.dummyfunction("GOOGLEFINANCE(""NSE:""&amp;A441, ""high"")"),2165)</f>
        <v>2165</v>
      </c>
      <c r="E35" s="6">
        <f ca="1">IFERROR(__xludf.dummyfunction("GOOGLEFINANCE(""NSE:""&amp;A441, ""low"")"),2108.1)</f>
        <v>2108.1</v>
      </c>
      <c r="F35" s="6">
        <f ca="1">IFERROR(__xludf.dummyfunction("GOOGLEFINANCE(""NSE:""&amp;A441, ""closeyest"")"),2146.45)</f>
        <v>2146.4499999999998</v>
      </c>
      <c r="G35" s="6">
        <f ca="1">IFERROR(__xludf.dummyfunction("GOOGLEFINANCE(""NSE:""&amp;A441, ""volume"")"),12441939)</f>
        <v>12441939</v>
      </c>
      <c r="H35" s="6" t="b">
        <f t="shared" ca="1" si="0"/>
        <v>0</v>
      </c>
      <c r="I35" s="6" t="b">
        <f t="shared" ca="1" si="1"/>
        <v>0</v>
      </c>
      <c r="J35" s="7">
        <f ca="1">IFERROR(__xludf.dummyfunction("GOOGLEFINANCE(""NSE:""&amp;A441, ""changepct"")"),-1.16)</f>
        <v>-1.1599999999999999</v>
      </c>
    </row>
    <row r="36" spans="1:10" ht="13.8">
      <c r="A36" s="5" t="s">
        <v>44</v>
      </c>
      <c r="B36" s="6">
        <f ca="1">IFERROR(__xludf.dummyfunction("GOOGLEFINANCE(""NSE:""&amp;A54, ""price"")"),629.9)</f>
        <v>629.9</v>
      </c>
      <c r="C36" s="6">
        <f ca="1">IFERROR(__xludf.dummyfunction("GOOGLEFINANCE(""NSE:""&amp;A54, ""priceopen"")"),605)</f>
        <v>605</v>
      </c>
      <c r="D36" s="6">
        <f ca="1">IFERROR(__xludf.dummyfunction("GOOGLEFINANCE(""NSE:""&amp;A54, ""high"")"),640.8)</f>
        <v>640.79999999999995</v>
      </c>
      <c r="E36" s="6">
        <f ca="1">IFERROR(__xludf.dummyfunction("GOOGLEFINANCE(""NSE:""&amp;A54, ""low"")"),605)</f>
        <v>605</v>
      </c>
      <c r="F36" s="6">
        <f ca="1">IFERROR(__xludf.dummyfunction("GOOGLEFINANCE(""NSE:""&amp;A54, ""closeyest"")"),600.45)</f>
        <v>600.45000000000005</v>
      </c>
      <c r="G36" s="6">
        <f ca="1">IFERROR(__xludf.dummyfunction("GOOGLEFINANCE(""NSE:""&amp;A54, ""volume"")"),12341776)</f>
        <v>12341776</v>
      </c>
      <c r="H36" s="6" t="b">
        <f t="shared" ca="1" si="0"/>
        <v>1</v>
      </c>
      <c r="I36" s="6" t="b">
        <f t="shared" ca="1" si="1"/>
        <v>0</v>
      </c>
      <c r="J36" s="7">
        <f ca="1">IFERROR(__xludf.dummyfunction("GOOGLEFINANCE(""NSE:""&amp;A54, ""changepct"")"),4.9)</f>
        <v>4.9000000000000004</v>
      </c>
    </row>
    <row r="37" spans="1:10" ht="13.8">
      <c r="A37" s="5" t="s">
        <v>45</v>
      </c>
      <c r="B37" s="6">
        <f ca="1">IFERROR(__xludf.dummyfunction("GOOGLEFINANCE(""NSE:""&amp;A98, ""price"")"),88.7)</f>
        <v>88.7</v>
      </c>
      <c r="C37" s="6">
        <f ca="1">IFERROR(__xludf.dummyfunction("GOOGLEFINANCE(""NSE:""&amp;A98, ""priceopen"")"),86.8)</f>
        <v>86.8</v>
      </c>
      <c r="D37" s="6">
        <f ca="1">IFERROR(__xludf.dummyfunction("GOOGLEFINANCE(""NSE:""&amp;A98, ""high"")"),88.7)</f>
        <v>88.7</v>
      </c>
      <c r="E37" s="6">
        <f ca="1">IFERROR(__xludf.dummyfunction("GOOGLEFINANCE(""NSE:""&amp;A98, ""low"")"),86.15)</f>
        <v>86.15</v>
      </c>
      <c r="F37" s="6">
        <f ca="1">IFERROR(__xludf.dummyfunction("GOOGLEFINANCE(""NSE:""&amp;A98, ""closeyest"")"),85.8)</f>
        <v>85.8</v>
      </c>
      <c r="G37" s="6">
        <f ca="1">IFERROR(__xludf.dummyfunction("GOOGLEFINANCE(""NSE:""&amp;A98, ""volume"")"),12215888)</f>
        <v>12215888</v>
      </c>
      <c r="H37" s="6" t="b">
        <f t="shared" ca="1" si="0"/>
        <v>0</v>
      </c>
      <c r="I37" s="6" t="b">
        <f t="shared" ca="1" si="1"/>
        <v>0</v>
      </c>
      <c r="J37" s="7">
        <f ca="1">IFERROR(__xludf.dummyfunction("GOOGLEFINANCE(""NSE:""&amp;A98, ""changepct"")"),3.38)</f>
        <v>3.38</v>
      </c>
    </row>
    <row r="38" spans="1:10" ht="13.8">
      <c r="A38" s="5" t="s">
        <v>46</v>
      </c>
      <c r="B38" s="6">
        <f ca="1">IFERROR(__xludf.dummyfunction("GOOGLEFINANCE(""NSE:""&amp;A199, ""price"")"),409.8)</f>
        <v>409.8</v>
      </c>
      <c r="C38" s="6">
        <f ca="1">IFERROR(__xludf.dummyfunction("GOOGLEFINANCE(""NSE:""&amp;A199, ""priceopen"")"),405.75)</f>
        <v>405.75</v>
      </c>
      <c r="D38" s="6">
        <f ca="1">IFERROR(__xludf.dummyfunction("GOOGLEFINANCE(""NSE:""&amp;A199, ""high"")"),411.55)</f>
        <v>411.55</v>
      </c>
      <c r="E38" s="6">
        <f ca="1">IFERROR(__xludf.dummyfunction("GOOGLEFINANCE(""NSE:""&amp;A199, ""low"")"),399.6)</f>
        <v>399.6</v>
      </c>
      <c r="F38" s="6">
        <f ca="1">IFERROR(__xludf.dummyfunction("GOOGLEFINANCE(""NSE:""&amp;A199, ""closeyest"")"),404.05)</f>
        <v>404.05</v>
      </c>
      <c r="G38" s="6">
        <f ca="1">IFERROR(__xludf.dummyfunction("GOOGLEFINANCE(""NSE:""&amp;A199, ""volume"")"),12018305)</f>
        <v>12018305</v>
      </c>
      <c r="H38" s="6" t="b">
        <f t="shared" ca="1" si="0"/>
        <v>0</v>
      </c>
      <c r="I38" s="6" t="b">
        <f t="shared" ca="1" si="1"/>
        <v>0</v>
      </c>
      <c r="J38" s="7">
        <f ca="1">IFERROR(__xludf.dummyfunction("GOOGLEFINANCE(""NSE:""&amp;A199, ""changepct"")"),1.42)</f>
        <v>1.42</v>
      </c>
    </row>
    <row r="39" spans="1:10" ht="13.8">
      <c r="A39" s="5" t="s">
        <v>47</v>
      </c>
      <c r="B39" s="6">
        <f ca="1">IFERROR(__xludf.dummyfunction("GOOGLEFINANCE(""NSE:""&amp;A59, ""price"")"),959.95)</f>
        <v>959.95</v>
      </c>
      <c r="C39" s="6">
        <f ca="1">IFERROR(__xludf.dummyfunction("GOOGLEFINANCE(""NSE:""&amp;A59, ""priceopen"")"),925)</f>
        <v>925</v>
      </c>
      <c r="D39" s="6">
        <f ca="1">IFERROR(__xludf.dummyfunction("GOOGLEFINANCE(""NSE:""&amp;A59, ""high"")"),970)</f>
        <v>970</v>
      </c>
      <c r="E39" s="6">
        <f ca="1">IFERROR(__xludf.dummyfunction("GOOGLEFINANCE(""NSE:""&amp;A59, ""low"")"),925)</f>
        <v>925</v>
      </c>
      <c r="F39" s="6">
        <f ca="1">IFERROR(__xludf.dummyfunction("GOOGLEFINANCE(""NSE:""&amp;A59, ""closeyest"")"),915.65)</f>
        <v>915.65</v>
      </c>
      <c r="G39" s="6">
        <f ca="1">IFERROR(__xludf.dummyfunction("GOOGLEFINANCE(""NSE:""&amp;A59, ""volume"")"),11861752)</f>
        <v>11861752</v>
      </c>
      <c r="H39" s="6" t="b">
        <f t="shared" ca="1" si="0"/>
        <v>1</v>
      </c>
      <c r="I39" s="6" t="b">
        <f t="shared" ca="1" si="1"/>
        <v>0</v>
      </c>
      <c r="J39" s="7">
        <f ca="1">IFERROR(__xludf.dummyfunction("GOOGLEFINANCE(""NSE:""&amp;A59, ""changepct"")"),4.84)</f>
        <v>4.84</v>
      </c>
    </row>
    <row r="40" spans="1:10" ht="13.8">
      <c r="A40" s="5" t="s">
        <v>48</v>
      </c>
      <c r="B40" s="6">
        <f ca="1">IFERROR(__xludf.dummyfunction("GOOGLEFINANCE(""NSE:""&amp;A322, ""price"")"),7)</f>
        <v>7</v>
      </c>
      <c r="C40" s="6">
        <f ca="1">IFERROR(__xludf.dummyfunction("GOOGLEFINANCE(""NSE:""&amp;A322, ""priceopen"")"),7)</f>
        <v>7</v>
      </c>
      <c r="D40" s="6">
        <f ca="1">IFERROR(__xludf.dummyfunction("GOOGLEFINANCE(""NSE:""&amp;A322, ""high"")"),7.15)</f>
        <v>7.15</v>
      </c>
      <c r="E40" s="6">
        <f ca="1">IFERROR(__xludf.dummyfunction("GOOGLEFINANCE(""NSE:""&amp;A322, ""low"")"),6.95)</f>
        <v>6.95</v>
      </c>
      <c r="F40" s="6">
        <f ca="1">IFERROR(__xludf.dummyfunction("GOOGLEFINANCE(""NSE:""&amp;A322, ""closeyest"")"),7)</f>
        <v>7</v>
      </c>
      <c r="G40" s="6">
        <f ca="1">IFERROR(__xludf.dummyfunction("GOOGLEFINANCE(""NSE:""&amp;A322, ""volume"")"),11228440)</f>
        <v>11228440</v>
      </c>
      <c r="H40" s="6" t="b">
        <f t="shared" ca="1" si="0"/>
        <v>0</v>
      </c>
      <c r="I40" s="6" t="b">
        <f t="shared" ca="1" si="1"/>
        <v>0</v>
      </c>
      <c r="J40" s="7">
        <f ca="1">IFERROR(__xludf.dummyfunction("GOOGLEFINANCE(""NSE:""&amp;A322, ""changepct"")"),0)</f>
        <v>0</v>
      </c>
    </row>
    <row r="41" spans="1:10" ht="13.8">
      <c r="A41" s="5" t="s">
        <v>49</v>
      </c>
      <c r="B41" s="6">
        <f ca="1">IFERROR(__xludf.dummyfunction("GOOGLEFINANCE(""NSE:""&amp;A250, ""price"")"),1052)</f>
        <v>1052</v>
      </c>
      <c r="C41" s="6">
        <f ca="1">IFERROR(__xludf.dummyfunction("GOOGLEFINANCE(""NSE:""&amp;A250, ""priceopen"")"),1044)</f>
        <v>1044</v>
      </c>
      <c r="D41" s="6">
        <f ca="1">IFERROR(__xludf.dummyfunction("GOOGLEFINANCE(""NSE:""&amp;A250, ""high"")"),1064)</f>
        <v>1064</v>
      </c>
      <c r="E41" s="6">
        <f ca="1">IFERROR(__xludf.dummyfunction("GOOGLEFINANCE(""NSE:""&amp;A250, ""low"")"),1043.8)</f>
        <v>1043.8</v>
      </c>
      <c r="F41" s="6">
        <f ca="1">IFERROR(__xludf.dummyfunction("GOOGLEFINANCE(""NSE:""&amp;A250, ""closeyest"")"),1043.85)</f>
        <v>1043.8499999999999</v>
      </c>
      <c r="G41" s="6">
        <f ca="1">IFERROR(__xludf.dummyfunction("GOOGLEFINANCE(""NSE:""&amp;A250, ""volume"")"),11086465)</f>
        <v>11086465</v>
      </c>
      <c r="H41" s="6" t="b">
        <f t="shared" ca="1" si="0"/>
        <v>0</v>
      </c>
      <c r="I41" s="6" t="b">
        <f t="shared" ca="1" si="1"/>
        <v>0</v>
      </c>
      <c r="J41" s="7">
        <f ca="1">IFERROR(__xludf.dummyfunction("GOOGLEFINANCE(""NSE:""&amp;A250, ""changepct"")"),0.78)</f>
        <v>0.78</v>
      </c>
    </row>
    <row r="42" spans="1:10" ht="13.8">
      <c r="A42" s="5" t="s">
        <v>50</v>
      </c>
      <c r="B42" s="6">
        <f ca="1">IFERROR(__xludf.dummyfunction("GOOGLEFINANCE(""NSE:""&amp;A65, ""price"")"),89.4)</f>
        <v>89.4</v>
      </c>
      <c r="C42" s="6">
        <f ca="1">IFERROR(__xludf.dummyfunction("GOOGLEFINANCE(""NSE:""&amp;A65, ""priceopen"")"),87.85)</f>
        <v>87.85</v>
      </c>
      <c r="D42" s="6">
        <f ca="1">IFERROR(__xludf.dummyfunction("GOOGLEFINANCE(""NSE:""&amp;A65, ""high"")"),89.95)</f>
        <v>89.95</v>
      </c>
      <c r="E42" s="6">
        <f ca="1">IFERROR(__xludf.dummyfunction("GOOGLEFINANCE(""NSE:""&amp;A65, ""low"")"),86.75)</f>
        <v>86.75</v>
      </c>
      <c r="F42" s="6">
        <f ca="1">IFERROR(__xludf.dummyfunction("GOOGLEFINANCE(""NSE:""&amp;A65, ""closeyest"")"),85.45)</f>
        <v>85.45</v>
      </c>
      <c r="G42" s="6">
        <f ca="1">IFERROR(__xludf.dummyfunction("GOOGLEFINANCE(""NSE:""&amp;A65, ""volume"")"),10639229)</f>
        <v>10639229</v>
      </c>
      <c r="H42" s="6" t="b">
        <f t="shared" ca="1" si="0"/>
        <v>0</v>
      </c>
      <c r="I42" s="6" t="b">
        <f t="shared" ca="1" si="1"/>
        <v>0</v>
      </c>
      <c r="J42" s="7">
        <f ca="1">IFERROR(__xludf.dummyfunction("GOOGLEFINANCE(""NSE:""&amp;A65, ""changepct"")"),4.62)</f>
        <v>4.62</v>
      </c>
    </row>
    <row r="43" spans="1:10" ht="13.8">
      <c r="A43" s="5" t="s">
        <v>51</v>
      </c>
      <c r="B43" s="6">
        <f ca="1">IFERROR(__xludf.dummyfunction("GOOGLEFINANCE(""NSE:""&amp;A64, ""price"")"),38.35)</f>
        <v>38.35</v>
      </c>
      <c r="C43" s="6">
        <f ca="1">IFERROR(__xludf.dummyfunction("GOOGLEFINANCE(""NSE:""&amp;A64, ""priceopen"")"),36.65)</f>
        <v>36.65</v>
      </c>
      <c r="D43" s="6">
        <f ca="1">IFERROR(__xludf.dummyfunction("GOOGLEFINANCE(""NSE:""&amp;A64, ""high"")"),38.95)</f>
        <v>38.950000000000003</v>
      </c>
      <c r="E43" s="6">
        <f ca="1">IFERROR(__xludf.dummyfunction("GOOGLEFINANCE(""NSE:""&amp;A64, ""low"")"),36.65)</f>
        <v>36.65</v>
      </c>
      <c r="F43" s="6">
        <f ca="1">IFERROR(__xludf.dummyfunction("GOOGLEFINANCE(""NSE:""&amp;A64, ""closeyest"")"),36.65)</f>
        <v>36.65</v>
      </c>
      <c r="G43" s="6">
        <f ca="1">IFERROR(__xludf.dummyfunction("GOOGLEFINANCE(""NSE:""&amp;A64, ""volume"")"),10573381)</f>
        <v>10573381</v>
      </c>
      <c r="H43" s="6" t="b">
        <f t="shared" ca="1" si="0"/>
        <v>1</v>
      </c>
      <c r="I43" s="6" t="b">
        <f t="shared" ca="1" si="1"/>
        <v>0</v>
      </c>
      <c r="J43" s="7">
        <f ca="1">IFERROR(__xludf.dummyfunction("GOOGLEFINANCE(""NSE:""&amp;A64, ""changepct"")"),4.64)</f>
        <v>4.6399999999999997</v>
      </c>
    </row>
    <row r="44" spans="1:10" ht="13.8">
      <c r="A44" s="5" t="s">
        <v>52</v>
      </c>
      <c r="B44" s="6">
        <f ca="1">IFERROR(__xludf.dummyfunction("GOOGLEFINANCE(""NSE:""&amp;A2, ""price"")"),308.75)</f>
        <v>308.75</v>
      </c>
      <c r="C44" s="6">
        <f ca="1">IFERROR(__xludf.dummyfunction("GOOGLEFINANCE(""NSE:""&amp;A2, ""priceopen"")"),265)</f>
        <v>265</v>
      </c>
      <c r="D44" s="6">
        <f ca="1">IFERROR(__xludf.dummyfunction("GOOGLEFINANCE(""NSE:""&amp;A2, ""high"")"),308.75)</f>
        <v>308.75</v>
      </c>
      <c r="E44" s="6">
        <f ca="1">IFERROR(__xludf.dummyfunction("GOOGLEFINANCE(""NSE:""&amp;A2, ""low"")"),265)</f>
        <v>265</v>
      </c>
      <c r="F44" s="6">
        <f ca="1">IFERROR(__xludf.dummyfunction("GOOGLEFINANCE(""NSE:""&amp;A2, ""closeyest"")"),257.3)</f>
        <v>257.3</v>
      </c>
      <c r="G44" s="6">
        <f ca="1">IFERROR(__xludf.dummyfunction("GOOGLEFINANCE(""NSE:""&amp;A2, ""volume"")"),9852405)</f>
        <v>9852405</v>
      </c>
      <c r="H44" s="6" t="b">
        <f t="shared" ca="1" si="0"/>
        <v>1</v>
      </c>
      <c r="I44" s="6" t="b">
        <f t="shared" ca="1" si="1"/>
        <v>0</v>
      </c>
      <c r="J44" s="7">
        <f ca="1">IFERROR(__xludf.dummyfunction("GOOGLEFINANCE(""NSE:""&amp;A2, ""changepct"")"),20)</f>
        <v>20</v>
      </c>
    </row>
    <row r="45" spans="1:10" ht="13.8">
      <c r="A45" s="5" t="s">
        <v>53</v>
      </c>
      <c r="B45" s="6">
        <f ca="1">IFERROR(__xludf.dummyfunction("GOOGLEFINANCE(""NSE:""&amp;A47, ""price"")"),953.6)</f>
        <v>953.6</v>
      </c>
      <c r="C45" s="6">
        <f ca="1">IFERROR(__xludf.dummyfunction("GOOGLEFINANCE(""NSE:""&amp;A47, ""priceopen"")"),913)</f>
        <v>913</v>
      </c>
      <c r="D45" s="6">
        <f ca="1">IFERROR(__xludf.dummyfunction("GOOGLEFINANCE(""NSE:""&amp;A47, ""high"")"),967.5)</f>
        <v>967.5</v>
      </c>
      <c r="E45" s="6">
        <f ca="1">IFERROR(__xludf.dummyfunction("GOOGLEFINANCE(""NSE:""&amp;A47, ""low"")"),913)</f>
        <v>913</v>
      </c>
      <c r="F45" s="6">
        <f ca="1">IFERROR(__xludf.dummyfunction("GOOGLEFINANCE(""NSE:""&amp;A47, ""closeyest"")"),906.45)</f>
        <v>906.45</v>
      </c>
      <c r="G45" s="6">
        <f ca="1">IFERROR(__xludf.dummyfunction("GOOGLEFINANCE(""NSE:""&amp;A47, ""volume"")"),9691249)</f>
        <v>9691249</v>
      </c>
      <c r="H45" s="6" t="b">
        <f t="shared" ca="1" si="0"/>
        <v>1</v>
      </c>
      <c r="I45" s="6" t="b">
        <f t="shared" ca="1" si="1"/>
        <v>0</v>
      </c>
      <c r="J45" s="7">
        <f ca="1">IFERROR(__xludf.dummyfunction("GOOGLEFINANCE(""NSE:""&amp;A47, ""changepct"")"),5.2)</f>
        <v>5.2</v>
      </c>
    </row>
    <row r="46" spans="1:10" ht="13.8">
      <c r="A46" s="5" t="s">
        <v>54</v>
      </c>
      <c r="B46" s="6">
        <f ca="1">IFERROR(__xludf.dummyfunction("GOOGLEFINANCE(""NSE:""&amp;A463, ""price"")"),159.05)</f>
        <v>159.05000000000001</v>
      </c>
      <c r="C46" s="6">
        <f ca="1">IFERROR(__xludf.dummyfunction("GOOGLEFINANCE(""NSE:""&amp;A463, ""priceopen"")"),162.7)</f>
        <v>162.69999999999999</v>
      </c>
      <c r="D46" s="6">
        <f ca="1">IFERROR(__xludf.dummyfunction("GOOGLEFINANCE(""NSE:""&amp;A463, ""high"")"),163.1)</f>
        <v>163.1</v>
      </c>
      <c r="E46" s="6">
        <f ca="1">IFERROR(__xludf.dummyfunction("GOOGLEFINANCE(""NSE:""&amp;A463, ""low"")"),156.25)</f>
        <v>156.25</v>
      </c>
      <c r="F46" s="6">
        <f ca="1">IFERROR(__xludf.dummyfunction("GOOGLEFINANCE(""NSE:""&amp;A463, ""closeyest"")"),161.6)</f>
        <v>161.6</v>
      </c>
      <c r="G46" s="6">
        <f ca="1">IFERROR(__xludf.dummyfunction("GOOGLEFINANCE(""NSE:""&amp;A463, ""volume"")"),9510184)</f>
        <v>9510184</v>
      </c>
      <c r="H46" s="6" t="b">
        <f t="shared" ca="1" si="0"/>
        <v>0</v>
      </c>
      <c r="I46" s="6" t="b">
        <f t="shared" ca="1" si="1"/>
        <v>0</v>
      </c>
      <c r="J46" s="7">
        <f ca="1">IFERROR(__xludf.dummyfunction("GOOGLEFINANCE(""NSE:""&amp;A463, ""changepct"")"),-1.58)</f>
        <v>-1.58</v>
      </c>
    </row>
    <row r="47" spans="1:10" ht="13.8">
      <c r="A47" s="5" t="s">
        <v>55</v>
      </c>
      <c r="B47" s="6">
        <f ca="1">IFERROR(__xludf.dummyfunction("GOOGLEFINANCE(""NSE:""&amp;A342, ""price"")"),559.8)</f>
        <v>559.79999999999995</v>
      </c>
      <c r="C47" s="6">
        <f ca="1">IFERROR(__xludf.dummyfunction("GOOGLEFINANCE(""NSE:""&amp;A342, ""priceopen"")"),564.3)</f>
        <v>564.29999999999995</v>
      </c>
      <c r="D47" s="6">
        <f ca="1">IFERROR(__xludf.dummyfunction("GOOGLEFINANCE(""NSE:""&amp;A342, ""high"")"),565)</f>
        <v>565</v>
      </c>
      <c r="E47" s="6">
        <f ca="1">IFERROR(__xludf.dummyfunction("GOOGLEFINANCE(""NSE:""&amp;A342, ""low"")"),554.8)</f>
        <v>554.79999999999995</v>
      </c>
      <c r="F47" s="6">
        <f ca="1">IFERROR(__xludf.dummyfunction("GOOGLEFINANCE(""NSE:""&amp;A342, ""closeyest"")"),560.8)</f>
        <v>560.79999999999995</v>
      </c>
      <c r="G47" s="6">
        <f ca="1">IFERROR(__xludf.dummyfunction("GOOGLEFINANCE(""NSE:""&amp;A342, ""volume"")"),9417841)</f>
        <v>9417841</v>
      </c>
      <c r="H47" s="6" t="b">
        <f t="shared" ca="1" si="0"/>
        <v>0</v>
      </c>
      <c r="I47" s="6" t="b">
        <f t="shared" ca="1" si="1"/>
        <v>0</v>
      </c>
      <c r="J47" s="7">
        <f ca="1">IFERROR(__xludf.dummyfunction("GOOGLEFINANCE(""NSE:""&amp;A342, ""changepct"")"),-0.18)</f>
        <v>-0.18</v>
      </c>
    </row>
    <row r="48" spans="1:10" ht="13.8">
      <c r="A48" s="5" t="s">
        <v>56</v>
      </c>
      <c r="B48" s="6">
        <f ca="1">IFERROR(__xludf.dummyfunction("GOOGLEFINANCE(""NSE:""&amp;A300, ""price"")"),509.8)</f>
        <v>509.8</v>
      </c>
      <c r="C48" s="6">
        <f ca="1">IFERROR(__xludf.dummyfunction("GOOGLEFINANCE(""NSE:""&amp;A300, ""priceopen"")"),512)</f>
        <v>512</v>
      </c>
      <c r="D48" s="6">
        <f ca="1">IFERROR(__xludf.dummyfunction("GOOGLEFINANCE(""NSE:""&amp;A300, ""high"")"),517.55)</f>
        <v>517.54999999999995</v>
      </c>
      <c r="E48" s="6">
        <f ca="1">IFERROR(__xludf.dummyfunction("GOOGLEFINANCE(""NSE:""&amp;A300, ""low"")"),506.55)</f>
        <v>506.55</v>
      </c>
      <c r="F48" s="6">
        <f ca="1">IFERROR(__xludf.dummyfunction("GOOGLEFINANCE(""NSE:""&amp;A300, ""closeyest"")"),509)</f>
        <v>509</v>
      </c>
      <c r="G48" s="6">
        <f ca="1">IFERROR(__xludf.dummyfunction("GOOGLEFINANCE(""NSE:""&amp;A300, ""volume"")"),9409631)</f>
        <v>9409631</v>
      </c>
      <c r="H48" s="6" t="b">
        <f t="shared" ca="1" si="0"/>
        <v>0</v>
      </c>
      <c r="I48" s="6" t="b">
        <f t="shared" ca="1" si="1"/>
        <v>0</v>
      </c>
      <c r="J48" s="7">
        <f ca="1">IFERROR(__xludf.dummyfunction("GOOGLEFINANCE(""NSE:""&amp;A300, ""changepct"")"),0.16)</f>
        <v>0.16</v>
      </c>
    </row>
    <row r="49" spans="1:10" ht="13.8">
      <c r="A49" s="5" t="s">
        <v>57</v>
      </c>
      <c r="B49" s="6">
        <f ca="1">IFERROR(__xludf.dummyfunction("GOOGLEFINANCE(""NSE:""&amp;A266, ""price"")"),178.6)</f>
        <v>178.6</v>
      </c>
      <c r="C49" s="6">
        <f ca="1">IFERROR(__xludf.dummyfunction("GOOGLEFINANCE(""NSE:""&amp;A266, ""priceopen"")"),176.9)</f>
        <v>176.9</v>
      </c>
      <c r="D49" s="6">
        <f ca="1">IFERROR(__xludf.dummyfunction("GOOGLEFINANCE(""NSE:""&amp;A266, ""high"")"),179)</f>
        <v>179</v>
      </c>
      <c r="E49" s="6">
        <f ca="1">IFERROR(__xludf.dummyfunction("GOOGLEFINANCE(""NSE:""&amp;A266, ""low"")"),174.4)</f>
        <v>174.4</v>
      </c>
      <c r="F49" s="6">
        <f ca="1">IFERROR(__xludf.dummyfunction("GOOGLEFINANCE(""NSE:""&amp;A266, ""closeyest"")"),177.6)</f>
        <v>177.6</v>
      </c>
      <c r="G49" s="6">
        <f ca="1">IFERROR(__xludf.dummyfunction("GOOGLEFINANCE(""NSE:""&amp;A266, ""volume"")"),9379771)</f>
        <v>9379771</v>
      </c>
      <c r="H49" s="6" t="b">
        <f t="shared" ca="1" si="0"/>
        <v>0</v>
      </c>
      <c r="I49" s="6" t="b">
        <f t="shared" ca="1" si="1"/>
        <v>0</v>
      </c>
      <c r="J49" s="7">
        <f ca="1">IFERROR(__xludf.dummyfunction("GOOGLEFINANCE(""NSE:""&amp;A266, ""changepct"")"),0.56)</f>
        <v>0.56000000000000005</v>
      </c>
    </row>
    <row r="50" spans="1:10" ht="13.8">
      <c r="A50" s="5" t="s">
        <v>58</v>
      </c>
      <c r="B50" s="6">
        <f ca="1">IFERROR(__xludf.dummyfunction("GOOGLEFINANCE(""NSE:""&amp;A92, ""price"")"),92.25)</f>
        <v>92.25</v>
      </c>
      <c r="C50" s="6">
        <f ca="1">IFERROR(__xludf.dummyfunction("GOOGLEFINANCE(""NSE:""&amp;A92, ""priceopen"")"),89.75)</f>
        <v>89.75</v>
      </c>
      <c r="D50" s="6">
        <f ca="1">IFERROR(__xludf.dummyfunction("GOOGLEFINANCE(""NSE:""&amp;A92, ""high"")"),92.3)</f>
        <v>92.3</v>
      </c>
      <c r="E50" s="6">
        <f ca="1">IFERROR(__xludf.dummyfunction("GOOGLEFINANCE(""NSE:""&amp;A92, ""low"")"),88.4)</f>
        <v>88.4</v>
      </c>
      <c r="F50" s="6">
        <f ca="1">IFERROR(__xludf.dummyfunction("GOOGLEFINANCE(""NSE:""&amp;A92, ""closeyest"")"),89.1)</f>
        <v>89.1</v>
      </c>
      <c r="G50" s="6">
        <f ca="1">IFERROR(__xludf.dummyfunction("GOOGLEFINANCE(""NSE:""&amp;A92, ""volume"")"),9161274)</f>
        <v>9161274</v>
      </c>
      <c r="H50" s="6" t="b">
        <f t="shared" ca="1" si="0"/>
        <v>0</v>
      </c>
      <c r="I50" s="6" t="b">
        <f t="shared" ca="1" si="1"/>
        <v>0</v>
      </c>
      <c r="J50" s="7">
        <f ca="1">IFERROR(__xludf.dummyfunction("GOOGLEFINANCE(""NSE:""&amp;A92, ""changepct"")"),3.54)</f>
        <v>3.54</v>
      </c>
    </row>
    <row r="51" spans="1:10" ht="13.8">
      <c r="A51" s="5" t="s">
        <v>59</v>
      </c>
      <c r="B51" s="6">
        <f ca="1">IFERROR(__xludf.dummyfunction("GOOGLEFINANCE(""NSE:""&amp;A467, ""price"")"),11.55)</f>
        <v>11.55</v>
      </c>
      <c r="C51" s="6">
        <f ca="1">IFERROR(__xludf.dummyfunction("GOOGLEFINANCE(""NSE:""&amp;A467, ""priceopen"")"),12)</f>
        <v>12</v>
      </c>
      <c r="D51" s="6">
        <f ca="1">IFERROR(__xludf.dummyfunction("GOOGLEFINANCE(""NSE:""&amp;A467, ""high"")"),12.05)</f>
        <v>12.05</v>
      </c>
      <c r="E51" s="6">
        <f ca="1">IFERROR(__xludf.dummyfunction("GOOGLEFINANCE(""NSE:""&amp;A467, ""low"")"),11.5)</f>
        <v>11.5</v>
      </c>
      <c r="F51" s="6">
        <f ca="1">IFERROR(__xludf.dummyfunction("GOOGLEFINANCE(""NSE:""&amp;A467, ""closeyest"")"),11.75)</f>
        <v>11.75</v>
      </c>
      <c r="G51" s="6">
        <f ca="1">IFERROR(__xludf.dummyfunction("GOOGLEFINANCE(""NSE:""&amp;A467, ""volume"")"),8814152)</f>
        <v>8814152</v>
      </c>
      <c r="H51" s="6" t="b">
        <f t="shared" ca="1" si="0"/>
        <v>0</v>
      </c>
      <c r="I51" s="6" t="b">
        <f t="shared" ca="1" si="1"/>
        <v>0</v>
      </c>
      <c r="J51" s="7">
        <f ca="1">IFERROR(__xludf.dummyfunction("GOOGLEFINANCE(""NSE:""&amp;A467, ""changepct"")"),-1.7)</f>
        <v>-1.7</v>
      </c>
    </row>
    <row r="52" spans="1:10" ht="13.8">
      <c r="A52" s="5" t="s">
        <v>60</v>
      </c>
      <c r="B52" s="6">
        <f ca="1">IFERROR(__xludf.dummyfunction("GOOGLEFINANCE(""NSE:""&amp;A237, ""price"")"),21.35)</f>
        <v>21.35</v>
      </c>
      <c r="C52" s="6">
        <f ca="1">IFERROR(__xludf.dummyfunction("GOOGLEFINANCE(""NSE:""&amp;A237, ""priceopen"")"),21.25)</f>
        <v>21.25</v>
      </c>
      <c r="D52" s="6">
        <f ca="1">IFERROR(__xludf.dummyfunction("GOOGLEFINANCE(""NSE:""&amp;A237, ""high"")"),21.85)</f>
        <v>21.85</v>
      </c>
      <c r="E52" s="6">
        <f ca="1">IFERROR(__xludf.dummyfunction("GOOGLEFINANCE(""NSE:""&amp;A237, ""low"")"),21.1)</f>
        <v>21.1</v>
      </c>
      <c r="F52" s="6">
        <f ca="1">IFERROR(__xludf.dummyfunction("GOOGLEFINANCE(""NSE:""&amp;A237, ""closeyest"")"),21.15)</f>
        <v>21.15</v>
      </c>
      <c r="G52" s="6">
        <f ca="1">IFERROR(__xludf.dummyfunction("GOOGLEFINANCE(""NSE:""&amp;A237, ""volume"")"),8437004)</f>
        <v>8437004</v>
      </c>
      <c r="H52" s="6" t="b">
        <f t="shared" ca="1" si="0"/>
        <v>0</v>
      </c>
      <c r="I52" s="6" t="b">
        <f t="shared" ca="1" si="1"/>
        <v>0</v>
      </c>
      <c r="J52" s="7">
        <f ca="1">IFERROR(__xludf.dummyfunction("GOOGLEFINANCE(""NSE:""&amp;A237, ""changepct"")"),0.95)</f>
        <v>0.95</v>
      </c>
    </row>
    <row r="53" spans="1:10" ht="13.8">
      <c r="A53" s="5" t="s">
        <v>61</v>
      </c>
      <c r="B53" s="6">
        <f ca="1">IFERROR(__xludf.dummyfunction("GOOGLEFINANCE(""NSE:""&amp;A443, ""price"")"),414.85)</f>
        <v>414.85</v>
      </c>
      <c r="C53" s="6">
        <f ca="1">IFERROR(__xludf.dummyfunction("GOOGLEFINANCE(""NSE:""&amp;A443, ""priceopen"")"),421)</f>
        <v>421</v>
      </c>
      <c r="D53" s="6">
        <f ca="1">IFERROR(__xludf.dummyfunction("GOOGLEFINANCE(""NSE:""&amp;A443, ""high"")"),424.4)</f>
        <v>424.4</v>
      </c>
      <c r="E53" s="6">
        <f ca="1">IFERROR(__xludf.dummyfunction("GOOGLEFINANCE(""NSE:""&amp;A443, ""low"")"),413.5)</f>
        <v>413.5</v>
      </c>
      <c r="F53" s="6">
        <f ca="1">IFERROR(__xludf.dummyfunction("GOOGLEFINANCE(""NSE:""&amp;A443, ""closeyest"")"),419.75)</f>
        <v>419.75</v>
      </c>
      <c r="G53" s="6">
        <f ca="1">IFERROR(__xludf.dummyfunction("GOOGLEFINANCE(""NSE:""&amp;A443, ""volume"")"),8253021)</f>
        <v>8253021</v>
      </c>
      <c r="H53" s="6" t="b">
        <f t="shared" ca="1" si="0"/>
        <v>0</v>
      </c>
      <c r="I53" s="6" t="b">
        <f t="shared" ca="1" si="1"/>
        <v>0</v>
      </c>
      <c r="J53" s="7">
        <f ca="1">IFERROR(__xludf.dummyfunction("GOOGLEFINANCE(""NSE:""&amp;A443, ""changepct"")"),-1.17)</f>
        <v>-1.17</v>
      </c>
    </row>
    <row r="54" spans="1:10" ht="13.8">
      <c r="A54" s="5" t="s">
        <v>62</v>
      </c>
      <c r="B54" s="6">
        <f ca="1">IFERROR(__xludf.dummyfunction("GOOGLEFINANCE(""NSE:""&amp;A354, ""price"")"),34.8)</f>
        <v>34.799999999999997</v>
      </c>
      <c r="C54" s="6">
        <f ca="1">IFERROR(__xludf.dummyfunction("GOOGLEFINANCE(""NSE:""&amp;A354, ""priceopen"")"),35)</f>
        <v>35</v>
      </c>
      <c r="D54" s="6">
        <f ca="1">IFERROR(__xludf.dummyfunction("GOOGLEFINANCE(""NSE:""&amp;A354, ""high"")"),35.2)</f>
        <v>35.200000000000003</v>
      </c>
      <c r="E54" s="6">
        <f ca="1">IFERROR(__xludf.dummyfunction("GOOGLEFINANCE(""NSE:""&amp;A354, ""low"")"),34.65)</f>
        <v>34.65</v>
      </c>
      <c r="F54" s="6">
        <f ca="1">IFERROR(__xludf.dummyfunction("GOOGLEFINANCE(""NSE:""&amp;A354, ""closeyest"")"),34.9)</f>
        <v>34.9</v>
      </c>
      <c r="G54" s="6">
        <f ca="1">IFERROR(__xludf.dummyfunction("GOOGLEFINANCE(""NSE:""&amp;A354, ""volume"")"),8027547)</f>
        <v>8027547</v>
      </c>
      <c r="H54" s="6" t="b">
        <f t="shared" ca="1" si="0"/>
        <v>0</v>
      </c>
      <c r="I54" s="6" t="b">
        <f t="shared" ca="1" si="1"/>
        <v>0</v>
      </c>
      <c r="J54" s="7">
        <f ca="1">IFERROR(__xludf.dummyfunction("GOOGLEFINANCE(""NSE:""&amp;A354, ""changepct"")"),-0.29)</f>
        <v>-0.28999999999999998</v>
      </c>
    </row>
    <row r="55" spans="1:10" ht="13.8">
      <c r="A55" s="5" t="s">
        <v>63</v>
      </c>
      <c r="B55" s="6">
        <f ca="1">IFERROR(__xludf.dummyfunction("GOOGLEFINANCE(""NSE:""&amp;A85, ""price"")"),405.15)</f>
        <v>405.15</v>
      </c>
      <c r="C55" s="6">
        <f ca="1">IFERROR(__xludf.dummyfunction("GOOGLEFINANCE(""NSE:""&amp;A85, ""priceopen"")"),393.2)</f>
        <v>393.2</v>
      </c>
      <c r="D55" s="6">
        <f ca="1">IFERROR(__xludf.dummyfunction("GOOGLEFINANCE(""NSE:""&amp;A85, ""high"")"),409.8)</f>
        <v>409.8</v>
      </c>
      <c r="E55" s="6">
        <f ca="1">IFERROR(__xludf.dummyfunction("GOOGLEFINANCE(""NSE:""&amp;A85, ""low"")"),392.15)</f>
        <v>392.15</v>
      </c>
      <c r="F55" s="6">
        <f ca="1">IFERROR(__xludf.dummyfunction("GOOGLEFINANCE(""NSE:""&amp;A85, ""closeyest"")"),390.9)</f>
        <v>390.9</v>
      </c>
      <c r="G55" s="6">
        <f ca="1">IFERROR(__xludf.dummyfunction("GOOGLEFINANCE(""NSE:""&amp;A85, ""volume"")"),7942401)</f>
        <v>7942401</v>
      </c>
      <c r="H55" s="6" t="b">
        <f t="shared" ca="1" si="0"/>
        <v>0</v>
      </c>
      <c r="I55" s="6" t="b">
        <f t="shared" ca="1" si="1"/>
        <v>0</v>
      </c>
      <c r="J55" s="7">
        <f ca="1">IFERROR(__xludf.dummyfunction("GOOGLEFINANCE(""NSE:""&amp;A85, ""changepct"")"),3.65)</f>
        <v>3.65</v>
      </c>
    </row>
    <row r="56" spans="1:10" ht="13.8">
      <c r="A56" s="5" t="s">
        <v>64</v>
      </c>
      <c r="B56" s="6">
        <f ca="1">IFERROR(__xludf.dummyfunction("GOOGLEFINANCE(""NSE:""&amp;A295, ""price"")"),97.1)</f>
        <v>97.1</v>
      </c>
      <c r="C56" s="6">
        <f ca="1">IFERROR(__xludf.dummyfunction("GOOGLEFINANCE(""NSE:""&amp;A295, ""priceopen"")"),97.25)</f>
        <v>97.25</v>
      </c>
      <c r="D56" s="6">
        <f ca="1">IFERROR(__xludf.dummyfunction("GOOGLEFINANCE(""NSE:""&amp;A295, ""high"")"),97.9)</f>
        <v>97.9</v>
      </c>
      <c r="E56" s="6">
        <f ca="1">IFERROR(__xludf.dummyfunction("GOOGLEFINANCE(""NSE:""&amp;A295, ""low"")"),96.3)</f>
        <v>96.3</v>
      </c>
      <c r="F56" s="6">
        <f ca="1">IFERROR(__xludf.dummyfunction("GOOGLEFINANCE(""NSE:""&amp;A295, ""closeyest"")"),96.9)</f>
        <v>96.9</v>
      </c>
      <c r="G56" s="6">
        <f ca="1">IFERROR(__xludf.dummyfunction("GOOGLEFINANCE(""NSE:""&amp;A295, ""volume"")"),7921530)</f>
        <v>7921530</v>
      </c>
      <c r="H56" s="6" t="b">
        <f t="shared" ca="1" si="0"/>
        <v>0</v>
      </c>
      <c r="I56" s="6" t="b">
        <f t="shared" ca="1" si="1"/>
        <v>0</v>
      </c>
      <c r="J56" s="7">
        <f ca="1">IFERROR(__xludf.dummyfunction("GOOGLEFINANCE(""NSE:""&amp;A295, ""changepct"")"),0.21)</f>
        <v>0.21</v>
      </c>
    </row>
    <row r="57" spans="1:10" ht="13.8">
      <c r="A57" s="5" t="s">
        <v>65</v>
      </c>
      <c r="B57" s="6">
        <f ca="1">IFERROR(__xludf.dummyfunction("GOOGLEFINANCE(""NSE:""&amp;A68, ""price"")"),42.9)</f>
        <v>42.9</v>
      </c>
      <c r="C57" s="6">
        <f ca="1">IFERROR(__xludf.dummyfunction("GOOGLEFINANCE(""NSE:""&amp;A68, ""priceopen"")"),41.7)</f>
        <v>41.7</v>
      </c>
      <c r="D57" s="6">
        <f ca="1">IFERROR(__xludf.dummyfunction("GOOGLEFINANCE(""NSE:""&amp;A68, ""high"")"),43.15)</f>
        <v>43.15</v>
      </c>
      <c r="E57" s="6">
        <f ca="1">IFERROR(__xludf.dummyfunction("GOOGLEFINANCE(""NSE:""&amp;A68, ""low"")"),41.35)</f>
        <v>41.35</v>
      </c>
      <c r="F57" s="6">
        <f ca="1">IFERROR(__xludf.dummyfunction("GOOGLEFINANCE(""NSE:""&amp;A68, ""closeyest"")"),41.05)</f>
        <v>41.05</v>
      </c>
      <c r="G57" s="6">
        <f ca="1">IFERROR(__xludf.dummyfunction("GOOGLEFINANCE(""NSE:""&amp;A68, ""volume"")"),7738057)</f>
        <v>7738057</v>
      </c>
      <c r="H57" s="6" t="b">
        <f t="shared" ca="1" si="0"/>
        <v>0</v>
      </c>
      <c r="I57" s="6" t="b">
        <f t="shared" ca="1" si="1"/>
        <v>0</v>
      </c>
      <c r="J57" s="7">
        <f ca="1">IFERROR(__xludf.dummyfunction("GOOGLEFINANCE(""NSE:""&amp;A68, ""changepct"")"),4.51)</f>
        <v>4.51</v>
      </c>
    </row>
    <row r="58" spans="1:10" ht="13.8">
      <c r="A58" s="5" t="s">
        <v>66</v>
      </c>
      <c r="B58" s="6">
        <f ca="1">IFERROR(__xludf.dummyfunction("GOOGLEFINANCE(""NSE:""&amp;A243, ""price"")"),215.5)</f>
        <v>215.5</v>
      </c>
      <c r="C58" s="6">
        <f ca="1">IFERROR(__xludf.dummyfunction("GOOGLEFINANCE(""NSE:""&amp;A243, ""priceopen"")"),215.8)</f>
        <v>215.8</v>
      </c>
      <c r="D58" s="6">
        <f ca="1">IFERROR(__xludf.dummyfunction("GOOGLEFINANCE(""NSE:""&amp;A243, ""high"")"),217.9)</f>
        <v>217.9</v>
      </c>
      <c r="E58" s="6">
        <f ca="1">IFERROR(__xludf.dummyfunction("GOOGLEFINANCE(""NSE:""&amp;A243, ""low"")"),213.65)</f>
        <v>213.65</v>
      </c>
      <c r="F58" s="6">
        <f ca="1">IFERROR(__xludf.dummyfunction("GOOGLEFINANCE(""NSE:""&amp;A243, ""closeyest"")"),213.6)</f>
        <v>213.6</v>
      </c>
      <c r="G58" s="6">
        <f ca="1">IFERROR(__xludf.dummyfunction("GOOGLEFINANCE(""NSE:""&amp;A243, ""volume"")"),7606812)</f>
        <v>7606812</v>
      </c>
      <c r="H58" s="6" t="b">
        <f t="shared" ca="1" si="0"/>
        <v>0</v>
      </c>
      <c r="I58" s="6" t="b">
        <f t="shared" ca="1" si="1"/>
        <v>0</v>
      </c>
      <c r="J58" s="7">
        <f ca="1">IFERROR(__xludf.dummyfunction("GOOGLEFINANCE(""NSE:""&amp;A243, ""changepct"")"),0.89)</f>
        <v>0.89</v>
      </c>
    </row>
    <row r="59" spans="1:10" ht="13.8">
      <c r="A59" s="5" t="s">
        <v>67</v>
      </c>
      <c r="B59" s="6">
        <f ca="1">IFERROR(__xludf.dummyfunction("GOOGLEFINANCE(""NSE:""&amp;A70, ""price"")"),473.4)</f>
        <v>473.4</v>
      </c>
      <c r="C59" s="6">
        <f ca="1">IFERROR(__xludf.dummyfunction("GOOGLEFINANCE(""NSE:""&amp;A70, ""priceopen"")"),454)</f>
        <v>454</v>
      </c>
      <c r="D59" s="6">
        <f ca="1">IFERROR(__xludf.dummyfunction("GOOGLEFINANCE(""NSE:""&amp;A70, ""high"")"),476.65)</f>
        <v>476.65</v>
      </c>
      <c r="E59" s="6">
        <f ca="1">IFERROR(__xludf.dummyfunction("GOOGLEFINANCE(""NSE:""&amp;A70, ""low"")"),454)</f>
        <v>454</v>
      </c>
      <c r="F59" s="6">
        <f ca="1">IFERROR(__xludf.dummyfunction("GOOGLEFINANCE(""NSE:""&amp;A70, ""closeyest"")"),453.45)</f>
        <v>453.45</v>
      </c>
      <c r="G59" s="6">
        <f ca="1">IFERROR(__xludf.dummyfunction("GOOGLEFINANCE(""NSE:""&amp;A70, ""volume"")"),7605771)</f>
        <v>7605771</v>
      </c>
      <c r="H59" s="6" t="b">
        <f t="shared" ca="1" si="0"/>
        <v>1</v>
      </c>
      <c r="I59" s="6" t="b">
        <f t="shared" ca="1" si="1"/>
        <v>0</v>
      </c>
      <c r="J59" s="7">
        <f ca="1">IFERROR(__xludf.dummyfunction("GOOGLEFINANCE(""NSE:""&amp;A70, ""changepct"")"),4.4)</f>
        <v>4.4000000000000004</v>
      </c>
    </row>
    <row r="60" spans="1:10" ht="13.8">
      <c r="A60" s="5" t="s">
        <v>68</v>
      </c>
      <c r="B60" s="6">
        <f ca="1">IFERROR(__xludf.dummyfunction("GOOGLEFINANCE(""NSE:""&amp;A122, ""price"")"),493.75)</f>
        <v>493.75</v>
      </c>
      <c r="C60" s="6">
        <f ca="1">IFERROR(__xludf.dummyfunction("GOOGLEFINANCE(""NSE:""&amp;A122, ""priceopen"")"),483.85)</f>
        <v>483.85</v>
      </c>
      <c r="D60" s="6">
        <f ca="1">IFERROR(__xludf.dummyfunction("GOOGLEFINANCE(""NSE:""&amp;A122, ""high"")"),496.5)</f>
        <v>496.5</v>
      </c>
      <c r="E60" s="6">
        <f ca="1">IFERROR(__xludf.dummyfunction("GOOGLEFINANCE(""NSE:""&amp;A122, ""low"")"),478.45)</f>
        <v>478.45</v>
      </c>
      <c r="F60" s="6">
        <f ca="1">IFERROR(__xludf.dummyfunction("GOOGLEFINANCE(""NSE:""&amp;A122, ""closeyest"")"),480.3)</f>
        <v>480.3</v>
      </c>
      <c r="G60" s="6">
        <f ca="1">IFERROR(__xludf.dummyfunction("GOOGLEFINANCE(""NSE:""&amp;A122, ""volume"")"),7603928)</f>
        <v>7603928</v>
      </c>
      <c r="H60" s="6" t="b">
        <f t="shared" ca="1" si="0"/>
        <v>0</v>
      </c>
      <c r="I60" s="6" t="b">
        <f t="shared" ca="1" si="1"/>
        <v>0</v>
      </c>
      <c r="J60" s="7">
        <f ca="1">IFERROR(__xludf.dummyfunction("GOOGLEFINANCE(""NSE:""&amp;A122, ""changepct"")"),2.8)</f>
        <v>2.8</v>
      </c>
    </row>
    <row r="61" spans="1:10" ht="13.8">
      <c r="A61" s="5" t="s">
        <v>69</v>
      </c>
      <c r="B61" s="6">
        <f ca="1">IFERROR(__xludf.dummyfunction("GOOGLEFINANCE(""NSE:""&amp;A279, ""price"")"),63.7)</f>
        <v>63.7</v>
      </c>
      <c r="C61" s="6">
        <f ca="1">IFERROR(__xludf.dummyfunction("GOOGLEFINANCE(""NSE:""&amp;A279, ""priceopen"")"),63.8)</f>
        <v>63.8</v>
      </c>
      <c r="D61" s="6">
        <f ca="1">IFERROR(__xludf.dummyfunction("GOOGLEFINANCE(""NSE:""&amp;A279, ""high"")"),64.25)</f>
        <v>64.25</v>
      </c>
      <c r="E61" s="6">
        <f ca="1">IFERROR(__xludf.dummyfunction("GOOGLEFINANCE(""NSE:""&amp;A279, ""low"")"),63.1)</f>
        <v>63.1</v>
      </c>
      <c r="F61" s="6">
        <f ca="1">IFERROR(__xludf.dummyfunction("GOOGLEFINANCE(""NSE:""&amp;A279, ""closeyest"")"),63.45)</f>
        <v>63.45</v>
      </c>
      <c r="G61" s="6">
        <f ca="1">IFERROR(__xludf.dummyfunction("GOOGLEFINANCE(""NSE:""&amp;A279, ""volume"")"),7437455)</f>
        <v>7437455</v>
      </c>
      <c r="H61" s="6" t="b">
        <f t="shared" ca="1" si="0"/>
        <v>0</v>
      </c>
      <c r="I61" s="6" t="b">
        <f t="shared" ca="1" si="1"/>
        <v>0</v>
      </c>
      <c r="J61" s="7">
        <f ca="1">IFERROR(__xludf.dummyfunction("GOOGLEFINANCE(""NSE:""&amp;A279, ""changepct"")"),0.39)</f>
        <v>0.39</v>
      </c>
    </row>
    <row r="62" spans="1:10" ht="13.8">
      <c r="A62" s="5" t="s">
        <v>70</v>
      </c>
      <c r="B62" s="6">
        <f ca="1">IFERROR(__xludf.dummyfunction("GOOGLEFINANCE(""NSE:""&amp;A414, ""price"")"),3434.05)</f>
        <v>3434.05</v>
      </c>
      <c r="C62" s="6">
        <f ca="1">IFERROR(__xludf.dummyfunction("GOOGLEFINANCE(""NSE:""&amp;A414, ""priceopen"")"),3494)</f>
        <v>3494</v>
      </c>
      <c r="D62" s="6">
        <f ca="1">IFERROR(__xludf.dummyfunction("GOOGLEFINANCE(""NSE:""&amp;A414, ""high"")"),3556.85)</f>
        <v>3556.85</v>
      </c>
      <c r="E62" s="6">
        <f ca="1">IFERROR(__xludf.dummyfunction("GOOGLEFINANCE(""NSE:""&amp;A414, ""low"")"),3413.2)</f>
        <v>3413.2</v>
      </c>
      <c r="F62" s="6">
        <f ca="1">IFERROR(__xludf.dummyfunction("GOOGLEFINANCE(""NSE:""&amp;A414, ""closeyest"")"),3464.3)</f>
        <v>3464.3</v>
      </c>
      <c r="G62" s="6">
        <f ca="1">IFERROR(__xludf.dummyfunction("GOOGLEFINANCE(""NSE:""&amp;A414, ""volume"")"),7129352)</f>
        <v>7129352</v>
      </c>
      <c r="H62" s="6" t="b">
        <f t="shared" ca="1" si="0"/>
        <v>0</v>
      </c>
      <c r="I62" s="6" t="b">
        <f t="shared" ca="1" si="1"/>
        <v>0</v>
      </c>
      <c r="J62" s="7">
        <f ca="1">IFERROR(__xludf.dummyfunction("GOOGLEFINANCE(""NSE:""&amp;A414, ""changepct"")"),-0.87)</f>
        <v>-0.87</v>
      </c>
    </row>
    <row r="63" spans="1:10" ht="13.8">
      <c r="A63" s="5" t="s">
        <v>71</v>
      </c>
      <c r="B63" s="6">
        <f ca="1">IFERROR(__xludf.dummyfunction("GOOGLEFINANCE(""NSE:""&amp;A344, ""price"")"),129.5)</f>
        <v>129.5</v>
      </c>
      <c r="C63" s="6">
        <f ca="1">IFERROR(__xludf.dummyfunction("GOOGLEFINANCE(""NSE:""&amp;A344, ""priceopen"")"),130.3)</f>
        <v>130.30000000000001</v>
      </c>
      <c r="D63" s="6">
        <f ca="1">IFERROR(__xludf.dummyfunction("GOOGLEFINANCE(""NSE:""&amp;A344, ""high"")"),131.15)</f>
        <v>131.15</v>
      </c>
      <c r="E63" s="6">
        <f ca="1">IFERROR(__xludf.dummyfunction("GOOGLEFINANCE(""NSE:""&amp;A344, ""low"")"),129)</f>
        <v>129</v>
      </c>
      <c r="F63" s="6">
        <f ca="1">IFERROR(__xludf.dummyfunction("GOOGLEFINANCE(""NSE:""&amp;A344, ""closeyest"")"),129.75)</f>
        <v>129.75</v>
      </c>
      <c r="G63" s="6">
        <f ca="1">IFERROR(__xludf.dummyfunction("GOOGLEFINANCE(""NSE:""&amp;A344, ""volume"")"),7123618)</f>
        <v>7123618</v>
      </c>
      <c r="H63" s="6" t="b">
        <f t="shared" ca="1" si="0"/>
        <v>0</v>
      </c>
      <c r="I63" s="6" t="b">
        <f t="shared" ca="1" si="1"/>
        <v>0</v>
      </c>
      <c r="J63" s="7">
        <f ca="1">IFERROR(__xludf.dummyfunction("GOOGLEFINANCE(""NSE:""&amp;A344, ""changepct"")"),-0.19)</f>
        <v>-0.19</v>
      </c>
    </row>
    <row r="64" spans="1:10" ht="13.8">
      <c r="A64" s="5" t="s">
        <v>72</v>
      </c>
      <c r="B64" s="6">
        <f ca="1">IFERROR(__xludf.dummyfunction("GOOGLEFINANCE(""NSE:""&amp;A261, ""price"")"),79.15)</f>
        <v>79.150000000000006</v>
      </c>
      <c r="C64" s="6">
        <f ca="1">IFERROR(__xludf.dummyfunction("GOOGLEFINANCE(""NSE:""&amp;A261, ""priceopen"")"),79.5)</f>
        <v>79.5</v>
      </c>
      <c r="D64" s="6">
        <f ca="1">IFERROR(__xludf.dummyfunction("GOOGLEFINANCE(""NSE:""&amp;A261, ""high"")"),79.75)</f>
        <v>79.75</v>
      </c>
      <c r="E64" s="6">
        <f ca="1">IFERROR(__xludf.dummyfunction("GOOGLEFINANCE(""NSE:""&amp;A261, ""low"")"),78.9)</f>
        <v>78.900000000000006</v>
      </c>
      <c r="F64" s="6">
        <f ca="1">IFERROR(__xludf.dummyfunction("GOOGLEFINANCE(""NSE:""&amp;A261, ""closeyest"")"),78.65)</f>
        <v>78.650000000000006</v>
      </c>
      <c r="G64" s="6">
        <f ca="1">IFERROR(__xludf.dummyfunction("GOOGLEFINANCE(""NSE:""&amp;A261, ""volume"")"),7067873)</f>
        <v>7067873</v>
      </c>
      <c r="H64" s="6" t="b">
        <f t="shared" ca="1" si="0"/>
        <v>0</v>
      </c>
      <c r="I64" s="6" t="b">
        <f t="shared" ca="1" si="1"/>
        <v>0</v>
      </c>
      <c r="J64" s="7">
        <f ca="1">IFERROR(__xludf.dummyfunction("GOOGLEFINANCE(""NSE:""&amp;A261, ""changepct"")"),0.64)</f>
        <v>0.64</v>
      </c>
    </row>
    <row r="65" spans="1:10" ht="13.8">
      <c r="A65" s="5" t="s">
        <v>73</v>
      </c>
      <c r="B65" s="6">
        <f ca="1">IFERROR(__xludf.dummyfunction("GOOGLEFINANCE(""NSE:""&amp;A88, ""price"")"),413.75)</f>
        <v>413.75</v>
      </c>
      <c r="C65" s="6">
        <f ca="1">IFERROR(__xludf.dummyfunction("GOOGLEFINANCE(""NSE:""&amp;A88, ""priceopen"")"),402.2)</f>
        <v>402.2</v>
      </c>
      <c r="D65" s="6">
        <f ca="1">IFERROR(__xludf.dummyfunction("GOOGLEFINANCE(""NSE:""&amp;A88, ""high"")"),414.5)</f>
        <v>414.5</v>
      </c>
      <c r="E65" s="6">
        <f ca="1">IFERROR(__xludf.dummyfunction("GOOGLEFINANCE(""NSE:""&amp;A88, ""low"")"),400.7)</f>
        <v>400.7</v>
      </c>
      <c r="F65" s="6">
        <f ca="1">IFERROR(__xludf.dummyfunction("GOOGLEFINANCE(""NSE:""&amp;A88, ""closeyest"")"),399.45)</f>
        <v>399.45</v>
      </c>
      <c r="G65" s="6">
        <f ca="1">IFERROR(__xludf.dummyfunction("GOOGLEFINANCE(""NSE:""&amp;A88, ""volume"")"),7028465)</f>
        <v>7028465</v>
      </c>
      <c r="H65" s="6" t="b">
        <f t="shared" ca="1" si="0"/>
        <v>0</v>
      </c>
      <c r="I65" s="6" t="b">
        <f t="shared" ca="1" si="1"/>
        <v>0</v>
      </c>
      <c r="J65" s="7">
        <f ca="1">IFERROR(__xludf.dummyfunction("GOOGLEFINANCE(""NSE:""&amp;A88, ""changepct"")"),3.58)</f>
        <v>3.58</v>
      </c>
    </row>
    <row r="66" spans="1:10" ht="13.8">
      <c r="A66" s="5" t="s">
        <v>74</v>
      </c>
      <c r="B66" s="6">
        <f ca="1">IFERROR(__xludf.dummyfunction("GOOGLEFINANCE(""NSE:""&amp;A78, ""price"")"),328.6)</f>
        <v>328.6</v>
      </c>
      <c r="C66" s="6">
        <f ca="1">IFERROR(__xludf.dummyfunction("GOOGLEFINANCE(""NSE:""&amp;A78, ""priceopen"")"),319)</f>
        <v>319</v>
      </c>
      <c r="D66" s="6">
        <f ca="1">IFERROR(__xludf.dummyfunction("GOOGLEFINANCE(""NSE:""&amp;A78, ""high"")"),335.75)</f>
        <v>335.75</v>
      </c>
      <c r="E66" s="6">
        <f ca="1">IFERROR(__xludf.dummyfunction("GOOGLEFINANCE(""NSE:""&amp;A78, ""low"")"),318.2)</f>
        <v>318.2</v>
      </c>
      <c r="F66" s="6">
        <f ca="1">IFERROR(__xludf.dummyfunction("GOOGLEFINANCE(""NSE:""&amp;A78, ""closeyest"")"),315.75)</f>
        <v>315.75</v>
      </c>
      <c r="G66" s="6">
        <f ca="1">IFERROR(__xludf.dummyfunction("GOOGLEFINANCE(""NSE:""&amp;A78, ""volume"")"),6866208)</f>
        <v>6866208</v>
      </c>
      <c r="H66" s="6" t="b">
        <f t="shared" ref="H66:H129" ca="1" si="2">C66=E66</f>
        <v>0</v>
      </c>
      <c r="I66" s="6" t="b">
        <f t="shared" ref="I66:I129" ca="1" si="3">D66=C66</f>
        <v>0</v>
      </c>
      <c r="J66" s="7">
        <f ca="1">IFERROR(__xludf.dummyfunction("GOOGLEFINANCE(""NSE:""&amp;A78, ""changepct"")"),4.07)</f>
        <v>4.07</v>
      </c>
    </row>
    <row r="67" spans="1:10" ht="13.8">
      <c r="A67" s="5" t="s">
        <v>75</v>
      </c>
      <c r="B67" s="6">
        <f ca="1">IFERROR(__xludf.dummyfunction("GOOGLEFINANCE(""NSE:""&amp;A269, ""price"")"),521.1)</f>
        <v>521.1</v>
      </c>
      <c r="C67" s="6">
        <f ca="1">IFERROR(__xludf.dummyfunction("GOOGLEFINANCE(""NSE:""&amp;A269, ""priceopen"")"),520.95)</f>
        <v>520.95000000000005</v>
      </c>
      <c r="D67" s="6">
        <f ca="1">IFERROR(__xludf.dummyfunction("GOOGLEFINANCE(""NSE:""&amp;A269, ""high"")"),526)</f>
        <v>526</v>
      </c>
      <c r="E67" s="6">
        <f ca="1">IFERROR(__xludf.dummyfunction("GOOGLEFINANCE(""NSE:""&amp;A269, ""low"")"),510.7)</f>
        <v>510.7</v>
      </c>
      <c r="F67" s="6">
        <f ca="1">IFERROR(__xludf.dummyfunction("GOOGLEFINANCE(""NSE:""&amp;A269, ""closeyest"")"),518.6)</f>
        <v>518.6</v>
      </c>
      <c r="G67" s="6">
        <f ca="1">IFERROR(__xludf.dummyfunction("GOOGLEFINANCE(""NSE:""&amp;A269, ""volume"")"),6832826)</f>
        <v>6832826</v>
      </c>
      <c r="H67" s="6" t="b">
        <f t="shared" ca="1" si="2"/>
        <v>0</v>
      </c>
      <c r="I67" s="6" t="b">
        <f t="shared" ca="1" si="3"/>
        <v>0</v>
      </c>
      <c r="J67" s="7">
        <f ca="1">IFERROR(__xludf.dummyfunction("GOOGLEFINANCE(""NSE:""&amp;A269, ""changepct"")"),0.48)</f>
        <v>0.48</v>
      </c>
    </row>
    <row r="68" spans="1:10" ht="13.8">
      <c r="A68" s="5" t="s">
        <v>76</v>
      </c>
      <c r="B68" s="6">
        <f ca="1">IFERROR(__xludf.dummyfunction("GOOGLEFINANCE(""NSE:""&amp;A10, ""price"")"),66.2)</f>
        <v>66.2</v>
      </c>
      <c r="C68" s="6">
        <f ca="1">IFERROR(__xludf.dummyfunction("GOOGLEFINANCE(""NSE:""&amp;A10, ""priceopen"")"),60)</f>
        <v>60</v>
      </c>
      <c r="D68" s="6">
        <f ca="1">IFERROR(__xludf.dummyfunction("GOOGLEFINANCE(""NSE:""&amp;A10, ""high"")"),66.6)</f>
        <v>66.599999999999994</v>
      </c>
      <c r="E68" s="6">
        <f ca="1">IFERROR(__xludf.dummyfunction("GOOGLEFINANCE(""NSE:""&amp;A10, ""low"")"),59.6)</f>
        <v>59.6</v>
      </c>
      <c r="F68" s="6">
        <f ca="1">IFERROR(__xludf.dummyfunction("GOOGLEFINANCE(""NSE:""&amp;A10, ""closeyest"")"),59.4)</f>
        <v>59.4</v>
      </c>
      <c r="G68" s="6">
        <f ca="1">IFERROR(__xludf.dummyfunction("GOOGLEFINANCE(""NSE:""&amp;A10, ""volume"")"),6723470)</f>
        <v>6723470</v>
      </c>
      <c r="H68" s="6" t="b">
        <f t="shared" ca="1" si="2"/>
        <v>0</v>
      </c>
      <c r="I68" s="6" t="b">
        <f t="shared" ca="1" si="3"/>
        <v>0</v>
      </c>
      <c r="J68" s="7">
        <f ca="1">IFERROR(__xludf.dummyfunction("GOOGLEFINANCE(""NSE:""&amp;A10, ""changepct"")"),11.45)</f>
        <v>11.45</v>
      </c>
    </row>
    <row r="69" spans="1:10" ht="13.8">
      <c r="A69" s="5" t="s">
        <v>77</v>
      </c>
      <c r="B69" s="6">
        <f ca="1">IFERROR(__xludf.dummyfunction("GOOGLEFINANCE(""NSE:""&amp;A133, ""price"")"),246)</f>
        <v>246</v>
      </c>
      <c r="C69" s="6">
        <f ca="1">IFERROR(__xludf.dummyfunction("GOOGLEFINANCE(""NSE:""&amp;A133, ""priceopen"")"),241)</f>
        <v>241</v>
      </c>
      <c r="D69" s="6">
        <f ca="1">IFERROR(__xludf.dummyfunction("GOOGLEFINANCE(""NSE:""&amp;A133, ""high"")"),246.35)</f>
        <v>246.35</v>
      </c>
      <c r="E69" s="6">
        <f ca="1">IFERROR(__xludf.dummyfunction("GOOGLEFINANCE(""NSE:""&amp;A133, ""low"")"),238.55)</f>
        <v>238.55</v>
      </c>
      <c r="F69" s="6">
        <f ca="1">IFERROR(__xludf.dummyfunction("GOOGLEFINANCE(""NSE:""&amp;A133, ""closeyest"")"),240.2)</f>
        <v>240.2</v>
      </c>
      <c r="G69" s="6">
        <f ca="1">IFERROR(__xludf.dummyfunction("GOOGLEFINANCE(""NSE:""&amp;A133, ""volume"")"),6482352)</f>
        <v>6482352</v>
      </c>
      <c r="H69" s="6" t="b">
        <f t="shared" ca="1" si="2"/>
        <v>0</v>
      </c>
      <c r="I69" s="6" t="b">
        <f t="shared" ca="1" si="3"/>
        <v>0</v>
      </c>
      <c r="J69" s="7">
        <f ca="1">IFERROR(__xludf.dummyfunction("GOOGLEFINANCE(""NSE:""&amp;A133, ""changepct"")"),2.41)</f>
        <v>2.41</v>
      </c>
    </row>
    <row r="70" spans="1:10" ht="13.8">
      <c r="A70" s="5" t="s">
        <v>78</v>
      </c>
      <c r="B70" s="6">
        <f ca="1">IFERROR(__xludf.dummyfunction("GOOGLEFINANCE(""NSE:""&amp;A109, ""price"")"),420.55)</f>
        <v>420.55</v>
      </c>
      <c r="C70" s="6">
        <f ca="1">IFERROR(__xludf.dummyfunction("GOOGLEFINANCE(""NSE:""&amp;A109, ""priceopen"")"),430)</f>
        <v>430</v>
      </c>
      <c r="D70" s="6">
        <f ca="1">IFERROR(__xludf.dummyfunction("GOOGLEFINANCE(""NSE:""&amp;A109, ""high"")"),434.9)</f>
        <v>434.9</v>
      </c>
      <c r="E70" s="6">
        <f ca="1">IFERROR(__xludf.dummyfunction("GOOGLEFINANCE(""NSE:""&amp;A109, ""low"")"),419)</f>
        <v>419</v>
      </c>
      <c r="F70" s="6">
        <f ca="1">IFERROR(__xludf.dummyfunction("GOOGLEFINANCE(""NSE:""&amp;A109, ""closeyest"")"),407.8)</f>
        <v>407.8</v>
      </c>
      <c r="G70" s="6">
        <f ca="1">IFERROR(__xludf.dummyfunction("GOOGLEFINANCE(""NSE:""&amp;A109, ""volume"")"),6397863)</f>
        <v>6397863</v>
      </c>
      <c r="H70" s="6" t="b">
        <f t="shared" ca="1" si="2"/>
        <v>0</v>
      </c>
      <c r="I70" s="6" t="b">
        <f t="shared" ca="1" si="3"/>
        <v>0</v>
      </c>
      <c r="J70" s="7">
        <f ca="1">IFERROR(__xludf.dummyfunction("GOOGLEFINANCE(""NSE:""&amp;A109, ""changepct"")"),3.13)</f>
        <v>3.13</v>
      </c>
    </row>
    <row r="71" spans="1:10" ht="13.8">
      <c r="A71" s="5" t="s">
        <v>507</v>
      </c>
      <c r="B71" s="6">
        <f ca="1">IFERROR(__xludf.dummyfunction("GOOGLEFINANCE(""NSE:""&amp;A163, ""price"")"),196.3)</f>
        <v>196.3</v>
      </c>
      <c r="C71" s="6">
        <f ca="1">IFERROR(__xludf.dummyfunction("GOOGLEFINANCE(""NSE:""&amp;A163, ""priceopen"")"),194)</f>
        <v>194</v>
      </c>
      <c r="D71" s="6">
        <f ca="1">IFERROR(__xludf.dummyfunction("GOOGLEFINANCE(""NSE:""&amp;A163, ""high"")"),198.15)</f>
        <v>198.15</v>
      </c>
      <c r="E71" s="6">
        <f ca="1">IFERROR(__xludf.dummyfunction("GOOGLEFINANCE(""NSE:""&amp;A163, ""low"")"),191.9)</f>
        <v>191.9</v>
      </c>
      <c r="F71" s="6">
        <f ca="1">IFERROR(__xludf.dummyfunction("GOOGLEFINANCE(""NSE:""&amp;A163, ""closeyest"")"),192.6)</f>
        <v>192.6</v>
      </c>
      <c r="G71" s="6">
        <f ca="1">IFERROR(__xludf.dummyfunction("GOOGLEFINANCE(""NSE:""&amp;A163, ""volume"")"),6383298)</f>
        <v>6383298</v>
      </c>
      <c r="H71" s="6" t="b">
        <f t="shared" ca="1" si="2"/>
        <v>0</v>
      </c>
      <c r="I71" s="6" t="b">
        <f t="shared" ca="1" si="3"/>
        <v>0</v>
      </c>
      <c r="J71" s="7">
        <f ca="1">IFERROR(__xludf.dummyfunction("GOOGLEFINANCE(""NSE:""&amp;A163, ""changepct"")"),1.92)</f>
        <v>1.92</v>
      </c>
    </row>
    <row r="72" spans="1:10" ht="13.8">
      <c r="A72" s="5" t="s">
        <v>79</v>
      </c>
      <c r="B72" s="6">
        <f ca="1">IFERROR(__xludf.dummyfunction("GOOGLEFINANCE(""NSE:""&amp;A332, ""price"")"),277.15)</f>
        <v>277.14999999999998</v>
      </c>
      <c r="C72" s="6">
        <f ca="1">IFERROR(__xludf.dummyfunction("GOOGLEFINANCE(""NSE:""&amp;A332, ""priceopen"")"),280)</f>
        <v>280</v>
      </c>
      <c r="D72" s="6">
        <f ca="1">IFERROR(__xludf.dummyfunction("GOOGLEFINANCE(""NSE:""&amp;A332, ""high"")"),281.2)</f>
        <v>281.2</v>
      </c>
      <c r="E72" s="6">
        <f ca="1">IFERROR(__xludf.dummyfunction("GOOGLEFINANCE(""NSE:""&amp;A332, ""low"")"),276.6)</f>
        <v>276.60000000000002</v>
      </c>
      <c r="F72" s="6">
        <f ca="1">IFERROR(__xludf.dummyfunction("GOOGLEFINANCE(""NSE:""&amp;A332, ""closeyest"")"),277.4)</f>
        <v>277.39999999999998</v>
      </c>
      <c r="G72" s="6">
        <f ca="1">IFERROR(__xludf.dummyfunction("GOOGLEFINANCE(""NSE:""&amp;A332, ""volume"")"),6310815)</f>
        <v>6310815</v>
      </c>
      <c r="H72" s="6" t="b">
        <f t="shared" ca="1" si="2"/>
        <v>0</v>
      </c>
      <c r="I72" s="6" t="b">
        <f t="shared" ca="1" si="3"/>
        <v>0</v>
      </c>
      <c r="J72" s="7">
        <f ca="1">IFERROR(__xludf.dummyfunction("GOOGLEFINANCE(""NSE:""&amp;A332, ""changepct"")"),-0.09)</f>
        <v>-0.09</v>
      </c>
    </row>
    <row r="73" spans="1:10" ht="13.8">
      <c r="A73" s="5" t="s">
        <v>80</v>
      </c>
      <c r="B73" s="6">
        <f ca="1">IFERROR(__xludf.dummyfunction("GOOGLEFINANCE(""NSE:""&amp;A5, ""price"")"),603.5)</f>
        <v>603.5</v>
      </c>
      <c r="C73" s="6">
        <f ca="1">IFERROR(__xludf.dummyfunction("GOOGLEFINANCE(""NSE:""&amp;A5, ""priceopen"")"),527)</f>
        <v>527</v>
      </c>
      <c r="D73" s="6">
        <f ca="1">IFERROR(__xludf.dummyfunction("GOOGLEFINANCE(""NSE:""&amp;A5, ""high"")"),616)</f>
        <v>616</v>
      </c>
      <c r="E73" s="6">
        <f ca="1">IFERROR(__xludf.dummyfunction("GOOGLEFINANCE(""NSE:""&amp;A5, ""low"")"),527)</f>
        <v>527</v>
      </c>
      <c r="F73" s="6">
        <f ca="1">IFERROR(__xludf.dummyfunction("GOOGLEFINANCE(""NSE:""&amp;A5, ""closeyest"")"),523.8)</f>
        <v>523.79999999999995</v>
      </c>
      <c r="G73" s="6">
        <f ca="1">IFERROR(__xludf.dummyfunction("GOOGLEFINANCE(""NSE:""&amp;A5, ""volume"")"),6172234)</f>
        <v>6172234</v>
      </c>
      <c r="H73" s="6" t="b">
        <f t="shared" ca="1" si="2"/>
        <v>1</v>
      </c>
      <c r="I73" s="6" t="b">
        <f t="shared" ca="1" si="3"/>
        <v>0</v>
      </c>
      <c r="J73" s="7">
        <f ca="1">IFERROR(__xludf.dummyfunction("GOOGLEFINANCE(""NSE:""&amp;A5, ""changepct"")"),15.22)</f>
        <v>15.22</v>
      </c>
    </row>
    <row r="74" spans="1:10" ht="13.8">
      <c r="A74" s="5" t="s">
        <v>81</v>
      </c>
      <c r="B74" s="6">
        <f ca="1">IFERROR(__xludf.dummyfunction("GOOGLEFINANCE(""NSE:""&amp;A308, ""price"")"),209)</f>
        <v>209</v>
      </c>
      <c r="C74" s="6">
        <f ca="1">IFERROR(__xludf.dummyfunction("GOOGLEFINANCE(""NSE:""&amp;A308, ""priceopen"")"),210.9)</f>
        <v>210.9</v>
      </c>
      <c r="D74" s="6">
        <f ca="1">IFERROR(__xludf.dummyfunction("GOOGLEFINANCE(""NSE:""&amp;A308, ""high"")"),213.4)</f>
        <v>213.4</v>
      </c>
      <c r="E74" s="6">
        <f ca="1">IFERROR(__xludf.dummyfunction("GOOGLEFINANCE(""NSE:""&amp;A308, ""low"")"),207.5)</f>
        <v>207.5</v>
      </c>
      <c r="F74" s="6">
        <f ca="1">IFERROR(__xludf.dummyfunction("GOOGLEFINANCE(""NSE:""&amp;A308, ""closeyest"")"),208.75)</f>
        <v>208.75</v>
      </c>
      <c r="G74" s="6">
        <f ca="1">IFERROR(__xludf.dummyfunction("GOOGLEFINANCE(""NSE:""&amp;A308, ""volume"")"),6079582)</f>
        <v>6079582</v>
      </c>
      <c r="H74" s="6" t="b">
        <f t="shared" ca="1" si="2"/>
        <v>0</v>
      </c>
      <c r="I74" s="6" t="b">
        <f t="shared" ca="1" si="3"/>
        <v>0</v>
      </c>
      <c r="J74" s="7">
        <f ca="1">IFERROR(__xludf.dummyfunction("GOOGLEFINANCE(""NSE:""&amp;A308, ""changepct"")"),0.12)</f>
        <v>0.12</v>
      </c>
    </row>
    <row r="75" spans="1:10" ht="13.8">
      <c r="A75" s="5" t="s">
        <v>82</v>
      </c>
      <c r="B75" s="6">
        <f ca="1">IFERROR(__xludf.dummyfunction("GOOGLEFINANCE(""NSE:""&amp;A8, ""price"")"),3120.75)</f>
        <v>3120.75</v>
      </c>
      <c r="C75" s="6">
        <f ca="1">IFERROR(__xludf.dummyfunction("GOOGLEFINANCE(""NSE:""&amp;A8, ""priceopen"")"),3063.3)</f>
        <v>3063.3</v>
      </c>
      <c r="D75" s="6">
        <f ca="1">IFERROR(__xludf.dummyfunction("GOOGLEFINANCE(""NSE:""&amp;A8, ""high"")"),3293)</f>
        <v>3293</v>
      </c>
      <c r="E75" s="6">
        <f ca="1">IFERROR(__xludf.dummyfunction("GOOGLEFINANCE(""NSE:""&amp;A8, ""low"")"),3063.3)</f>
        <v>3063.3</v>
      </c>
      <c r="F75" s="6">
        <f ca="1">IFERROR(__xludf.dummyfunction("GOOGLEFINANCE(""NSE:""&amp;A8, ""closeyest"")"),2784.85)</f>
        <v>2784.85</v>
      </c>
      <c r="G75" s="6">
        <f ca="1">IFERROR(__xludf.dummyfunction("GOOGLEFINANCE(""NSE:""&amp;A8, ""volume"")"),6015327)</f>
        <v>6015327</v>
      </c>
      <c r="H75" s="6" t="b">
        <f t="shared" ca="1" si="2"/>
        <v>1</v>
      </c>
      <c r="I75" s="6" t="b">
        <f t="shared" ca="1" si="3"/>
        <v>0</v>
      </c>
      <c r="J75" s="7">
        <f ca="1">IFERROR(__xludf.dummyfunction("GOOGLEFINANCE(""NSE:""&amp;A8, ""changepct"")"),12.06)</f>
        <v>12.06</v>
      </c>
    </row>
    <row r="76" spans="1:10" ht="13.8">
      <c r="A76" s="5" t="s">
        <v>83</v>
      </c>
      <c r="B76" s="6">
        <f ca="1">IFERROR(__xludf.dummyfunction("GOOGLEFINANCE(""NSE:""&amp;A40, ""price"")"),138)</f>
        <v>138</v>
      </c>
      <c r="C76" s="6">
        <f ca="1">IFERROR(__xludf.dummyfunction("GOOGLEFINANCE(""NSE:""&amp;A40, ""priceopen"")"),132.5)</f>
        <v>132.5</v>
      </c>
      <c r="D76" s="6">
        <f ca="1">IFERROR(__xludf.dummyfunction("GOOGLEFINANCE(""NSE:""&amp;A40, ""high"")"),138.25)</f>
        <v>138.25</v>
      </c>
      <c r="E76" s="6">
        <f ca="1">IFERROR(__xludf.dummyfunction("GOOGLEFINANCE(""NSE:""&amp;A40, ""low"")"),131.15)</f>
        <v>131.15</v>
      </c>
      <c r="F76" s="6">
        <f ca="1">IFERROR(__xludf.dummyfunction("GOOGLEFINANCE(""NSE:""&amp;A40, ""closeyest"")"),130.2)</f>
        <v>130.19999999999999</v>
      </c>
      <c r="G76" s="6">
        <f ca="1">IFERROR(__xludf.dummyfunction("GOOGLEFINANCE(""NSE:""&amp;A40, ""volume"")"),5887123)</f>
        <v>5887123</v>
      </c>
      <c r="H76" s="6" t="b">
        <f t="shared" ca="1" si="2"/>
        <v>0</v>
      </c>
      <c r="I76" s="6" t="b">
        <f t="shared" ca="1" si="3"/>
        <v>0</v>
      </c>
      <c r="J76" s="7">
        <f ca="1">IFERROR(__xludf.dummyfunction("GOOGLEFINANCE(""NSE:""&amp;A40, ""changepct"")"),5.99)</f>
        <v>5.99</v>
      </c>
    </row>
    <row r="77" spans="1:10" ht="13.8">
      <c r="A77" s="5" t="s">
        <v>84</v>
      </c>
      <c r="B77" s="6">
        <f ca="1">IFERROR(__xludf.dummyfunction("GOOGLEFINANCE(""NSE:""&amp;A329, ""price"")"),950.55)</f>
        <v>950.55</v>
      </c>
      <c r="C77" s="6">
        <f ca="1">IFERROR(__xludf.dummyfunction("GOOGLEFINANCE(""NSE:""&amp;A329, ""priceopen"")"),948.9)</f>
        <v>948.9</v>
      </c>
      <c r="D77" s="6">
        <f ca="1">IFERROR(__xludf.dummyfunction("GOOGLEFINANCE(""NSE:""&amp;A329, ""high"")"),956.8)</f>
        <v>956.8</v>
      </c>
      <c r="E77" s="6">
        <f ca="1">IFERROR(__xludf.dummyfunction("GOOGLEFINANCE(""NSE:""&amp;A329, ""low"")"),945.3)</f>
        <v>945.3</v>
      </c>
      <c r="F77" s="6">
        <f ca="1">IFERROR(__xludf.dummyfunction("GOOGLEFINANCE(""NSE:""&amp;A329, ""closeyest"")"),950.9)</f>
        <v>950.9</v>
      </c>
      <c r="G77" s="6">
        <f ca="1">IFERROR(__xludf.dummyfunction("GOOGLEFINANCE(""NSE:""&amp;A329, ""volume"")"),5716472)</f>
        <v>5716472</v>
      </c>
      <c r="H77" s="6" t="b">
        <f t="shared" ca="1" si="2"/>
        <v>0</v>
      </c>
      <c r="I77" s="6" t="b">
        <f t="shared" ca="1" si="3"/>
        <v>0</v>
      </c>
      <c r="J77" s="7">
        <f ca="1">IFERROR(__xludf.dummyfunction("GOOGLEFINANCE(""NSE:""&amp;A329, ""changepct"")"),-0.04)</f>
        <v>-0.04</v>
      </c>
    </row>
    <row r="78" spans="1:10" ht="13.8">
      <c r="A78" s="5" t="s">
        <v>85</v>
      </c>
      <c r="B78" s="6">
        <f ca="1">IFERROR(__xludf.dummyfunction("GOOGLEFINANCE(""NSE:""&amp;A31, ""price"")"),60.9)</f>
        <v>60.9</v>
      </c>
      <c r="C78" s="6">
        <f ca="1">IFERROR(__xludf.dummyfunction("GOOGLEFINANCE(""NSE:""&amp;A31, ""priceopen"")"),61.25)</f>
        <v>61.25</v>
      </c>
      <c r="D78" s="6">
        <f ca="1">IFERROR(__xludf.dummyfunction("GOOGLEFINANCE(""NSE:""&amp;A31, ""high"")"),62.35)</f>
        <v>62.35</v>
      </c>
      <c r="E78" s="6">
        <f ca="1">IFERROR(__xludf.dummyfunction("GOOGLEFINANCE(""NSE:""&amp;A31, ""low"")"),60.05)</f>
        <v>60.05</v>
      </c>
      <c r="F78" s="6">
        <f ca="1">IFERROR(__xludf.dummyfunction("GOOGLEFINANCE(""NSE:""&amp;A31, ""closeyest"")"),56.95)</f>
        <v>56.95</v>
      </c>
      <c r="G78" s="6">
        <f ca="1">IFERROR(__xludf.dummyfunction("GOOGLEFINANCE(""NSE:""&amp;A31, ""volume"")"),5603883)</f>
        <v>5603883</v>
      </c>
      <c r="H78" s="6" t="b">
        <f t="shared" ca="1" si="2"/>
        <v>0</v>
      </c>
      <c r="I78" s="6" t="b">
        <f t="shared" ca="1" si="3"/>
        <v>0</v>
      </c>
      <c r="J78" s="7">
        <f ca="1">IFERROR(__xludf.dummyfunction("GOOGLEFINANCE(""NSE:""&amp;A31, ""changepct"")"),6.94)</f>
        <v>6.94</v>
      </c>
    </row>
    <row r="79" spans="1:10" ht="13.8">
      <c r="A79" s="5" t="s">
        <v>86</v>
      </c>
      <c r="B79" s="6">
        <f ca="1">IFERROR(__xludf.dummyfunction("GOOGLEFINANCE(""NSE:""&amp;A62, ""price"")"),141.2)</f>
        <v>141.19999999999999</v>
      </c>
      <c r="C79" s="6">
        <f ca="1">IFERROR(__xludf.dummyfunction("GOOGLEFINANCE(""NSE:""&amp;A62, ""priceopen"")"),140)</f>
        <v>140</v>
      </c>
      <c r="D79" s="6">
        <f ca="1">IFERROR(__xludf.dummyfunction("GOOGLEFINANCE(""NSE:""&amp;A62, ""high"")"),145.5)</f>
        <v>145.5</v>
      </c>
      <c r="E79" s="6">
        <f ca="1">IFERROR(__xludf.dummyfunction("GOOGLEFINANCE(""NSE:""&amp;A62, ""low"")"),140)</f>
        <v>140</v>
      </c>
      <c r="F79" s="6">
        <f ca="1">IFERROR(__xludf.dummyfunction("GOOGLEFINANCE(""NSE:""&amp;A62, ""closeyest"")"),134.85)</f>
        <v>134.85</v>
      </c>
      <c r="G79" s="6">
        <f ca="1">IFERROR(__xludf.dummyfunction("GOOGLEFINANCE(""NSE:""&amp;A62, ""volume"")"),5514108)</f>
        <v>5514108</v>
      </c>
      <c r="H79" s="6" t="b">
        <f t="shared" ca="1" si="2"/>
        <v>1</v>
      </c>
      <c r="I79" s="6" t="b">
        <f t="shared" ca="1" si="3"/>
        <v>0</v>
      </c>
      <c r="J79" s="7">
        <f ca="1">IFERROR(__xludf.dummyfunction("GOOGLEFINANCE(""NSE:""&amp;A62, ""changepct"")"),4.71)</f>
        <v>4.71</v>
      </c>
    </row>
    <row r="80" spans="1:10" ht="13.8">
      <c r="A80" s="5" t="s">
        <v>87</v>
      </c>
      <c r="B80" s="6">
        <f ca="1">IFERROR(__xludf.dummyfunction("GOOGLEFINANCE(""NSE:""&amp;A394, ""price"")"),509.05)</f>
        <v>509.05</v>
      </c>
      <c r="C80" s="6">
        <f ca="1">IFERROR(__xludf.dummyfunction("GOOGLEFINANCE(""NSE:""&amp;A394, ""priceopen"")"),515)</f>
        <v>515</v>
      </c>
      <c r="D80" s="6">
        <f ca="1">IFERROR(__xludf.dummyfunction("GOOGLEFINANCE(""NSE:""&amp;A394, ""high"")"),528)</f>
        <v>528</v>
      </c>
      <c r="E80" s="6">
        <f ca="1">IFERROR(__xludf.dummyfunction("GOOGLEFINANCE(""NSE:""&amp;A394, ""low"")"),506.35)</f>
        <v>506.35</v>
      </c>
      <c r="F80" s="6">
        <f ca="1">IFERROR(__xludf.dummyfunction("GOOGLEFINANCE(""NSE:""&amp;A394, ""closeyest"")"),512.3)</f>
        <v>512.29999999999995</v>
      </c>
      <c r="G80" s="6">
        <f ca="1">IFERROR(__xludf.dummyfunction("GOOGLEFINANCE(""NSE:""&amp;A394, ""volume"")"),5418102)</f>
        <v>5418102</v>
      </c>
      <c r="H80" s="6" t="b">
        <f t="shared" ca="1" si="2"/>
        <v>0</v>
      </c>
      <c r="I80" s="6" t="b">
        <f t="shared" ca="1" si="3"/>
        <v>0</v>
      </c>
      <c r="J80" s="7">
        <f ca="1">IFERROR(__xludf.dummyfunction("GOOGLEFINANCE(""NSE:""&amp;A394, ""changepct"")"),-0.63)</f>
        <v>-0.63</v>
      </c>
    </row>
    <row r="81" spans="1:10" ht="13.8">
      <c r="A81" s="5" t="s">
        <v>88</v>
      </c>
      <c r="B81" s="6">
        <f ca="1">IFERROR(__xludf.dummyfunction("GOOGLEFINANCE(""NSE:""&amp;A104, ""price"")"),684)</f>
        <v>684</v>
      </c>
      <c r="C81" s="6">
        <f ca="1">IFERROR(__xludf.dummyfunction("GOOGLEFINANCE(""NSE:""&amp;A104, ""priceopen"")"),668)</f>
        <v>668</v>
      </c>
      <c r="D81" s="6">
        <f ca="1">IFERROR(__xludf.dummyfunction("GOOGLEFINANCE(""NSE:""&amp;A104, ""high"")"),687.35)</f>
        <v>687.35</v>
      </c>
      <c r="E81" s="6">
        <f ca="1">IFERROR(__xludf.dummyfunction("GOOGLEFINANCE(""NSE:""&amp;A104, ""low"")"),662.7)</f>
        <v>662.7</v>
      </c>
      <c r="F81" s="6">
        <f ca="1">IFERROR(__xludf.dummyfunction("GOOGLEFINANCE(""NSE:""&amp;A104, ""closeyest"")"),662.45)</f>
        <v>662.45</v>
      </c>
      <c r="G81" s="6">
        <f ca="1">IFERROR(__xludf.dummyfunction("GOOGLEFINANCE(""NSE:""&amp;A104, ""volume"")"),5362306)</f>
        <v>5362306</v>
      </c>
      <c r="H81" s="6" t="b">
        <f t="shared" ca="1" si="2"/>
        <v>0</v>
      </c>
      <c r="I81" s="6" t="b">
        <f t="shared" ca="1" si="3"/>
        <v>0</v>
      </c>
      <c r="J81" s="7">
        <f ca="1">IFERROR(__xludf.dummyfunction("GOOGLEFINANCE(""NSE:""&amp;A104, ""changepct"")"),3.25)</f>
        <v>3.25</v>
      </c>
    </row>
    <row r="82" spans="1:10" ht="13.8">
      <c r="A82" s="5" t="s">
        <v>89</v>
      </c>
      <c r="B82" s="6">
        <f ca="1">IFERROR(__xludf.dummyfunction("GOOGLEFINANCE(""NSE:""&amp;A253, ""price"")"),6.85)</f>
        <v>6.85</v>
      </c>
      <c r="C82" s="6">
        <f ca="1">IFERROR(__xludf.dummyfunction("GOOGLEFINANCE(""NSE:""&amp;A253, ""priceopen"")"),6.9)</f>
        <v>6.9</v>
      </c>
      <c r="D82" s="6">
        <f ca="1">IFERROR(__xludf.dummyfunction("GOOGLEFINANCE(""NSE:""&amp;A253, ""high"")"),6.9)</f>
        <v>6.9</v>
      </c>
      <c r="E82" s="6">
        <f ca="1">IFERROR(__xludf.dummyfunction("GOOGLEFINANCE(""NSE:""&amp;A253, ""low"")"),6.8)</f>
        <v>6.8</v>
      </c>
      <c r="F82" s="6">
        <f ca="1">IFERROR(__xludf.dummyfunction("GOOGLEFINANCE(""NSE:""&amp;A253, ""closeyest"")"),6.8)</f>
        <v>6.8</v>
      </c>
      <c r="G82" s="6">
        <f ca="1">IFERROR(__xludf.dummyfunction("GOOGLEFINANCE(""NSE:""&amp;A253, ""volume"")"),5358414)</f>
        <v>5358414</v>
      </c>
      <c r="H82" s="6" t="b">
        <f t="shared" ca="1" si="2"/>
        <v>0</v>
      </c>
      <c r="I82" s="6" t="b">
        <f t="shared" ca="1" si="3"/>
        <v>1</v>
      </c>
      <c r="J82" s="7">
        <f ca="1">IFERROR(__xludf.dummyfunction("GOOGLEFINANCE(""NSE:""&amp;A253, ""changepct"")"),0.74)</f>
        <v>0.74</v>
      </c>
    </row>
    <row r="83" spans="1:10" ht="13.8">
      <c r="A83" s="5" t="s">
        <v>90</v>
      </c>
      <c r="B83" s="6">
        <f ca="1">IFERROR(__xludf.dummyfunction("GOOGLEFINANCE(""NSE:""&amp;A222, ""price"")"),1103.2)</f>
        <v>1103.2</v>
      </c>
      <c r="C83" s="6">
        <f ca="1">IFERROR(__xludf.dummyfunction("GOOGLEFINANCE(""NSE:""&amp;A222, ""priceopen"")"),1093)</f>
        <v>1093</v>
      </c>
      <c r="D83" s="6">
        <f ca="1">IFERROR(__xludf.dummyfunction("GOOGLEFINANCE(""NSE:""&amp;A222, ""high"")"),1114.6)</f>
        <v>1114.5999999999999</v>
      </c>
      <c r="E83" s="6">
        <f ca="1">IFERROR(__xludf.dummyfunction("GOOGLEFINANCE(""NSE:""&amp;A222, ""low"")"),1084)</f>
        <v>1084</v>
      </c>
      <c r="F83" s="6">
        <f ca="1">IFERROR(__xludf.dummyfunction("GOOGLEFINANCE(""NSE:""&amp;A222, ""closeyest"")"),1091.05)</f>
        <v>1091.05</v>
      </c>
      <c r="G83" s="6">
        <f ca="1">IFERROR(__xludf.dummyfunction("GOOGLEFINANCE(""NSE:""&amp;A222, ""volume"")"),5186001)</f>
        <v>5186001</v>
      </c>
      <c r="H83" s="6" t="b">
        <f t="shared" ca="1" si="2"/>
        <v>0</v>
      </c>
      <c r="I83" s="6" t="b">
        <f t="shared" ca="1" si="3"/>
        <v>0</v>
      </c>
      <c r="J83" s="7">
        <f ca="1">IFERROR(__xludf.dummyfunction("GOOGLEFINANCE(""NSE:""&amp;A222, ""changepct"")"),1.11)</f>
        <v>1.1100000000000001</v>
      </c>
    </row>
    <row r="84" spans="1:10" ht="13.8">
      <c r="A84" s="5" t="s">
        <v>91</v>
      </c>
      <c r="B84" s="6">
        <f ca="1">IFERROR(__xludf.dummyfunction("GOOGLEFINANCE(""NSE:""&amp;A401, ""price"")"),134.4)</f>
        <v>134.4</v>
      </c>
      <c r="C84" s="6">
        <f ca="1">IFERROR(__xludf.dummyfunction("GOOGLEFINANCE(""NSE:""&amp;A401, ""priceopen"")"),136.8)</f>
        <v>136.80000000000001</v>
      </c>
      <c r="D84" s="6">
        <f ca="1">IFERROR(__xludf.dummyfunction("GOOGLEFINANCE(""NSE:""&amp;A401, ""high"")"),137.35)</f>
        <v>137.35</v>
      </c>
      <c r="E84" s="6">
        <f ca="1">IFERROR(__xludf.dummyfunction("GOOGLEFINANCE(""NSE:""&amp;A401, ""low"")"),133.2)</f>
        <v>133.19999999999999</v>
      </c>
      <c r="F84" s="6">
        <f ca="1">IFERROR(__xludf.dummyfunction("GOOGLEFINANCE(""NSE:""&amp;A401, ""closeyest"")"),135.35)</f>
        <v>135.35</v>
      </c>
      <c r="G84" s="6">
        <f ca="1">IFERROR(__xludf.dummyfunction("GOOGLEFINANCE(""NSE:""&amp;A401, ""volume"")"),5167258)</f>
        <v>5167258</v>
      </c>
      <c r="H84" s="6" t="b">
        <f t="shared" ca="1" si="2"/>
        <v>0</v>
      </c>
      <c r="I84" s="6" t="b">
        <f t="shared" ca="1" si="3"/>
        <v>0</v>
      </c>
      <c r="J84" s="7">
        <f ca="1">IFERROR(__xludf.dummyfunction("GOOGLEFINANCE(""NSE:""&amp;A401, ""changepct"")"),-0.7)</f>
        <v>-0.7</v>
      </c>
    </row>
    <row r="85" spans="1:10" ht="13.8">
      <c r="A85" s="5" t="s">
        <v>92</v>
      </c>
      <c r="B85" s="6">
        <f ca="1">IFERROR(__xludf.dummyfunction("GOOGLEFINANCE(""NSE:""&amp;A360, ""price"")"),30.7)</f>
        <v>30.7</v>
      </c>
      <c r="C85" s="6">
        <f ca="1">IFERROR(__xludf.dummyfunction("GOOGLEFINANCE(""NSE:""&amp;A360, ""priceopen"")"),31.1)</f>
        <v>31.1</v>
      </c>
      <c r="D85" s="6">
        <f ca="1">IFERROR(__xludf.dummyfunction("GOOGLEFINANCE(""NSE:""&amp;A360, ""high"")"),31.15)</f>
        <v>31.15</v>
      </c>
      <c r="E85" s="6">
        <f ca="1">IFERROR(__xludf.dummyfunction("GOOGLEFINANCE(""NSE:""&amp;A360, ""low"")"),30.5)</f>
        <v>30.5</v>
      </c>
      <c r="F85" s="6">
        <f ca="1">IFERROR(__xludf.dummyfunction("GOOGLEFINANCE(""NSE:""&amp;A360, ""closeyest"")"),30.8)</f>
        <v>30.8</v>
      </c>
      <c r="G85" s="6">
        <f ca="1">IFERROR(__xludf.dummyfunction("GOOGLEFINANCE(""NSE:""&amp;A360, ""volume"")"),5073495)</f>
        <v>5073495</v>
      </c>
      <c r="H85" s="6" t="b">
        <f t="shared" ca="1" si="2"/>
        <v>0</v>
      </c>
      <c r="I85" s="6" t="b">
        <f t="shared" ca="1" si="3"/>
        <v>0</v>
      </c>
      <c r="J85" s="7">
        <f ca="1">IFERROR(__xludf.dummyfunction("GOOGLEFINANCE(""NSE:""&amp;A360, ""changepct"")"),-0.32)</f>
        <v>-0.32</v>
      </c>
    </row>
    <row r="86" spans="1:10" ht="13.8">
      <c r="A86" s="5" t="s">
        <v>93</v>
      </c>
      <c r="B86" s="6">
        <f ca="1">IFERROR(__xludf.dummyfunction("GOOGLEFINANCE(""NSE:""&amp;A374, ""price"")"),23.15)</f>
        <v>23.15</v>
      </c>
      <c r="C86" s="6">
        <f ca="1">IFERROR(__xludf.dummyfunction("GOOGLEFINANCE(""NSE:""&amp;A374, ""priceopen"")"),23.45)</f>
        <v>23.45</v>
      </c>
      <c r="D86" s="6">
        <f ca="1">IFERROR(__xludf.dummyfunction("GOOGLEFINANCE(""NSE:""&amp;A374, ""high"")"),23.75)</f>
        <v>23.75</v>
      </c>
      <c r="E86" s="6">
        <f ca="1">IFERROR(__xludf.dummyfunction("GOOGLEFINANCE(""NSE:""&amp;A374, ""low"")"),23.05)</f>
        <v>23.05</v>
      </c>
      <c r="F86" s="6">
        <f ca="1">IFERROR(__xludf.dummyfunction("GOOGLEFINANCE(""NSE:""&amp;A374, ""closeyest"")"),23.25)</f>
        <v>23.25</v>
      </c>
      <c r="G86" s="6">
        <f ca="1">IFERROR(__xludf.dummyfunction("GOOGLEFINANCE(""NSE:""&amp;A374, ""volume"")"),4997621)</f>
        <v>4997621</v>
      </c>
      <c r="H86" s="6" t="b">
        <f t="shared" ca="1" si="2"/>
        <v>0</v>
      </c>
      <c r="I86" s="6" t="b">
        <f t="shared" ca="1" si="3"/>
        <v>0</v>
      </c>
      <c r="J86" s="7">
        <f ca="1">IFERROR(__xludf.dummyfunction("GOOGLEFINANCE(""NSE:""&amp;A374, ""changepct"")"),-0.43)</f>
        <v>-0.43</v>
      </c>
    </row>
    <row r="87" spans="1:10" ht="13.8">
      <c r="A87" s="5" t="s">
        <v>94</v>
      </c>
      <c r="B87" s="6">
        <f ca="1">IFERROR(__xludf.dummyfunction("GOOGLEFINANCE(""NSE:""&amp;A4, ""price"")"),84.6)</f>
        <v>84.6</v>
      </c>
      <c r="C87" s="6">
        <f ca="1">IFERROR(__xludf.dummyfunction("GOOGLEFINANCE(""NSE:""&amp;A4, ""priceopen"")"),74.75)</f>
        <v>74.75</v>
      </c>
      <c r="D87" s="6">
        <f ca="1">IFERROR(__xludf.dummyfunction("GOOGLEFINANCE(""NSE:""&amp;A4, ""high"")"),85.4)</f>
        <v>85.4</v>
      </c>
      <c r="E87" s="6">
        <f ca="1">IFERROR(__xludf.dummyfunction("GOOGLEFINANCE(""NSE:""&amp;A4, ""low"")"),73.8)</f>
        <v>73.8</v>
      </c>
      <c r="F87" s="6">
        <f ca="1">IFERROR(__xludf.dummyfunction("GOOGLEFINANCE(""NSE:""&amp;A4, ""closeyest"")"),73.35)</f>
        <v>73.349999999999994</v>
      </c>
      <c r="G87" s="6">
        <f ca="1">IFERROR(__xludf.dummyfunction("GOOGLEFINANCE(""NSE:""&amp;A4, ""volume"")"),4938205)</f>
        <v>4938205</v>
      </c>
      <c r="H87" s="6" t="b">
        <f t="shared" ca="1" si="2"/>
        <v>0</v>
      </c>
      <c r="I87" s="6" t="b">
        <f t="shared" ca="1" si="3"/>
        <v>0</v>
      </c>
      <c r="J87" s="7">
        <f ca="1">IFERROR(__xludf.dummyfunction("GOOGLEFINANCE(""NSE:""&amp;A4, ""changepct"")"),15.34)</f>
        <v>15.34</v>
      </c>
    </row>
    <row r="88" spans="1:10" ht="13.8">
      <c r="A88" s="5" t="s">
        <v>95</v>
      </c>
      <c r="B88" s="6">
        <f ca="1">IFERROR(__xludf.dummyfunction("GOOGLEFINANCE(""NSE:""&amp;A116, ""price"")"),68.9)</f>
        <v>68.900000000000006</v>
      </c>
      <c r="C88" s="6">
        <f ca="1">IFERROR(__xludf.dummyfunction("GOOGLEFINANCE(""NSE:""&amp;A116, ""priceopen"")"),67.65)</f>
        <v>67.650000000000006</v>
      </c>
      <c r="D88" s="6">
        <f ca="1">IFERROR(__xludf.dummyfunction("GOOGLEFINANCE(""NSE:""&amp;A116, ""high"")"),70.25)</f>
        <v>70.25</v>
      </c>
      <c r="E88" s="6">
        <f ca="1">IFERROR(__xludf.dummyfunction("GOOGLEFINANCE(""NSE:""&amp;A116, ""low"")"),66.2)</f>
        <v>66.2</v>
      </c>
      <c r="F88" s="6">
        <f ca="1">IFERROR(__xludf.dummyfunction("GOOGLEFINANCE(""NSE:""&amp;A116, ""closeyest"")"),66.95)</f>
        <v>66.95</v>
      </c>
      <c r="G88" s="6">
        <f ca="1">IFERROR(__xludf.dummyfunction("GOOGLEFINANCE(""NSE:""&amp;A116, ""volume"")"),4654606)</f>
        <v>4654606</v>
      </c>
      <c r="H88" s="6" t="b">
        <f t="shared" ca="1" si="2"/>
        <v>0</v>
      </c>
      <c r="I88" s="6" t="b">
        <f t="shared" ca="1" si="3"/>
        <v>0</v>
      </c>
      <c r="J88" s="7">
        <f ca="1">IFERROR(__xludf.dummyfunction("GOOGLEFINANCE(""NSE:""&amp;A116, ""changepct"")"),2.91)</f>
        <v>2.91</v>
      </c>
    </row>
    <row r="89" spans="1:10" ht="13.8">
      <c r="A89" s="5" t="s">
        <v>96</v>
      </c>
      <c r="B89" s="6">
        <f ca="1">IFERROR(__xludf.dummyfunction("GOOGLEFINANCE(""NSE:""&amp;A86, ""price"")"),148)</f>
        <v>148</v>
      </c>
      <c r="C89" s="6">
        <f ca="1">IFERROR(__xludf.dummyfunction("GOOGLEFINANCE(""NSE:""&amp;A86, ""priceopen"")"),143.7)</f>
        <v>143.69999999999999</v>
      </c>
      <c r="D89" s="6">
        <f ca="1">IFERROR(__xludf.dummyfunction("GOOGLEFINANCE(""NSE:""&amp;A86, ""high"")"),151.15)</f>
        <v>151.15</v>
      </c>
      <c r="E89" s="6">
        <f ca="1">IFERROR(__xludf.dummyfunction("GOOGLEFINANCE(""NSE:""&amp;A86, ""low"")"),140.65)</f>
        <v>140.65</v>
      </c>
      <c r="F89" s="6">
        <f ca="1">IFERROR(__xludf.dummyfunction("GOOGLEFINANCE(""NSE:""&amp;A86, ""closeyest"")"),142.85)</f>
        <v>142.85</v>
      </c>
      <c r="G89" s="6">
        <f ca="1">IFERROR(__xludf.dummyfunction("GOOGLEFINANCE(""NSE:""&amp;A86, ""volume"")"),4630321)</f>
        <v>4630321</v>
      </c>
      <c r="H89" s="6" t="b">
        <f t="shared" ca="1" si="2"/>
        <v>0</v>
      </c>
      <c r="I89" s="6" t="b">
        <f t="shared" ca="1" si="3"/>
        <v>0</v>
      </c>
      <c r="J89" s="7">
        <f ca="1">IFERROR(__xludf.dummyfunction("GOOGLEFINANCE(""NSE:""&amp;A86, ""changepct"")"),3.61)</f>
        <v>3.61</v>
      </c>
    </row>
    <row r="90" spans="1:10" ht="13.8">
      <c r="A90" s="5" t="s">
        <v>508</v>
      </c>
      <c r="B90" s="6">
        <f ca="1">IFERROR(__xludf.dummyfunction("GOOGLEFINANCE(""NSE:""&amp;A36, ""price"")"),149.25)</f>
        <v>149.25</v>
      </c>
      <c r="C90" s="6">
        <f ca="1">IFERROR(__xludf.dummyfunction("GOOGLEFINANCE(""NSE:""&amp;A36, ""priceopen"")"),144.25)</f>
        <v>144.25</v>
      </c>
      <c r="D90" s="6">
        <f ca="1">IFERROR(__xludf.dummyfunction("GOOGLEFINANCE(""NSE:""&amp;A36, ""high"")"),164.25)</f>
        <v>164.25</v>
      </c>
      <c r="E90" s="6">
        <f ca="1">IFERROR(__xludf.dummyfunction("GOOGLEFINANCE(""NSE:""&amp;A36, ""low"")"),143.9)</f>
        <v>143.9</v>
      </c>
      <c r="F90" s="6">
        <f ca="1">IFERROR(__xludf.dummyfunction("GOOGLEFINANCE(""NSE:""&amp;A36, ""closeyest"")"),140.5)</f>
        <v>140.5</v>
      </c>
      <c r="G90" s="6">
        <f ca="1">IFERROR(__xludf.dummyfunction("GOOGLEFINANCE(""NSE:""&amp;A36, ""volume"")"),4443265)</f>
        <v>4443265</v>
      </c>
      <c r="H90" s="6" t="b">
        <f t="shared" ca="1" si="2"/>
        <v>0</v>
      </c>
      <c r="I90" s="6" t="b">
        <f t="shared" ca="1" si="3"/>
        <v>0</v>
      </c>
      <c r="J90" s="7">
        <f ca="1">IFERROR(__xludf.dummyfunction("GOOGLEFINANCE(""NSE:""&amp;A36, ""changepct"")"),6.23)</f>
        <v>6.23</v>
      </c>
    </row>
    <row r="91" spans="1:10" ht="13.8">
      <c r="A91" s="5" t="s">
        <v>97</v>
      </c>
      <c r="B91" s="6">
        <f ca="1">IFERROR(__xludf.dummyfunction("GOOGLEFINANCE(""NSE:""&amp;A232, ""price"")"),177.75)</f>
        <v>177.75</v>
      </c>
      <c r="C91" s="6">
        <f ca="1">IFERROR(__xludf.dummyfunction("GOOGLEFINANCE(""NSE:""&amp;A232, ""priceopen"")"),176.85)</f>
        <v>176.85</v>
      </c>
      <c r="D91" s="6">
        <f ca="1">IFERROR(__xludf.dummyfunction("GOOGLEFINANCE(""NSE:""&amp;A232, ""high"")"),178.8)</f>
        <v>178.8</v>
      </c>
      <c r="E91" s="6">
        <f ca="1">IFERROR(__xludf.dummyfunction("GOOGLEFINANCE(""NSE:""&amp;A232, ""low"")"),176.25)</f>
        <v>176.25</v>
      </c>
      <c r="F91" s="6">
        <f ca="1">IFERROR(__xludf.dummyfunction("GOOGLEFINANCE(""NSE:""&amp;A232, ""closeyest"")"),175.95)</f>
        <v>175.95</v>
      </c>
      <c r="G91" s="6">
        <f ca="1">IFERROR(__xludf.dummyfunction("GOOGLEFINANCE(""NSE:""&amp;A232, ""volume"")"),4368462)</f>
        <v>4368462</v>
      </c>
      <c r="H91" s="6" t="b">
        <f t="shared" ca="1" si="2"/>
        <v>0</v>
      </c>
      <c r="I91" s="6" t="b">
        <f t="shared" ca="1" si="3"/>
        <v>0</v>
      </c>
      <c r="J91" s="7">
        <f ca="1">IFERROR(__xludf.dummyfunction("GOOGLEFINANCE(""NSE:""&amp;A232, ""changepct"")"),1.02)</f>
        <v>1.02</v>
      </c>
    </row>
    <row r="92" spans="1:10" ht="13.8">
      <c r="A92" s="5" t="s">
        <v>98</v>
      </c>
      <c r="B92" s="6">
        <f ca="1">IFERROR(__xludf.dummyfunction("GOOGLEFINANCE(""NSE:""&amp;A426, ""price"")"),82.45)</f>
        <v>82.45</v>
      </c>
      <c r="C92" s="6">
        <f ca="1">IFERROR(__xludf.dummyfunction("GOOGLEFINANCE(""NSE:""&amp;A426, ""priceopen"")"),84.3)</f>
        <v>84.3</v>
      </c>
      <c r="D92" s="6">
        <f ca="1">IFERROR(__xludf.dummyfunction("GOOGLEFINANCE(""NSE:""&amp;A426, ""high"")"),84.8)</f>
        <v>84.8</v>
      </c>
      <c r="E92" s="6">
        <f ca="1">IFERROR(__xludf.dummyfunction("GOOGLEFINANCE(""NSE:""&amp;A426, ""low"")"),82)</f>
        <v>82</v>
      </c>
      <c r="F92" s="6">
        <f ca="1">IFERROR(__xludf.dummyfunction("GOOGLEFINANCE(""NSE:""&amp;A426, ""closeyest"")"),83.25)</f>
        <v>83.25</v>
      </c>
      <c r="G92" s="6">
        <f ca="1">IFERROR(__xludf.dummyfunction("GOOGLEFINANCE(""NSE:""&amp;A426, ""volume"")"),4339807)</f>
        <v>4339807</v>
      </c>
      <c r="H92" s="6" t="b">
        <f t="shared" ca="1" si="2"/>
        <v>0</v>
      </c>
      <c r="I92" s="6" t="b">
        <f t="shared" ca="1" si="3"/>
        <v>0</v>
      </c>
      <c r="J92" s="7">
        <f ca="1">IFERROR(__xludf.dummyfunction("GOOGLEFINANCE(""NSE:""&amp;A426, ""changepct"")"),-0.96)</f>
        <v>-0.96</v>
      </c>
    </row>
    <row r="93" spans="1:10" ht="13.8">
      <c r="A93" s="5" t="s">
        <v>99</v>
      </c>
      <c r="B93" s="6">
        <f ca="1">IFERROR(__xludf.dummyfunction("GOOGLEFINANCE(""NSE:""&amp;A181, ""price"")"),54.1)</f>
        <v>54.1</v>
      </c>
      <c r="C93" s="6">
        <f ca="1">IFERROR(__xludf.dummyfunction("GOOGLEFINANCE(""NSE:""&amp;A181, ""priceopen"")"),53.4)</f>
        <v>53.4</v>
      </c>
      <c r="D93" s="6">
        <f ca="1">IFERROR(__xludf.dummyfunction("GOOGLEFINANCE(""NSE:""&amp;A181, ""high"")"),54.6)</f>
        <v>54.6</v>
      </c>
      <c r="E93" s="6">
        <f ca="1">IFERROR(__xludf.dummyfunction("GOOGLEFINANCE(""NSE:""&amp;A181, ""low"")"),53.4)</f>
        <v>53.4</v>
      </c>
      <c r="F93" s="6">
        <f ca="1">IFERROR(__xludf.dummyfunction("GOOGLEFINANCE(""NSE:""&amp;A181, ""closeyest"")"),53.2)</f>
        <v>53.2</v>
      </c>
      <c r="G93" s="6">
        <f ca="1">IFERROR(__xludf.dummyfunction("GOOGLEFINANCE(""NSE:""&amp;A181, ""volume"")"),4144553)</f>
        <v>4144553</v>
      </c>
      <c r="H93" s="6" t="b">
        <f t="shared" ca="1" si="2"/>
        <v>1</v>
      </c>
      <c r="I93" s="6" t="b">
        <f t="shared" ca="1" si="3"/>
        <v>0</v>
      </c>
      <c r="J93" s="7">
        <f ca="1">IFERROR(__xludf.dummyfunction("GOOGLEFINANCE(""NSE:""&amp;A181, ""changepct"")"),1.69)</f>
        <v>1.69</v>
      </c>
    </row>
    <row r="94" spans="1:10" ht="13.8">
      <c r="A94" s="5" t="s">
        <v>100</v>
      </c>
      <c r="B94" s="6">
        <f ca="1">IFERROR(__xludf.dummyfunction("GOOGLEFINANCE(""NSE:""&amp;A497, ""price"")"),242.6)</f>
        <v>242.6</v>
      </c>
      <c r="C94" s="6">
        <f ca="1">IFERROR(__xludf.dummyfunction("GOOGLEFINANCE(""NSE:""&amp;A497, ""priceopen"")"),254.9)</f>
        <v>254.9</v>
      </c>
      <c r="D94" s="6">
        <f ca="1">IFERROR(__xludf.dummyfunction("GOOGLEFINANCE(""NSE:""&amp;A497, ""high"")"),257.7)</f>
        <v>257.7</v>
      </c>
      <c r="E94" s="6">
        <f ca="1">IFERROR(__xludf.dummyfunction("GOOGLEFINANCE(""NSE:""&amp;A497, ""low"")"),237.5)</f>
        <v>237.5</v>
      </c>
      <c r="F94" s="6">
        <f ca="1">IFERROR(__xludf.dummyfunction("GOOGLEFINANCE(""NSE:""&amp;A497, ""closeyest"")"),252.95)</f>
        <v>252.95</v>
      </c>
      <c r="G94" s="6">
        <f ca="1">IFERROR(__xludf.dummyfunction("GOOGLEFINANCE(""NSE:""&amp;A497, ""volume"")"),3876124)</f>
        <v>3876124</v>
      </c>
      <c r="H94" s="6" t="b">
        <f t="shared" ca="1" si="2"/>
        <v>0</v>
      </c>
      <c r="I94" s="6" t="b">
        <f t="shared" ca="1" si="3"/>
        <v>0</v>
      </c>
      <c r="J94" s="7">
        <f ca="1">IFERROR(__xludf.dummyfunction("GOOGLEFINANCE(""NSE:""&amp;A497, ""changepct"")"),-4.09)</f>
        <v>-4.09</v>
      </c>
    </row>
    <row r="95" spans="1:10" ht="13.8">
      <c r="A95" s="5" t="s">
        <v>101</v>
      </c>
      <c r="B95" s="6">
        <f ca="1">IFERROR(__xludf.dummyfunction("GOOGLEFINANCE(""NSE:""&amp;A20, ""price"")"),238)</f>
        <v>238</v>
      </c>
      <c r="C95" s="6">
        <f ca="1">IFERROR(__xludf.dummyfunction("GOOGLEFINANCE(""NSE:""&amp;A20, ""priceopen"")"),220)</f>
        <v>220</v>
      </c>
      <c r="D95" s="6">
        <f ca="1">IFERROR(__xludf.dummyfunction("GOOGLEFINANCE(""NSE:""&amp;A20, ""high"")"),248.7)</f>
        <v>248.7</v>
      </c>
      <c r="E95" s="6">
        <f ca="1">IFERROR(__xludf.dummyfunction("GOOGLEFINANCE(""NSE:""&amp;A20, ""low"")"),219)</f>
        <v>219</v>
      </c>
      <c r="F95" s="6">
        <f ca="1">IFERROR(__xludf.dummyfunction("GOOGLEFINANCE(""NSE:""&amp;A20, ""closeyest"")"),218.45)</f>
        <v>218.45</v>
      </c>
      <c r="G95" s="6">
        <f ca="1">IFERROR(__xludf.dummyfunction("GOOGLEFINANCE(""NSE:""&amp;A20, ""volume"")"),3843058)</f>
        <v>3843058</v>
      </c>
      <c r="H95" s="6" t="b">
        <f t="shared" ca="1" si="2"/>
        <v>0</v>
      </c>
      <c r="I95" s="6" t="b">
        <f t="shared" ca="1" si="3"/>
        <v>0</v>
      </c>
      <c r="J95" s="7">
        <f ca="1">IFERROR(__xludf.dummyfunction("GOOGLEFINANCE(""NSE:""&amp;A20, ""changepct"")"),8.95)</f>
        <v>8.9499999999999993</v>
      </c>
    </row>
    <row r="96" spans="1:10" ht="13.8">
      <c r="A96" s="5" t="s">
        <v>102</v>
      </c>
      <c r="B96" s="6">
        <f ca="1">IFERROR(__xludf.dummyfunction("GOOGLEFINANCE(""NSE:""&amp;A423, ""price"")"),107.7)</f>
        <v>107.7</v>
      </c>
      <c r="C96" s="6">
        <f ca="1">IFERROR(__xludf.dummyfunction("GOOGLEFINANCE(""NSE:""&amp;A423, ""priceopen"")"),112.5)</f>
        <v>112.5</v>
      </c>
      <c r="D96" s="6">
        <f ca="1">IFERROR(__xludf.dummyfunction("GOOGLEFINANCE(""NSE:""&amp;A423, ""high"")"),112.5)</f>
        <v>112.5</v>
      </c>
      <c r="E96" s="6">
        <f ca="1">IFERROR(__xludf.dummyfunction("GOOGLEFINANCE(""NSE:""&amp;A423, ""low"")"),107)</f>
        <v>107</v>
      </c>
      <c r="F96" s="6">
        <f ca="1">IFERROR(__xludf.dummyfunction("GOOGLEFINANCE(""NSE:""&amp;A423, ""closeyest"")"),108.7)</f>
        <v>108.7</v>
      </c>
      <c r="G96" s="6">
        <f ca="1">IFERROR(__xludf.dummyfunction("GOOGLEFINANCE(""NSE:""&amp;A423, ""volume"")"),3811743)</f>
        <v>3811743</v>
      </c>
      <c r="H96" s="6" t="b">
        <f t="shared" ca="1" si="2"/>
        <v>0</v>
      </c>
      <c r="I96" s="6" t="b">
        <f t="shared" ca="1" si="3"/>
        <v>1</v>
      </c>
      <c r="J96" s="7">
        <f ca="1">IFERROR(__xludf.dummyfunction("GOOGLEFINANCE(""NSE:""&amp;A423, ""changepct"")"),-0.92)</f>
        <v>-0.92</v>
      </c>
    </row>
    <row r="97" spans="1:10" ht="13.8">
      <c r="A97" s="5" t="s">
        <v>103</v>
      </c>
      <c r="B97" s="6">
        <f ca="1">IFERROR(__xludf.dummyfunction("GOOGLEFINANCE(""NSE:""&amp;A204, ""price"")"),263.1)</f>
        <v>263.10000000000002</v>
      </c>
      <c r="C97" s="6">
        <f ca="1">IFERROR(__xludf.dummyfunction("GOOGLEFINANCE(""NSE:""&amp;A204, ""priceopen"")"),261.4)</f>
        <v>261.39999999999998</v>
      </c>
      <c r="D97" s="6">
        <f ca="1">IFERROR(__xludf.dummyfunction("GOOGLEFINANCE(""NSE:""&amp;A204, ""high"")"),265.8)</f>
        <v>265.8</v>
      </c>
      <c r="E97" s="6">
        <f ca="1">IFERROR(__xludf.dummyfunction("GOOGLEFINANCE(""NSE:""&amp;A204, ""low"")"),260.85)</f>
        <v>260.85000000000002</v>
      </c>
      <c r="F97" s="6">
        <f ca="1">IFERROR(__xludf.dummyfunction("GOOGLEFINANCE(""NSE:""&amp;A204, ""closeyest"")"),259.55)</f>
        <v>259.55</v>
      </c>
      <c r="G97" s="6">
        <f ca="1">IFERROR(__xludf.dummyfunction("GOOGLEFINANCE(""NSE:""&amp;A204, ""volume"")"),3794630)</f>
        <v>3794630</v>
      </c>
      <c r="H97" s="6" t="b">
        <f t="shared" ca="1" si="2"/>
        <v>0</v>
      </c>
      <c r="I97" s="6" t="b">
        <f t="shared" ca="1" si="3"/>
        <v>0</v>
      </c>
      <c r="J97" s="7">
        <f ca="1">IFERROR(__xludf.dummyfunction("GOOGLEFINANCE(""NSE:""&amp;A204, ""changepct"")"),1.37)</f>
        <v>1.37</v>
      </c>
    </row>
    <row r="98" spans="1:10" ht="13.8">
      <c r="A98" s="5" t="s">
        <v>104</v>
      </c>
      <c r="B98" s="6">
        <f ca="1">IFERROR(__xludf.dummyfunction("GOOGLEFINANCE(""NSE:""&amp;A274, ""price"")"),693.25)</f>
        <v>693.25</v>
      </c>
      <c r="C98" s="6">
        <f ca="1">IFERROR(__xludf.dummyfunction("GOOGLEFINANCE(""NSE:""&amp;A274, ""priceopen"")"),694.95)</f>
        <v>694.95</v>
      </c>
      <c r="D98" s="6">
        <f ca="1">IFERROR(__xludf.dummyfunction("GOOGLEFINANCE(""NSE:""&amp;A274, ""high"")"),694.95)</f>
        <v>694.95</v>
      </c>
      <c r="E98" s="6">
        <f ca="1">IFERROR(__xludf.dummyfunction("GOOGLEFINANCE(""NSE:""&amp;A274, ""low"")"),685.1)</f>
        <v>685.1</v>
      </c>
      <c r="F98" s="6">
        <f ca="1">IFERROR(__xludf.dummyfunction("GOOGLEFINANCE(""NSE:""&amp;A274, ""closeyest"")"),690.3)</f>
        <v>690.3</v>
      </c>
      <c r="G98" s="6">
        <f ca="1">IFERROR(__xludf.dummyfunction("GOOGLEFINANCE(""NSE:""&amp;A274, ""volume"")"),3769575)</f>
        <v>3769575</v>
      </c>
      <c r="H98" s="6" t="b">
        <f t="shared" ca="1" si="2"/>
        <v>0</v>
      </c>
      <c r="I98" s="6" t="b">
        <f t="shared" ca="1" si="3"/>
        <v>1</v>
      </c>
      <c r="J98" s="7">
        <f ca="1">IFERROR(__xludf.dummyfunction("GOOGLEFINANCE(""NSE:""&amp;A274, ""changepct"")"),0.43)</f>
        <v>0.43</v>
      </c>
    </row>
    <row r="99" spans="1:10" ht="13.8">
      <c r="A99" s="5" t="s">
        <v>105</v>
      </c>
      <c r="B99" s="6">
        <f ca="1">IFERROR(__xludf.dummyfunction("GOOGLEFINANCE(""NSE:""&amp;A15, ""price"")"),1124.95)</f>
        <v>1124.95</v>
      </c>
      <c r="C99" s="6">
        <f ca="1">IFERROR(__xludf.dummyfunction("GOOGLEFINANCE(""NSE:""&amp;A15, ""priceopen"")"),1034)</f>
        <v>1034</v>
      </c>
      <c r="D99" s="6">
        <f ca="1">IFERROR(__xludf.dummyfunction("GOOGLEFINANCE(""NSE:""&amp;A15, ""high"")"),1124.95)</f>
        <v>1124.95</v>
      </c>
      <c r="E99" s="6">
        <f ca="1">IFERROR(__xludf.dummyfunction("GOOGLEFINANCE(""NSE:""&amp;A15, ""low"")"),1034)</f>
        <v>1034</v>
      </c>
      <c r="F99" s="6">
        <f ca="1">IFERROR(__xludf.dummyfunction("GOOGLEFINANCE(""NSE:""&amp;A15, ""closeyest"")"),1022.7)</f>
        <v>1022.7</v>
      </c>
      <c r="G99" s="6">
        <f ca="1">IFERROR(__xludf.dummyfunction("GOOGLEFINANCE(""NSE:""&amp;A15, ""volume"")"),3741219)</f>
        <v>3741219</v>
      </c>
      <c r="H99" s="6" t="b">
        <f t="shared" ca="1" si="2"/>
        <v>1</v>
      </c>
      <c r="I99" s="6" t="b">
        <f t="shared" ca="1" si="3"/>
        <v>0</v>
      </c>
      <c r="J99" s="7">
        <f ca="1">IFERROR(__xludf.dummyfunction("GOOGLEFINANCE(""NSE:""&amp;A15, ""changepct"")"),10)</f>
        <v>10</v>
      </c>
    </row>
    <row r="100" spans="1:10" ht="13.8">
      <c r="A100" s="5" t="s">
        <v>106</v>
      </c>
      <c r="B100" s="6">
        <f ca="1">IFERROR(__xludf.dummyfunction("GOOGLEFINANCE(""NSE:""&amp;A33, ""price"")"),57.6)</f>
        <v>57.6</v>
      </c>
      <c r="C100" s="6">
        <f ca="1">IFERROR(__xludf.dummyfunction("GOOGLEFINANCE(""NSE:""&amp;A33, ""priceopen"")"),53.9)</f>
        <v>53.9</v>
      </c>
      <c r="D100" s="6">
        <f ca="1">IFERROR(__xludf.dummyfunction("GOOGLEFINANCE(""NSE:""&amp;A33, ""high"")"),58.8)</f>
        <v>58.8</v>
      </c>
      <c r="E100" s="6">
        <f ca="1">IFERROR(__xludf.dummyfunction("GOOGLEFINANCE(""NSE:""&amp;A33, ""low"")"),53.9)</f>
        <v>53.9</v>
      </c>
      <c r="F100" s="6">
        <f ca="1">IFERROR(__xludf.dummyfunction("GOOGLEFINANCE(""NSE:""&amp;A33, ""closeyest"")"),53.95)</f>
        <v>53.95</v>
      </c>
      <c r="G100" s="6">
        <f ca="1">IFERROR(__xludf.dummyfunction("GOOGLEFINANCE(""NSE:""&amp;A33, ""volume"")"),3682531)</f>
        <v>3682531</v>
      </c>
      <c r="H100" s="6" t="b">
        <f t="shared" ca="1" si="2"/>
        <v>1</v>
      </c>
      <c r="I100" s="6" t="b">
        <f t="shared" ca="1" si="3"/>
        <v>0</v>
      </c>
      <c r="J100" s="7">
        <f ca="1">IFERROR(__xludf.dummyfunction("GOOGLEFINANCE(""NSE:""&amp;A33, ""changepct"")"),6.77)</f>
        <v>6.77</v>
      </c>
    </row>
    <row r="101" spans="1:10" ht="13.8">
      <c r="A101" s="5" t="s">
        <v>107</v>
      </c>
      <c r="B101" s="6">
        <f ca="1">IFERROR(__xludf.dummyfunction("GOOGLEFINANCE(""NSE:""&amp;A492, ""price"")"),1176)</f>
        <v>1176</v>
      </c>
      <c r="C101" s="6">
        <f ca="1">IFERROR(__xludf.dummyfunction("GOOGLEFINANCE(""NSE:""&amp;A492, ""priceopen"")"),1221)</f>
        <v>1221</v>
      </c>
      <c r="D101" s="6">
        <f ca="1">IFERROR(__xludf.dummyfunction("GOOGLEFINANCE(""NSE:""&amp;A492, ""high"")"),1226)</f>
        <v>1226</v>
      </c>
      <c r="E101" s="6">
        <f ca="1">IFERROR(__xludf.dummyfunction("GOOGLEFINANCE(""NSE:""&amp;A492, ""low"")"),1158)</f>
        <v>1158</v>
      </c>
      <c r="F101" s="6">
        <f ca="1">IFERROR(__xludf.dummyfunction("GOOGLEFINANCE(""NSE:""&amp;A492, ""closeyest"")"),1217)</f>
        <v>1217</v>
      </c>
      <c r="G101" s="6">
        <f ca="1">IFERROR(__xludf.dummyfunction("GOOGLEFINANCE(""NSE:""&amp;A492, ""volume"")"),3680405)</f>
        <v>3680405</v>
      </c>
      <c r="H101" s="6" t="b">
        <f t="shared" ca="1" si="2"/>
        <v>0</v>
      </c>
      <c r="I101" s="6" t="b">
        <f t="shared" ca="1" si="3"/>
        <v>0</v>
      </c>
      <c r="J101" s="7">
        <f ca="1">IFERROR(__xludf.dummyfunction("GOOGLEFINANCE(""NSE:""&amp;A492, ""changepct"")"),-3.37)</f>
        <v>-3.37</v>
      </c>
    </row>
    <row r="102" spans="1:10" ht="13.8">
      <c r="A102" s="5" t="s">
        <v>108</v>
      </c>
      <c r="B102" s="6">
        <f ca="1">IFERROR(__xludf.dummyfunction("GOOGLEFINANCE(""NSE:""&amp;A296, ""price"")"),24.35)</f>
        <v>24.35</v>
      </c>
      <c r="C102" s="6">
        <f ca="1">IFERROR(__xludf.dummyfunction("GOOGLEFINANCE(""NSE:""&amp;A296, ""priceopen"")"),24.5)</f>
        <v>24.5</v>
      </c>
      <c r="D102" s="6">
        <f ca="1">IFERROR(__xludf.dummyfunction("GOOGLEFINANCE(""NSE:""&amp;A296, ""high"")"),24.6)</f>
        <v>24.6</v>
      </c>
      <c r="E102" s="6">
        <f ca="1">IFERROR(__xludf.dummyfunction("GOOGLEFINANCE(""NSE:""&amp;A296, ""low"")"),24.1)</f>
        <v>24.1</v>
      </c>
      <c r="F102" s="6">
        <f ca="1">IFERROR(__xludf.dummyfunction("GOOGLEFINANCE(""NSE:""&amp;A296, ""closeyest"")"),24.3)</f>
        <v>24.3</v>
      </c>
      <c r="G102" s="6">
        <f ca="1">IFERROR(__xludf.dummyfunction("GOOGLEFINANCE(""NSE:""&amp;A296, ""volume"")"),3621875)</f>
        <v>3621875</v>
      </c>
      <c r="H102" s="6" t="b">
        <f t="shared" ca="1" si="2"/>
        <v>0</v>
      </c>
      <c r="I102" s="6" t="b">
        <f t="shared" ca="1" si="3"/>
        <v>0</v>
      </c>
      <c r="J102" s="7">
        <f ca="1">IFERROR(__xludf.dummyfunction("GOOGLEFINANCE(""NSE:""&amp;A296, ""changepct"")"),0.21)</f>
        <v>0.21</v>
      </c>
    </row>
    <row r="103" spans="1:10" ht="13.8">
      <c r="A103" s="5" t="s">
        <v>109</v>
      </c>
      <c r="B103" s="6">
        <f ca="1">IFERROR(__xludf.dummyfunction("GOOGLEFINANCE(""NSE:""&amp;A22, ""price"")"),62.9)</f>
        <v>62.9</v>
      </c>
      <c r="C103" s="6">
        <f ca="1">IFERROR(__xludf.dummyfunction("GOOGLEFINANCE(""NSE:""&amp;A22, ""priceopen"")"),59)</f>
        <v>59</v>
      </c>
      <c r="D103" s="6">
        <f ca="1">IFERROR(__xludf.dummyfunction("GOOGLEFINANCE(""NSE:""&amp;A22, ""high"")"),63)</f>
        <v>63</v>
      </c>
      <c r="E103" s="6">
        <f ca="1">IFERROR(__xludf.dummyfunction("GOOGLEFINANCE(""NSE:""&amp;A22, ""low"")"),58.55)</f>
        <v>58.55</v>
      </c>
      <c r="F103" s="6">
        <f ca="1">IFERROR(__xludf.dummyfunction("GOOGLEFINANCE(""NSE:""&amp;A22, ""closeyest"")"),58)</f>
        <v>58</v>
      </c>
      <c r="G103" s="6">
        <f ca="1">IFERROR(__xludf.dummyfunction("GOOGLEFINANCE(""NSE:""&amp;A22, ""volume"")"),3614962)</f>
        <v>3614962</v>
      </c>
      <c r="H103" s="6" t="b">
        <f t="shared" ca="1" si="2"/>
        <v>0</v>
      </c>
      <c r="I103" s="6" t="b">
        <f t="shared" ca="1" si="3"/>
        <v>0</v>
      </c>
      <c r="J103" s="7">
        <f ca="1">IFERROR(__xludf.dummyfunction("GOOGLEFINANCE(""NSE:""&amp;A22, ""changepct"")"),8.45)</f>
        <v>8.4499999999999993</v>
      </c>
    </row>
    <row r="104" spans="1:10" ht="13.8">
      <c r="A104" s="5" t="s">
        <v>110</v>
      </c>
      <c r="B104" s="6">
        <f ca="1">IFERROR(__xludf.dummyfunction("GOOGLEFINANCE(""NSE:""&amp;A170, ""price"")"),211.4)</f>
        <v>211.4</v>
      </c>
      <c r="C104" s="6">
        <f ca="1">IFERROR(__xludf.dummyfunction("GOOGLEFINANCE(""NSE:""&amp;A170, ""priceopen"")"),204)</f>
        <v>204</v>
      </c>
      <c r="D104" s="6">
        <f ca="1">IFERROR(__xludf.dummyfunction("GOOGLEFINANCE(""NSE:""&amp;A170, ""high"")"),214.75)</f>
        <v>214.75</v>
      </c>
      <c r="E104" s="6">
        <f ca="1">IFERROR(__xludf.dummyfunction("GOOGLEFINANCE(""NSE:""&amp;A170, ""low"")"),204)</f>
        <v>204</v>
      </c>
      <c r="F104" s="6">
        <f ca="1">IFERROR(__xludf.dummyfunction("GOOGLEFINANCE(""NSE:""&amp;A170, ""closeyest"")"),207.55)</f>
        <v>207.55</v>
      </c>
      <c r="G104" s="6">
        <f ca="1">IFERROR(__xludf.dummyfunction("GOOGLEFINANCE(""NSE:""&amp;A170, ""volume"")"),3606070)</f>
        <v>3606070</v>
      </c>
      <c r="H104" s="6" t="b">
        <f t="shared" ca="1" si="2"/>
        <v>1</v>
      </c>
      <c r="I104" s="6" t="b">
        <f t="shared" ca="1" si="3"/>
        <v>0</v>
      </c>
      <c r="J104" s="7">
        <f ca="1">IFERROR(__xludf.dummyfunction("GOOGLEFINANCE(""NSE:""&amp;A170, ""changepct"")"),1.85)</f>
        <v>1.85</v>
      </c>
    </row>
    <row r="105" spans="1:10" ht="13.8">
      <c r="A105" s="5" t="s">
        <v>111</v>
      </c>
      <c r="B105" s="6">
        <f ca="1">IFERROR(__xludf.dummyfunction("GOOGLEFINANCE(""NSE:""&amp;A39, ""price"")"),51)</f>
        <v>51</v>
      </c>
      <c r="C105" s="6">
        <f ca="1">IFERROR(__xludf.dummyfunction("GOOGLEFINANCE(""NSE:""&amp;A39, ""priceopen"")"),48.7)</f>
        <v>48.7</v>
      </c>
      <c r="D105" s="6">
        <f ca="1">IFERROR(__xludf.dummyfunction("GOOGLEFINANCE(""NSE:""&amp;A39, ""high"")"),51.4)</f>
        <v>51.4</v>
      </c>
      <c r="E105" s="6">
        <f ca="1">IFERROR(__xludf.dummyfunction("GOOGLEFINANCE(""NSE:""&amp;A39, ""low"")"),48.5)</f>
        <v>48.5</v>
      </c>
      <c r="F105" s="6">
        <f ca="1">IFERROR(__xludf.dummyfunction("GOOGLEFINANCE(""NSE:""&amp;A39, ""closeyest"")"),48.1)</f>
        <v>48.1</v>
      </c>
      <c r="G105" s="6">
        <f ca="1">IFERROR(__xludf.dummyfunction("GOOGLEFINANCE(""NSE:""&amp;A39, ""volume"")"),3568833)</f>
        <v>3568833</v>
      </c>
      <c r="H105" s="6" t="b">
        <f t="shared" ca="1" si="2"/>
        <v>0</v>
      </c>
      <c r="I105" s="6" t="b">
        <f t="shared" ca="1" si="3"/>
        <v>0</v>
      </c>
      <c r="J105" s="7">
        <f ca="1">IFERROR(__xludf.dummyfunction("GOOGLEFINANCE(""NSE:""&amp;A39, ""changepct"")"),6.03)</f>
        <v>6.03</v>
      </c>
    </row>
    <row r="106" spans="1:10" ht="13.8">
      <c r="A106" s="5" t="s">
        <v>112</v>
      </c>
      <c r="B106" s="6">
        <f ca="1">IFERROR(__xludf.dummyfunction("GOOGLEFINANCE(""NSE:""&amp;A281, ""price"")"),162.5)</f>
        <v>162.5</v>
      </c>
      <c r="C106" s="6">
        <f ca="1">IFERROR(__xludf.dummyfunction("GOOGLEFINANCE(""NSE:""&amp;A281, ""priceopen"")"),161.9)</f>
        <v>161.9</v>
      </c>
      <c r="D106" s="6">
        <f ca="1">IFERROR(__xludf.dummyfunction("GOOGLEFINANCE(""NSE:""&amp;A281, ""high"")"),164.6)</f>
        <v>164.6</v>
      </c>
      <c r="E106" s="6">
        <f ca="1">IFERROR(__xludf.dummyfunction("GOOGLEFINANCE(""NSE:""&amp;A281, ""low"")"),161.9)</f>
        <v>161.9</v>
      </c>
      <c r="F106" s="6">
        <f ca="1">IFERROR(__xludf.dummyfunction("GOOGLEFINANCE(""NSE:""&amp;A281, ""closeyest"")"),161.9)</f>
        <v>161.9</v>
      </c>
      <c r="G106" s="6">
        <f ca="1">IFERROR(__xludf.dummyfunction("GOOGLEFINANCE(""NSE:""&amp;A281, ""volume"")"),3559519)</f>
        <v>3559519</v>
      </c>
      <c r="H106" s="6" t="b">
        <f t="shared" ca="1" si="2"/>
        <v>1</v>
      </c>
      <c r="I106" s="6" t="b">
        <f t="shared" ca="1" si="3"/>
        <v>0</v>
      </c>
      <c r="J106" s="7">
        <f ca="1">IFERROR(__xludf.dummyfunction("GOOGLEFINANCE(""NSE:""&amp;A281, ""changepct"")"),0.37)</f>
        <v>0.37</v>
      </c>
    </row>
    <row r="107" spans="1:10" ht="13.8">
      <c r="A107" s="5" t="s">
        <v>113</v>
      </c>
      <c r="B107" s="6">
        <f ca="1">IFERROR(__xludf.dummyfunction("GOOGLEFINANCE(""NSE:""&amp;A333, ""price"")"),101.8)</f>
        <v>101.8</v>
      </c>
      <c r="C107" s="6">
        <f ca="1">IFERROR(__xludf.dummyfunction("GOOGLEFINANCE(""NSE:""&amp;A333, ""priceopen"")"),101.9)</f>
        <v>101.9</v>
      </c>
      <c r="D107" s="6">
        <f ca="1">IFERROR(__xludf.dummyfunction("GOOGLEFINANCE(""NSE:""&amp;A333, ""high"")"),102.65)</f>
        <v>102.65</v>
      </c>
      <c r="E107" s="6">
        <f ca="1">IFERROR(__xludf.dummyfunction("GOOGLEFINANCE(""NSE:""&amp;A333, ""low"")"),101.55)</f>
        <v>101.55</v>
      </c>
      <c r="F107" s="6">
        <f ca="1">IFERROR(__xludf.dummyfunction("GOOGLEFINANCE(""NSE:""&amp;A333, ""closeyest"")"),101.9)</f>
        <v>101.9</v>
      </c>
      <c r="G107" s="6">
        <f ca="1">IFERROR(__xludf.dummyfunction("GOOGLEFINANCE(""NSE:""&amp;A333, ""volume"")"),3534942)</f>
        <v>3534942</v>
      </c>
      <c r="H107" s="6" t="b">
        <f t="shared" ca="1" si="2"/>
        <v>0</v>
      </c>
      <c r="I107" s="6" t="b">
        <f t="shared" ca="1" si="3"/>
        <v>0</v>
      </c>
      <c r="J107" s="7">
        <f ca="1">IFERROR(__xludf.dummyfunction("GOOGLEFINANCE(""NSE:""&amp;A333, ""changepct"")"),-0.1)</f>
        <v>-0.1</v>
      </c>
    </row>
    <row r="108" spans="1:10" ht="13.8">
      <c r="A108" s="5" t="s">
        <v>114</v>
      </c>
      <c r="B108" s="6">
        <f ca="1">IFERROR(__xludf.dummyfunction("GOOGLEFINANCE(""NSE:""&amp;A9, ""price"")"),50.3)</f>
        <v>50.3</v>
      </c>
      <c r="C108" s="6">
        <f ca="1">IFERROR(__xludf.dummyfunction("GOOGLEFINANCE(""NSE:""&amp;A9, ""priceopen"")"),46)</f>
        <v>46</v>
      </c>
      <c r="D108" s="6">
        <f ca="1">IFERROR(__xludf.dummyfunction("GOOGLEFINANCE(""NSE:""&amp;A9, ""high"")"),52.4)</f>
        <v>52.4</v>
      </c>
      <c r="E108" s="6">
        <f ca="1">IFERROR(__xludf.dummyfunction("GOOGLEFINANCE(""NSE:""&amp;A9, ""low"")"),45.5)</f>
        <v>45.5</v>
      </c>
      <c r="F108" s="6">
        <f ca="1">IFERROR(__xludf.dummyfunction("GOOGLEFINANCE(""NSE:""&amp;A9, ""closeyest"")"),45.05)</f>
        <v>45.05</v>
      </c>
      <c r="G108" s="6">
        <f ca="1">IFERROR(__xludf.dummyfunction("GOOGLEFINANCE(""NSE:""&amp;A9, ""volume"")"),3357305)</f>
        <v>3357305</v>
      </c>
      <c r="H108" s="6" t="b">
        <f t="shared" ca="1" si="2"/>
        <v>0</v>
      </c>
      <c r="I108" s="6" t="b">
        <f t="shared" ca="1" si="3"/>
        <v>0</v>
      </c>
      <c r="J108" s="7">
        <f ca="1">IFERROR(__xludf.dummyfunction("GOOGLEFINANCE(""NSE:""&amp;A9, ""changepct"")"),11.65)</f>
        <v>11.65</v>
      </c>
    </row>
    <row r="109" spans="1:10" ht="13.8">
      <c r="A109" s="5" t="s">
        <v>115</v>
      </c>
      <c r="B109" s="6">
        <f ca="1">IFERROR(__xludf.dummyfunction("GOOGLEFINANCE(""NSE:""&amp;A79, ""price"")"),81)</f>
        <v>81</v>
      </c>
      <c r="C109" s="6">
        <f ca="1">IFERROR(__xludf.dummyfunction("GOOGLEFINANCE(""NSE:""&amp;A79, ""priceopen"")"),79.3)</f>
        <v>79.3</v>
      </c>
      <c r="D109" s="6">
        <f ca="1">IFERROR(__xludf.dummyfunction("GOOGLEFINANCE(""NSE:""&amp;A79, ""high"")"),81.4)</f>
        <v>81.400000000000006</v>
      </c>
      <c r="E109" s="6">
        <f ca="1">IFERROR(__xludf.dummyfunction("GOOGLEFINANCE(""NSE:""&amp;A79, ""low"")"),78.1)</f>
        <v>78.099999999999994</v>
      </c>
      <c r="F109" s="6">
        <f ca="1">IFERROR(__xludf.dummyfunction("GOOGLEFINANCE(""NSE:""&amp;A79, ""closeyest"")"),77.85)</f>
        <v>77.849999999999994</v>
      </c>
      <c r="G109" s="6">
        <f ca="1">IFERROR(__xludf.dummyfunction("GOOGLEFINANCE(""NSE:""&amp;A79, ""volume"")"),3326350)</f>
        <v>3326350</v>
      </c>
      <c r="H109" s="6" t="b">
        <f t="shared" ca="1" si="2"/>
        <v>0</v>
      </c>
      <c r="I109" s="6" t="b">
        <f t="shared" ca="1" si="3"/>
        <v>0</v>
      </c>
      <c r="J109" s="7">
        <f ca="1">IFERROR(__xludf.dummyfunction("GOOGLEFINANCE(""NSE:""&amp;A79, ""changepct"")"),4.05)</f>
        <v>4.05</v>
      </c>
    </row>
    <row r="110" spans="1:10" ht="13.8">
      <c r="A110" s="5" t="s">
        <v>116</v>
      </c>
      <c r="B110" s="6">
        <f ca="1">IFERROR(__xludf.dummyfunction("GOOGLEFINANCE(""NSE:""&amp;A207, ""price"")"),222.5)</f>
        <v>222.5</v>
      </c>
      <c r="C110" s="6">
        <f ca="1">IFERROR(__xludf.dummyfunction("GOOGLEFINANCE(""NSE:""&amp;A207, ""priceopen"")"),221)</f>
        <v>221</v>
      </c>
      <c r="D110" s="6">
        <f ca="1">IFERROR(__xludf.dummyfunction("GOOGLEFINANCE(""NSE:""&amp;A207, ""high"")"),223.5)</f>
        <v>223.5</v>
      </c>
      <c r="E110" s="6">
        <f ca="1">IFERROR(__xludf.dummyfunction("GOOGLEFINANCE(""NSE:""&amp;A207, ""low"")"),219.55)</f>
        <v>219.55</v>
      </c>
      <c r="F110" s="6">
        <f ca="1">IFERROR(__xludf.dummyfunction("GOOGLEFINANCE(""NSE:""&amp;A207, ""closeyest"")"),219.55)</f>
        <v>219.55</v>
      </c>
      <c r="G110" s="6">
        <f ca="1">IFERROR(__xludf.dummyfunction("GOOGLEFINANCE(""NSE:""&amp;A207, ""volume"")"),3306247)</f>
        <v>3306247</v>
      </c>
      <c r="H110" s="6" t="b">
        <f t="shared" ca="1" si="2"/>
        <v>0</v>
      </c>
      <c r="I110" s="6" t="b">
        <f t="shared" ca="1" si="3"/>
        <v>0</v>
      </c>
      <c r="J110" s="7">
        <f ca="1">IFERROR(__xludf.dummyfunction("GOOGLEFINANCE(""NSE:""&amp;A207, ""changepct"")"),1.34)</f>
        <v>1.34</v>
      </c>
    </row>
    <row r="111" spans="1:10" ht="13.8">
      <c r="A111" s="5" t="s">
        <v>117</v>
      </c>
      <c r="B111" s="6">
        <f ca="1">IFERROR(__xludf.dummyfunction("GOOGLEFINANCE(""NSE:""&amp;A76, ""price"")"),436.7)</f>
        <v>436.7</v>
      </c>
      <c r="C111" s="6">
        <f ca="1">IFERROR(__xludf.dummyfunction("GOOGLEFINANCE(""NSE:""&amp;A76, ""priceopen"")"),457)</f>
        <v>457</v>
      </c>
      <c r="D111" s="6">
        <f ca="1">IFERROR(__xludf.dummyfunction("GOOGLEFINANCE(""NSE:""&amp;A76, ""high"")"),465)</f>
        <v>465</v>
      </c>
      <c r="E111" s="6">
        <f ca="1">IFERROR(__xludf.dummyfunction("GOOGLEFINANCE(""NSE:""&amp;A76, ""low"")"),432.7)</f>
        <v>432.7</v>
      </c>
      <c r="F111" s="6">
        <f ca="1">IFERROR(__xludf.dummyfunction("GOOGLEFINANCE(""NSE:""&amp;A76, ""closeyest"")"),419.45)</f>
        <v>419.45</v>
      </c>
      <c r="G111" s="6">
        <f ca="1">IFERROR(__xludf.dummyfunction("GOOGLEFINANCE(""NSE:""&amp;A76, ""volume"")"),3255828)</f>
        <v>3255828</v>
      </c>
      <c r="H111" s="6" t="b">
        <f t="shared" ca="1" si="2"/>
        <v>0</v>
      </c>
      <c r="I111" s="6" t="b">
        <f t="shared" ca="1" si="3"/>
        <v>0</v>
      </c>
      <c r="J111" s="7">
        <f ca="1">IFERROR(__xludf.dummyfunction("GOOGLEFINANCE(""NSE:""&amp;A76, ""changepct"")"),4.11)</f>
        <v>4.1100000000000003</v>
      </c>
    </row>
    <row r="112" spans="1:10" ht="13.8">
      <c r="A112" s="5" t="s">
        <v>118</v>
      </c>
      <c r="B112" s="6">
        <f ca="1">IFERROR(__xludf.dummyfunction("GOOGLEFINANCE(""NSE:""&amp;A201, ""price"")"),331.25)</f>
        <v>331.25</v>
      </c>
      <c r="C112" s="6">
        <f ca="1">IFERROR(__xludf.dummyfunction("GOOGLEFINANCE(""NSE:""&amp;A201, ""priceopen"")"),329)</f>
        <v>329</v>
      </c>
      <c r="D112" s="6">
        <f ca="1">IFERROR(__xludf.dummyfunction("GOOGLEFINANCE(""NSE:""&amp;A201, ""high"")"),333.95)</f>
        <v>333.95</v>
      </c>
      <c r="E112" s="6">
        <f ca="1">IFERROR(__xludf.dummyfunction("GOOGLEFINANCE(""NSE:""&amp;A201, ""low"")"),325.7)</f>
        <v>325.7</v>
      </c>
      <c r="F112" s="6">
        <f ca="1">IFERROR(__xludf.dummyfunction("GOOGLEFINANCE(""NSE:""&amp;A201, ""closeyest"")"),326.65)</f>
        <v>326.64999999999998</v>
      </c>
      <c r="G112" s="6">
        <f ca="1">IFERROR(__xludf.dummyfunction("GOOGLEFINANCE(""NSE:""&amp;A201, ""volume"")"),3187734)</f>
        <v>3187734</v>
      </c>
      <c r="H112" s="6" t="b">
        <f t="shared" ca="1" si="2"/>
        <v>0</v>
      </c>
      <c r="I112" s="6" t="b">
        <f t="shared" ca="1" si="3"/>
        <v>0</v>
      </c>
      <c r="J112" s="7">
        <f ca="1">IFERROR(__xludf.dummyfunction("GOOGLEFINANCE(""NSE:""&amp;A201, ""changepct"")"),1.41)</f>
        <v>1.41</v>
      </c>
    </row>
    <row r="113" spans="1:10" ht="13.8">
      <c r="A113" s="5" t="s">
        <v>119</v>
      </c>
      <c r="B113" s="6">
        <f ca="1">IFERROR(__xludf.dummyfunction("GOOGLEFINANCE(""NSE:""&amp;A304, ""price"")"),108.5)</f>
        <v>108.5</v>
      </c>
      <c r="C113" s="6">
        <f ca="1">IFERROR(__xludf.dummyfunction("GOOGLEFINANCE(""NSE:""&amp;A304, ""priceopen"")"),110.9)</f>
        <v>110.9</v>
      </c>
      <c r="D113" s="6">
        <f ca="1">IFERROR(__xludf.dummyfunction("GOOGLEFINANCE(""NSE:""&amp;A304, ""high"")"),114)</f>
        <v>114</v>
      </c>
      <c r="E113" s="6">
        <f ca="1">IFERROR(__xludf.dummyfunction("GOOGLEFINANCE(""NSE:""&amp;A304, ""low"")"),105.45)</f>
        <v>105.45</v>
      </c>
      <c r="F113" s="6">
        <f ca="1">IFERROR(__xludf.dummyfunction("GOOGLEFINANCE(""NSE:""&amp;A304, ""closeyest"")"),108.35)</f>
        <v>108.35</v>
      </c>
      <c r="G113" s="6">
        <f ca="1">IFERROR(__xludf.dummyfunction("GOOGLEFINANCE(""NSE:""&amp;A304, ""volume"")"),3061429)</f>
        <v>3061429</v>
      </c>
      <c r="H113" s="6" t="b">
        <f t="shared" ca="1" si="2"/>
        <v>0</v>
      </c>
      <c r="I113" s="6" t="b">
        <f t="shared" ca="1" si="3"/>
        <v>0</v>
      </c>
      <c r="J113" s="7">
        <f ca="1">IFERROR(__xludf.dummyfunction("GOOGLEFINANCE(""NSE:""&amp;A304, ""changepct"")"),0.14)</f>
        <v>0.14000000000000001</v>
      </c>
    </row>
    <row r="114" spans="1:10" ht="13.8">
      <c r="A114" s="5" t="s">
        <v>120</v>
      </c>
      <c r="B114" s="6">
        <f ca="1">IFERROR(__xludf.dummyfunction("GOOGLEFINANCE(""NSE:""&amp;A193, ""price"")"),51.8)</f>
        <v>51.8</v>
      </c>
      <c r="C114" s="6">
        <f ca="1">IFERROR(__xludf.dummyfunction("GOOGLEFINANCE(""NSE:""&amp;A193, ""priceopen"")"),51.75)</f>
        <v>51.75</v>
      </c>
      <c r="D114" s="6">
        <f ca="1">IFERROR(__xludf.dummyfunction("GOOGLEFINANCE(""NSE:""&amp;A193, ""high"")"),52.4)</f>
        <v>52.4</v>
      </c>
      <c r="E114" s="6">
        <f ca="1">IFERROR(__xludf.dummyfunction("GOOGLEFINANCE(""NSE:""&amp;A193, ""low"")"),51.2)</f>
        <v>51.2</v>
      </c>
      <c r="F114" s="6">
        <f ca="1">IFERROR(__xludf.dummyfunction("GOOGLEFINANCE(""NSE:""&amp;A193, ""closeyest"")"),51)</f>
        <v>51</v>
      </c>
      <c r="G114" s="6">
        <f ca="1">IFERROR(__xludf.dummyfunction("GOOGLEFINANCE(""NSE:""&amp;A193, ""volume"")"),3055022)</f>
        <v>3055022</v>
      </c>
      <c r="H114" s="6" t="b">
        <f t="shared" ca="1" si="2"/>
        <v>0</v>
      </c>
      <c r="I114" s="6" t="b">
        <f t="shared" ca="1" si="3"/>
        <v>0</v>
      </c>
      <c r="J114" s="7">
        <f ca="1">IFERROR(__xludf.dummyfunction("GOOGLEFINANCE(""NSE:""&amp;A193, ""changepct"")"),1.57)</f>
        <v>1.57</v>
      </c>
    </row>
    <row r="115" spans="1:10" ht="13.8">
      <c r="A115" s="5" t="s">
        <v>121</v>
      </c>
      <c r="B115" s="6">
        <f ca="1">IFERROR(__xludf.dummyfunction("GOOGLEFINANCE(""NSE:""&amp;A225, ""price"")"),1796.6)</f>
        <v>1796.6</v>
      </c>
      <c r="C115" s="6">
        <f ca="1">IFERROR(__xludf.dummyfunction("GOOGLEFINANCE(""NSE:""&amp;A225, ""priceopen"")"),1794)</f>
        <v>1794</v>
      </c>
      <c r="D115" s="6">
        <f ca="1">IFERROR(__xludf.dummyfunction("GOOGLEFINANCE(""NSE:""&amp;A225, ""high"")"),1811)</f>
        <v>1811</v>
      </c>
      <c r="E115" s="6">
        <f ca="1">IFERROR(__xludf.dummyfunction("GOOGLEFINANCE(""NSE:""&amp;A225, ""low"")"),1789.3)</f>
        <v>1789.3</v>
      </c>
      <c r="F115" s="6">
        <f ca="1">IFERROR(__xludf.dummyfunction("GOOGLEFINANCE(""NSE:""&amp;A225, ""closeyest"")"),1777.7)</f>
        <v>1777.7</v>
      </c>
      <c r="G115" s="6">
        <f ca="1">IFERROR(__xludf.dummyfunction("GOOGLEFINANCE(""NSE:""&amp;A225, ""volume"")"),3030917)</f>
        <v>3030917</v>
      </c>
      <c r="H115" s="6" t="b">
        <f t="shared" ca="1" si="2"/>
        <v>0</v>
      </c>
      <c r="I115" s="6" t="b">
        <f t="shared" ca="1" si="3"/>
        <v>0</v>
      </c>
      <c r="J115" s="7">
        <f ca="1">IFERROR(__xludf.dummyfunction("GOOGLEFINANCE(""NSE:""&amp;A225, ""changepct"")"),1.06)</f>
        <v>1.06</v>
      </c>
    </row>
    <row r="116" spans="1:10" ht="13.8">
      <c r="A116" s="5" t="s">
        <v>122</v>
      </c>
      <c r="B116" s="6">
        <f ca="1">IFERROR(__xludf.dummyfunction("GOOGLEFINANCE(""NSE:""&amp;A461, ""price"")"),6.45)</f>
        <v>6.45</v>
      </c>
      <c r="C116" s="6">
        <f ca="1">IFERROR(__xludf.dummyfunction("GOOGLEFINANCE(""NSE:""&amp;A461, ""priceopen"")"),6.7)</f>
        <v>6.7</v>
      </c>
      <c r="D116" s="6">
        <f ca="1">IFERROR(__xludf.dummyfunction("GOOGLEFINANCE(""NSE:""&amp;A461, ""high"")"),6.7)</f>
        <v>6.7</v>
      </c>
      <c r="E116" s="6">
        <f ca="1">IFERROR(__xludf.dummyfunction("GOOGLEFINANCE(""NSE:""&amp;A461, ""low"")"),6.45)</f>
        <v>6.45</v>
      </c>
      <c r="F116" s="6">
        <f ca="1">IFERROR(__xludf.dummyfunction("GOOGLEFINANCE(""NSE:""&amp;A461, ""closeyest"")"),6.55)</f>
        <v>6.55</v>
      </c>
      <c r="G116" s="6">
        <f ca="1">IFERROR(__xludf.dummyfunction("GOOGLEFINANCE(""NSE:""&amp;A461, ""volume"")"),3027991)</f>
        <v>3027991</v>
      </c>
      <c r="H116" s="6" t="b">
        <f t="shared" ca="1" si="2"/>
        <v>0</v>
      </c>
      <c r="I116" s="6" t="b">
        <f t="shared" ca="1" si="3"/>
        <v>1</v>
      </c>
      <c r="J116" s="7">
        <f ca="1">IFERROR(__xludf.dummyfunction("GOOGLEFINANCE(""NSE:""&amp;A461, ""changepct"")"),-1.53)</f>
        <v>-1.53</v>
      </c>
    </row>
    <row r="117" spans="1:10" ht="13.8">
      <c r="A117" s="5" t="s">
        <v>123</v>
      </c>
      <c r="B117" s="6">
        <f ca="1">IFERROR(__xludf.dummyfunction("GOOGLEFINANCE(""NSE:""&amp;A202, ""price"")"),1361)</f>
        <v>1361</v>
      </c>
      <c r="C117" s="6">
        <f ca="1">IFERROR(__xludf.dummyfunction("GOOGLEFINANCE(""NSE:""&amp;A202, ""priceopen"")"),1349)</f>
        <v>1349</v>
      </c>
      <c r="D117" s="6">
        <f ca="1">IFERROR(__xludf.dummyfunction("GOOGLEFINANCE(""NSE:""&amp;A202, ""high"")"),1380)</f>
        <v>1380</v>
      </c>
      <c r="E117" s="6">
        <f ca="1">IFERROR(__xludf.dummyfunction("GOOGLEFINANCE(""NSE:""&amp;A202, ""low"")"),1346.2)</f>
        <v>1346.2</v>
      </c>
      <c r="F117" s="6">
        <f ca="1">IFERROR(__xludf.dummyfunction("GOOGLEFINANCE(""NSE:""&amp;A202, ""closeyest"")"),1342.5)</f>
        <v>1342.5</v>
      </c>
      <c r="G117" s="6">
        <f ca="1">IFERROR(__xludf.dummyfunction("GOOGLEFINANCE(""NSE:""&amp;A202, ""volume"")"),2960057)</f>
        <v>2960057</v>
      </c>
      <c r="H117" s="6" t="b">
        <f t="shared" ca="1" si="2"/>
        <v>0</v>
      </c>
      <c r="I117" s="6" t="b">
        <f t="shared" ca="1" si="3"/>
        <v>0</v>
      </c>
      <c r="J117" s="7">
        <f ca="1">IFERROR(__xludf.dummyfunction("GOOGLEFINANCE(""NSE:""&amp;A202, ""changepct"")"),1.38)</f>
        <v>1.38</v>
      </c>
    </row>
    <row r="118" spans="1:10" ht="13.8">
      <c r="A118" s="5" t="s">
        <v>124</v>
      </c>
      <c r="B118" s="6">
        <f ca="1">IFERROR(__xludf.dummyfunction("GOOGLEFINANCE(""NSE:""&amp;A385, ""price"")"),2283)</f>
        <v>2283</v>
      </c>
      <c r="C118" s="6">
        <f ca="1">IFERROR(__xludf.dummyfunction("GOOGLEFINANCE(""NSE:""&amp;A385, ""priceopen"")"),2318)</f>
        <v>2318</v>
      </c>
      <c r="D118" s="6">
        <f ca="1">IFERROR(__xludf.dummyfunction("GOOGLEFINANCE(""NSE:""&amp;A385, ""high"")"),2325)</f>
        <v>2325</v>
      </c>
      <c r="E118" s="6">
        <f ca="1">IFERROR(__xludf.dummyfunction("GOOGLEFINANCE(""NSE:""&amp;A385, ""low"")"),2276.05)</f>
        <v>2276.0500000000002</v>
      </c>
      <c r="F118" s="6">
        <f ca="1">IFERROR(__xludf.dummyfunction("GOOGLEFINANCE(""NSE:""&amp;A385, ""closeyest"")"),2295.35)</f>
        <v>2295.35</v>
      </c>
      <c r="G118" s="6">
        <f ca="1">IFERROR(__xludf.dummyfunction("GOOGLEFINANCE(""NSE:""&amp;A385, ""volume"")"),2929385)</f>
        <v>2929385</v>
      </c>
      <c r="H118" s="6" t="b">
        <f t="shared" ca="1" si="2"/>
        <v>0</v>
      </c>
      <c r="I118" s="6" t="b">
        <f t="shared" ca="1" si="3"/>
        <v>0</v>
      </c>
      <c r="J118" s="7">
        <f ca="1">IFERROR(__xludf.dummyfunction("GOOGLEFINANCE(""NSE:""&amp;A385, ""changepct"")"),-0.54)</f>
        <v>-0.54</v>
      </c>
    </row>
    <row r="119" spans="1:10" ht="13.8">
      <c r="A119" s="5" t="s">
        <v>125</v>
      </c>
      <c r="B119" s="6">
        <f ca="1">IFERROR(__xludf.dummyfunction("GOOGLEFINANCE(""NSE:""&amp;A469, ""price"")"),1235.5)</f>
        <v>1235.5</v>
      </c>
      <c r="C119" s="6">
        <f ca="1">IFERROR(__xludf.dummyfunction("GOOGLEFINANCE(""NSE:""&amp;A469, ""priceopen"")"),1239.95)</f>
        <v>1239.95</v>
      </c>
      <c r="D119" s="6">
        <f ca="1">IFERROR(__xludf.dummyfunction("GOOGLEFINANCE(""NSE:""&amp;A469, ""high"")"),1271.65)</f>
        <v>1271.6500000000001</v>
      </c>
      <c r="E119" s="6">
        <f ca="1">IFERROR(__xludf.dummyfunction("GOOGLEFINANCE(""NSE:""&amp;A469, ""low"")"),1219.55)</f>
        <v>1219.55</v>
      </c>
      <c r="F119" s="6">
        <f ca="1">IFERROR(__xludf.dummyfunction("GOOGLEFINANCE(""NSE:""&amp;A469, ""closeyest"")"),1257.9)</f>
        <v>1257.9000000000001</v>
      </c>
      <c r="G119" s="6">
        <f ca="1">IFERROR(__xludf.dummyfunction("GOOGLEFINANCE(""NSE:""&amp;A469, ""volume"")"),2797520)</f>
        <v>2797520</v>
      </c>
      <c r="H119" s="6" t="b">
        <f t="shared" ca="1" si="2"/>
        <v>0</v>
      </c>
      <c r="I119" s="6" t="b">
        <f t="shared" ca="1" si="3"/>
        <v>0</v>
      </c>
      <c r="J119" s="7">
        <f ca="1">IFERROR(__xludf.dummyfunction("GOOGLEFINANCE(""NSE:""&amp;A469, ""changepct"")"),-1.78)</f>
        <v>-1.78</v>
      </c>
    </row>
    <row r="120" spans="1:10" ht="13.8">
      <c r="A120" s="5" t="s">
        <v>126</v>
      </c>
      <c r="B120" s="6">
        <f ca="1">IFERROR(__xludf.dummyfunction("GOOGLEFINANCE(""NSE:""&amp;A389, ""price"")"),321.75)</f>
        <v>321.75</v>
      </c>
      <c r="C120" s="6">
        <f ca="1">IFERROR(__xludf.dummyfunction("GOOGLEFINANCE(""NSE:""&amp;A389, ""priceopen"")"),329)</f>
        <v>329</v>
      </c>
      <c r="D120" s="6">
        <f ca="1">IFERROR(__xludf.dummyfunction("GOOGLEFINANCE(""NSE:""&amp;A389, ""high"")"),330.95)</f>
        <v>330.95</v>
      </c>
      <c r="E120" s="6">
        <f ca="1">IFERROR(__xludf.dummyfunction("GOOGLEFINANCE(""NSE:""&amp;A389, ""low"")"),318.55)</f>
        <v>318.55</v>
      </c>
      <c r="F120" s="6">
        <f ca="1">IFERROR(__xludf.dummyfunction("GOOGLEFINANCE(""NSE:""&amp;A389, ""closeyest"")"),323.7)</f>
        <v>323.7</v>
      </c>
      <c r="G120" s="6">
        <f ca="1">IFERROR(__xludf.dummyfunction("GOOGLEFINANCE(""NSE:""&amp;A389, ""volume"")"),2786854)</f>
        <v>2786854</v>
      </c>
      <c r="H120" s="6" t="b">
        <f t="shared" ca="1" si="2"/>
        <v>0</v>
      </c>
      <c r="I120" s="6" t="b">
        <f t="shared" ca="1" si="3"/>
        <v>0</v>
      </c>
      <c r="J120" s="7">
        <f ca="1">IFERROR(__xludf.dummyfunction("GOOGLEFINANCE(""NSE:""&amp;A389, ""changepct"")"),-0.6)</f>
        <v>-0.6</v>
      </c>
    </row>
    <row r="121" spans="1:10" ht="13.8">
      <c r="A121" s="5" t="s">
        <v>127</v>
      </c>
      <c r="B121" s="6">
        <f ca="1">IFERROR(__xludf.dummyfunction("GOOGLEFINANCE(""NSE:""&amp;A420, ""price"")"),33.6)</f>
        <v>33.6</v>
      </c>
      <c r="C121" s="6">
        <f ca="1">IFERROR(__xludf.dummyfunction("GOOGLEFINANCE(""NSE:""&amp;A420, ""priceopen"")"),34.2)</f>
        <v>34.200000000000003</v>
      </c>
      <c r="D121" s="6">
        <f ca="1">IFERROR(__xludf.dummyfunction("GOOGLEFINANCE(""NSE:""&amp;A420, ""high"")"),34.2)</f>
        <v>34.200000000000003</v>
      </c>
      <c r="E121" s="6">
        <f ca="1">IFERROR(__xludf.dummyfunction("GOOGLEFINANCE(""NSE:""&amp;A420, ""low"")"),33.3)</f>
        <v>33.299999999999997</v>
      </c>
      <c r="F121" s="6">
        <f ca="1">IFERROR(__xludf.dummyfunction("GOOGLEFINANCE(""NSE:""&amp;A420, ""closeyest"")"),33.9)</f>
        <v>33.9</v>
      </c>
      <c r="G121" s="6">
        <f ca="1">IFERROR(__xludf.dummyfunction("GOOGLEFINANCE(""NSE:""&amp;A420, ""volume"")"),2750939)</f>
        <v>2750939</v>
      </c>
      <c r="H121" s="6" t="b">
        <f t="shared" ca="1" si="2"/>
        <v>0</v>
      </c>
      <c r="I121" s="6" t="b">
        <f t="shared" ca="1" si="3"/>
        <v>1</v>
      </c>
      <c r="J121" s="7">
        <f ca="1">IFERROR(__xludf.dummyfunction("GOOGLEFINANCE(""NSE:""&amp;A420, ""changepct"")"),-0.88)</f>
        <v>-0.88</v>
      </c>
    </row>
    <row r="122" spans="1:10" ht="13.8">
      <c r="A122" s="5" t="s">
        <v>128</v>
      </c>
      <c r="B122" s="6">
        <f ca="1">IFERROR(__xludf.dummyfunction("GOOGLEFINANCE(""NSE:""&amp;A480, ""price"")"),571.5)</f>
        <v>571.5</v>
      </c>
      <c r="C122" s="6">
        <f ca="1">IFERROR(__xludf.dummyfunction("GOOGLEFINANCE(""NSE:""&amp;A480, ""priceopen"")"),600)</f>
        <v>600</v>
      </c>
      <c r="D122" s="6">
        <f ca="1">IFERROR(__xludf.dummyfunction("GOOGLEFINANCE(""NSE:""&amp;A480, ""high"")"),621.55)</f>
        <v>621.54999999999995</v>
      </c>
      <c r="E122" s="6">
        <f ca="1">IFERROR(__xludf.dummyfunction("GOOGLEFINANCE(""NSE:""&amp;A480, ""low"")"),555)</f>
        <v>555</v>
      </c>
      <c r="F122" s="6">
        <f ca="1">IFERROR(__xludf.dummyfunction("GOOGLEFINANCE(""NSE:""&amp;A480, ""closeyest"")"),585.55)</f>
        <v>585.54999999999995</v>
      </c>
      <c r="G122" s="6">
        <f ca="1">IFERROR(__xludf.dummyfunction("GOOGLEFINANCE(""NSE:""&amp;A480, ""volume"")"),2733602)</f>
        <v>2733602</v>
      </c>
      <c r="H122" s="6" t="b">
        <f t="shared" ca="1" si="2"/>
        <v>0</v>
      </c>
      <c r="I122" s="6" t="b">
        <f t="shared" ca="1" si="3"/>
        <v>0</v>
      </c>
      <c r="J122" s="7">
        <f ca="1">IFERROR(__xludf.dummyfunction("GOOGLEFINANCE(""NSE:""&amp;A480, ""changepct"")"),-2.4)</f>
        <v>-2.4</v>
      </c>
    </row>
    <row r="123" spans="1:10" ht="13.8">
      <c r="A123" s="5" t="s">
        <v>129</v>
      </c>
      <c r="B123" s="6">
        <f ca="1">IFERROR(__xludf.dummyfunction("GOOGLEFINANCE(""NSE:""&amp;A286, ""price"")"),59.35)</f>
        <v>59.35</v>
      </c>
      <c r="C123" s="6">
        <f ca="1">IFERROR(__xludf.dummyfunction("GOOGLEFINANCE(""NSE:""&amp;A286, ""priceopen"")"),60.15)</f>
        <v>60.15</v>
      </c>
      <c r="D123" s="6">
        <f ca="1">IFERROR(__xludf.dummyfunction("GOOGLEFINANCE(""NSE:""&amp;A286, ""high"")"),60.9)</f>
        <v>60.9</v>
      </c>
      <c r="E123" s="6">
        <f ca="1">IFERROR(__xludf.dummyfunction("GOOGLEFINANCE(""NSE:""&amp;A286, ""low"")"),59.15)</f>
        <v>59.15</v>
      </c>
      <c r="F123" s="6">
        <f ca="1">IFERROR(__xludf.dummyfunction("GOOGLEFINANCE(""NSE:""&amp;A286, ""closeyest"")"),59.15)</f>
        <v>59.15</v>
      </c>
      <c r="G123" s="6">
        <f ca="1">IFERROR(__xludf.dummyfunction("GOOGLEFINANCE(""NSE:""&amp;A286, ""volume"")"),2700023)</f>
        <v>2700023</v>
      </c>
      <c r="H123" s="6" t="b">
        <f t="shared" ca="1" si="2"/>
        <v>0</v>
      </c>
      <c r="I123" s="6" t="b">
        <f t="shared" ca="1" si="3"/>
        <v>0</v>
      </c>
      <c r="J123" s="7">
        <f ca="1">IFERROR(__xludf.dummyfunction("GOOGLEFINANCE(""NSE:""&amp;A286, ""changepct"")"),0.34)</f>
        <v>0.34</v>
      </c>
    </row>
    <row r="124" spans="1:10" ht="13.8">
      <c r="A124" s="5" t="s">
        <v>130</v>
      </c>
      <c r="B124" s="6">
        <f ca="1">IFERROR(__xludf.dummyfunction("GOOGLEFINANCE(""NSE:""&amp;A247, ""price"")"),373.15)</f>
        <v>373.15</v>
      </c>
      <c r="C124" s="6">
        <f ca="1">IFERROR(__xludf.dummyfunction("GOOGLEFINANCE(""NSE:""&amp;A247, ""priceopen"")"),370)</f>
        <v>370</v>
      </c>
      <c r="D124" s="6">
        <f ca="1">IFERROR(__xludf.dummyfunction("GOOGLEFINANCE(""NSE:""&amp;A247, ""high"")"),375.8)</f>
        <v>375.8</v>
      </c>
      <c r="E124" s="6">
        <f ca="1">IFERROR(__xludf.dummyfunction("GOOGLEFINANCE(""NSE:""&amp;A247, ""low"")"),367.2)</f>
        <v>367.2</v>
      </c>
      <c r="F124" s="6">
        <f ca="1">IFERROR(__xludf.dummyfunction("GOOGLEFINANCE(""NSE:""&amp;A247, ""closeyest"")"),370)</f>
        <v>370</v>
      </c>
      <c r="G124" s="6">
        <f ca="1">IFERROR(__xludf.dummyfunction("GOOGLEFINANCE(""NSE:""&amp;A247, ""volume"")"),2665539)</f>
        <v>2665539</v>
      </c>
      <c r="H124" s="6" t="b">
        <f t="shared" ca="1" si="2"/>
        <v>0</v>
      </c>
      <c r="I124" s="6" t="b">
        <f t="shared" ca="1" si="3"/>
        <v>0</v>
      </c>
      <c r="J124" s="7">
        <f ca="1">IFERROR(__xludf.dummyfunction("GOOGLEFINANCE(""NSE:""&amp;A247, ""changepct"")"),0.85)</f>
        <v>0.85</v>
      </c>
    </row>
    <row r="125" spans="1:10" ht="13.8">
      <c r="A125" s="5" t="s">
        <v>131</v>
      </c>
      <c r="B125" s="6">
        <f ca="1">IFERROR(__xludf.dummyfunction("GOOGLEFINANCE(""NSE:""&amp;A370, ""price"")"),674)</f>
        <v>674</v>
      </c>
      <c r="C125" s="6">
        <f ca="1">IFERROR(__xludf.dummyfunction("GOOGLEFINANCE(""NSE:""&amp;A370, ""priceopen"")"),678)</f>
        <v>678</v>
      </c>
      <c r="D125" s="6">
        <f ca="1">IFERROR(__xludf.dummyfunction("GOOGLEFINANCE(""NSE:""&amp;A370, ""high"")"),686.6)</f>
        <v>686.6</v>
      </c>
      <c r="E125" s="6">
        <f ca="1">IFERROR(__xludf.dummyfunction("GOOGLEFINANCE(""NSE:""&amp;A370, ""low"")"),670.1)</f>
        <v>670.1</v>
      </c>
      <c r="F125" s="6">
        <f ca="1">IFERROR(__xludf.dummyfunction("GOOGLEFINANCE(""NSE:""&amp;A370, ""closeyest"")"),676.75)</f>
        <v>676.75</v>
      </c>
      <c r="G125" s="6">
        <f ca="1">IFERROR(__xludf.dummyfunction("GOOGLEFINANCE(""NSE:""&amp;A370, ""volume"")"),2629986)</f>
        <v>2629986</v>
      </c>
      <c r="H125" s="6" t="b">
        <f t="shared" ca="1" si="2"/>
        <v>0</v>
      </c>
      <c r="I125" s="6" t="b">
        <f t="shared" ca="1" si="3"/>
        <v>0</v>
      </c>
      <c r="J125" s="7">
        <f ca="1">IFERROR(__xludf.dummyfunction("GOOGLEFINANCE(""NSE:""&amp;A370, ""changepct"")"),-0.41)</f>
        <v>-0.41</v>
      </c>
    </row>
    <row r="126" spans="1:10" ht="13.8">
      <c r="A126" s="5" t="s">
        <v>506</v>
      </c>
      <c r="B126" s="6">
        <f ca="1">IFERROR(__xludf.dummyfunction("GOOGLEFINANCE(""NSE:""&amp;A252, ""price"")"),163.25)</f>
        <v>163.25</v>
      </c>
      <c r="C126" s="6">
        <f ca="1">IFERROR(__xludf.dummyfunction("GOOGLEFINANCE(""NSE:""&amp;A252, ""priceopen"")"),163)</f>
        <v>163</v>
      </c>
      <c r="D126" s="6">
        <f ca="1">IFERROR(__xludf.dummyfunction("GOOGLEFINANCE(""NSE:""&amp;A252, ""high"")"),168)</f>
        <v>168</v>
      </c>
      <c r="E126" s="6">
        <f ca="1">IFERROR(__xludf.dummyfunction("GOOGLEFINANCE(""NSE:""&amp;A252, ""low"")"),162)</f>
        <v>162</v>
      </c>
      <c r="F126" s="6">
        <f ca="1">IFERROR(__xludf.dummyfunction("GOOGLEFINANCE(""NSE:""&amp;A252, ""closeyest"")"),162.05)</f>
        <v>162.05000000000001</v>
      </c>
      <c r="G126" s="6">
        <f ca="1">IFERROR(__xludf.dummyfunction("GOOGLEFINANCE(""NSE:""&amp;A252, ""volume"")"),2622248)</f>
        <v>2622248</v>
      </c>
      <c r="H126" s="6" t="b">
        <f t="shared" ca="1" si="2"/>
        <v>0</v>
      </c>
      <c r="I126" s="6" t="b">
        <f t="shared" ca="1" si="3"/>
        <v>0</v>
      </c>
      <c r="J126" s="7">
        <f ca="1">IFERROR(__xludf.dummyfunction("GOOGLEFINANCE(""NSE:""&amp;A252, ""changepct"")"),0.74)</f>
        <v>0.74</v>
      </c>
    </row>
    <row r="127" spans="1:10" ht="13.8">
      <c r="A127" s="5" t="s">
        <v>132</v>
      </c>
      <c r="B127" s="6">
        <f ca="1">IFERROR(__xludf.dummyfunction("GOOGLEFINANCE(""NSE:""&amp;A268, ""price"")"),142.5)</f>
        <v>142.5</v>
      </c>
      <c r="C127" s="6">
        <f ca="1">IFERROR(__xludf.dummyfunction("GOOGLEFINANCE(""NSE:""&amp;A268, ""priceopen"")"),141.2)</f>
        <v>141.19999999999999</v>
      </c>
      <c r="D127" s="6">
        <f ca="1">IFERROR(__xludf.dummyfunction("GOOGLEFINANCE(""NSE:""&amp;A268, ""high"")"),145.55)</f>
        <v>145.55000000000001</v>
      </c>
      <c r="E127" s="6">
        <f ca="1">IFERROR(__xludf.dummyfunction("GOOGLEFINANCE(""NSE:""&amp;A268, ""low"")"),136)</f>
        <v>136</v>
      </c>
      <c r="F127" s="6">
        <f ca="1">IFERROR(__xludf.dummyfunction("GOOGLEFINANCE(""NSE:""&amp;A268, ""closeyest"")"),141.75)</f>
        <v>141.75</v>
      </c>
      <c r="G127" s="6">
        <f ca="1">IFERROR(__xludf.dummyfunction("GOOGLEFINANCE(""NSE:""&amp;A268, ""volume"")"),2517407)</f>
        <v>2517407</v>
      </c>
      <c r="H127" s="6" t="b">
        <f t="shared" ca="1" si="2"/>
        <v>0</v>
      </c>
      <c r="I127" s="6" t="b">
        <f t="shared" ca="1" si="3"/>
        <v>0</v>
      </c>
      <c r="J127" s="7">
        <f ca="1">IFERROR(__xludf.dummyfunction("GOOGLEFINANCE(""NSE:""&amp;A268, ""changepct"")"),0.53)</f>
        <v>0.53</v>
      </c>
    </row>
    <row r="128" spans="1:10" ht="13.8">
      <c r="A128" s="5" t="s">
        <v>133</v>
      </c>
      <c r="B128" s="6">
        <f ca="1">IFERROR(__xludf.dummyfunction("GOOGLEFINANCE(""NSE:""&amp;A53, ""price"")"),44.85)</f>
        <v>44.85</v>
      </c>
      <c r="C128" s="6">
        <f ca="1">IFERROR(__xludf.dummyfunction("GOOGLEFINANCE(""NSE:""&amp;A53, ""priceopen"")"),44)</f>
        <v>44</v>
      </c>
      <c r="D128" s="6">
        <f ca="1">IFERROR(__xludf.dummyfunction("GOOGLEFINANCE(""NSE:""&amp;A53, ""high"")"),44.85)</f>
        <v>44.85</v>
      </c>
      <c r="E128" s="6">
        <f ca="1">IFERROR(__xludf.dummyfunction("GOOGLEFINANCE(""NSE:""&amp;A53, ""low"")"),43.1)</f>
        <v>43.1</v>
      </c>
      <c r="F128" s="6">
        <f ca="1">IFERROR(__xludf.dummyfunction("GOOGLEFINANCE(""NSE:""&amp;A53, ""closeyest"")"),42.75)</f>
        <v>42.75</v>
      </c>
      <c r="G128" s="6">
        <f ca="1">IFERROR(__xludf.dummyfunction("GOOGLEFINANCE(""NSE:""&amp;A53, ""volume"")"),2508341)</f>
        <v>2508341</v>
      </c>
      <c r="H128" s="6" t="b">
        <f t="shared" ca="1" si="2"/>
        <v>0</v>
      </c>
      <c r="I128" s="6" t="b">
        <f t="shared" ca="1" si="3"/>
        <v>0</v>
      </c>
      <c r="J128" s="7">
        <f ca="1">IFERROR(__xludf.dummyfunction("GOOGLEFINANCE(""NSE:""&amp;A53, ""changepct"")"),4.91)</f>
        <v>4.91</v>
      </c>
    </row>
    <row r="129" spans="1:10" ht="13.8">
      <c r="A129" s="5" t="s">
        <v>134</v>
      </c>
      <c r="B129" s="6">
        <f ca="1">IFERROR(__xludf.dummyfunction("GOOGLEFINANCE(""NSE:""&amp;A43, ""price"")"),17.5)</f>
        <v>17.5</v>
      </c>
      <c r="C129" s="6">
        <f ca="1">IFERROR(__xludf.dummyfunction("GOOGLEFINANCE(""NSE:""&amp;A43, ""priceopen"")"),16.65)</f>
        <v>16.649999999999999</v>
      </c>
      <c r="D129" s="6">
        <f ca="1">IFERROR(__xludf.dummyfunction("GOOGLEFINANCE(""NSE:""&amp;A43, ""high"")"),17.5)</f>
        <v>17.5</v>
      </c>
      <c r="E129" s="6">
        <f ca="1">IFERROR(__xludf.dummyfunction("GOOGLEFINANCE(""NSE:""&amp;A43, ""low"")"),16.6)</f>
        <v>16.600000000000001</v>
      </c>
      <c r="F129" s="6">
        <f ca="1">IFERROR(__xludf.dummyfunction("GOOGLEFINANCE(""NSE:""&amp;A43, ""closeyest"")"),16.55)</f>
        <v>16.55</v>
      </c>
      <c r="G129" s="6">
        <f ca="1">IFERROR(__xludf.dummyfunction("GOOGLEFINANCE(""NSE:""&amp;A43, ""volume"")"),2477782)</f>
        <v>2477782</v>
      </c>
      <c r="H129" s="6" t="b">
        <f t="shared" ca="1" si="2"/>
        <v>0</v>
      </c>
      <c r="I129" s="6" t="b">
        <f t="shared" ca="1" si="3"/>
        <v>0</v>
      </c>
      <c r="J129" s="7">
        <f ca="1">IFERROR(__xludf.dummyfunction("GOOGLEFINANCE(""NSE:""&amp;A43, ""changepct"")"),5.74)</f>
        <v>5.74</v>
      </c>
    </row>
    <row r="130" spans="1:10" ht="13.8">
      <c r="A130" s="5" t="s">
        <v>135</v>
      </c>
      <c r="B130" s="6">
        <f ca="1">IFERROR(__xludf.dummyfunction("GOOGLEFINANCE(""NSE:""&amp;A28, ""price"")"),2098.55)</f>
        <v>2098.5500000000002</v>
      </c>
      <c r="C130" s="6">
        <f ca="1">IFERROR(__xludf.dummyfunction("GOOGLEFINANCE(""NSE:""&amp;A28, ""priceopen"")"),1982.2)</f>
        <v>1982.2</v>
      </c>
      <c r="D130" s="6">
        <f ca="1">IFERROR(__xludf.dummyfunction("GOOGLEFINANCE(""NSE:""&amp;A28, ""high"")"),2174.9)</f>
        <v>2174.9</v>
      </c>
      <c r="E130" s="6">
        <f ca="1">IFERROR(__xludf.dummyfunction("GOOGLEFINANCE(""NSE:""&amp;A28, ""low"")"),1982.2)</f>
        <v>1982.2</v>
      </c>
      <c r="F130" s="6">
        <f ca="1">IFERROR(__xludf.dummyfunction("GOOGLEFINANCE(""NSE:""&amp;A28, ""closeyest"")"),1956.7)</f>
        <v>1956.7</v>
      </c>
      <c r="G130" s="6">
        <f ca="1">IFERROR(__xludf.dummyfunction("GOOGLEFINANCE(""NSE:""&amp;A28, ""volume"")"),2459029)</f>
        <v>2459029</v>
      </c>
      <c r="H130" s="6" t="b">
        <f t="shared" ref="H130:H193" ca="1" si="4">C130=E130</f>
        <v>1</v>
      </c>
      <c r="I130" s="6" t="b">
        <f t="shared" ref="I130:I193" ca="1" si="5">D130=C130</f>
        <v>0</v>
      </c>
      <c r="J130" s="7">
        <f ca="1">IFERROR(__xludf.dummyfunction("GOOGLEFINANCE(""NSE:""&amp;A28, ""changepct"")"),7.25)</f>
        <v>7.25</v>
      </c>
    </row>
    <row r="131" spans="1:10" ht="13.8">
      <c r="A131" s="5" t="s">
        <v>136</v>
      </c>
      <c r="B131" s="6">
        <f ca="1">IFERROR(__xludf.dummyfunction("GOOGLEFINANCE(""NSE:""&amp;A390, ""price"")"),239)</f>
        <v>239</v>
      </c>
      <c r="C131" s="6">
        <f ca="1">IFERROR(__xludf.dummyfunction("GOOGLEFINANCE(""NSE:""&amp;A390, ""priceopen"")"),243)</f>
        <v>243</v>
      </c>
      <c r="D131" s="6">
        <f ca="1">IFERROR(__xludf.dummyfunction("GOOGLEFINANCE(""NSE:""&amp;A390, ""high"")"),243.65)</f>
        <v>243.65</v>
      </c>
      <c r="E131" s="6">
        <f ca="1">IFERROR(__xludf.dummyfunction("GOOGLEFINANCE(""NSE:""&amp;A390, ""low"")"),235.45)</f>
        <v>235.45</v>
      </c>
      <c r="F131" s="6">
        <f ca="1">IFERROR(__xludf.dummyfunction("GOOGLEFINANCE(""NSE:""&amp;A390, ""closeyest"")"),240.45)</f>
        <v>240.45</v>
      </c>
      <c r="G131" s="6">
        <f ca="1">IFERROR(__xludf.dummyfunction("GOOGLEFINANCE(""NSE:""&amp;A390, ""volume"")"),2423593)</f>
        <v>2423593</v>
      </c>
      <c r="H131" s="6" t="b">
        <f t="shared" ca="1" si="4"/>
        <v>0</v>
      </c>
      <c r="I131" s="6" t="b">
        <f t="shared" ca="1" si="5"/>
        <v>0</v>
      </c>
      <c r="J131" s="7">
        <f ca="1">IFERROR(__xludf.dummyfunction("GOOGLEFINANCE(""NSE:""&amp;A390, ""changepct"")"),-0.6)</f>
        <v>-0.6</v>
      </c>
    </row>
    <row r="132" spans="1:10" ht="13.8">
      <c r="A132" s="5" t="s">
        <v>137</v>
      </c>
      <c r="B132" s="6">
        <f ca="1">IFERROR(__xludf.dummyfunction("GOOGLEFINANCE(""NSE:""&amp;A429, ""price"")"),34.9)</f>
        <v>34.9</v>
      </c>
      <c r="C132" s="6">
        <f ca="1">IFERROR(__xludf.dummyfunction("GOOGLEFINANCE(""NSE:""&amp;A429, ""priceopen"")"),35.6)</f>
        <v>35.6</v>
      </c>
      <c r="D132" s="6">
        <f ca="1">IFERROR(__xludf.dummyfunction("GOOGLEFINANCE(""NSE:""&amp;A429, ""high"")"),36)</f>
        <v>36</v>
      </c>
      <c r="E132" s="6">
        <f ca="1">IFERROR(__xludf.dummyfunction("GOOGLEFINANCE(""NSE:""&amp;A429, ""low"")"),34.15)</f>
        <v>34.15</v>
      </c>
      <c r="F132" s="6">
        <f ca="1">IFERROR(__xludf.dummyfunction("GOOGLEFINANCE(""NSE:""&amp;A429, ""closeyest"")"),35.25)</f>
        <v>35.25</v>
      </c>
      <c r="G132" s="6">
        <f ca="1">IFERROR(__xludf.dummyfunction("GOOGLEFINANCE(""NSE:""&amp;A429, ""volume"")"),2420431)</f>
        <v>2420431</v>
      </c>
      <c r="H132" s="6" t="b">
        <f t="shared" ca="1" si="4"/>
        <v>0</v>
      </c>
      <c r="I132" s="6" t="b">
        <f t="shared" ca="1" si="5"/>
        <v>0</v>
      </c>
      <c r="J132" s="7">
        <f ca="1">IFERROR(__xludf.dummyfunction("GOOGLEFINANCE(""NSE:""&amp;A429, ""changepct"")"),-0.99)</f>
        <v>-0.99</v>
      </c>
    </row>
    <row r="133" spans="1:10" ht="13.8">
      <c r="A133" s="5" t="s">
        <v>509</v>
      </c>
      <c r="B133" s="6">
        <f ca="1">IFERROR(__xludf.dummyfunction("GOOGLEFINANCE(""NSE:""&amp;A57, ""price"")"),130.65)</f>
        <v>130.65</v>
      </c>
      <c r="C133" s="6">
        <f ca="1">IFERROR(__xludf.dummyfunction("GOOGLEFINANCE(""NSE:""&amp;A57, ""priceopen"")"),125.9)</f>
        <v>125.9</v>
      </c>
      <c r="D133" s="6">
        <f ca="1">IFERROR(__xludf.dummyfunction("GOOGLEFINANCE(""NSE:""&amp;A57, ""high"")"),132.95)</f>
        <v>132.94999999999999</v>
      </c>
      <c r="E133" s="6">
        <f ca="1">IFERROR(__xludf.dummyfunction("GOOGLEFINANCE(""NSE:""&amp;A57, ""low"")"),125.25)</f>
        <v>125.25</v>
      </c>
      <c r="F133" s="6">
        <f ca="1">IFERROR(__xludf.dummyfunction("GOOGLEFINANCE(""NSE:""&amp;A57, ""closeyest"")"),124.6)</f>
        <v>124.6</v>
      </c>
      <c r="G133" s="6">
        <f ca="1">IFERROR(__xludf.dummyfunction("GOOGLEFINANCE(""NSE:""&amp;A57, ""volume"")"),2394892)</f>
        <v>2394892</v>
      </c>
      <c r="H133" s="6" t="b">
        <f t="shared" ca="1" si="4"/>
        <v>0</v>
      </c>
      <c r="I133" s="6" t="b">
        <f t="shared" ca="1" si="5"/>
        <v>0</v>
      </c>
      <c r="J133" s="7">
        <f ca="1">IFERROR(__xludf.dummyfunction("GOOGLEFINANCE(""NSE:""&amp;A57, ""changepct"")"),4.86)</f>
        <v>4.8600000000000003</v>
      </c>
    </row>
    <row r="134" spans="1:10" ht="13.8">
      <c r="A134" s="5" t="s">
        <v>138</v>
      </c>
      <c r="B134" s="6">
        <f ca="1">IFERROR(__xludf.dummyfunction("GOOGLEFINANCE(""NSE:""&amp;A262, ""price"")"),7.95)</f>
        <v>7.95</v>
      </c>
      <c r="C134" s="6">
        <f ca="1">IFERROR(__xludf.dummyfunction("GOOGLEFINANCE(""NSE:""&amp;A262, ""priceopen"")"),7.95)</f>
        <v>7.95</v>
      </c>
      <c r="D134" s="6">
        <f ca="1">IFERROR(__xludf.dummyfunction("GOOGLEFINANCE(""NSE:""&amp;A262, ""high"")"),8)</f>
        <v>8</v>
      </c>
      <c r="E134" s="6">
        <f ca="1">IFERROR(__xludf.dummyfunction("GOOGLEFINANCE(""NSE:""&amp;A262, ""low"")"),7.9)</f>
        <v>7.9</v>
      </c>
      <c r="F134" s="6">
        <f ca="1">IFERROR(__xludf.dummyfunction("GOOGLEFINANCE(""NSE:""&amp;A262, ""closeyest"")"),7.9)</f>
        <v>7.9</v>
      </c>
      <c r="G134" s="6">
        <f ca="1">IFERROR(__xludf.dummyfunction("GOOGLEFINANCE(""NSE:""&amp;A262, ""volume"")"),2351538)</f>
        <v>2351538</v>
      </c>
      <c r="H134" s="6" t="b">
        <f t="shared" ca="1" si="4"/>
        <v>0</v>
      </c>
      <c r="I134" s="6" t="b">
        <f t="shared" ca="1" si="5"/>
        <v>0</v>
      </c>
      <c r="J134" s="7">
        <f ca="1">IFERROR(__xludf.dummyfunction("GOOGLEFINANCE(""NSE:""&amp;A262, ""changepct"")"),0.63)</f>
        <v>0.63</v>
      </c>
    </row>
    <row r="135" spans="1:10" ht="13.8">
      <c r="A135" s="5" t="s">
        <v>139</v>
      </c>
      <c r="B135" s="6">
        <f ca="1">IFERROR(__xludf.dummyfunction("GOOGLEFINANCE(""NSE:""&amp;A35, ""price"")"),195)</f>
        <v>195</v>
      </c>
      <c r="C135" s="6">
        <f ca="1">IFERROR(__xludf.dummyfunction("GOOGLEFINANCE(""NSE:""&amp;A35, ""priceopen"")"),185.7)</f>
        <v>185.7</v>
      </c>
      <c r="D135" s="6">
        <f ca="1">IFERROR(__xludf.dummyfunction("GOOGLEFINANCE(""NSE:""&amp;A35, ""high"")"),199)</f>
        <v>199</v>
      </c>
      <c r="E135" s="6">
        <f ca="1">IFERROR(__xludf.dummyfunction("GOOGLEFINANCE(""NSE:""&amp;A35, ""low"")"),185.25)</f>
        <v>185.25</v>
      </c>
      <c r="F135" s="6">
        <f ca="1">IFERROR(__xludf.dummyfunction("GOOGLEFINANCE(""NSE:""&amp;A35, ""closeyest"")"),183.55)</f>
        <v>183.55</v>
      </c>
      <c r="G135" s="6">
        <f ca="1">IFERROR(__xludf.dummyfunction("GOOGLEFINANCE(""NSE:""&amp;A35, ""volume"")"),2316777)</f>
        <v>2316777</v>
      </c>
      <c r="H135" s="6" t="b">
        <f t="shared" ca="1" si="4"/>
        <v>0</v>
      </c>
      <c r="I135" s="6" t="b">
        <f t="shared" ca="1" si="5"/>
        <v>0</v>
      </c>
      <c r="J135" s="7">
        <f ca="1">IFERROR(__xludf.dummyfunction("GOOGLEFINANCE(""NSE:""&amp;A35, ""changepct"")"),6.24)</f>
        <v>6.24</v>
      </c>
    </row>
    <row r="136" spans="1:10" ht="13.8">
      <c r="A136" s="5" t="s">
        <v>140</v>
      </c>
      <c r="B136" s="6">
        <f ca="1">IFERROR(__xludf.dummyfunction("GOOGLEFINANCE(""NSE:""&amp;A351, ""price"")"),20.4)</f>
        <v>20.399999999999999</v>
      </c>
      <c r="C136" s="6">
        <f ca="1">IFERROR(__xludf.dummyfunction("GOOGLEFINANCE(""NSE:""&amp;A351, ""priceopen"")"),20.6)</f>
        <v>20.6</v>
      </c>
      <c r="D136" s="6">
        <f ca="1">IFERROR(__xludf.dummyfunction("GOOGLEFINANCE(""NSE:""&amp;A351, ""high"")"),20.7)</f>
        <v>20.7</v>
      </c>
      <c r="E136" s="6">
        <f ca="1">IFERROR(__xludf.dummyfunction("GOOGLEFINANCE(""NSE:""&amp;A351, ""low"")"),20.35)</f>
        <v>20.350000000000001</v>
      </c>
      <c r="F136" s="6">
        <f ca="1">IFERROR(__xludf.dummyfunction("GOOGLEFINANCE(""NSE:""&amp;A351, ""closeyest"")"),20.45)</f>
        <v>20.45</v>
      </c>
      <c r="G136" s="6">
        <f ca="1">IFERROR(__xludf.dummyfunction("GOOGLEFINANCE(""NSE:""&amp;A351, ""volume"")"),2284470)</f>
        <v>2284470</v>
      </c>
      <c r="H136" s="6" t="b">
        <f t="shared" ca="1" si="4"/>
        <v>0</v>
      </c>
      <c r="I136" s="6" t="b">
        <f t="shared" ca="1" si="5"/>
        <v>0</v>
      </c>
      <c r="J136" s="7">
        <f ca="1">IFERROR(__xludf.dummyfunction("GOOGLEFINANCE(""NSE:""&amp;A351, ""changepct"")"),-0.24)</f>
        <v>-0.24</v>
      </c>
    </row>
    <row r="137" spans="1:10" ht="13.8">
      <c r="A137" s="5" t="s">
        <v>141</v>
      </c>
      <c r="B137" s="6">
        <f ca="1">IFERROR(__xludf.dummyfunction("GOOGLEFINANCE(""NSE:""&amp;A21, ""price"")"),244.5)</f>
        <v>244.5</v>
      </c>
      <c r="C137" s="6">
        <f ca="1">IFERROR(__xludf.dummyfunction("GOOGLEFINANCE(""NSE:""&amp;A21, ""priceopen"")"),231)</f>
        <v>231</v>
      </c>
      <c r="D137" s="6">
        <f ca="1">IFERROR(__xludf.dummyfunction("GOOGLEFINANCE(""NSE:""&amp;A21, ""high"")"),250)</f>
        <v>250</v>
      </c>
      <c r="E137" s="6">
        <f ca="1">IFERROR(__xludf.dummyfunction("GOOGLEFINANCE(""NSE:""&amp;A21, ""low"")"),227.5)</f>
        <v>227.5</v>
      </c>
      <c r="F137" s="6">
        <f ca="1">IFERROR(__xludf.dummyfunction("GOOGLEFINANCE(""NSE:""&amp;A21, ""closeyest"")"),225.1)</f>
        <v>225.1</v>
      </c>
      <c r="G137" s="6">
        <f ca="1">IFERROR(__xludf.dummyfunction("GOOGLEFINANCE(""NSE:""&amp;A21, ""volume"")"),2267484)</f>
        <v>2267484</v>
      </c>
      <c r="H137" s="6" t="b">
        <f t="shared" ca="1" si="4"/>
        <v>0</v>
      </c>
      <c r="I137" s="6" t="b">
        <f t="shared" ca="1" si="5"/>
        <v>0</v>
      </c>
      <c r="J137" s="7">
        <f ca="1">IFERROR(__xludf.dummyfunction("GOOGLEFINANCE(""NSE:""&amp;A21, ""changepct"")"),8.62)</f>
        <v>8.6199999999999992</v>
      </c>
    </row>
    <row r="138" spans="1:10" ht="13.8">
      <c r="A138" s="5" t="s">
        <v>142</v>
      </c>
      <c r="B138" s="6">
        <f ca="1">IFERROR(__xludf.dummyfunction("GOOGLEFINANCE(""NSE:""&amp;A321, ""price"")"),19.15)</f>
        <v>19.149999999999999</v>
      </c>
      <c r="C138" s="6">
        <f ca="1">IFERROR(__xludf.dummyfunction("GOOGLEFINANCE(""NSE:""&amp;A321, ""priceopen"")"),19.25)</f>
        <v>19.25</v>
      </c>
      <c r="D138" s="6">
        <f ca="1">IFERROR(__xludf.dummyfunction("GOOGLEFINANCE(""NSE:""&amp;A321, ""high"")"),19.25)</f>
        <v>19.25</v>
      </c>
      <c r="E138" s="6">
        <f ca="1">IFERROR(__xludf.dummyfunction("GOOGLEFINANCE(""NSE:""&amp;A321, ""low"")"),19.05)</f>
        <v>19.05</v>
      </c>
      <c r="F138" s="6">
        <f ca="1">IFERROR(__xludf.dummyfunction("GOOGLEFINANCE(""NSE:""&amp;A321, ""closeyest"")"),19.15)</f>
        <v>19.149999999999999</v>
      </c>
      <c r="G138" s="6">
        <f ca="1">IFERROR(__xludf.dummyfunction("GOOGLEFINANCE(""NSE:""&amp;A321, ""volume"")"),2253541)</f>
        <v>2253541</v>
      </c>
      <c r="H138" s="6" t="b">
        <f t="shared" ca="1" si="4"/>
        <v>0</v>
      </c>
      <c r="I138" s="6" t="b">
        <f t="shared" ca="1" si="5"/>
        <v>1</v>
      </c>
      <c r="J138" s="7">
        <f ca="1">IFERROR(__xludf.dummyfunction("GOOGLEFINANCE(""NSE:""&amp;A321, ""changepct"")"),0)</f>
        <v>0</v>
      </c>
    </row>
    <row r="139" spans="1:10" ht="13.8">
      <c r="A139" s="5" t="s">
        <v>143</v>
      </c>
      <c r="B139" s="6">
        <f ca="1">IFERROR(__xludf.dummyfunction("GOOGLEFINANCE(""NSE:""&amp;A299, ""price"")"),389)</f>
        <v>389</v>
      </c>
      <c r="C139" s="6">
        <f ca="1">IFERROR(__xludf.dummyfunction("GOOGLEFINANCE(""NSE:""&amp;A299, ""priceopen"")"),390)</f>
        <v>390</v>
      </c>
      <c r="D139" s="6">
        <f ca="1">IFERROR(__xludf.dummyfunction("GOOGLEFINANCE(""NSE:""&amp;A299, ""high"")"),392.3)</f>
        <v>392.3</v>
      </c>
      <c r="E139" s="6">
        <f ca="1">IFERROR(__xludf.dummyfunction("GOOGLEFINANCE(""NSE:""&amp;A299, ""low"")"),385.45)</f>
        <v>385.45</v>
      </c>
      <c r="F139" s="6">
        <f ca="1">IFERROR(__xludf.dummyfunction("GOOGLEFINANCE(""NSE:""&amp;A299, ""closeyest"")"),388.25)</f>
        <v>388.25</v>
      </c>
      <c r="G139" s="6">
        <f ca="1">IFERROR(__xludf.dummyfunction("GOOGLEFINANCE(""NSE:""&amp;A299, ""volume"")"),2238255)</f>
        <v>2238255</v>
      </c>
      <c r="H139" s="6" t="b">
        <f t="shared" ca="1" si="4"/>
        <v>0</v>
      </c>
      <c r="I139" s="6" t="b">
        <f t="shared" ca="1" si="5"/>
        <v>0</v>
      </c>
      <c r="J139" s="7">
        <f ca="1">IFERROR(__xludf.dummyfunction("GOOGLEFINANCE(""NSE:""&amp;A299, ""changepct"")"),0.19)</f>
        <v>0.19</v>
      </c>
    </row>
    <row r="140" spans="1:10" ht="13.8">
      <c r="A140" s="5" t="s">
        <v>144</v>
      </c>
      <c r="B140" s="6">
        <f ca="1">IFERROR(__xludf.dummyfunction("GOOGLEFINANCE(""NSE:""&amp;A108, ""price"")"),384.5)</f>
        <v>384.5</v>
      </c>
      <c r="C140" s="6">
        <f ca="1">IFERROR(__xludf.dummyfunction("GOOGLEFINANCE(""NSE:""&amp;A108, ""priceopen"")"),372.8)</f>
        <v>372.8</v>
      </c>
      <c r="D140" s="6">
        <f ca="1">IFERROR(__xludf.dummyfunction("GOOGLEFINANCE(""NSE:""&amp;A108, ""high"")"),394.9)</f>
        <v>394.9</v>
      </c>
      <c r="E140" s="6">
        <f ca="1">IFERROR(__xludf.dummyfunction("GOOGLEFINANCE(""NSE:""&amp;A108, ""low"")"),368.25)</f>
        <v>368.25</v>
      </c>
      <c r="F140" s="6">
        <f ca="1">IFERROR(__xludf.dummyfunction("GOOGLEFINANCE(""NSE:""&amp;A108, ""closeyest"")"),372.7)</f>
        <v>372.7</v>
      </c>
      <c r="G140" s="6">
        <f ca="1">IFERROR(__xludf.dummyfunction("GOOGLEFINANCE(""NSE:""&amp;A108, ""volume"")"),2165478)</f>
        <v>2165478</v>
      </c>
      <c r="H140" s="6" t="b">
        <f t="shared" ca="1" si="4"/>
        <v>0</v>
      </c>
      <c r="I140" s="6" t="b">
        <f t="shared" ca="1" si="5"/>
        <v>0</v>
      </c>
      <c r="J140" s="7">
        <f ca="1">IFERROR(__xludf.dummyfunction("GOOGLEFINANCE(""NSE:""&amp;A108, ""changepct"")"),3.17)</f>
        <v>3.17</v>
      </c>
    </row>
    <row r="141" spans="1:10" ht="13.8">
      <c r="A141" s="5" t="s">
        <v>145</v>
      </c>
      <c r="B141" s="6">
        <f ca="1">IFERROR(__xludf.dummyfunction("GOOGLEFINANCE(""NSE:""&amp;A197, ""price"")"),248)</f>
        <v>248</v>
      </c>
      <c r="C141" s="6">
        <f ca="1">IFERROR(__xludf.dummyfunction("GOOGLEFINANCE(""NSE:""&amp;A197, ""priceopen"")"),245.5)</f>
        <v>245.5</v>
      </c>
      <c r="D141" s="6">
        <f ca="1">IFERROR(__xludf.dummyfunction("GOOGLEFINANCE(""NSE:""&amp;A197, ""high"")"),249)</f>
        <v>249</v>
      </c>
      <c r="E141" s="6">
        <f ca="1">IFERROR(__xludf.dummyfunction("GOOGLEFINANCE(""NSE:""&amp;A197, ""low"")"),243.3)</f>
        <v>243.3</v>
      </c>
      <c r="F141" s="6">
        <f ca="1">IFERROR(__xludf.dummyfunction("GOOGLEFINANCE(""NSE:""&amp;A197, ""closeyest"")"),244.5)</f>
        <v>244.5</v>
      </c>
      <c r="G141" s="6">
        <f ca="1">IFERROR(__xludf.dummyfunction("GOOGLEFINANCE(""NSE:""&amp;A197, ""volume"")"),2142610)</f>
        <v>2142610</v>
      </c>
      <c r="H141" s="6" t="b">
        <f t="shared" ca="1" si="4"/>
        <v>0</v>
      </c>
      <c r="I141" s="6" t="b">
        <f t="shared" ca="1" si="5"/>
        <v>0</v>
      </c>
      <c r="J141" s="7">
        <f ca="1">IFERROR(__xludf.dummyfunction("GOOGLEFINANCE(""NSE:""&amp;A197, ""changepct"")"),1.43)</f>
        <v>1.43</v>
      </c>
    </row>
    <row r="142" spans="1:10" ht="13.8">
      <c r="A142" s="5" t="s">
        <v>146</v>
      </c>
      <c r="B142" s="6">
        <f ca="1">IFERROR(__xludf.dummyfunction("GOOGLEFINANCE(""NSE:""&amp;A81, ""price"")"),188)</f>
        <v>188</v>
      </c>
      <c r="C142" s="6">
        <f ca="1">IFERROR(__xludf.dummyfunction("GOOGLEFINANCE(""NSE:""&amp;A81, ""priceopen"")"),181.5)</f>
        <v>181.5</v>
      </c>
      <c r="D142" s="6">
        <f ca="1">IFERROR(__xludf.dummyfunction("GOOGLEFINANCE(""NSE:""&amp;A81, ""high"")"),191.7)</f>
        <v>191.7</v>
      </c>
      <c r="E142" s="6">
        <f ca="1">IFERROR(__xludf.dummyfunction("GOOGLEFINANCE(""NSE:""&amp;A81, ""low"")"),181.5)</f>
        <v>181.5</v>
      </c>
      <c r="F142" s="6">
        <f ca="1">IFERROR(__xludf.dummyfunction("GOOGLEFINANCE(""NSE:""&amp;A81, ""closeyest"")"),180.85)</f>
        <v>180.85</v>
      </c>
      <c r="G142" s="6">
        <f ca="1">IFERROR(__xludf.dummyfunction("GOOGLEFINANCE(""NSE:""&amp;A81, ""volume"")"),2141208)</f>
        <v>2141208</v>
      </c>
      <c r="H142" s="6" t="b">
        <f t="shared" ca="1" si="4"/>
        <v>1</v>
      </c>
      <c r="I142" s="6" t="b">
        <f t="shared" ca="1" si="5"/>
        <v>0</v>
      </c>
      <c r="J142" s="7">
        <f ca="1">IFERROR(__xludf.dummyfunction("GOOGLEFINANCE(""NSE:""&amp;A81, ""changepct"")"),3.95)</f>
        <v>3.95</v>
      </c>
    </row>
    <row r="143" spans="1:10" ht="13.8">
      <c r="A143" s="5" t="s">
        <v>147</v>
      </c>
      <c r="B143" s="6">
        <f ca="1">IFERROR(__xludf.dummyfunction("GOOGLEFINANCE(""NSE:""&amp;A126, ""price"")"),482.5)</f>
        <v>482.5</v>
      </c>
      <c r="C143" s="6">
        <f ca="1">IFERROR(__xludf.dummyfunction("GOOGLEFINANCE(""NSE:""&amp;A126, ""priceopen"")"),473)</f>
        <v>473</v>
      </c>
      <c r="D143" s="6">
        <f ca="1">IFERROR(__xludf.dummyfunction("GOOGLEFINANCE(""NSE:""&amp;A126, ""high"")"),486.15)</f>
        <v>486.15</v>
      </c>
      <c r="E143" s="6">
        <f ca="1">IFERROR(__xludf.dummyfunction("GOOGLEFINANCE(""NSE:""&amp;A126, ""low"")"),470.6)</f>
        <v>470.6</v>
      </c>
      <c r="F143" s="6">
        <f ca="1">IFERROR(__xludf.dummyfunction("GOOGLEFINANCE(""NSE:""&amp;A126, ""closeyest"")"),470.4)</f>
        <v>470.4</v>
      </c>
      <c r="G143" s="6">
        <f ca="1">IFERROR(__xludf.dummyfunction("GOOGLEFINANCE(""NSE:""&amp;A126, ""volume"")"),2132929)</f>
        <v>2132929</v>
      </c>
      <c r="H143" s="6" t="b">
        <f t="shared" ca="1" si="4"/>
        <v>0</v>
      </c>
      <c r="I143" s="6" t="b">
        <f t="shared" ca="1" si="5"/>
        <v>0</v>
      </c>
      <c r="J143" s="7">
        <f ca="1">IFERROR(__xludf.dummyfunction("GOOGLEFINANCE(""NSE:""&amp;A126, ""changepct"")"),2.57)</f>
        <v>2.57</v>
      </c>
    </row>
    <row r="144" spans="1:10" ht="13.8">
      <c r="A144" s="5" t="s">
        <v>148</v>
      </c>
      <c r="B144" s="6">
        <f ca="1">IFERROR(__xludf.dummyfunction("GOOGLEFINANCE(""NSE:""&amp;A58, ""price"")"),753)</f>
        <v>753</v>
      </c>
      <c r="C144" s="6">
        <f ca="1">IFERROR(__xludf.dummyfunction("GOOGLEFINANCE(""NSE:""&amp;A58, ""priceopen"")"),722)</f>
        <v>722</v>
      </c>
      <c r="D144" s="6">
        <f ca="1">IFERROR(__xludf.dummyfunction("GOOGLEFINANCE(""NSE:""&amp;A58, ""high"")"),753)</f>
        <v>753</v>
      </c>
      <c r="E144" s="6">
        <f ca="1">IFERROR(__xludf.dummyfunction("GOOGLEFINANCE(""NSE:""&amp;A58, ""low"")"),711)</f>
        <v>711</v>
      </c>
      <c r="F144" s="6">
        <f ca="1">IFERROR(__xludf.dummyfunction("GOOGLEFINANCE(""NSE:""&amp;A58, ""closeyest"")"),718.15)</f>
        <v>718.15</v>
      </c>
      <c r="G144" s="6">
        <f ca="1">IFERROR(__xludf.dummyfunction("GOOGLEFINANCE(""NSE:""&amp;A58, ""volume"")"),2129962)</f>
        <v>2129962</v>
      </c>
      <c r="H144" s="6" t="b">
        <f t="shared" ca="1" si="4"/>
        <v>0</v>
      </c>
      <c r="I144" s="6" t="b">
        <f t="shared" ca="1" si="5"/>
        <v>0</v>
      </c>
      <c r="J144" s="7">
        <f ca="1">IFERROR(__xludf.dummyfunction("GOOGLEFINANCE(""NSE:""&amp;A58, ""changepct"")"),4.85)</f>
        <v>4.8499999999999996</v>
      </c>
    </row>
    <row r="145" spans="1:10" ht="13.8">
      <c r="A145" s="5" t="s">
        <v>149</v>
      </c>
      <c r="B145" s="6">
        <f ca="1">IFERROR(__xludf.dummyfunction("GOOGLEFINANCE(""NSE:""&amp;A405, ""price"")"),418.35)</f>
        <v>418.35</v>
      </c>
      <c r="C145" s="6">
        <f ca="1">IFERROR(__xludf.dummyfunction("GOOGLEFINANCE(""NSE:""&amp;A405, ""priceopen"")"),425)</f>
        <v>425</v>
      </c>
      <c r="D145" s="6">
        <f ca="1">IFERROR(__xludf.dummyfunction("GOOGLEFINANCE(""NSE:""&amp;A405, ""high"")"),426.95)</f>
        <v>426.95</v>
      </c>
      <c r="E145" s="6">
        <f ca="1">IFERROR(__xludf.dummyfunction("GOOGLEFINANCE(""NSE:""&amp;A405, ""low"")"),415.2)</f>
        <v>415.2</v>
      </c>
      <c r="F145" s="6">
        <f ca="1">IFERROR(__xludf.dummyfunction("GOOGLEFINANCE(""NSE:""&amp;A405, ""closeyest"")"),421.5)</f>
        <v>421.5</v>
      </c>
      <c r="G145" s="6">
        <f ca="1">IFERROR(__xludf.dummyfunction("GOOGLEFINANCE(""NSE:""&amp;A405, ""volume"")"),2082987)</f>
        <v>2082987</v>
      </c>
      <c r="H145" s="6" t="b">
        <f t="shared" ca="1" si="4"/>
        <v>0</v>
      </c>
      <c r="I145" s="6" t="b">
        <f t="shared" ca="1" si="5"/>
        <v>0</v>
      </c>
      <c r="J145" s="7">
        <f ca="1">IFERROR(__xludf.dummyfunction("GOOGLEFINANCE(""NSE:""&amp;A405, ""changepct"")"),-0.75)</f>
        <v>-0.75</v>
      </c>
    </row>
    <row r="146" spans="1:10" ht="13.8">
      <c r="A146" s="5" t="s">
        <v>150</v>
      </c>
      <c r="B146" s="6">
        <f ca="1">IFERROR(__xludf.dummyfunction("GOOGLEFINANCE(""NSE:""&amp;A272, ""price"")"),609.65)</f>
        <v>609.65</v>
      </c>
      <c r="C146" s="6">
        <f ca="1">IFERROR(__xludf.dummyfunction("GOOGLEFINANCE(""NSE:""&amp;A272, ""priceopen"")"),616)</f>
        <v>616</v>
      </c>
      <c r="D146" s="6">
        <f ca="1">IFERROR(__xludf.dummyfunction("GOOGLEFINANCE(""NSE:""&amp;A272, ""high"")"),617.95)</f>
        <v>617.95000000000005</v>
      </c>
      <c r="E146" s="6">
        <f ca="1">IFERROR(__xludf.dummyfunction("GOOGLEFINANCE(""NSE:""&amp;A272, ""low"")"),607)</f>
        <v>607</v>
      </c>
      <c r="F146" s="6">
        <f ca="1">IFERROR(__xludf.dummyfunction("GOOGLEFINANCE(""NSE:""&amp;A272, ""closeyest"")"),606.95)</f>
        <v>606.95000000000005</v>
      </c>
      <c r="G146" s="6">
        <f ca="1">IFERROR(__xludf.dummyfunction("GOOGLEFINANCE(""NSE:""&amp;A272, ""volume"")"),2028858)</f>
        <v>2028858</v>
      </c>
      <c r="H146" s="6" t="b">
        <f t="shared" ca="1" si="4"/>
        <v>0</v>
      </c>
      <c r="I146" s="6" t="b">
        <f t="shared" ca="1" si="5"/>
        <v>0</v>
      </c>
      <c r="J146" s="7">
        <f ca="1">IFERROR(__xludf.dummyfunction("GOOGLEFINANCE(""NSE:""&amp;A272, ""changepct"")"),0.44)</f>
        <v>0.44</v>
      </c>
    </row>
    <row r="147" spans="1:10" ht="13.8">
      <c r="A147" s="5" t="s">
        <v>151</v>
      </c>
      <c r="B147" s="6">
        <f ca="1">IFERROR(__xludf.dummyfunction("GOOGLEFINANCE(""NSE:""&amp;A205, ""price"")"),89.9)</f>
        <v>89.9</v>
      </c>
      <c r="C147" s="6">
        <f ca="1">IFERROR(__xludf.dummyfunction("GOOGLEFINANCE(""NSE:""&amp;A205, ""priceopen"")"),89.2)</f>
        <v>89.2</v>
      </c>
      <c r="D147" s="6">
        <f ca="1">IFERROR(__xludf.dummyfunction("GOOGLEFINANCE(""NSE:""&amp;A205, ""high"")"),91.9)</f>
        <v>91.9</v>
      </c>
      <c r="E147" s="6">
        <f ca="1">IFERROR(__xludf.dummyfunction("GOOGLEFINANCE(""NSE:""&amp;A205, ""low"")"),89.1)</f>
        <v>89.1</v>
      </c>
      <c r="F147" s="6">
        <f ca="1">IFERROR(__xludf.dummyfunction("GOOGLEFINANCE(""NSE:""&amp;A205, ""closeyest"")"),88.7)</f>
        <v>88.7</v>
      </c>
      <c r="G147" s="6">
        <f ca="1">IFERROR(__xludf.dummyfunction("GOOGLEFINANCE(""NSE:""&amp;A205, ""volume"")"),2025745)</f>
        <v>2025745</v>
      </c>
      <c r="H147" s="6" t="b">
        <f t="shared" ca="1" si="4"/>
        <v>0</v>
      </c>
      <c r="I147" s="6" t="b">
        <f t="shared" ca="1" si="5"/>
        <v>0</v>
      </c>
      <c r="J147" s="7">
        <f ca="1">IFERROR(__xludf.dummyfunction("GOOGLEFINANCE(""NSE:""&amp;A205, ""changepct"")"),1.35)</f>
        <v>1.35</v>
      </c>
    </row>
    <row r="148" spans="1:10" ht="13.8">
      <c r="A148" s="5" t="s">
        <v>152</v>
      </c>
      <c r="B148" s="6">
        <f ca="1">IFERROR(__xludf.dummyfunction("GOOGLEFINANCE(""NSE:""&amp;A218, ""price"")"),79.7)</f>
        <v>79.7</v>
      </c>
      <c r="C148" s="6">
        <f ca="1">IFERROR(__xludf.dummyfunction("GOOGLEFINANCE(""NSE:""&amp;A218, ""priceopen"")"),79)</f>
        <v>79</v>
      </c>
      <c r="D148" s="6">
        <f ca="1">IFERROR(__xludf.dummyfunction("GOOGLEFINANCE(""NSE:""&amp;A218, ""high"")"),82.7)</f>
        <v>82.7</v>
      </c>
      <c r="E148" s="6">
        <f ca="1">IFERROR(__xludf.dummyfunction("GOOGLEFINANCE(""NSE:""&amp;A218, ""low"")"),78.8)</f>
        <v>78.8</v>
      </c>
      <c r="F148" s="6">
        <f ca="1">IFERROR(__xludf.dummyfunction("GOOGLEFINANCE(""NSE:""&amp;A218, ""closeyest"")"),78.8)</f>
        <v>78.8</v>
      </c>
      <c r="G148" s="6">
        <f ca="1">IFERROR(__xludf.dummyfunction("GOOGLEFINANCE(""NSE:""&amp;A218, ""volume"")"),2002534)</f>
        <v>2002534</v>
      </c>
      <c r="H148" s="6" t="b">
        <f t="shared" ca="1" si="4"/>
        <v>0</v>
      </c>
      <c r="I148" s="6" t="b">
        <f t="shared" ca="1" si="5"/>
        <v>0</v>
      </c>
      <c r="J148" s="7">
        <f ca="1">IFERROR(__xludf.dummyfunction("GOOGLEFINANCE(""NSE:""&amp;A218, ""changepct"")"),1.14)</f>
        <v>1.1399999999999999</v>
      </c>
    </row>
    <row r="149" spans="1:10" ht="13.8">
      <c r="A149" s="5" t="s">
        <v>153</v>
      </c>
      <c r="B149" s="6">
        <f ca="1">IFERROR(__xludf.dummyfunction("GOOGLEFINANCE(""NSE:""&amp;A194, ""price"")"),362.95)</f>
        <v>362.95</v>
      </c>
      <c r="C149" s="6">
        <f ca="1">IFERROR(__xludf.dummyfunction("GOOGLEFINANCE(""NSE:""&amp;A194, ""priceopen"")"),362)</f>
        <v>362</v>
      </c>
      <c r="D149" s="6">
        <f ca="1">IFERROR(__xludf.dummyfunction("GOOGLEFINANCE(""NSE:""&amp;A194, ""high"")"),371.5)</f>
        <v>371.5</v>
      </c>
      <c r="E149" s="6">
        <f ca="1">IFERROR(__xludf.dummyfunction("GOOGLEFINANCE(""NSE:""&amp;A194, ""low"")"),355.5)</f>
        <v>355.5</v>
      </c>
      <c r="F149" s="6">
        <f ca="1">IFERROR(__xludf.dummyfunction("GOOGLEFINANCE(""NSE:""&amp;A194, ""closeyest"")"),357.55)</f>
        <v>357.55</v>
      </c>
      <c r="G149" s="6">
        <f ca="1">IFERROR(__xludf.dummyfunction("GOOGLEFINANCE(""NSE:""&amp;A194, ""volume"")"),1978143)</f>
        <v>1978143</v>
      </c>
      <c r="H149" s="6" t="b">
        <f t="shared" ca="1" si="4"/>
        <v>0</v>
      </c>
      <c r="I149" s="6" t="b">
        <f t="shared" ca="1" si="5"/>
        <v>0</v>
      </c>
      <c r="J149" s="7">
        <f ca="1">IFERROR(__xludf.dummyfunction("GOOGLEFINANCE(""NSE:""&amp;A194, ""changepct"")"),1.51)</f>
        <v>1.51</v>
      </c>
    </row>
    <row r="150" spans="1:10" ht="13.8">
      <c r="A150" s="5" t="s">
        <v>154</v>
      </c>
      <c r="B150" s="6">
        <f ca="1">IFERROR(__xludf.dummyfunction("GOOGLEFINANCE(""NSE:""&amp;A359, ""price"")"),32.05)</f>
        <v>32.049999999999997</v>
      </c>
      <c r="C150" s="6">
        <f ca="1">IFERROR(__xludf.dummyfunction("GOOGLEFINANCE(""NSE:""&amp;A359, ""priceopen"")"),33)</f>
        <v>33</v>
      </c>
      <c r="D150" s="6">
        <f ca="1">IFERROR(__xludf.dummyfunction("GOOGLEFINANCE(""NSE:""&amp;A359, ""high"")"),33)</f>
        <v>33</v>
      </c>
      <c r="E150" s="6">
        <f ca="1">IFERROR(__xludf.dummyfunction("GOOGLEFINANCE(""NSE:""&amp;A359, ""low"")"),31.8)</f>
        <v>31.8</v>
      </c>
      <c r="F150" s="6">
        <f ca="1">IFERROR(__xludf.dummyfunction("GOOGLEFINANCE(""NSE:""&amp;A359, ""closeyest"")"),32.15)</f>
        <v>32.15</v>
      </c>
      <c r="G150" s="6">
        <f ca="1">IFERROR(__xludf.dummyfunction("GOOGLEFINANCE(""NSE:""&amp;A359, ""volume"")"),1950166)</f>
        <v>1950166</v>
      </c>
      <c r="H150" s="6" t="b">
        <f t="shared" ca="1" si="4"/>
        <v>0</v>
      </c>
      <c r="I150" s="6" t="b">
        <f t="shared" ca="1" si="5"/>
        <v>1</v>
      </c>
      <c r="J150" s="7">
        <f ca="1">IFERROR(__xludf.dummyfunction("GOOGLEFINANCE(""NSE:""&amp;A359, ""changepct"")"),-0.31)</f>
        <v>-0.31</v>
      </c>
    </row>
    <row r="151" spans="1:10" ht="13.8">
      <c r="A151" s="5" t="s">
        <v>155</v>
      </c>
      <c r="B151" s="6">
        <f ca="1">IFERROR(__xludf.dummyfunction("GOOGLEFINANCE(""NSE:""&amp;A399, ""price"")"),632.15)</f>
        <v>632.15</v>
      </c>
      <c r="C151" s="6">
        <f ca="1">IFERROR(__xludf.dummyfunction("GOOGLEFINANCE(""NSE:""&amp;A399, ""priceopen"")"),640)</f>
        <v>640</v>
      </c>
      <c r="D151" s="6">
        <f ca="1">IFERROR(__xludf.dummyfunction("GOOGLEFINANCE(""NSE:""&amp;A399, ""high"")"),643.35)</f>
        <v>643.35</v>
      </c>
      <c r="E151" s="6">
        <f ca="1">IFERROR(__xludf.dummyfunction("GOOGLEFINANCE(""NSE:""&amp;A399, ""low"")"),627.7)</f>
        <v>627.70000000000005</v>
      </c>
      <c r="F151" s="6">
        <f ca="1">IFERROR(__xludf.dummyfunction("GOOGLEFINANCE(""NSE:""&amp;A399, ""closeyest"")"),636.55)</f>
        <v>636.54999999999995</v>
      </c>
      <c r="G151" s="6">
        <f ca="1">IFERROR(__xludf.dummyfunction("GOOGLEFINANCE(""NSE:""&amp;A399, ""volume"")"),1925213)</f>
        <v>1925213</v>
      </c>
      <c r="H151" s="6" t="b">
        <f t="shared" ca="1" si="4"/>
        <v>0</v>
      </c>
      <c r="I151" s="6" t="b">
        <f t="shared" ca="1" si="5"/>
        <v>0</v>
      </c>
      <c r="J151" s="7">
        <f ca="1">IFERROR(__xludf.dummyfunction("GOOGLEFINANCE(""NSE:""&amp;A399, ""changepct"")"),-0.69)</f>
        <v>-0.69</v>
      </c>
    </row>
    <row r="152" spans="1:10" ht="13.8">
      <c r="A152" s="5" t="s">
        <v>156</v>
      </c>
      <c r="B152" s="6">
        <f ca="1">IFERROR(__xludf.dummyfunction("GOOGLEFINANCE(""NSE:""&amp;A438, ""price"")"),53.6)</f>
        <v>53.6</v>
      </c>
      <c r="C152" s="6">
        <f ca="1">IFERROR(__xludf.dummyfunction("GOOGLEFINANCE(""NSE:""&amp;A438, ""priceopen"")"),54.9)</f>
        <v>54.9</v>
      </c>
      <c r="D152" s="6">
        <f ca="1">IFERROR(__xludf.dummyfunction("GOOGLEFINANCE(""NSE:""&amp;A438, ""high"")"),54.9)</f>
        <v>54.9</v>
      </c>
      <c r="E152" s="6">
        <f ca="1">IFERROR(__xludf.dummyfunction("GOOGLEFINANCE(""NSE:""&amp;A438, ""low"")"),53.05)</f>
        <v>53.05</v>
      </c>
      <c r="F152" s="6">
        <f ca="1">IFERROR(__xludf.dummyfunction("GOOGLEFINANCE(""NSE:""&amp;A438, ""closeyest"")"),54.2)</f>
        <v>54.2</v>
      </c>
      <c r="G152" s="6">
        <f ca="1">IFERROR(__xludf.dummyfunction("GOOGLEFINANCE(""NSE:""&amp;A438, ""volume"")"),1913852)</f>
        <v>1913852</v>
      </c>
      <c r="H152" s="6" t="b">
        <f t="shared" ca="1" si="4"/>
        <v>0</v>
      </c>
      <c r="I152" s="6" t="b">
        <f t="shared" ca="1" si="5"/>
        <v>1</v>
      </c>
      <c r="J152" s="7">
        <f ca="1">IFERROR(__xludf.dummyfunction("GOOGLEFINANCE(""NSE:""&amp;A438, ""changepct"")"),-1.11)</f>
        <v>-1.1100000000000001</v>
      </c>
    </row>
    <row r="153" spans="1:10" ht="13.8">
      <c r="A153" s="5" t="s">
        <v>157</v>
      </c>
      <c r="B153" s="6">
        <f ca="1">IFERROR(__xludf.dummyfunction("GOOGLEFINANCE(""NSE:""&amp;A160, ""price"")"),67.6)</f>
        <v>67.599999999999994</v>
      </c>
      <c r="C153" s="6">
        <f ca="1">IFERROR(__xludf.dummyfunction("GOOGLEFINANCE(""NSE:""&amp;A160, ""priceopen"")"),66.85)</f>
        <v>66.849999999999994</v>
      </c>
      <c r="D153" s="6">
        <f ca="1">IFERROR(__xludf.dummyfunction("GOOGLEFINANCE(""NSE:""&amp;A160, ""high"")"),68.6)</f>
        <v>68.599999999999994</v>
      </c>
      <c r="E153" s="6">
        <f ca="1">IFERROR(__xludf.dummyfunction("GOOGLEFINANCE(""NSE:""&amp;A160, ""low"")"),66.6)</f>
        <v>66.599999999999994</v>
      </c>
      <c r="F153" s="6">
        <f ca="1">IFERROR(__xludf.dummyfunction("GOOGLEFINANCE(""NSE:""&amp;A160, ""closeyest"")"),66.3)</f>
        <v>66.3</v>
      </c>
      <c r="G153" s="6">
        <f ca="1">IFERROR(__xludf.dummyfunction("GOOGLEFINANCE(""NSE:""&amp;A160, ""volume"")"),1907634)</f>
        <v>1907634</v>
      </c>
      <c r="H153" s="6" t="b">
        <f t="shared" ca="1" si="4"/>
        <v>0</v>
      </c>
      <c r="I153" s="6" t="b">
        <f t="shared" ca="1" si="5"/>
        <v>0</v>
      </c>
      <c r="J153" s="7">
        <f ca="1">IFERROR(__xludf.dummyfunction("GOOGLEFINANCE(""NSE:""&amp;A160, ""changepct"")"),1.96)</f>
        <v>1.96</v>
      </c>
    </row>
    <row r="154" spans="1:10" ht="13.8">
      <c r="A154" s="5" t="s">
        <v>158</v>
      </c>
      <c r="B154" s="6">
        <f ca="1">IFERROR(__xludf.dummyfunction("GOOGLEFINANCE(""NSE:""&amp;A450, ""price"")"),1784)</f>
        <v>1784</v>
      </c>
      <c r="C154" s="6">
        <f ca="1">IFERROR(__xludf.dummyfunction("GOOGLEFINANCE(""NSE:""&amp;A450, ""priceopen"")"),1810)</f>
        <v>1810</v>
      </c>
      <c r="D154" s="6">
        <f ca="1">IFERROR(__xludf.dummyfunction("GOOGLEFINANCE(""NSE:""&amp;A450, ""high"")"),1824.3)</f>
        <v>1824.3</v>
      </c>
      <c r="E154" s="6">
        <f ca="1">IFERROR(__xludf.dummyfunction("GOOGLEFINANCE(""NSE:""&amp;A450, ""low"")"),1777)</f>
        <v>1777</v>
      </c>
      <c r="F154" s="6">
        <f ca="1">IFERROR(__xludf.dummyfunction("GOOGLEFINANCE(""NSE:""&amp;A450, ""closeyest"")"),1806.25)</f>
        <v>1806.25</v>
      </c>
      <c r="G154" s="6">
        <f ca="1">IFERROR(__xludf.dummyfunction("GOOGLEFINANCE(""NSE:""&amp;A450, ""volume"")"),1892637)</f>
        <v>1892637</v>
      </c>
      <c r="H154" s="6" t="b">
        <f t="shared" ca="1" si="4"/>
        <v>0</v>
      </c>
      <c r="I154" s="6" t="b">
        <f t="shared" ca="1" si="5"/>
        <v>0</v>
      </c>
      <c r="J154" s="7">
        <f ca="1">IFERROR(__xludf.dummyfunction("GOOGLEFINANCE(""NSE:""&amp;A450, ""changepct"")"),-1.23)</f>
        <v>-1.23</v>
      </c>
    </row>
    <row r="155" spans="1:10" ht="13.8">
      <c r="A155" s="5" t="s">
        <v>159</v>
      </c>
      <c r="B155" s="6">
        <f ca="1">IFERROR(__xludf.dummyfunction("GOOGLEFINANCE(""NSE:""&amp;A254, ""price"")"),117.7)</f>
        <v>117.7</v>
      </c>
      <c r="C155" s="6">
        <f ca="1">IFERROR(__xludf.dummyfunction("GOOGLEFINANCE(""NSE:""&amp;A254, ""priceopen"")"),117.75)</f>
        <v>117.75</v>
      </c>
      <c r="D155" s="6">
        <f ca="1">IFERROR(__xludf.dummyfunction("GOOGLEFINANCE(""NSE:""&amp;A254, ""high"")"),119.5)</f>
        <v>119.5</v>
      </c>
      <c r="E155" s="6">
        <f ca="1">IFERROR(__xludf.dummyfunction("GOOGLEFINANCE(""NSE:""&amp;A254, ""low"")"),117)</f>
        <v>117</v>
      </c>
      <c r="F155" s="6">
        <f ca="1">IFERROR(__xludf.dummyfunction("GOOGLEFINANCE(""NSE:""&amp;A254, ""closeyest"")"),116.85)</f>
        <v>116.85</v>
      </c>
      <c r="G155" s="6">
        <f ca="1">IFERROR(__xludf.dummyfunction("GOOGLEFINANCE(""NSE:""&amp;A254, ""volume"")"),1863966)</f>
        <v>1863966</v>
      </c>
      <c r="H155" s="6" t="b">
        <f t="shared" ca="1" si="4"/>
        <v>0</v>
      </c>
      <c r="I155" s="6" t="b">
        <f t="shared" ca="1" si="5"/>
        <v>0</v>
      </c>
      <c r="J155" s="7">
        <f ca="1">IFERROR(__xludf.dummyfunction("GOOGLEFINANCE(""NSE:""&amp;A254, ""changepct"")"),0.73)</f>
        <v>0.73</v>
      </c>
    </row>
    <row r="156" spans="1:10" ht="13.8">
      <c r="A156" s="5" t="s">
        <v>160</v>
      </c>
      <c r="B156" s="6">
        <f ca="1">IFERROR(__xludf.dummyfunction("GOOGLEFINANCE(""NSE:""&amp;A490, ""price"")"),35.15)</f>
        <v>35.15</v>
      </c>
      <c r="C156" s="6">
        <f ca="1">IFERROR(__xludf.dummyfunction("GOOGLEFINANCE(""NSE:""&amp;A490, ""priceopen"")"),35.9)</f>
        <v>35.9</v>
      </c>
      <c r="D156" s="6">
        <f ca="1">IFERROR(__xludf.dummyfunction("GOOGLEFINANCE(""NSE:""&amp;A490, ""high"")"),36.25)</f>
        <v>36.25</v>
      </c>
      <c r="E156" s="6">
        <f ca="1">IFERROR(__xludf.dummyfunction("GOOGLEFINANCE(""NSE:""&amp;A490, ""low"")"),34.55)</f>
        <v>34.549999999999997</v>
      </c>
      <c r="F156" s="6">
        <f ca="1">IFERROR(__xludf.dummyfunction("GOOGLEFINANCE(""NSE:""&amp;A490, ""closeyest"")"),36.25)</f>
        <v>36.25</v>
      </c>
      <c r="G156" s="6">
        <f ca="1">IFERROR(__xludf.dummyfunction("GOOGLEFINANCE(""NSE:""&amp;A490, ""volume"")"),1765772)</f>
        <v>1765772</v>
      </c>
      <c r="H156" s="6" t="b">
        <f t="shared" ca="1" si="4"/>
        <v>0</v>
      </c>
      <c r="I156" s="6" t="b">
        <f t="shared" ca="1" si="5"/>
        <v>0</v>
      </c>
      <c r="J156" s="7">
        <f ca="1">IFERROR(__xludf.dummyfunction("GOOGLEFINANCE(""NSE:""&amp;A490, ""changepct"")"),-3.03)</f>
        <v>-3.03</v>
      </c>
    </row>
    <row r="157" spans="1:10" ht="13.8">
      <c r="A157" s="5" t="s">
        <v>161</v>
      </c>
      <c r="B157" s="6">
        <f ca="1">IFERROR(__xludf.dummyfunction("GOOGLEFINANCE(""NSE:""&amp;A107, ""price"")"),677.5)</f>
        <v>677.5</v>
      </c>
      <c r="C157" s="6">
        <f ca="1">IFERROR(__xludf.dummyfunction("GOOGLEFINANCE(""NSE:""&amp;A107, ""priceopen"")"),684)</f>
        <v>684</v>
      </c>
      <c r="D157" s="6">
        <f ca="1">IFERROR(__xludf.dummyfunction("GOOGLEFINANCE(""NSE:""&amp;A107, ""high"")"),696)</f>
        <v>696</v>
      </c>
      <c r="E157" s="6">
        <f ca="1">IFERROR(__xludf.dummyfunction("GOOGLEFINANCE(""NSE:""&amp;A107, ""low"")"),673.7)</f>
        <v>673.7</v>
      </c>
      <c r="F157" s="6">
        <f ca="1">IFERROR(__xludf.dummyfunction("GOOGLEFINANCE(""NSE:""&amp;A107, ""closeyest"")"),656.6)</f>
        <v>656.6</v>
      </c>
      <c r="G157" s="6">
        <f ca="1">IFERROR(__xludf.dummyfunction("GOOGLEFINANCE(""NSE:""&amp;A107, ""volume"")"),1750355)</f>
        <v>1750355</v>
      </c>
      <c r="H157" s="6" t="b">
        <f t="shared" ca="1" si="4"/>
        <v>0</v>
      </c>
      <c r="I157" s="6" t="b">
        <f t="shared" ca="1" si="5"/>
        <v>0</v>
      </c>
      <c r="J157" s="7">
        <f ca="1">IFERROR(__xludf.dummyfunction("GOOGLEFINANCE(""NSE:""&amp;A107, ""changepct"")"),3.18)</f>
        <v>3.18</v>
      </c>
    </row>
    <row r="158" spans="1:10" ht="13.8">
      <c r="A158" s="5" t="s">
        <v>162</v>
      </c>
      <c r="B158" s="6">
        <f ca="1">IFERROR(__xludf.dummyfunction("GOOGLEFINANCE(""NSE:""&amp;A298, ""price"")"),610.75)</f>
        <v>610.75</v>
      </c>
      <c r="C158" s="6">
        <f ca="1">IFERROR(__xludf.dummyfunction("GOOGLEFINANCE(""NSE:""&amp;A298, ""priceopen"")"),612)</f>
        <v>612</v>
      </c>
      <c r="D158" s="6">
        <f ca="1">IFERROR(__xludf.dummyfunction("GOOGLEFINANCE(""NSE:""&amp;A298, ""high"")"),620.9)</f>
        <v>620.9</v>
      </c>
      <c r="E158" s="6">
        <f ca="1">IFERROR(__xludf.dummyfunction("GOOGLEFINANCE(""NSE:""&amp;A298, ""low"")"),608.2)</f>
        <v>608.20000000000005</v>
      </c>
      <c r="F158" s="6">
        <f ca="1">IFERROR(__xludf.dummyfunction("GOOGLEFINANCE(""NSE:""&amp;A298, ""closeyest"")"),609.55)</f>
        <v>609.54999999999995</v>
      </c>
      <c r="G158" s="6">
        <f ca="1">IFERROR(__xludf.dummyfunction("GOOGLEFINANCE(""NSE:""&amp;A298, ""volume"")"),1743028)</f>
        <v>1743028</v>
      </c>
      <c r="H158" s="6" t="b">
        <f t="shared" ca="1" si="4"/>
        <v>0</v>
      </c>
      <c r="I158" s="6" t="b">
        <f t="shared" ca="1" si="5"/>
        <v>0</v>
      </c>
      <c r="J158" s="7">
        <f ca="1">IFERROR(__xludf.dummyfunction("GOOGLEFINANCE(""NSE:""&amp;A298, ""changepct"")"),0.2)</f>
        <v>0.2</v>
      </c>
    </row>
    <row r="159" spans="1:10" ht="13.8">
      <c r="A159" s="5" t="s">
        <v>163</v>
      </c>
      <c r="B159" s="6">
        <f ca="1">IFERROR(__xludf.dummyfunction("GOOGLEFINANCE(""NSE:""&amp;A125, ""price"")"),4691.65)</f>
        <v>4691.6499999999996</v>
      </c>
      <c r="C159" s="6">
        <f ca="1">IFERROR(__xludf.dummyfunction("GOOGLEFINANCE(""NSE:""&amp;A125, ""priceopen"")"),4605)</f>
        <v>4605</v>
      </c>
      <c r="D159" s="6">
        <f ca="1">IFERROR(__xludf.dummyfunction("GOOGLEFINANCE(""NSE:""&amp;A125, ""high"")"),4758.6)</f>
        <v>4758.6000000000004</v>
      </c>
      <c r="E159" s="6">
        <f ca="1">IFERROR(__xludf.dummyfunction("GOOGLEFINANCE(""NSE:""&amp;A125, ""low"")"),4605)</f>
        <v>4605</v>
      </c>
      <c r="F159" s="6">
        <f ca="1">IFERROR(__xludf.dummyfunction("GOOGLEFINANCE(""NSE:""&amp;A125, ""closeyest"")"),4573.5)</f>
        <v>4573.5</v>
      </c>
      <c r="G159" s="6">
        <f ca="1">IFERROR(__xludf.dummyfunction("GOOGLEFINANCE(""NSE:""&amp;A125, ""volume"")"),1739577)</f>
        <v>1739577</v>
      </c>
      <c r="H159" s="6" t="b">
        <f t="shared" ca="1" si="4"/>
        <v>1</v>
      </c>
      <c r="I159" s="6" t="b">
        <f t="shared" ca="1" si="5"/>
        <v>0</v>
      </c>
      <c r="J159" s="7">
        <f ca="1">IFERROR(__xludf.dummyfunction("GOOGLEFINANCE(""NSE:""&amp;A125, ""changepct"")"),2.58)</f>
        <v>2.58</v>
      </c>
    </row>
    <row r="160" spans="1:10" ht="13.8">
      <c r="A160" s="5" t="s">
        <v>164</v>
      </c>
      <c r="B160" s="6">
        <f ca="1">IFERROR(__xludf.dummyfunction("GOOGLEFINANCE(""NSE:""&amp;A44, ""price"")"),86.6)</f>
        <v>86.6</v>
      </c>
      <c r="C160" s="6">
        <f ca="1">IFERROR(__xludf.dummyfunction("GOOGLEFINANCE(""NSE:""&amp;A44, ""priceopen"")"),82.8)</f>
        <v>82.8</v>
      </c>
      <c r="D160" s="6">
        <f ca="1">IFERROR(__xludf.dummyfunction("GOOGLEFINANCE(""NSE:""&amp;A44, ""high"")"),89.3)</f>
        <v>89.3</v>
      </c>
      <c r="E160" s="6">
        <f ca="1">IFERROR(__xludf.dummyfunction("GOOGLEFINANCE(""NSE:""&amp;A44, ""low"")"),82.8)</f>
        <v>82.8</v>
      </c>
      <c r="F160" s="6">
        <f ca="1">IFERROR(__xludf.dummyfunction("GOOGLEFINANCE(""NSE:""&amp;A44, ""closeyest"")"),82.25)</f>
        <v>82.25</v>
      </c>
      <c r="G160" s="6">
        <f ca="1">IFERROR(__xludf.dummyfunction("GOOGLEFINANCE(""NSE:""&amp;A44, ""volume"")"),1739339)</f>
        <v>1739339</v>
      </c>
      <c r="H160" s="6" t="b">
        <f t="shared" ca="1" si="4"/>
        <v>1</v>
      </c>
      <c r="I160" s="6" t="b">
        <f t="shared" ca="1" si="5"/>
        <v>0</v>
      </c>
      <c r="J160" s="7">
        <f ca="1">IFERROR(__xludf.dummyfunction("GOOGLEFINANCE(""NSE:""&amp;A44, ""changepct"")"),5.29)</f>
        <v>5.29</v>
      </c>
    </row>
    <row r="161" spans="1:10" ht="13.8">
      <c r="A161" s="5" t="s">
        <v>165</v>
      </c>
      <c r="B161" s="6">
        <f ca="1">IFERROR(__xludf.dummyfunction("GOOGLEFINANCE(""NSE:""&amp;A318, ""price"")"),10.35)</f>
        <v>10.35</v>
      </c>
      <c r="C161" s="6">
        <f ca="1">IFERROR(__xludf.dummyfunction("GOOGLEFINANCE(""NSE:""&amp;A318, ""priceopen"")"),10.35)</f>
        <v>10.35</v>
      </c>
      <c r="D161" s="6">
        <f ca="1">IFERROR(__xludf.dummyfunction("GOOGLEFINANCE(""NSE:""&amp;A318, ""high"")"),10.55)</f>
        <v>10.55</v>
      </c>
      <c r="E161" s="6">
        <f ca="1">IFERROR(__xludf.dummyfunction("GOOGLEFINANCE(""NSE:""&amp;A318, ""low"")"),10.3)</f>
        <v>10.3</v>
      </c>
      <c r="F161" s="6">
        <f ca="1">IFERROR(__xludf.dummyfunction("GOOGLEFINANCE(""NSE:""&amp;A318, ""closeyest"")"),10.35)</f>
        <v>10.35</v>
      </c>
      <c r="G161" s="6">
        <f ca="1">IFERROR(__xludf.dummyfunction("GOOGLEFINANCE(""NSE:""&amp;A318, ""volume"")"),1720914)</f>
        <v>1720914</v>
      </c>
      <c r="H161" s="6" t="b">
        <f t="shared" ca="1" si="4"/>
        <v>0</v>
      </c>
      <c r="I161" s="6" t="b">
        <f t="shared" ca="1" si="5"/>
        <v>0</v>
      </c>
      <c r="J161" s="7">
        <f ca="1">IFERROR(__xludf.dummyfunction("GOOGLEFINANCE(""NSE:""&amp;A318, ""changepct"")"),0)</f>
        <v>0</v>
      </c>
    </row>
    <row r="162" spans="1:10" ht="13.8">
      <c r="A162" s="5" t="s">
        <v>166</v>
      </c>
      <c r="B162" s="6">
        <f ca="1">IFERROR(__xludf.dummyfunction("GOOGLEFINANCE(""NSE:""&amp;A276, ""price"")"),11.9)</f>
        <v>11.9</v>
      </c>
      <c r="C162" s="6">
        <f ca="1">IFERROR(__xludf.dummyfunction("GOOGLEFINANCE(""NSE:""&amp;A276, ""priceopen"")"),11.9)</f>
        <v>11.9</v>
      </c>
      <c r="D162" s="6">
        <f ca="1">IFERROR(__xludf.dummyfunction("GOOGLEFINANCE(""NSE:""&amp;A276, ""high"")"),11.95)</f>
        <v>11.95</v>
      </c>
      <c r="E162" s="6">
        <f ca="1">IFERROR(__xludf.dummyfunction("GOOGLEFINANCE(""NSE:""&amp;A276, ""low"")"),11.8)</f>
        <v>11.8</v>
      </c>
      <c r="F162" s="6">
        <f ca="1">IFERROR(__xludf.dummyfunction("GOOGLEFINANCE(""NSE:""&amp;A276, ""closeyest"")"),11.85)</f>
        <v>11.85</v>
      </c>
      <c r="G162" s="6">
        <f ca="1">IFERROR(__xludf.dummyfunction("GOOGLEFINANCE(""NSE:""&amp;A276, ""volume"")"),1707063)</f>
        <v>1707063</v>
      </c>
      <c r="H162" s="6" t="b">
        <f t="shared" ca="1" si="4"/>
        <v>0</v>
      </c>
      <c r="I162" s="6" t="b">
        <f t="shared" ca="1" si="5"/>
        <v>0</v>
      </c>
      <c r="J162" s="7">
        <f ca="1">IFERROR(__xludf.dummyfunction("GOOGLEFINANCE(""NSE:""&amp;A276, ""changepct"")"),0.42)</f>
        <v>0.42</v>
      </c>
    </row>
    <row r="163" spans="1:10" ht="13.8">
      <c r="A163" s="5" t="s">
        <v>167</v>
      </c>
      <c r="B163" s="6">
        <f ca="1">IFERROR(__xludf.dummyfunction("GOOGLEFINANCE(""NSE:""&amp;A17, ""price"")"),854.95)</f>
        <v>854.95</v>
      </c>
      <c r="C163" s="6">
        <f ca="1">IFERROR(__xludf.dummyfunction("GOOGLEFINANCE(""NSE:""&amp;A17, ""priceopen"")"),785.7)</f>
        <v>785.7</v>
      </c>
      <c r="D163" s="6">
        <f ca="1">IFERROR(__xludf.dummyfunction("GOOGLEFINANCE(""NSE:""&amp;A17, ""high"")"),859)</f>
        <v>859</v>
      </c>
      <c r="E163" s="6">
        <f ca="1">IFERROR(__xludf.dummyfunction("GOOGLEFINANCE(""NSE:""&amp;A17, ""low"")"),783.05)</f>
        <v>783.05</v>
      </c>
      <c r="F163" s="6">
        <f ca="1">IFERROR(__xludf.dummyfunction("GOOGLEFINANCE(""NSE:""&amp;A17, ""closeyest"")"),781.75)</f>
        <v>781.75</v>
      </c>
      <c r="G163" s="6">
        <f ca="1">IFERROR(__xludf.dummyfunction("GOOGLEFINANCE(""NSE:""&amp;A17, ""volume"")"),1703035)</f>
        <v>1703035</v>
      </c>
      <c r="H163" s="6" t="b">
        <f t="shared" ca="1" si="4"/>
        <v>0</v>
      </c>
      <c r="I163" s="6" t="b">
        <f t="shared" ca="1" si="5"/>
        <v>0</v>
      </c>
      <c r="J163" s="7">
        <f ca="1">IFERROR(__xludf.dummyfunction("GOOGLEFINANCE(""NSE:""&amp;A17, ""changepct"")"),9.36)</f>
        <v>9.36</v>
      </c>
    </row>
    <row r="164" spans="1:10" ht="13.8">
      <c r="A164" s="5" t="s">
        <v>168</v>
      </c>
      <c r="B164" s="6">
        <f ca="1">IFERROR(__xludf.dummyfunction("GOOGLEFINANCE(""NSE:""&amp;A287, ""price"")"),29.5)</f>
        <v>29.5</v>
      </c>
      <c r="C164" s="6">
        <f ca="1">IFERROR(__xludf.dummyfunction("GOOGLEFINANCE(""NSE:""&amp;A287, ""priceopen"")"),29.5)</f>
        <v>29.5</v>
      </c>
      <c r="D164" s="6">
        <f ca="1">IFERROR(__xludf.dummyfunction("GOOGLEFINANCE(""NSE:""&amp;A287, ""high"")"),29.8)</f>
        <v>29.8</v>
      </c>
      <c r="E164" s="6">
        <f ca="1">IFERROR(__xludf.dummyfunction("GOOGLEFINANCE(""NSE:""&amp;A287, ""low"")"),29.3)</f>
        <v>29.3</v>
      </c>
      <c r="F164" s="6">
        <f ca="1">IFERROR(__xludf.dummyfunction("GOOGLEFINANCE(""NSE:""&amp;A287, ""closeyest"")"),29.4)</f>
        <v>29.4</v>
      </c>
      <c r="G164" s="6">
        <f ca="1">IFERROR(__xludf.dummyfunction("GOOGLEFINANCE(""NSE:""&amp;A287, ""volume"")"),1665835)</f>
        <v>1665835</v>
      </c>
      <c r="H164" s="6" t="b">
        <f t="shared" ca="1" si="4"/>
        <v>0</v>
      </c>
      <c r="I164" s="6" t="b">
        <f t="shared" ca="1" si="5"/>
        <v>0</v>
      </c>
      <c r="J164" s="7">
        <f ca="1">IFERROR(__xludf.dummyfunction("GOOGLEFINANCE(""NSE:""&amp;A287, ""changepct"")"),0.34)</f>
        <v>0.34</v>
      </c>
    </row>
    <row r="165" spans="1:10" ht="13.8">
      <c r="A165" s="5" t="s">
        <v>169</v>
      </c>
      <c r="B165" s="6">
        <f ca="1">IFERROR(__xludf.dummyfunction("GOOGLEFINANCE(""NSE:""&amp;A378, ""price"")"),552.45)</f>
        <v>552.45000000000005</v>
      </c>
      <c r="C165" s="6">
        <f ca="1">IFERROR(__xludf.dummyfunction("GOOGLEFINANCE(""NSE:""&amp;A378, ""priceopen"")"),560)</f>
        <v>560</v>
      </c>
      <c r="D165" s="6">
        <f ca="1">IFERROR(__xludf.dummyfunction("GOOGLEFINANCE(""NSE:""&amp;A378, ""high"")"),564.75)</f>
        <v>564.75</v>
      </c>
      <c r="E165" s="6">
        <f ca="1">IFERROR(__xludf.dummyfunction("GOOGLEFINANCE(""NSE:""&amp;A378, ""low"")"),545)</f>
        <v>545</v>
      </c>
      <c r="F165" s="6">
        <f ca="1">IFERROR(__xludf.dummyfunction("GOOGLEFINANCE(""NSE:""&amp;A378, ""closeyest"")"),555.15)</f>
        <v>555.15</v>
      </c>
      <c r="G165" s="6">
        <f ca="1">IFERROR(__xludf.dummyfunction("GOOGLEFINANCE(""NSE:""&amp;A378, ""volume"")"),1660393)</f>
        <v>1660393</v>
      </c>
      <c r="H165" s="6" t="b">
        <f t="shared" ca="1" si="4"/>
        <v>0</v>
      </c>
      <c r="I165" s="6" t="b">
        <f t="shared" ca="1" si="5"/>
        <v>0</v>
      </c>
      <c r="J165" s="7">
        <f ca="1">IFERROR(__xludf.dummyfunction("GOOGLEFINANCE(""NSE:""&amp;A378, ""changepct"")"),-0.49)</f>
        <v>-0.49</v>
      </c>
    </row>
    <row r="166" spans="1:10" ht="13.8">
      <c r="A166" s="5" t="s">
        <v>170</v>
      </c>
      <c r="B166" s="6">
        <f ca="1">IFERROR(__xludf.dummyfunction("GOOGLEFINANCE(""NSE:""&amp;A198, ""price"")"),595.3)</f>
        <v>595.29999999999995</v>
      </c>
      <c r="C166" s="6">
        <f ca="1">IFERROR(__xludf.dummyfunction("GOOGLEFINANCE(""NSE:""&amp;A198, ""priceopen"")"),590.9)</f>
        <v>590.9</v>
      </c>
      <c r="D166" s="6">
        <f ca="1">IFERROR(__xludf.dummyfunction("GOOGLEFINANCE(""NSE:""&amp;A198, ""high"")"),598.8)</f>
        <v>598.79999999999995</v>
      </c>
      <c r="E166" s="6">
        <f ca="1">IFERROR(__xludf.dummyfunction("GOOGLEFINANCE(""NSE:""&amp;A198, ""low"")"),588)</f>
        <v>588</v>
      </c>
      <c r="F166" s="6">
        <f ca="1">IFERROR(__xludf.dummyfunction("GOOGLEFINANCE(""NSE:""&amp;A198, ""closeyest"")"),586.9)</f>
        <v>586.9</v>
      </c>
      <c r="G166" s="6">
        <f ca="1">IFERROR(__xludf.dummyfunction("GOOGLEFINANCE(""NSE:""&amp;A198, ""volume"")"),1656628)</f>
        <v>1656628</v>
      </c>
      <c r="H166" s="6" t="b">
        <f t="shared" ca="1" si="4"/>
        <v>0</v>
      </c>
      <c r="I166" s="6" t="b">
        <f t="shared" ca="1" si="5"/>
        <v>0</v>
      </c>
      <c r="J166" s="7">
        <f ca="1">IFERROR(__xludf.dummyfunction("GOOGLEFINANCE(""NSE:""&amp;A198, ""changepct"")"),1.43)</f>
        <v>1.43</v>
      </c>
    </row>
    <row r="167" spans="1:10" ht="13.8">
      <c r="A167" s="5" t="s">
        <v>171</v>
      </c>
      <c r="B167" s="6">
        <f ca="1">IFERROR(__xludf.dummyfunction("GOOGLEFINANCE(""NSE:""&amp;A428, ""price"")"),39.9)</f>
        <v>39.9</v>
      </c>
      <c r="C167" s="6">
        <f ca="1">IFERROR(__xludf.dummyfunction("GOOGLEFINANCE(""NSE:""&amp;A428, ""priceopen"")"),40.85)</f>
        <v>40.85</v>
      </c>
      <c r="D167" s="6">
        <f ca="1">IFERROR(__xludf.dummyfunction("GOOGLEFINANCE(""NSE:""&amp;A428, ""high"")"),41)</f>
        <v>41</v>
      </c>
      <c r="E167" s="6">
        <f ca="1">IFERROR(__xludf.dummyfunction("GOOGLEFINANCE(""NSE:""&amp;A428, ""low"")"),39.7)</f>
        <v>39.700000000000003</v>
      </c>
      <c r="F167" s="6">
        <f ca="1">IFERROR(__xludf.dummyfunction("GOOGLEFINANCE(""NSE:""&amp;A428, ""closeyest"")"),40.3)</f>
        <v>40.299999999999997</v>
      </c>
      <c r="G167" s="6">
        <f ca="1">IFERROR(__xludf.dummyfunction("GOOGLEFINANCE(""NSE:""&amp;A428, ""volume"")"),1629310)</f>
        <v>1629310</v>
      </c>
      <c r="H167" s="6" t="b">
        <f t="shared" ca="1" si="4"/>
        <v>0</v>
      </c>
      <c r="I167" s="6" t="b">
        <f t="shared" ca="1" si="5"/>
        <v>0</v>
      </c>
      <c r="J167" s="7">
        <f ca="1">IFERROR(__xludf.dummyfunction("GOOGLEFINANCE(""NSE:""&amp;A428, ""changepct"")"),-0.99)</f>
        <v>-0.99</v>
      </c>
    </row>
    <row r="168" spans="1:10" ht="13.8">
      <c r="A168" s="5" t="s">
        <v>172</v>
      </c>
      <c r="B168" s="6">
        <f ca="1">IFERROR(__xludf.dummyfunction("GOOGLEFINANCE(""NSE:""&amp;A380, ""price"")"),1118)</f>
        <v>1118</v>
      </c>
      <c r="C168" s="6">
        <f ca="1">IFERROR(__xludf.dummyfunction("GOOGLEFINANCE(""NSE:""&amp;A380, ""priceopen"")"),1132.65)</f>
        <v>1132.6500000000001</v>
      </c>
      <c r="D168" s="6">
        <f ca="1">IFERROR(__xludf.dummyfunction("GOOGLEFINANCE(""NSE:""&amp;A380, ""high"")"),1138)</f>
        <v>1138</v>
      </c>
      <c r="E168" s="6">
        <f ca="1">IFERROR(__xludf.dummyfunction("GOOGLEFINANCE(""NSE:""&amp;A380, ""low"")"),1099.3)</f>
        <v>1099.3</v>
      </c>
      <c r="F168" s="6">
        <f ca="1">IFERROR(__xludf.dummyfunction("GOOGLEFINANCE(""NSE:""&amp;A380, ""closeyest"")"),1123.65)</f>
        <v>1123.6500000000001</v>
      </c>
      <c r="G168" s="6">
        <f ca="1">IFERROR(__xludf.dummyfunction("GOOGLEFINANCE(""NSE:""&amp;A380, ""volume"")"),1618856)</f>
        <v>1618856</v>
      </c>
      <c r="H168" s="6" t="b">
        <f t="shared" ca="1" si="4"/>
        <v>0</v>
      </c>
      <c r="I168" s="6" t="b">
        <f t="shared" ca="1" si="5"/>
        <v>0</v>
      </c>
      <c r="J168" s="7">
        <f ca="1">IFERROR(__xludf.dummyfunction("GOOGLEFINANCE(""NSE:""&amp;A380, ""changepct"")"),-0.5)</f>
        <v>-0.5</v>
      </c>
    </row>
    <row r="169" spans="1:10" ht="13.8">
      <c r="A169" s="5" t="s">
        <v>173</v>
      </c>
      <c r="B169" s="6">
        <f ca="1">IFERROR(__xludf.dummyfunction("GOOGLEFINANCE(""NSE:""&amp;A493, ""price"")"),590)</f>
        <v>590</v>
      </c>
      <c r="C169" s="6">
        <f ca="1">IFERROR(__xludf.dummyfunction("GOOGLEFINANCE(""NSE:""&amp;A493, ""priceopen"")"),610)</f>
        <v>610</v>
      </c>
      <c r="D169" s="6">
        <f ca="1">IFERROR(__xludf.dummyfunction("GOOGLEFINANCE(""NSE:""&amp;A493, ""high"")"),616)</f>
        <v>616</v>
      </c>
      <c r="E169" s="6">
        <f ca="1">IFERROR(__xludf.dummyfunction("GOOGLEFINANCE(""NSE:""&amp;A493, ""low"")"),582.3)</f>
        <v>582.29999999999995</v>
      </c>
      <c r="F169" s="6">
        <f ca="1">IFERROR(__xludf.dummyfunction("GOOGLEFINANCE(""NSE:""&amp;A493, ""closeyest"")"),611.2)</f>
        <v>611.20000000000005</v>
      </c>
      <c r="G169" s="6">
        <f ca="1">IFERROR(__xludf.dummyfunction("GOOGLEFINANCE(""NSE:""&amp;A493, ""volume"")"),1616802)</f>
        <v>1616802</v>
      </c>
      <c r="H169" s="6" t="b">
        <f t="shared" ca="1" si="4"/>
        <v>0</v>
      </c>
      <c r="I169" s="6" t="b">
        <f t="shared" ca="1" si="5"/>
        <v>0</v>
      </c>
      <c r="J169" s="7">
        <f ca="1">IFERROR(__xludf.dummyfunction("GOOGLEFINANCE(""NSE:""&amp;A493, ""changepct"")"),-3.47)</f>
        <v>-3.47</v>
      </c>
    </row>
    <row r="170" spans="1:10" ht="13.8">
      <c r="A170" s="5" t="s">
        <v>174</v>
      </c>
      <c r="B170" s="6">
        <f ca="1">IFERROR(__xludf.dummyfunction("GOOGLEFINANCE(""NSE:""&amp;A446, ""price"")"),6599)</f>
        <v>6599</v>
      </c>
      <c r="C170" s="6">
        <f ca="1">IFERROR(__xludf.dummyfunction("GOOGLEFINANCE(""NSE:""&amp;A446, ""priceopen"")"),6690)</f>
        <v>6690</v>
      </c>
      <c r="D170" s="6">
        <f ca="1">IFERROR(__xludf.dummyfunction("GOOGLEFINANCE(""NSE:""&amp;A446, ""high"")"),6728.7)</f>
        <v>6728.7</v>
      </c>
      <c r="E170" s="6">
        <f ca="1">IFERROR(__xludf.dummyfunction("GOOGLEFINANCE(""NSE:""&amp;A446, ""low"")"),6576)</f>
        <v>6576</v>
      </c>
      <c r="F170" s="6">
        <f ca="1">IFERROR(__xludf.dummyfunction("GOOGLEFINANCE(""NSE:""&amp;A446, ""closeyest"")"),6679)</f>
        <v>6679</v>
      </c>
      <c r="G170" s="6">
        <f ca="1">IFERROR(__xludf.dummyfunction("GOOGLEFINANCE(""NSE:""&amp;A446, ""volume"")"),1601753)</f>
        <v>1601753</v>
      </c>
      <c r="H170" s="6" t="b">
        <f t="shared" ca="1" si="4"/>
        <v>0</v>
      </c>
      <c r="I170" s="6" t="b">
        <f t="shared" ca="1" si="5"/>
        <v>0</v>
      </c>
      <c r="J170" s="7">
        <f ca="1">IFERROR(__xludf.dummyfunction("GOOGLEFINANCE(""NSE:""&amp;A446, ""changepct"")"),-1.2)</f>
        <v>-1.2</v>
      </c>
    </row>
    <row r="171" spans="1:10" ht="13.8">
      <c r="A171" s="5" t="s">
        <v>175</v>
      </c>
      <c r="B171" s="6">
        <f ca="1">IFERROR(__xludf.dummyfunction("GOOGLEFINANCE(""NSE:""&amp;A131, ""price"")"),344.5)</f>
        <v>344.5</v>
      </c>
      <c r="C171" s="6">
        <f ca="1">IFERROR(__xludf.dummyfunction("GOOGLEFINANCE(""NSE:""&amp;A131, ""priceopen"")"),350)</f>
        <v>350</v>
      </c>
      <c r="D171" s="6">
        <f ca="1">IFERROR(__xludf.dummyfunction("GOOGLEFINANCE(""NSE:""&amp;A131, ""high"")"),354)</f>
        <v>354</v>
      </c>
      <c r="E171" s="6">
        <f ca="1">IFERROR(__xludf.dummyfunction("GOOGLEFINANCE(""NSE:""&amp;A131, ""low"")"),342.2)</f>
        <v>342.2</v>
      </c>
      <c r="F171" s="6">
        <f ca="1">IFERROR(__xludf.dummyfunction("GOOGLEFINANCE(""NSE:""&amp;A131, ""closeyest"")"),336.25)</f>
        <v>336.25</v>
      </c>
      <c r="G171" s="6">
        <f ca="1">IFERROR(__xludf.dummyfunction("GOOGLEFINANCE(""NSE:""&amp;A131, ""volume"")"),1584818)</f>
        <v>1584818</v>
      </c>
      <c r="H171" s="6" t="b">
        <f t="shared" ca="1" si="4"/>
        <v>0</v>
      </c>
      <c r="I171" s="6" t="b">
        <f t="shared" ca="1" si="5"/>
        <v>0</v>
      </c>
      <c r="J171" s="7">
        <f ca="1">IFERROR(__xludf.dummyfunction("GOOGLEFINANCE(""NSE:""&amp;A131, ""changepct"")"),2.45)</f>
        <v>2.4500000000000002</v>
      </c>
    </row>
    <row r="172" spans="1:10" ht="13.8">
      <c r="A172" s="5" t="s">
        <v>176</v>
      </c>
      <c r="B172" s="6">
        <f ca="1">IFERROR(__xludf.dummyfunction("GOOGLEFINANCE(""NSE:""&amp;A187, ""price"")"),1400.5)</f>
        <v>1400.5</v>
      </c>
      <c r="C172" s="6">
        <f ca="1">IFERROR(__xludf.dummyfunction("GOOGLEFINANCE(""NSE:""&amp;A187, ""priceopen"")"),1384.9)</f>
        <v>1384.9</v>
      </c>
      <c r="D172" s="6">
        <f ca="1">IFERROR(__xludf.dummyfunction("GOOGLEFINANCE(""NSE:""&amp;A187, ""high"")"),1408.9)</f>
        <v>1408.9</v>
      </c>
      <c r="E172" s="6">
        <f ca="1">IFERROR(__xludf.dummyfunction("GOOGLEFINANCE(""NSE:""&amp;A187, ""low"")"),1358.1)</f>
        <v>1358.1</v>
      </c>
      <c r="F172" s="6">
        <f ca="1">IFERROR(__xludf.dummyfunction("GOOGLEFINANCE(""NSE:""&amp;A187, ""closeyest"")"),1378.3)</f>
        <v>1378.3</v>
      </c>
      <c r="G172" s="6">
        <f ca="1">IFERROR(__xludf.dummyfunction("GOOGLEFINANCE(""NSE:""&amp;A187, ""volume"")"),1583731)</f>
        <v>1583731</v>
      </c>
      <c r="H172" s="6" t="b">
        <f t="shared" ca="1" si="4"/>
        <v>0</v>
      </c>
      <c r="I172" s="6" t="b">
        <f t="shared" ca="1" si="5"/>
        <v>0</v>
      </c>
      <c r="J172" s="7">
        <f ca="1">IFERROR(__xludf.dummyfunction("GOOGLEFINANCE(""NSE:""&amp;A187, ""changepct"")"),1.61)</f>
        <v>1.61</v>
      </c>
    </row>
    <row r="173" spans="1:10" ht="13.8">
      <c r="A173" s="5" t="s">
        <v>177</v>
      </c>
      <c r="B173" s="6">
        <f ca="1">IFERROR(__xludf.dummyfunction("GOOGLEFINANCE(""NSE:""&amp;A273, ""price"")"),338.6)</f>
        <v>338.6</v>
      </c>
      <c r="C173" s="6">
        <f ca="1">IFERROR(__xludf.dummyfunction("GOOGLEFINANCE(""NSE:""&amp;A273, ""priceopen"")"),340)</f>
        <v>340</v>
      </c>
      <c r="D173" s="6">
        <f ca="1">IFERROR(__xludf.dummyfunction("GOOGLEFINANCE(""NSE:""&amp;A273, ""high"")"),341.35)</f>
        <v>341.35</v>
      </c>
      <c r="E173" s="6">
        <f ca="1">IFERROR(__xludf.dummyfunction("GOOGLEFINANCE(""NSE:""&amp;A273, ""low"")"),331.75)</f>
        <v>331.75</v>
      </c>
      <c r="F173" s="6">
        <f ca="1">IFERROR(__xludf.dummyfunction("GOOGLEFINANCE(""NSE:""&amp;A273, ""closeyest"")"),337.1)</f>
        <v>337.1</v>
      </c>
      <c r="G173" s="6">
        <f ca="1">IFERROR(__xludf.dummyfunction("GOOGLEFINANCE(""NSE:""&amp;A273, ""volume"")"),1520418)</f>
        <v>1520418</v>
      </c>
      <c r="H173" s="6" t="b">
        <f t="shared" ca="1" si="4"/>
        <v>0</v>
      </c>
      <c r="I173" s="6" t="b">
        <f t="shared" ca="1" si="5"/>
        <v>0</v>
      </c>
      <c r="J173" s="7">
        <f ca="1">IFERROR(__xludf.dummyfunction("GOOGLEFINANCE(""NSE:""&amp;A273, ""changepct"")"),0.44)</f>
        <v>0.44</v>
      </c>
    </row>
    <row r="174" spans="1:10" ht="13.8">
      <c r="A174" s="5" t="s">
        <v>178</v>
      </c>
      <c r="B174" s="6">
        <f ca="1">IFERROR(__xludf.dummyfunction("GOOGLEFINANCE(""NSE:""&amp;A12, ""price"")"),43.6)</f>
        <v>43.6</v>
      </c>
      <c r="C174" s="6">
        <f ca="1">IFERROR(__xludf.dummyfunction("GOOGLEFINANCE(""NSE:""&amp;A12, ""priceopen"")"),40.05)</f>
        <v>40.049999999999997</v>
      </c>
      <c r="D174" s="6">
        <f ca="1">IFERROR(__xludf.dummyfunction("GOOGLEFINANCE(""NSE:""&amp;A12, ""high"")"),44.05)</f>
        <v>44.05</v>
      </c>
      <c r="E174" s="6">
        <f ca="1">IFERROR(__xludf.dummyfunction("GOOGLEFINANCE(""NSE:""&amp;A12, ""low"")"),40.05)</f>
        <v>40.049999999999997</v>
      </c>
      <c r="F174" s="6">
        <f ca="1">IFERROR(__xludf.dummyfunction("GOOGLEFINANCE(""NSE:""&amp;A12, ""closeyest"")"),39.45)</f>
        <v>39.450000000000003</v>
      </c>
      <c r="G174" s="6">
        <f ca="1">IFERROR(__xludf.dummyfunction("GOOGLEFINANCE(""NSE:""&amp;A12, ""volume"")"),1503910)</f>
        <v>1503910</v>
      </c>
      <c r="H174" s="6" t="b">
        <f t="shared" ca="1" si="4"/>
        <v>1</v>
      </c>
      <c r="I174" s="6" t="b">
        <f t="shared" ca="1" si="5"/>
        <v>0</v>
      </c>
      <c r="J174" s="7">
        <f ca="1">IFERROR(__xludf.dummyfunction("GOOGLEFINANCE(""NSE:""&amp;A12, ""changepct"")"),10.52)</f>
        <v>10.52</v>
      </c>
    </row>
    <row r="175" spans="1:10" ht="13.8">
      <c r="A175" s="5" t="s">
        <v>179</v>
      </c>
      <c r="B175" s="6">
        <f ca="1">IFERROR(__xludf.dummyfunction("GOOGLEFINANCE(""NSE:""&amp;A248, ""price"")"),1476.15)</f>
        <v>1476.15</v>
      </c>
      <c r="C175" s="6">
        <f ca="1">IFERROR(__xludf.dummyfunction("GOOGLEFINANCE(""NSE:""&amp;A248, ""priceopen"")"),1483)</f>
        <v>1483</v>
      </c>
      <c r="D175" s="6">
        <f ca="1">IFERROR(__xludf.dummyfunction("GOOGLEFINANCE(""NSE:""&amp;A248, ""high"")"),1512.35)</f>
        <v>1512.35</v>
      </c>
      <c r="E175" s="6">
        <f ca="1">IFERROR(__xludf.dummyfunction("GOOGLEFINANCE(""NSE:""&amp;A248, ""low"")"),1467.6)</f>
        <v>1467.6</v>
      </c>
      <c r="F175" s="6">
        <f ca="1">IFERROR(__xludf.dummyfunction("GOOGLEFINANCE(""NSE:""&amp;A248, ""closeyest"")"),1464.2)</f>
        <v>1464.2</v>
      </c>
      <c r="G175" s="6">
        <f ca="1">IFERROR(__xludf.dummyfunction("GOOGLEFINANCE(""NSE:""&amp;A248, ""volume"")"),1497209)</f>
        <v>1497209</v>
      </c>
      <c r="H175" s="6" t="b">
        <f t="shared" ca="1" si="4"/>
        <v>0</v>
      </c>
      <c r="I175" s="6" t="b">
        <f t="shared" ca="1" si="5"/>
        <v>0</v>
      </c>
      <c r="J175" s="7">
        <f ca="1">IFERROR(__xludf.dummyfunction("GOOGLEFINANCE(""NSE:""&amp;A248, ""changepct"")"),0.82)</f>
        <v>0.82</v>
      </c>
    </row>
    <row r="176" spans="1:10" ht="13.8">
      <c r="A176" s="5" t="s">
        <v>180</v>
      </c>
      <c r="B176" s="6">
        <f ca="1">IFERROR(__xludf.dummyfunction("GOOGLEFINANCE(""NSE:""&amp;A498, ""price"")"),32.35)</f>
        <v>32.35</v>
      </c>
      <c r="C176" s="6">
        <f ca="1">IFERROR(__xludf.dummyfunction("GOOGLEFINANCE(""NSE:""&amp;A498, ""priceopen"")"),34.4)</f>
        <v>34.4</v>
      </c>
      <c r="D176" s="6">
        <f ca="1">IFERROR(__xludf.dummyfunction("GOOGLEFINANCE(""NSE:""&amp;A498, ""high"")"),34.4)</f>
        <v>34.4</v>
      </c>
      <c r="E176" s="6">
        <f ca="1">IFERROR(__xludf.dummyfunction("GOOGLEFINANCE(""NSE:""&amp;A498, ""low"")"),31.85)</f>
        <v>31.85</v>
      </c>
      <c r="F176" s="6">
        <f ca="1">IFERROR(__xludf.dummyfunction("GOOGLEFINANCE(""NSE:""&amp;A498, ""closeyest"")"),33.95)</f>
        <v>33.950000000000003</v>
      </c>
      <c r="G176" s="6">
        <f ca="1">IFERROR(__xludf.dummyfunction("GOOGLEFINANCE(""NSE:""&amp;A498, ""volume"")"),1496831)</f>
        <v>1496831</v>
      </c>
      <c r="H176" s="6" t="b">
        <f t="shared" ca="1" si="4"/>
        <v>0</v>
      </c>
      <c r="I176" s="6" t="b">
        <f t="shared" ca="1" si="5"/>
        <v>1</v>
      </c>
      <c r="J176" s="7">
        <f ca="1">IFERROR(__xludf.dummyfunction("GOOGLEFINANCE(""NSE:""&amp;A498, ""changepct"")"),-4.71)</f>
        <v>-4.71</v>
      </c>
    </row>
    <row r="177" spans="1:10" ht="13.8">
      <c r="A177" s="5" t="s">
        <v>181</v>
      </c>
      <c r="B177" s="6">
        <f ca="1">IFERROR(__xludf.dummyfunction("GOOGLEFINANCE(""NSE:""&amp;A352, ""price"")"),2205)</f>
        <v>2205</v>
      </c>
      <c r="C177" s="6">
        <f ca="1">IFERROR(__xludf.dummyfunction("GOOGLEFINANCE(""NSE:""&amp;A352, ""priceopen"")"),2218)</f>
        <v>2218</v>
      </c>
      <c r="D177" s="6">
        <f ca="1">IFERROR(__xludf.dummyfunction("GOOGLEFINANCE(""NSE:""&amp;A352, ""high"")"),2226.75)</f>
        <v>2226.75</v>
      </c>
      <c r="E177" s="6">
        <f ca="1">IFERROR(__xludf.dummyfunction("GOOGLEFINANCE(""NSE:""&amp;A352, ""low"")"),2198.8)</f>
        <v>2198.8000000000002</v>
      </c>
      <c r="F177" s="6">
        <f ca="1">IFERROR(__xludf.dummyfunction("GOOGLEFINANCE(""NSE:""&amp;A352, ""closeyest"")"),2210.55)</f>
        <v>2210.5500000000002</v>
      </c>
      <c r="G177" s="6">
        <f ca="1">IFERROR(__xludf.dummyfunction("GOOGLEFINANCE(""NSE:""&amp;A352, ""volume"")"),1476389)</f>
        <v>1476389</v>
      </c>
      <c r="H177" s="6" t="b">
        <f t="shared" ca="1" si="4"/>
        <v>0</v>
      </c>
      <c r="I177" s="6" t="b">
        <f t="shared" ca="1" si="5"/>
        <v>0</v>
      </c>
      <c r="J177" s="7">
        <f ca="1">IFERROR(__xludf.dummyfunction("GOOGLEFINANCE(""NSE:""&amp;A352, ""changepct"")"),-0.25)</f>
        <v>-0.25</v>
      </c>
    </row>
    <row r="178" spans="1:10" ht="13.8">
      <c r="A178" s="5" t="s">
        <v>182</v>
      </c>
      <c r="B178" s="6">
        <f ca="1">IFERROR(__xludf.dummyfunction("GOOGLEFINANCE(""NSE:""&amp;A55, ""price"")"),9.65)</f>
        <v>9.65</v>
      </c>
      <c r="C178" s="6">
        <f ca="1">IFERROR(__xludf.dummyfunction("GOOGLEFINANCE(""NSE:""&amp;A55, ""priceopen"")"),9.4)</f>
        <v>9.4</v>
      </c>
      <c r="D178" s="6">
        <f ca="1">IFERROR(__xludf.dummyfunction("GOOGLEFINANCE(""NSE:""&amp;A55, ""high"")"),9.65)</f>
        <v>9.65</v>
      </c>
      <c r="E178" s="6">
        <f ca="1">IFERROR(__xludf.dummyfunction("GOOGLEFINANCE(""NSE:""&amp;A55, ""low"")"),9.25)</f>
        <v>9.25</v>
      </c>
      <c r="F178" s="6">
        <f ca="1">IFERROR(__xludf.dummyfunction("GOOGLEFINANCE(""NSE:""&amp;A55, ""closeyest"")"),9.2)</f>
        <v>9.1999999999999993</v>
      </c>
      <c r="G178" s="6">
        <f ca="1">IFERROR(__xludf.dummyfunction("GOOGLEFINANCE(""NSE:""&amp;A55, ""volume"")"),1465735)</f>
        <v>1465735</v>
      </c>
      <c r="H178" s="6" t="b">
        <f t="shared" ca="1" si="4"/>
        <v>0</v>
      </c>
      <c r="I178" s="6" t="b">
        <f t="shared" ca="1" si="5"/>
        <v>0</v>
      </c>
      <c r="J178" s="7">
        <f ca="1">IFERROR(__xludf.dummyfunction("GOOGLEFINANCE(""NSE:""&amp;A55, ""changepct"")"),4.89)</f>
        <v>4.8899999999999997</v>
      </c>
    </row>
    <row r="179" spans="1:10" ht="13.8">
      <c r="A179" s="5" t="s">
        <v>183</v>
      </c>
      <c r="B179" s="6">
        <f ca="1">IFERROR(__xludf.dummyfunction("GOOGLEFINANCE(""NSE:""&amp;A442, ""price"")"),587)</f>
        <v>587</v>
      </c>
      <c r="C179" s="6">
        <f ca="1">IFERROR(__xludf.dummyfunction("GOOGLEFINANCE(""NSE:""&amp;A442, ""priceopen"")"),594.6)</f>
        <v>594.6</v>
      </c>
      <c r="D179" s="6">
        <f ca="1">IFERROR(__xludf.dummyfunction("GOOGLEFINANCE(""NSE:""&amp;A442, ""high"")"),597.75)</f>
        <v>597.75</v>
      </c>
      <c r="E179" s="6">
        <f ca="1">IFERROR(__xludf.dummyfunction("GOOGLEFINANCE(""NSE:""&amp;A442, ""low"")"),585.6)</f>
        <v>585.6</v>
      </c>
      <c r="F179" s="6">
        <f ca="1">IFERROR(__xludf.dummyfunction("GOOGLEFINANCE(""NSE:""&amp;A442, ""closeyest"")"),593.9)</f>
        <v>593.9</v>
      </c>
      <c r="G179" s="6">
        <f ca="1">IFERROR(__xludf.dummyfunction("GOOGLEFINANCE(""NSE:""&amp;A442, ""volume"")"),1450821)</f>
        <v>1450821</v>
      </c>
      <c r="H179" s="6" t="b">
        <f t="shared" ca="1" si="4"/>
        <v>0</v>
      </c>
      <c r="I179" s="6" t="b">
        <f t="shared" ca="1" si="5"/>
        <v>0</v>
      </c>
      <c r="J179" s="7">
        <f ca="1">IFERROR(__xludf.dummyfunction("GOOGLEFINANCE(""NSE:""&amp;A442, ""changepct"")"),-1.16)</f>
        <v>-1.1599999999999999</v>
      </c>
    </row>
    <row r="180" spans="1:10" ht="13.8">
      <c r="A180" s="5" t="s">
        <v>184</v>
      </c>
      <c r="B180" s="6">
        <f ca="1">IFERROR(__xludf.dummyfunction("GOOGLEFINANCE(""NSE:""&amp;A331, ""price"")"),93.5)</f>
        <v>93.5</v>
      </c>
      <c r="C180" s="6">
        <f ca="1">IFERROR(__xludf.dummyfunction("GOOGLEFINANCE(""NSE:""&amp;A331, ""priceopen"")"),94)</f>
        <v>94</v>
      </c>
      <c r="D180" s="6">
        <f ca="1">IFERROR(__xludf.dummyfunction("GOOGLEFINANCE(""NSE:""&amp;A331, ""high"")"),94.5)</f>
        <v>94.5</v>
      </c>
      <c r="E180" s="6">
        <f ca="1">IFERROR(__xludf.dummyfunction("GOOGLEFINANCE(""NSE:""&amp;A331, ""low"")"),91.95)</f>
        <v>91.95</v>
      </c>
      <c r="F180" s="6">
        <f ca="1">IFERROR(__xludf.dummyfunction("GOOGLEFINANCE(""NSE:""&amp;A331, ""closeyest"")"),93.55)</f>
        <v>93.55</v>
      </c>
      <c r="G180" s="6">
        <f ca="1">IFERROR(__xludf.dummyfunction("GOOGLEFINANCE(""NSE:""&amp;A331, ""volume"")"),1436749)</f>
        <v>1436749</v>
      </c>
      <c r="H180" s="6" t="b">
        <f t="shared" ca="1" si="4"/>
        <v>0</v>
      </c>
      <c r="I180" s="6" t="b">
        <f t="shared" ca="1" si="5"/>
        <v>0</v>
      </c>
      <c r="J180" s="7">
        <f ca="1">IFERROR(__xludf.dummyfunction("GOOGLEFINANCE(""NSE:""&amp;A331, ""changepct"")"),-0.05)</f>
        <v>-0.05</v>
      </c>
    </row>
    <row r="181" spans="1:10" ht="13.8">
      <c r="A181" s="5" t="s">
        <v>185</v>
      </c>
      <c r="B181" s="6">
        <f ca="1">IFERROR(__xludf.dummyfunction("GOOGLEFINANCE(""NSE:""&amp;A27, ""price"")"),89.2)</f>
        <v>89.2</v>
      </c>
      <c r="C181" s="6">
        <f ca="1">IFERROR(__xludf.dummyfunction("GOOGLEFINANCE(""NSE:""&amp;A27, ""priceopen"")"),83.8)</f>
        <v>83.8</v>
      </c>
      <c r="D181" s="6">
        <f ca="1">IFERROR(__xludf.dummyfunction("GOOGLEFINANCE(""NSE:""&amp;A27, ""high"")"),92.45)</f>
        <v>92.45</v>
      </c>
      <c r="E181" s="6">
        <f ca="1">IFERROR(__xludf.dummyfunction("GOOGLEFINANCE(""NSE:""&amp;A27, ""low"")"),83.7)</f>
        <v>83.7</v>
      </c>
      <c r="F181" s="6">
        <f ca="1">IFERROR(__xludf.dummyfunction("GOOGLEFINANCE(""NSE:""&amp;A27, ""closeyest"")"),83.15)</f>
        <v>83.15</v>
      </c>
      <c r="G181" s="6">
        <f ca="1">IFERROR(__xludf.dummyfunction("GOOGLEFINANCE(""NSE:""&amp;A27, ""volume"")"),1435485)</f>
        <v>1435485</v>
      </c>
      <c r="H181" s="6" t="b">
        <f t="shared" ca="1" si="4"/>
        <v>0</v>
      </c>
      <c r="I181" s="6" t="b">
        <f t="shared" ca="1" si="5"/>
        <v>0</v>
      </c>
      <c r="J181" s="7">
        <f ca="1">IFERROR(__xludf.dummyfunction("GOOGLEFINANCE(""NSE:""&amp;A27, ""changepct"")"),7.28)</f>
        <v>7.28</v>
      </c>
    </row>
    <row r="182" spans="1:10" ht="13.8">
      <c r="A182" s="5" t="s">
        <v>186</v>
      </c>
      <c r="B182" s="6">
        <f ca="1">IFERROR(__xludf.dummyfunction("GOOGLEFINANCE(""NSE:""&amp;A87, ""price"")"),343.8)</f>
        <v>343.8</v>
      </c>
      <c r="C182" s="6">
        <f ca="1">IFERROR(__xludf.dummyfunction("GOOGLEFINANCE(""NSE:""&amp;A87, ""priceopen"")"),340)</f>
        <v>340</v>
      </c>
      <c r="D182" s="6">
        <f ca="1">IFERROR(__xludf.dummyfunction("GOOGLEFINANCE(""NSE:""&amp;A87, ""high"")"),350)</f>
        <v>350</v>
      </c>
      <c r="E182" s="6">
        <f ca="1">IFERROR(__xludf.dummyfunction("GOOGLEFINANCE(""NSE:""&amp;A87, ""low"")"),333.35)</f>
        <v>333.35</v>
      </c>
      <c r="F182" s="6">
        <f ca="1">IFERROR(__xludf.dummyfunction("GOOGLEFINANCE(""NSE:""&amp;A87, ""closeyest"")"),331.85)</f>
        <v>331.85</v>
      </c>
      <c r="G182" s="6">
        <f ca="1">IFERROR(__xludf.dummyfunction("GOOGLEFINANCE(""NSE:""&amp;A87, ""volume"")"),1429976)</f>
        <v>1429976</v>
      </c>
      <c r="H182" s="6" t="b">
        <f t="shared" ca="1" si="4"/>
        <v>0</v>
      </c>
      <c r="I182" s="6" t="b">
        <f t="shared" ca="1" si="5"/>
        <v>0</v>
      </c>
      <c r="J182" s="7">
        <f ca="1">IFERROR(__xludf.dummyfunction("GOOGLEFINANCE(""NSE:""&amp;A87, ""changepct"")"),3.6)</f>
        <v>3.6</v>
      </c>
    </row>
    <row r="183" spans="1:10" ht="13.8">
      <c r="A183" s="5" t="s">
        <v>187</v>
      </c>
      <c r="B183" s="6">
        <f ca="1">IFERROR(__xludf.dummyfunction("GOOGLEFINANCE(""NSE:""&amp;A223, ""price"")"),167.6)</f>
        <v>167.6</v>
      </c>
      <c r="C183" s="6">
        <f ca="1">IFERROR(__xludf.dummyfunction("GOOGLEFINANCE(""NSE:""&amp;A223, ""priceopen"")"),167.35)</f>
        <v>167.35</v>
      </c>
      <c r="D183" s="6">
        <f ca="1">IFERROR(__xludf.dummyfunction("GOOGLEFINANCE(""NSE:""&amp;A223, ""high"")"),171.95)</f>
        <v>171.95</v>
      </c>
      <c r="E183" s="6">
        <f ca="1">IFERROR(__xludf.dummyfunction("GOOGLEFINANCE(""NSE:""&amp;A223, ""low"")"),165.85)</f>
        <v>165.85</v>
      </c>
      <c r="F183" s="6">
        <f ca="1">IFERROR(__xludf.dummyfunction("GOOGLEFINANCE(""NSE:""&amp;A223, ""closeyest"")"),165.8)</f>
        <v>165.8</v>
      </c>
      <c r="G183" s="6">
        <f ca="1">IFERROR(__xludf.dummyfunction("GOOGLEFINANCE(""NSE:""&amp;A223, ""volume"")"),1429620)</f>
        <v>1429620</v>
      </c>
      <c r="H183" s="6" t="b">
        <f t="shared" ca="1" si="4"/>
        <v>0</v>
      </c>
      <c r="I183" s="6" t="b">
        <f t="shared" ca="1" si="5"/>
        <v>0</v>
      </c>
      <c r="J183" s="7">
        <f ca="1">IFERROR(__xludf.dummyfunction("GOOGLEFINANCE(""NSE:""&amp;A223, ""changepct"")"),1.09)</f>
        <v>1.0900000000000001</v>
      </c>
    </row>
    <row r="184" spans="1:10" ht="13.8">
      <c r="A184" s="5" t="s">
        <v>188</v>
      </c>
      <c r="B184" s="6">
        <f ca="1">IFERROR(__xludf.dummyfunction("GOOGLEFINANCE(""NSE:""&amp;A424, ""price"")"),121.35)</f>
        <v>121.35</v>
      </c>
      <c r="C184" s="6">
        <f ca="1">IFERROR(__xludf.dummyfunction("GOOGLEFINANCE(""NSE:""&amp;A424, ""priceopen"")"),123)</f>
        <v>123</v>
      </c>
      <c r="D184" s="6">
        <f ca="1">IFERROR(__xludf.dummyfunction("GOOGLEFINANCE(""NSE:""&amp;A424, ""high"")"),125)</f>
        <v>125</v>
      </c>
      <c r="E184" s="6">
        <f ca="1">IFERROR(__xludf.dummyfunction("GOOGLEFINANCE(""NSE:""&amp;A424, ""low"")"),121.2)</f>
        <v>121.2</v>
      </c>
      <c r="F184" s="6">
        <f ca="1">IFERROR(__xludf.dummyfunction("GOOGLEFINANCE(""NSE:""&amp;A424, ""closeyest"")"),122.5)</f>
        <v>122.5</v>
      </c>
      <c r="G184" s="6">
        <f ca="1">IFERROR(__xludf.dummyfunction("GOOGLEFINANCE(""NSE:""&amp;A424, ""volume"")"),1415903)</f>
        <v>1415903</v>
      </c>
      <c r="H184" s="6" t="b">
        <f t="shared" ca="1" si="4"/>
        <v>0</v>
      </c>
      <c r="I184" s="6" t="b">
        <f t="shared" ca="1" si="5"/>
        <v>0</v>
      </c>
      <c r="J184" s="7">
        <f ca="1">IFERROR(__xludf.dummyfunction("GOOGLEFINANCE(""NSE:""&amp;A424, ""changepct"")"),-0.94)</f>
        <v>-0.94</v>
      </c>
    </row>
    <row r="185" spans="1:10" ht="13.8">
      <c r="A185" s="5" t="s">
        <v>189</v>
      </c>
      <c r="B185" s="6">
        <f ca="1">IFERROR(__xludf.dummyfunction("GOOGLEFINANCE(""NSE:""&amp;A127, ""price"")"),260.65)</f>
        <v>260.64999999999998</v>
      </c>
      <c r="C185" s="6">
        <f ca="1">IFERROR(__xludf.dummyfunction("GOOGLEFINANCE(""NSE:""&amp;A127, ""priceopen"")"),255.8)</f>
        <v>255.8</v>
      </c>
      <c r="D185" s="6">
        <f ca="1">IFERROR(__xludf.dummyfunction("GOOGLEFINANCE(""NSE:""&amp;A127, ""high"")"),265.7)</f>
        <v>265.7</v>
      </c>
      <c r="E185" s="6">
        <f ca="1">IFERROR(__xludf.dummyfunction("GOOGLEFINANCE(""NSE:""&amp;A127, ""low"")"),255)</f>
        <v>255</v>
      </c>
      <c r="F185" s="6">
        <f ca="1">IFERROR(__xludf.dummyfunction("GOOGLEFINANCE(""NSE:""&amp;A127, ""closeyest"")"),254.15)</f>
        <v>254.15</v>
      </c>
      <c r="G185" s="6">
        <f ca="1">IFERROR(__xludf.dummyfunction("GOOGLEFINANCE(""NSE:""&amp;A127, ""volume"")"),1401688)</f>
        <v>1401688</v>
      </c>
      <c r="H185" s="6" t="b">
        <f t="shared" ca="1" si="4"/>
        <v>0</v>
      </c>
      <c r="I185" s="6" t="b">
        <f t="shared" ca="1" si="5"/>
        <v>0</v>
      </c>
      <c r="J185" s="7">
        <f ca="1">IFERROR(__xludf.dummyfunction("GOOGLEFINANCE(""NSE:""&amp;A127, ""changepct"")"),2.56)</f>
        <v>2.56</v>
      </c>
    </row>
    <row r="186" spans="1:10" ht="13.8">
      <c r="A186" s="5" t="s">
        <v>190</v>
      </c>
      <c r="B186" s="6">
        <f ca="1">IFERROR(__xludf.dummyfunction("GOOGLEFINANCE(""NSE:""&amp;A212, ""price"")"),951.2)</f>
        <v>951.2</v>
      </c>
      <c r="C186" s="6">
        <f ca="1">IFERROR(__xludf.dummyfunction("GOOGLEFINANCE(""NSE:""&amp;A212, ""priceopen"")"),949.95)</f>
        <v>949.95</v>
      </c>
      <c r="D186" s="6">
        <f ca="1">IFERROR(__xludf.dummyfunction("GOOGLEFINANCE(""NSE:""&amp;A212, ""high"")"),957)</f>
        <v>957</v>
      </c>
      <c r="E186" s="6">
        <f ca="1">IFERROR(__xludf.dummyfunction("GOOGLEFINANCE(""NSE:""&amp;A212, ""low"")"),931.2)</f>
        <v>931.2</v>
      </c>
      <c r="F186" s="6">
        <f ca="1">IFERROR(__xludf.dummyfunction("GOOGLEFINANCE(""NSE:""&amp;A212, ""closeyest"")"),939.25)</f>
        <v>939.25</v>
      </c>
      <c r="G186" s="6">
        <f ca="1">IFERROR(__xludf.dummyfunction("GOOGLEFINANCE(""NSE:""&amp;A212, ""volume"")"),1399009)</f>
        <v>1399009</v>
      </c>
      <c r="H186" s="6" t="b">
        <f t="shared" ca="1" si="4"/>
        <v>0</v>
      </c>
      <c r="I186" s="6" t="b">
        <f t="shared" ca="1" si="5"/>
        <v>0</v>
      </c>
      <c r="J186" s="7">
        <f ca="1">IFERROR(__xludf.dummyfunction("GOOGLEFINANCE(""NSE:""&amp;A212, ""changepct"")"),1.27)</f>
        <v>1.27</v>
      </c>
    </row>
    <row r="187" spans="1:10" ht="13.8">
      <c r="A187" s="5" t="s">
        <v>191</v>
      </c>
      <c r="B187" s="6">
        <f ca="1">IFERROR(__xludf.dummyfunction("GOOGLEFINANCE(""NSE:""&amp;A481, ""price"")"),119.8)</f>
        <v>119.8</v>
      </c>
      <c r="C187" s="6">
        <f ca="1">IFERROR(__xludf.dummyfunction("GOOGLEFINANCE(""NSE:""&amp;A481, ""priceopen"")"),122.85)</f>
        <v>122.85</v>
      </c>
      <c r="D187" s="6">
        <f ca="1">IFERROR(__xludf.dummyfunction("GOOGLEFINANCE(""NSE:""&amp;A481, ""high"")"),124.4)</f>
        <v>124.4</v>
      </c>
      <c r="E187" s="6">
        <f ca="1">IFERROR(__xludf.dummyfunction("GOOGLEFINANCE(""NSE:""&amp;A481, ""low"")"),119.2)</f>
        <v>119.2</v>
      </c>
      <c r="F187" s="6">
        <f ca="1">IFERROR(__xludf.dummyfunction("GOOGLEFINANCE(""NSE:""&amp;A481, ""closeyest"")"),122.95)</f>
        <v>122.95</v>
      </c>
      <c r="G187" s="6">
        <f ca="1">IFERROR(__xludf.dummyfunction("GOOGLEFINANCE(""NSE:""&amp;A481, ""volume"")"),1393577)</f>
        <v>1393577</v>
      </c>
      <c r="H187" s="6" t="b">
        <f t="shared" ca="1" si="4"/>
        <v>0</v>
      </c>
      <c r="I187" s="6" t="b">
        <f t="shared" ca="1" si="5"/>
        <v>0</v>
      </c>
      <c r="J187" s="7">
        <f ca="1">IFERROR(__xludf.dummyfunction("GOOGLEFINANCE(""NSE:""&amp;A481, ""changepct"")"),-2.56)</f>
        <v>-2.56</v>
      </c>
    </row>
    <row r="188" spans="1:10" ht="13.8">
      <c r="A188" s="5" t="s">
        <v>192</v>
      </c>
      <c r="B188" s="6">
        <f ca="1">IFERROR(__xludf.dummyfunction("GOOGLEFINANCE(""NSE:""&amp;A364, ""price"")"),259.95)</f>
        <v>259.95</v>
      </c>
      <c r="C188" s="6">
        <f ca="1">IFERROR(__xludf.dummyfunction("GOOGLEFINANCE(""NSE:""&amp;A364, ""priceopen"")"),262.5)</f>
        <v>262.5</v>
      </c>
      <c r="D188" s="6">
        <f ca="1">IFERROR(__xludf.dummyfunction("GOOGLEFINANCE(""NSE:""&amp;A364, ""high"")"),263.45)</f>
        <v>263.45</v>
      </c>
      <c r="E188" s="6">
        <f ca="1">IFERROR(__xludf.dummyfunction("GOOGLEFINANCE(""NSE:""&amp;A364, ""low"")"),258.5)</f>
        <v>258.5</v>
      </c>
      <c r="F188" s="6">
        <f ca="1">IFERROR(__xludf.dummyfunction("GOOGLEFINANCE(""NSE:""&amp;A364, ""closeyest"")"),260.85)</f>
        <v>260.85000000000002</v>
      </c>
      <c r="G188" s="6">
        <f ca="1">IFERROR(__xludf.dummyfunction("GOOGLEFINANCE(""NSE:""&amp;A364, ""volume"")"),1367587)</f>
        <v>1367587</v>
      </c>
      <c r="H188" s="6" t="b">
        <f t="shared" ca="1" si="4"/>
        <v>0</v>
      </c>
      <c r="I188" s="6" t="b">
        <f t="shared" ca="1" si="5"/>
        <v>0</v>
      </c>
      <c r="J188" s="7">
        <f ca="1">IFERROR(__xludf.dummyfunction("GOOGLEFINANCE(""NSE:""&amp;A364, ""changepct"")"),-0.35)</f>
        <v>-0.35</v>
      </c>
    </row>
    <row r="189" spans="1:10" ht="13.8">
      <c r="A189" s="5" t="s">
        <v>193</v>
      </c>
      <c r="B189" s="6">
        <f ca="1">IFERROR(__xludf.dummyfunction("GOOGLEFINANCE(""NSE:""&amp;A309, ""price"")"),46.3)</f>
        <v>46.3</v>
      </c>
      <c r="C189" s="6">
        <f ca="1">IFERROR(__xludf.dummyfunction("GOOGLEFINANCE(""NSE:""&amp;A309, ""priceopen"")"),46.3)</f>
        <v>46.3</v>
      </c>
      <c r="D189" s="6">
        <f ca="1">IFERROR(__xludf.dummyfunction("GOOGLEFINANCE(""NSE:""&amp;A309, ""high"")"),46.9)</f>
        <v>46.9</v>
      </c>
      <c r="E189" s="6">
        <f ca="1">IFERROR(__xludf.dummyfunction("GOOGLEFINANCE(""NSE:""&amp;A309, ""low"")"),46)</f>
        <v>46</v>
      </c>
      <c r="F189" s="6">
        <f ca="1">IFERROR(__xludf.dummyfunction("GOOGLEFINANCE(""NSE:""&amp;A309, ""closeyest"")"),46.25)</f>
        <v>46.25</v>
      </c>
      <c r="G189" s="6">
        <f ca="1">IFERROR(__xludf.dummyfunction("GOOGLEFINANCE(""NSE:""&amp;A309, ""volume"")"),1367238)</f>
        <v>1367238</v>
      </c>
      <c r="H189" s="6" t="b">
        <f t="shared" ca="1" si="4"/>
        <v>0</v>
      </c>
      <c r="I189" s="6" t="b">
        <f t="shared" ca="1" si="5"/>
        <v>0</v>
      </c>
      <c r="J189" s="7">
        <f ca="1">IFERROR(__xludf.dummyfunction("GOOGLEFINANCE(""NSE:""&amp;A309, ""changepct"")"),0.11)</f>
        <v>0.11</v>
      </c>
    </row>
    <row r="190" spans="1:10" ht="13.8">
      <c r="A190" s="5" t="s">
        <v>194</v>
      </c>
      <c r="B190" s="6">
        <f ca="1">IFERROR(__xludf.dummyfunction("GOOGLEFINANCE(""NSE:""&amp;A294, ""price"")"),1877)</f>
        <v>1877</v>
      </c>
      <c r="C190" s="6">
        <f ca="1">IFERROR(__xludf.dummyfunction("GOOGLEFINANCE(""NSE:""&amp;A294, ""priceopen"")"),1880)</f>
        <v>1880</v>
      </c>
      <c r="D190" s="6">
        <f ca="1">IFERROR(__xludf.dummyfunction("GOOGLEFINANCE(""NSE:""&amp;A294, ""high"")"),1916.9)</f>
        <v>1916.9</v>
      </c>
      <c r="E190" s="6">
        <f ca="1">IFERROR(__xludf.dummyfunction("GOOGLEFINANCE(""NSE:""&amp;A294, ""low"")"),1861.85)</f>
        <v>1861.85</v>
      </c>
      <c r="F190" s="6">
        <f ca="1">IFERROR(__xludf.dummyfunction("GOOGLEFINANCE(""NSE:""&amp;A294, ""closeyest"")"),1872.35)</f>
        <v>1872.35</v>
      </c>
      <c r="G190" s="6">
        <f ca="1">IFERROR(__xludf.dummyfunction("GOOGLEFINANCE(""NSE:""&amp;A294, ""volume"")"),1345731)</f>
        <v>1345731</v>
      </c>
      <c r="H190" s="6" t="b">
        <f t="shared" ca="1" si="4"/>
        <v>0</v>
      </c>
      <c r="I190" s="6" t="b">
        <f t="shared" ca="1" si="5"/>
        <v>0</v>
      </c>
      <c r="J190" s="7">
        <f ca="1">IFERROR(__xludf.dummyfunction("GOOGLEFINANCE(""NSE:""&amp;A294, ""changepct"")"),0.25)</f>
        <v>0.25</v>
      </c>
    </row>
    <row r="191" spans="1:10" ht="13.8">
      <c r="A191" s="5" t="s">
        <v>195</v>
      </c>
      <c r="B191" s="6">
        <f ca="1">IFERROR(__xludf.dummyfunction("GOOGLEFINANCE(""NSE:""&amp;A211, ""price"")"),59.65)</f>
        <v>59.65</v>
      </c>
      <c r="C191" s="6">
        <f ca="1">IFERROR(__xludf.dummyfunction("GOOGLEFINANCE(""NSE:""&amp;A211, ""priceopen"")"),60)</f>
        <v>60</v>
      </c>
      <c r="D191" s="6">
        <f ca="1">IFERROR(__xludf.dummyfunction("GOOGLEFINANCE(""NSE:""&amp;A211, ""high"")"),60.8)</f>
        <v>60.8</v>
      </c>
      <c r="E191" s="6">
        <f ca="1">IFERROR(__xludf.dummyfunction("GOOGLEFINANCE(""NSE:""&amp;A211, ""low"")"),59.05)</f>
        <v>59.05</v>
      </c>
      <c r="F191" s="6">
        <f ca="1">IFERROR(__xludf.dummyfunction("GOOGLEFINANCE(""NSE:""&amp;A211, ""closeyest"")"),58.9)</f>
        <v>58.9</v>
      </c>
      <c r="G191" s="6">
        <f ca="1">IFERROR(__xludf.dummyfunction("GOOGLEFINANCE(""NSE:""&amp;A211, ""volume"")"),1337329)</f>
        <v>1337329</v>
      </c>
      <c r="H191" s="6" t="b">
        <f t="shared" ca="1" si="4"/>
        <v>0</v>
      </c>
      <c r="I191" s="6" t="b">
        <f t="shared" ca="1" si="5"/>
        <v>0</v>
      </c>
      <c r="J191" s="7">
        <f ca="1">IFERROR(__xludf.dummyfunction("GOOGLEFINANCE(""NSE:""&amp;A211, ""changepct"")"),1.27)</f>
        <v>1.27</v>
      </c>
    </row>
    <row r="192" spans="1:10" ht="13.8">
      <c r="A192" s="5" t="s">
        <v>196</v>
      </c>
      <c r="B192" s="6">
        <f ca="1">IFERROR(__xludf.dummyfunction("GOOGLEFINANCE(""NSE:""&amp;A320, ""price"")"),42.6)</f>
        <v>42.6</v>
      </c>
      <c r="C192" s="6">
        <f ca="1">IFERROR(__xludf.dummyfunction("GOOGLEFINANCE(""NSE:""&amp;A320, ""priceopen"")"),42.7)</f>
        <v>42.7</v>
      </c>
      <c r="D192" s="6">
        <f ca="1">IFERROR(__xludf.dummyfunction("GOOGLEFINANCE(""NSE:""&amp;A320, ""high"")"),43.4)</f>
        <v>43.4</v>
      </c>
      <c r="E192" s="6">
        <f ca="1">IFERROR(__xludf.dummyfunction("GOOGLEFINANCE(""NSE:""&amp;A320, ""low"")"),42.45)</f>
        <v>42.45</v>
      </c>
      <c r="F192" s="6">
        <f ca="1">IFERROR(__xludf.dummyfunction("GOOGLEFINANCE(""NSE:""&amp;A320, ""closeyest"")"),42.6)</f>
        <v>42.6</v>
      </c>
      <c r="G192" s="6">
        <f ca="1">IFERROR(__xludf.dummyfunction("GOOGLEFINANCE(""NSE:""&amp;A320, ""volume"")"),1330749)</f>
        <v>1330749</v>
      </c>
      <c r="H192" s="6" t="b">
        <f t="shared" ca="1" si="4"/>
        <v>0</v>
      </c>
      <c r="I192" s="6" t="b">
        <f t="shared" ca="1" si="5"/>
        <v>0</v>
      </c>
      <c r="J192" s="7">
        <f ca="1">IFERROR(__xludf.dummyfunction("GOOGLEFINANCE(""NSE:""&amp;A320, ""changepct"")"),0)</f>
        <v>0</v>
      </c>
    </row>
    <row r="193" spans="1:10" ht="13.8">
      <c r="A193" s="5" t="s">
        <v>197</v>
      </c>
      <c r="B193" s="6">
        <f ca="1">IFERROR(__xludf.dummyfunction("GOOGLEFINANCE(""NSE:""&amp;A396, ""price"")"),141)</f>
        <v>141</v>
      </c>
      <c r="C193" s="6">
        <f ca="1">IFERROR(__xludf.dummyfunction("GOOGLEFINANCE(""NSE:""&amp;A396, ""priceopen"")"),143.1)</f>
        <v>143.1</v>
      </c>
      <c r="D193" s="6">
        <f ca="1">IFERROR(__xludf.dummyfunction("GOOGLEFINANCE(""NSE:""&amp;A396, ""high"")"),143.8)</f>
        <v>143.80000000000001</v>
      </c>
      <c r="E193" s="6">
        <f ca="1">IFERROR(__xludf.dummyfunction("GOOGLEFINANCE(""NSE:""&amp;A396, ""low"")"),140.15)</f>
        <v>140.15</v>
      </c>
      <c r="F193" s="6">
        <f ca="1">IFERROR(__xludf.dummyfunction("GOOGLEFINANCE(""NSE:""&amp;A396, ""closeyest"")"),141.9)</f>
        <v>141.9</v>
      </c>
      <c r="G193" s="6">
        <f ca="1">IFERROR(__xludf.dummyfunction("GOOGLEFINANCE(""NSE:""&amp;A396, ""volume"")"),1314986)</f>
        <v>1314986</v>
      </c>
      <c r="H193" s="6" t="b">
        <f t="shared" ca="1" si="4"/>
        <v>0</v>
      </c>
      <c r="I193" s="6" t="b">
        <f t="shared" ca="1" si="5"/>
        <v>0</v>
      </c>
      <c r="J193" s="7">
        <f ca="1">IFERROR(__xludf.dummyfunction("GOOGLEFINANCE(""NSE:""&amp;A396, ""changepct"")"),-0.63)</f>
        <v>-0.63</v>
      </c>
    </row>
    <row r="194" spans="1:10" ht="13.8">
      <c r="A194" s="5" t="s">
        <v>198</v>
      </c>
      <c r="B194" s="6">
        <f ca="1">IFERROR(__xludf.dummyfunction("GOOGLEFINANCE(""NSE:""&amp;A123, ""price"")"),317.9)</f>
        <v>317.89999999999998</v>
      </c>
      <c r="C194" s="6">
        <f ca="1">IFERROR(__xludf.dummyfunction("GOOGLEFINANCE(""NSE:""&amp;A123, ""priceopen"")"),311.3)</f>
        <v>311.3</v>
      </c>
      <c r="D194" s="6">
        <f ca="1">IFERROR(__xludf.dummyfunction("GOOGLEFINANCE(""NSE:""&amp;A123, ""high"")"),324.7)</f>
        <v>324.7</v>
      </c>
      <c r="E194" s="6">
        <f ca="1">IFERROR(__xludf.dummyfunction("GOOGLEFINANCE(""NSE:""&amp;A123, ""low"")"),310)</f>
        <v>310</v>
      </c>
      <c r="F194" s="6">
        <f ca="1">IFERROR(__xludf.dummyfunction("GOOGLEFINANCE(""NSE:""&amp;A123, ""closeyest"")"),309.3)</f>
        <v>309.3</v>
      </c>
      <c r="G194" s="6">
        <f ca="1">IFERROR(__xludf.dummyfunction("GOOGLEFINANCE(""NSE:""&amp;A123, ""volume"")"),1301769)</f>
        <v>1301769</v>
      </c>
      <c r="H194" s="6" t="b">
        <f t="shared" ref="H194:H256" ca="1" si="6">C194=E194</f>
        <v>0</v>
      </c>
      <c r="I194" s="6" t="b">
        <f t="shared" ref="I194:I256" ca="1" si="7">D194=C194</f>
        <v>0</v>
      </c>
      <c r="J194" s="7">
        <f ca="1">IFERROR(__xludf.dummyfunction("GOOGLEFINANCE(""NSE:""&amp;A123, ""changepct"")"),2.78)</f>
        <v>2.78</v>
      </c>
    </row>
    <row r="195" spans="1:10" ht="13.8">
      <c r="A195" s="5" t="s">
        <v>199</v>
      </c>
      <c r="B195" s="6">
        <f ca="1">IFERROR(__xludf.dummyfunction("GOOGLEFINANCE(""NSE:""&amp;A140, ""price"")"),3009.9)</f>
        <v>3009.9</v>
      </c>
      <c r="C195" s="6">
        <f ca="1">IFERROR(__xludf.dummyfunction("GOOGLEFINANCE(""NSE:""&amp;A140, ""priceopen"")"),2949.8)</f>
        <v>2949.8</v>
      </c>
      <c r="D195" s="6">
        <f ca="1">IFERROR(__xludf.dummyfunction("GOOGLEFINANCE(""NSE:""&amp;A140, ""high"")"),3030)</f>
        <v>3030</v>
      </c>
      <c r="E195" s="6">
        <f ca="1">IFERROR(__xludf.dummyfunction("GOOGLEFINANCE(""NSE:""&amp;A140, ""low"")"),2945)</f>
        <v>2945</v>
      </c>
      <c r="F195" s="6">
        <f ca="1">IFERROR(__xludf.dummyfunction("GOOGLEFINANCE(""NSE:""&amp;A140, ""closeyest"")"),2941.05)</f>
        <v>2941.05</v>
      </c>
      <c r="G195" s="6">
        <f ca="1">IFERROR(__xludf.dummyfunction("GOOGLEFINANCE(""NSE:""&amp;A140, ""volume"")"),1296485)</f>
        <v>1296485</v>
      </c>
      <c r="H195" s="6" t="b">
        <f t="shared" ca="1" si="6"/>
        <v>0</v>
      </c>
      <c r="I195" s="6" t="b">
        <f t="shared" ca="1" si="7"/>
        <v>0</v>
      </c>
      <c r="J195" s="7">
        <f ca="1">IFERROR(__xludf.dummyfunction("GOOGLEFINANCE(""NSE:""&amp;A140, ""changepct"")"),2.34)</f>
        <v>2.34</v>
      </c>
    </row>
    <row r="196" spans="1:10" ht="13.8">
      <c r="A196" s="5" t="s">
        <v>200</v>
      </c>
      <c r="B196" s="6">
        <f ca="1">IFERROR(__xludf.dummyfunction("GOOGLEFINANCE(""NSE:""&amp;A349, ""price"")"),137.7)</f>
        <v>137.69999999999999</v>
      </c>
      <c r="C196" s="6">
        <f ca="1">IFERROR(__xludf.dummyfunction("GOOGLEFINANCE(""NSE:""&amp;A349, ""priceopen"")"),139.35)</f>
        <v>139.35</v>
      </c>
      <c r="D196" s="6">
        <f ca="1">IFERROR(__xludf.dummyfunction("GOOGLEFINANCE(""NSE:""&amp;A349, ""high"")"),140.75)</f>
        <v>140.75</v>
      </c>
      <c r="E196" s="6">
        <f ca="1">IFERROR(__xludf.dummyfunction("GOOGLEFINANCE(""NSE:""&amp;A349, ""low"")"),137.55)</f>
        <v>137.55000000000001</v>
      </c>
      <c r="F196" s="6">
        <f ca="1">IFERROR(__xludf.dummyfunction("GOOGLEFINANCE(""NSE:""&amp;A349, ""closeyest"")"),138)</f>
        <v>138</v>
      </c>
      <c r="G196" s="6">
        <f ca="1">IFERROR(__xludf.dummyfunction("GOOGLEFINANCE(""NSE:""&amp;A349, ""volume"")"),1271295)</f>
        <v>1271295</v>
      </c>
      <c r="H196" s="6" t="b">
        <f t="shared" ca="1" si="6"/>
        <v>0</v>
      </c>
      <c r="I196" s="6" t="b">
        <f t="shared" ca="1" si="7"/>
        <v>0</v>
      </c>
      <c r="J196" s="7">
        <f ca="1">IFERROR(__xludf.dummyfunction("GOOGLEFINANCE(""NSE:""&amp;A349, ""changepct"")"),-0.22)</f>
        <v>-0.22</v>
      </c>
    </row>
    <row r="197" spans="1:10" ht="13.8">
      <c r="A197" s="5" t="s">
        <v>201</v>
      </c>
      <c r="B197" s="6">
        <f ca="1">IFERROR(__xludf.dummyfunction("GOOGLEFINANCE(""NSE:""&amp;A373, ""price"")"),34.4)</f>
        <v>34.4</v>
      </c>
      <c r="C197" s="6">
        <f ca="1">IFERROR(__xludf.dummyfunction("GOOGLEFINANCE(""NSE:""&amp;A373, ""priceopen"")"),35.15)</f>
        <v>35.15</v>
      </c>
      <c r="D197" s="6">
        <f ca="1">IFERROR(__xludf.dummyfunction("GOOGLEFINANCE(""NSE:""&amp;A373, ""high"")"),35.2)</f>
        <v>35.200000000000003</v>
      </c>
      <c r="E197" s="6">
        <f ca="1">IFERROR(__xludf.dummyfunction("GOOGLEFINANCE(""NSE:""&amp;A373, ""low"")"),34.25)</f>
        <v>34.25</v>
      </c>
      <c r="F197" s="6">
        <f ca="1">IFERROR(__xludf.dummyfunction("GOOGLEFINANCE(""NSE:""&amp;A373, ""closeyest"")"),34.55)</f>
        <v>34.549999999999997</v>
      </c>
      <c r="G197" s="6">
        <f ca="1">IFERROR(__xludf.dummyfunction("GOOGLEFINANCE(""NSE:""&amp;A373, ""volume"")"),1254810)</f>
        <v>1254810</v>
      </c>
      <c r="H197" s="6" t="b">
        <f t="shared" ca="1" si="6"/>
        <v>0</v>
      </c>
      <c r="I197" s="6" t="b">
        <f t="shared" ca="1" si="7"/>
        <v>0</v>
      </c>
      <c r="J197" s="7">
        <f ca="1">IFERROR(__xludf.dummyfunction("GOOGLEFINANCE(""NSE:""&amp;A373, ""changepct"")"),-0.43)</f>
        <v>-0.43</v>
      </c>
    </row>
    <row r="198" spans="1:10" ht="13.8">
      <c r="A198" s="5" t="s">
        <v>202</v>
      </c>
      <c r="B198" s="6">
        <f ca="1">IFERROR(__xludf.dummyfunction("GOOGLEFINANCE(""NSE:""&amp;A24, ""price"")"),1026)</f>
        <v>1026</v>
      </c>
      <c r="C198" s="6">
        <f ca="1">IFERROR(__xludf.dummyfunction("GOOGLEFINANCE(""NSE:""&amp;A24, ""priceopen"")"),1033)</f>
        <v>1033</v>
      </c>
      <c r="D198" s="6">
        <f ca="1">IFERROR(__xludf.dummyfunction("GOOGLEFINANCE(""NSE:""&amp;A24, ""high"")"),1070)</f>
        <v>1070</v>
      </c>
      <c r="E198" s="6">
        <f ca="1">IFERROR(__xludf.dummyfunction("GOOGLEFINANCE(""NSE:""&amp;A24, ""low"")"),1006.5)</f>
        <v>1006.5</v>
      </c>
      <c r="F198" s="6">
        <f ca="1">IFERROR(__xludf.dummyfunction("GOOGLEFINANCE(""NSE:""&amp;A24, ""closeyest"")"),949.45)</f>
        <v>949.45</v>
      </c>
      <c r="G198" s="6">
        <f ca="1">IFERROR(__xludf.dummyfunction("GOOGLEFINANCE(""NSE:""&amp;A24, ""volume"")"),1251618)</f>
        <v>1251618</v>
      </c>
      <c r="H198" s="6" t="b">
        <f t="shared" ca="1" si="6"/>
        <v>0</v>
      </c>
      <c r="I198" s="6" t="b">
        <f t="shared" ca="1" si="7"/>
        <v>0</v>
      </c>
      <c r="J198" s="7">
        <f ca="1">IFERROR(__xludf.dummyfunction("GOOGLEFINANCE(""NSE:""&amp;A24, ""changepct"")"),8.06)</f>
        <v>8.06</v>
      </c>
    </row>
    <row r="199" spans="1:10" ht="13.8">
      <c r="A199" s="5" t="s">
        <v>203</v>
      </c>
      <c r="B199" s="6">
        <f ca="1">IFERROR(__xludf.dummyfunction("GOOGLEFINANCE(""NSE:""&amp;A425, ""price"")"),68.1)</f>
        <v>68.099999999999994</v>
      </c>
      <c r="C199" s="6">
        <f ca="1">IFERROR(__xludf.dummyfunction("GOOGLEFINANCE(""NSE:""&amp;A425, ""priceopen"")"),69.5)</f>
        <v>69.5</v>
      </c>
      <c r="D199" s="6">
        <f ca="1">IFERROR(__xludf.dummyfunction("GOOGLEFINANCE(""NSE:""&amp;A425, ""high"")"),71)</f>
        <v>71</v>
      </c>
      <c r="E199" s="6">
        <f ca="1">IFERROR(__xludf.dummyfunction("GOOGLEFINANCE(""NSE:""&amp;A425, ""low"")"),67.5)</f>
        <v>67.5</v>
      </c>
      <c r="F199" s="6">
        <f ca="1">IFERROR(__xludf.dummyfunction("GOOGLEFINANCE(""NSE:""&amp;A425, ""closeyest"")"),68.75)</f>
        <v>68.75</v>
      </c>
      <c r="G199" s="6">
        <f ca="1">IFERROR(__xludf.dummyfunction("GOOGLEFINANCE(""NSE:""&amp;A425, ""volume"")"),1250062)</f>
        <v>1250062</v>
      </c>
      <c r="H199" s="6" t="b">
        <f t="shared" ca="1" si="6"/>
        <v>0</v>
      </c>
      <c r="I199" s="6" t="b">
        <f t="shared" ca="1" si="7"/>
        <v>0</v>
      </c>
      <c r="J199" s="7">
        <f ca="1">IFERROR(__xludf.dummyfunction("GOOGLEFINANCE(""NSE:""&amp;A425, ""changepct"")"),-0.95)</f>
        <v>-0.95</v>
      </c>
    </row>
    <row r="200" spans="1:10" ht="13.8">
      <c r="A200" s="5" t="s">
        <v>204</v>
      </c>
      <c r="B200" s="6">
        <f ca="1">IFERROR(__xludf.dummyfunction("GOOGLEFINANCE(""NSE:""&amp;A278, ""price"")"),761)</f>
        <v>761</v>
      </c>
      <c r="C200" s="6">
        <f ca="1">IFERROR(__xludf.dummyfunction("GOOGLEFINANCE(""NSE:""&amp;A278, ""priceopen"")"),758.55)</f>
        <v>758.55</v>
      </c>
      <c r="D200" s="6">
        <f ca="1">IFERROR(__xludf.dummyfunction("GOOGLEFINANCE(""NSE:""&amp;A278, ""high"")"),769)</f>
        <v>769</v>
      </c>
      <c r="E200" s="6">
        <f ca="1">IFERROR(__xludf.dummyfunction("GOOGLEFINANCE(""NSE:""&amp;A278, ""low"")"),755.1)</f>
        <v>755.1</v>
      </c>
      <c r="F200" s="6">
        <f ca="1">IFERROR(__xludf.dummyfunction("GOOGLEFINANCE(""NSE:""&amp;A278, ""closeyest"")"),757.95)</f>
        <v>757.95</v>
      </c>
      <c r="G200" s="6">
        <f ca="1">IFERROR(__xludf.dummyfunction("GOOGLEFINANCE(""NSE:""&amp;A278, ""volume"")"),1226626)</f>
        <v>1226626</v>
      </c>
      <c r="H200" s="6" t="b">
        <f t="shared" ca="1" si="6"/>
        <v>0</v>
      </c>
      <c r="I200" s="6" t="b">
        <f t="shared" ca="1" si="7"/>
        <v>0</v>
      </c>
      <c r="J200" s="7">
        <f ca="1">IFERROR(__xludf.dummyfunction("GOOGLEFINANCE(""NSE:""&amp;A278, ""changepct"")"),0.4)</f>
        <v>0.4</v>
      </c>
    </row>
    <row r="201" spans="1:10" ht="13.8">
      <c r="A201" s="5" t="s">
        <v>205</v>
      </c>
      <c r="B201" s="6">
        <f ca="1">IFERROR(__xludf.dummyfunction("GOOGLEFINANCE(""NSE:""&amp;A166, ""price"")"),308.8)</f>
        <v>308.8</v>
      </c>
      <c r="C201" s="6">
        <f ca="1">IFERROR(__xludf.dummyfunction("GOOGLEFINANCE(""NSE:""&amp;A166, ""priceopen"")"),301.8)</f>
        <v>301.8</v>
      </c>
      <c r="D201" s="6">
        <f ca="1">IFERROR(__xludf.dummyfunction("GOOGLEFINANCE(""NSE:""&amp;A166, ""high"")"),311.35)</f>
        <v>311.35000000000002</v>
      </c>
      <c r="E201" s="6">
        <f ca="1">IFERROR(__xludf.dummyfunction("GOOGLEFINANCE(""NSE:""&amp;A166, ""low"")"),297)</f>
        <v>297</v>
      </c>
      <c r="F201" s="6">
        <f ca="1">IFERROR(__xludf.dummyfunction("GOOGLEFINANCE(""NSE:""&amp;A166, ""closeyest"")"),303.05)</f>
        <v>303.05</v>
      </c>
      <c r="G201" s="6">
        <f ca="1">IFERROR(__xludf.dummyfunction("GOOGLEFINANCE(""NSE:""&amp;A166, ""volume"")"),1220223)</f>
        <v>1220223</v>
      </c>
      <c r="H201" s="6" t="b">
        <f t="shared" ca="1" si="6"/>
        <v>0</v>
      </c>
      <c r="I201" s="6" t="b">
        <f t="shared" ca="1" si="7"/>
        <v>0</v>
      </c>
      <c r="J201" s="7">
        <f ca="1">IFERROR(__xludf.dummyfunction("GOOGLEFINANCE(""NSE:""&amp;A166, ""changepct"")"),1.9)</f>
        <v>1.9</v>
      </c>
    </row>
    <row r="202" spans="1:10" ht="13.8">
      <c r="A202" s="5" t="s">
        <v>206</v>
      </c>
      <c r="B202" s="6">
        <f ca="1">IFERROR(__xludf.dummyfunction("GOOGLEFINANCE(""NSE:""&amp;A270, ""price"")"),122)</f>
        <v>122</v>
      </c>
      <c r="C202" s="6">
        <f ca="1">IFERROR(__xludf.dummyfunction("GOOGLEFINANCE(""NSE:""&amp;A270, ""priceopen"")"),122.65)</f>
        <v>122.65</v>
      </c>
      <c r="D202" s="6">
        <f ca="1">IFERROR(__xludf.dummyfunction("GOOGLEFINANCE(""NSE:""&amp;A270, ""high"")"),123.25)</f>
        <v>123.25</v>
      </c>
      <c r="E202" s="6">
        <f ca="1">IFERROR(__xludf.dummyfunction("GOOGLEFINANCE(""NSE:""&amp;A270, ""low"")"),121.6)</f>
        <v>121.6</v>
      </c>
      <c r="F202" s="6">
        <f ca="1">IFERROR(__xludf.dummyfunction("GOOGLEFINANCE(""NSE:""&amp;A270, ""closeyest"")"),121.45)</f>
        <v>121.45</v>
      </c>
      <c r="G202" s="6">
        <f ca="1">IFERROR(__xludf.dummyfunction("GOOGLEFINANCE(""NSE:""&amp;A270, ""volume"")"),1201974)</f>
        <v>1201974</v>
      </c>
      <c r="H202" s="6" t="b">
        <f t="shared" ca="1" si="6"/>
        <v>0</v>
      </c>
      <c r="I202" s="6" t="b">
        <f t="shared" ca="1" si="7"/>
        <v>0</v>
      </c>
      <c r="J202" s="7">
        <f ca="1">IFERROR(__xludf.dummyfunction("GOOGLEFINANCE(""NSE:""&amp;A270, ""changepct"")"),0.45)</f>
        <v>0.45</v>
      </c>
    </row>
    <row r="203" spans="1:10" ht="13.8">
      <c r="A203" s="5" t="s">
        <v>207</v>
      </c>
      <c r="B203" s="6">
        <f ca="1">IFERROR(__xludf.dummyfunction("GOOGLEFINANCE(""NSE:""&amp;A282, ""price"")"),183)</f>
        <v>183</v>
      </c>
      <c r="C203" s="6">
        <f ca="1">IFERROR(__xludf.dummyfunction("GOOGLEFINANCE(""NSE:""&amp;A282, ""priceopen"")"),181)</f>
        <v>181</v>
      </c>
      <c r="D203" s="6">
        <f ca="1">IFERROR(__xludf.dummyfunction("GOOGLEFINANCE(""NSE:""&amp;A282, ""high"")"),186.65)</f>
        <v>186.65</v>
      </c>
      <c r="E203" s="6">
        <f ca="1">IFERROR(__xludf.dummyfunction("GOOGLEFINANCE(""NSE:""&amp;A282, ""low"")"),180)</f>
        <v>180</v>
      </c>
      <c r="F203" s="6">
        <f ca="1">IFERROR(__xludf.dummyfunction("GOOGLEFINANCE(""NSE:""&amp;A282, ""closeyest"")"),182.35)</f>
        <v>182.35</v>
      </c>
      <c r="G203" s="6">
        <f ca="1">IFERROR(__xludf.dummyfunction("GOOGLEFINANCE(""NSE:""&amp;A282, ""volume"")"),1199562)</f>
        <v>1199562</v>
      </c>
      <c r="H203" s="6" t="b">
        <f t="shared" ca="1" si="6"/>
        <v>0</v>
      </c>
      <c r="I203" s="6" t="b">
        <f t="shared" ca="1" si="7"/>
        <v>0</v>
      </c>
      <c r="J203" s="7">
        <f ca="1">IFERROR(__xludf.dummyfunction("GOOGLEFINANCE(""NSE:""&amp;A282, ""changepct"")"),0.36)</f>
        <v>0.36</v>
      </c>
    </row>
    <row r="204" spans="1:10" ht="13.8">
      <c r="A204" s="5" t="s">
        <v>208</v>
      </c>
      <c r="B204" s="6">
        <f ca="1">IFERROR(__xludf.dummyfunction("GOOGLEFINANCE(""NSE:""&amp;A391, ""price"")"),48.65)</f>
        <v>48.65</v>
      </c>
      <c r="C204" s="6">
        <f ca="1">IFERROR(__xludf.dummyfunction("GOOGLEFINANCE(""NSE:""&amp;A391, ""priceopen"")"),49.2)</f>
        <v>49.2</v>
      </c>
      <c r="D204" s="6">
        <f ca="1">IFERROR(__xludf.dummyfunction("GOOGLEFINANCE(""NSE:""&amp;A391, ""high"")"),49.45)</f>
        <v>49.45</v>
      </c>
      <c r="E204" s="6">
        <f ca="1">IFERROR(__xludf.dummyfunction("GOOGLEFINANCE(""NSE:""&amp;A391, ""low"")"),48.5)</f>
        <v>48.5</v>
      </c>
      <c r="F204" s="6">
        <f ca="1">IFERROR(__xludf.dummyfunction("GOOGLEFINANCE(""NSE:""&amp;A391, ""closeyest"")"),48.95)</f>
        <v>48.95</v>
      </c>
      <c r="G204" s="6">
        <f ca="1">IFERROR(__xludf.dummyfunction("GOOGLEFINANCE(""NSE:""&amp;A391, ""volume"")"),1194082)</f>
        <v>1194082</v>
      </c>
      <c r="H204" s="6" t="b">
        <f t="shared" ca="1" si="6"/>
        <v>0</v>
      </c>
      <c r="I204" s="6" t="b">
        <f t="shared" ca="1" si="7"/>
        <v>0</v>
      </c>
      <c r="J204" s="7">
        <f ca="1">IFERROR(__xludf.dummyfunction("GOOGLEFINANCE(""NSE:""&amp;A391, ""changepct"")"),-0.61)</f>
        <v>-0.61</v>
      </c>
    </row>
    <row r="205" spans="1:10" ht="13.8">
      <c r="A205" s="5" t="s">
        <v>209</v>
      </c>
      <c r="B205" s="6">
        <f ca="1">IFERROR(__xludf.dummyfunction("GOOGLEFINANCE(""NSE:""&amp;A183, ""price"")"),277.5)</f>
        <v>277.5</v>
      </c>
      <c r="C205" s="6">
        <f ca="1">IFERROR(__xludf.dummyfunction("GOOGLEFINANCE(""NSE:""&amp;A183, ""priceopen"")"),274.85)</f>
        <v>274.85000000000002</v>
      </c>
      <c r="D205" s="6">
        <f ca="1">IFERROR(__xludf.dummyfunction("GOOGLEFINANCE(""NSE:""&amp;A183, ""high"")"),282)</f>
        <v>282</v>
      </c>
      <c r="E205" s="6">
        <f ca="1">IFERROR(__xludf.dummyfunction("GOOGLEFINANCE(""NSE:""&amp;A183, ""low"")"),273.25)</f>
        <v>273.25</v>
      </c>
      <c r="F205" s="6">
        <f ca="1">IFERROR(__xludf.dummyfunction("GOOGLEFINANCE(""NSE:""&amp;A183, ""closeyest"")"),272.95)</f>
        <v>272.95</v>
      </c>
      <c r="G205" s="6">
        <f ca="1">IFERROR(__xludf.dummyfunction("GOOGLEFINANCE(""NSE:""&amp;A183, ""volume"")"),1152891)</f>
        <v>1152891</v>
      </c>
      <c r="H205" s="6" t="b">
        <f t="shared" ca="1" si="6"/>
        <v>0</v>
      </c>
      <c r="I205" s="6" t="b">
        <f t="shared" ca="1" si="7"/>
        <v>0</v>
      </c>
      <c r="J205" s="7">
        <f ca="1">IFERROR(__xludf.dummyfunction("GOOGLEFINANCE(""NSE:""&amp;A183, ""changepct"")"),1.67)</f>
        <v>1.67</v>
      </c>
    </row>
    <row r="206" spans="1:10" ht="13.8">
      <c r="A206" s="5" t="s">
        <v>210</v>
      </c>
      <c r="B206" s="6">
        <f ca="1">IFERROR(__xludf.dummyfunction("GOOGLEFINANCE(""NSE:""&amp;A141, ""price"")"),24.35)</f>
        <v>24.35</v>
      </c>
      <c r="C206" s="6">
        <f ca="1">IFERROR(__xludf.dummyfunction("GOOGLEFINANCE(""NSE:""&amp;A141, ""priceopen"")"),23.75)</f>
        <v>23.75</v>
      </c>
      <c r="D206" s="6">
        <f ca="1">IFERROR(__xludf.dummyfunction("GOOGLEFINANCE(""NSE:""&amp;A141, ""high"")"),24.8)</f>
        <v>24.8</v>
      </c>
      <c r="E206" s="6">
        <f ca="1">IFERROR(__xludf.dummyfunction("GOOGLEFINANCE(""NSE:""&amp;A141, ""low"")"),23.65)</f>
        <v>23.65</v>
      </c>
      <c r="F206" s="6">
        <f ca="1">IFERROR(__xludf.dummyfunction("GOOGLEFINANCE(""NSE:""&amp;A141, ""closeyest"")"),23.8)</f>
        <v>23.8</v>
      </c>
      <c r="G206" s="6">
        <f ca="1">IFERROR(__xludf.dummyfunction("GOOGLEFINANCE(""NSE:""&amp;A141, ""volume"")"),1134032)</f>
        <v>1134032</v>
      </c>
      <c r="H206" s="6" t="b">
        <f t="shared" ca="1" si="6"/>
        <v>0</v>
      </c>
      <c r="I206" s="6" t="b">
        <f t="shared" ca="1" si="7"/>
        <v>0</v>
      </c>
      <c r="J206" s="7">
        <f ca="1">IFERROR(__xludf.dummyfunction("GOOGLEFINANCE(""NSE:""&amp;A141, ""changepct"")"),2.31)</f>
        <v>2.31</v>
      </c>
    </row>
    <row r="207" spans="1:10" ht="13.8">
      <c r="A207" s="5" t="s">
        <v>211</v>
      </c>
      <c r="B207" s="6">
        <f ca="1">IFERROR(__xludf.dummyfunction("GOOGLEFINANCE(""NSE:""&amp;A216, ""price"")"),96.5)</f>
        <v>96.5</v>
      </c>
      <c r="C207" s="6">
        <f ca="1">IFERROR(__xludf.dummyfunction("GOOGLEFINANCE(""NSE:""&amp;A216, ""priceopen"")"),95.65)</f>
        <v>95.65</v>
      </c>
      <c r="D207" s="6">
        <f ca="1">IFERROR(__xludf.dummyfunction("GOOGLEFINANCE(""NSE:""&amp;A216, ""high"")"),96.9)</f>
        <v>96.9</v>
      </c>
      <c r="E207" s="6">
        <f ca="1">IFERROR(__xludf.dummyfunction("GOOGLEFINANCE(""NSE:""&amp;A216, ""low"")"),95.15)</f>
        <v>95.15</v>
      </c>
      <c r="F207" s="6">
        <f ca="1">IFERROR(__xludf.dummyfunction("GOOGLEFINANCE(""NSE:""&amp;A216, ""closeyest"")"),95.4)</f>
        <v>95.4</v>
      </c>
      <c r="G207" s="6">
        <f ca="1">IFERROR(__xludf.dummyfunction("GOOGLEFINANCE(""NSE:""&amp;A216, ""volume"")"),1106204)</f>
        <v>1106204</v>
      </c>
      <c r="H207" s="6" t="b">
        <f t="shared" ca="1" si="6"/>
        <v>0</v>
      </c>
      <c r="I207" s="6" t="b">
        <f t="shared" ca="1" si="7"/>
        <v>0</v>
      </c>
      <c r="J207" s="7">
        <f ca="1">IFERROR(__xludf.dummyfunction("GOOGLEFINANCE(""NSE:""&amp;A216, ""changepct"")"),1.15)</f>
        <v>1.1499999999999999</v>
      </c>
    </row>
    <row r="208" spans="1:10" ht="13.8">
      <c r="A208" s="5" t="s">
        <v>212</v>
      </c>
      <c r="B208" s="6">
        <f ca="1">IFERROR(__xludf.dummyfunction("GOOGLEFINANCE(""NSE:""&amp;A465, ""price"")"),119)</f>
        <v>119</v>
      </c>
      <c r="C208" s="6">
        <f ca="1">IFERROR(__xludf.dummyfunction("GOOGLEFINANCE(""NSE:""&amp;A465, ""priceopen"")"),121)</f>
        <v>121</v>
      </c>
      <c r="D208" s="6">
        <f ca="1">IFERROR(__xludf.dummyfunction("GOOGLEFINANCE(""NSE:""&amp;A465, ""high"")"),122.85)</f>
        <v>122.85</v>
      </c>
      <c r="E208" s="6">
        <f ca="1">IFERROR(__xludf.dummyfunction("GOOGLEFINANCE(""NSE:""&amp;A465, ""low"")"),118.75)</f>
        <v>118.75</v>
      </c>
      <c r="F208" s="6">
        <f ca="1">IFERROR(__xludf.dummyfunction("GOOGLEFINANCE(""NSE:""&amp;A465, ""closeyest"")"),120.95)</f>
        <v>120.95</v>
      </c>
      <c r="G208" s="6">
        <f ca="1">IFERROR(__xludf.dummyfunction("GOOGLEFINANCE(""NSE:""&amp;A465, ""volume"")"),1103393)</f>
        <v>1103393</v>
      </c>
      <c r="H208" s="6" t="b">
        <f t="shared" ca="1" si="6"/>
        <v>0</v>
      </c>
      <c r="I208" s="6" t="b">
        <f t="shared" ca="1" si="7"/>
        <v>0</v>
      </c>
      <c r="J208" s="7">
        <f ca="1">IFERROR(__xludf.dummyfunction("GOOGLEFINANCE(""NSE:""&amp;A465, ""changepct"")"),-1.61)</f>
        <v>-1.61</v>
      </c>
    </row>
    <row r="209" spans="1:10" ht="13.8">
      <c r="A209" s="5" t="s">
        <v>213</v>
      </c>
      <c r="B209" s="6">
        <f ca="1">IFERROR(__xludf.dummyfunction("GOOGLEFINANCE(""NSE:""&amp;A387, ""price"")"),107.1)</f>
        <v>107.1</v>
      </c>
      <c r="C209" s="6">
        <f ca="1">IFERROR(__xludf.dummyfunction("GOOGLEFINANCE(""NSE:""&amp;A387, ""priceopen"")"),108)</f>
        <v>108</v>
      </c>
      <c r="D209" s="6">
        <f ca="1">IFERROR(__xludf.dummyfunction("GOOGLEFINANCE(""NSE:""&amp;A387, ""high"")"),110.35)</f>
        <v>110.35</v>
      </c>
      <c r="E209" s="6">
        <f ca="1">IFERROR(__xludf.dummyfunction("GOOGLEFINANCE(""NSE:""&amp;A387, ""low"")"),106.7)</f>
        <v>106.7</v>
      </c>
      <c r="F209" s="6">
        <f ca="1">IFERROR(__xludf.dummyfunction("GOOGLEFINANCE(""NSE:""&amp;A387, ""closeyest"")"),107.7)</f>
        <v>107.7</v>
      </c>
      <c r="G209" s="6">
        <f ca="1">IFERROR(__xludf.dummyfunction("GOOGLEFINANCE(""NSE:""&amp;A387, ""volume"")"),1102196)</f>
        <v>1102196</v>
      </c>
      <c r="H209" s="6" t="b">
        <f t="shared" ca="1" si="6"/>
        <v>0</v>
      </c>
      <c r="I209" s="6" t="b">
        <f t="shared" ca="1" si="7"/>
        <v>0</v>
      </c>
      <c r="J209" s="7">
        <f ca="1">IFERROR(__xludf.dummyfunction("GOOGLEFINANCE(""NSE:""&amp;A387, ""changepct"")"),-0.56)</f>
        <v>-0.56000000000000005</v>
      </c>
    </row>
    <row r="210" spans="1:10" ht="13.8">
      <c r="A210" s="5" t="s">
        <v>214</v>
      </c>
      <c r="B210" s="6">
        <f ca="1">IFERROR(__xludf.dummyfunction("GOOGLEFINANCE(""NSE:""&amp;A34, ""price"")"),324.5)</f>
        <v>324.5</v>
      </c>
      <c r="C210" s="6">
        <f ca="1">IFERROR(__xludf.dummyfunction("GOOGLEFINANCE(""NSE:""&amp;A34, ""priceopen"")"),306.5)</f>
        <v>306.5</v>
      </c>
      <c r="D210" s="6">
        <f ca="1">IFERROR(__xludf.dummyfunction("GOOGLEFINANCE(""NSE:""&amp;A34, ""high"")"),333.3)</f>
        <v>333.3</v>
      </c>
      <c r="E210" s="6">
        <f ca="1">IFERROR(__xludf.dummyfunction("GOOGLEFINANCE(""NSE:""&amp;A34, ""low"")"),302.7)</f>
        <v>302.7</v>
      </c>
      <c r="F210" s="6">
        <f ca="1">IFERROR(__xludf.dummyfunction("GOOGLEFINANCE(""NSE:""&amp;A34, ""closeyest"")"),304.2)</f>
        <v>304.2</v>
      </c>
      <c r="G210" s="6">
        <f ca="1">IFERROR(__xludf.dummyfunction("GOOGLEFINANCE(""NSE:""&amp;A34, ""volume"")"),1102192)</f>
        <v>1102192</v>
      </c>
      <c r="H210" s="6" t="b">
        <f t="shared" ca="1" si="6"/>
        <v>0</v>
      </c>
      <c r="I210" s="6" t="b">
        <f t="shared" ca="1" si="7"/>
        <v>0</v>
      </c>
      <c r="J210" s="7">
        <f ca="1">IFERROR(__xludf.dummyfunction("GOOGLEFINANCE(""NSE:""&amp;A34, ""changepct"")"),6.67)</f>
        <v>6.67</v>
      </c>
    </row>
    <row r="211" spans="1:10" ht="13.8">
      <c r="A211" s="5" t="s">
        <v>215</v>
      </c>
      <c r="B211" s="6">
        <f ca="1">IFERROR(__xludf.dummyfunction("GOOGLEFINANCE(""NSE:""&amp;A335, ""price"")"),103)</f>
        <v>103</v>
      </c>
      <c r="C211" s="6">
        <f ca="1">IFERROR(__xludf.dummyfunction("GOOGLEFINANCE(""NSE:""&amp;A335, ""priceopen"")"),103.65)</f>
        <v>103.65</v>
      </c>
      <c r="D211" s="6">
        <f ca="1">IFERROR(__xludf.dummyfunction("GOOGLEFINANCE(""NSE:""&amp;A335, ""high"")"),106)</f>
        <v>106</v>
      </c>
      <c r="E211" s="6">
        <f ca="1">IFERROR(__xludf.dummyfunction("GOOGLEFINANCE(""NSE:""&amp;A335, ""low"")"),102.65)</f>
        <v>102.65</v>
      </c>
      <c r="F211" s="6">
        <f ca="1">IFERROR(__xludf.dummyfunction("GOOGLEFINANCE(""NSE:""&amp;A335, ""closeyest"")"),103.1)</f>
        <v>103.1</v>
      </c>
      <c r="G211" s="6">
        <f ca="1">IFERROR(__xludf.dummyfunction("GOOGLEFINANCE(""NSE:""&amp;A335, ""volume"")"),1098553)</f>
        <v>1098553</v>
      </c>
      <c r="H211" s="6" t="b">
        <f t="shared" ca="1" si="6"/>
        <v>0</v>
      </c>
      <c r="I211" s="6" t="b">
        <f t="shared" ca="1" si="7"/>
        <v>0</v>
      </c>
      <c r="J211" s="7">
        <f ca="1">IFERROR(__xludf.dummyfunction("GOOGLEFINANCE(""NSE:""&amp;A335, ""changepct"")"),-0.1)</f>
        <v>-0.1</v>
      </c>
    </row>
    <row r="212" spans="1:10" ht="13.8">
      <c r="A212" s="5" t="s">
        <v>216</v>
      </c>
      <c r="B212" s="6">
        <f ca="1">IFERROR(__xludf.dummyfunction("GOOGLEFINANCE(""NSE:""&amp;A146, ""price"")"),310.2)</f>
        <v>310.2</v>
      </c>
      <c r="C212" s="6">
        <f ca="1">IFERROR(__xludf.dummyfunction("GOOGLEFINANCE(""NSE:""&amp;A146, ""priceopen"")"),306.4)</f>
        <v>306.39999999999998</v>
      </c>
      <c r="D212" s="6">
        <f ca="1">IFERROR(__xludf.dummyfunction("GOOGLEFINANCE(""NSE:""&amp;A146, ""high"")"),313)</f>
        <v>313</v>
      </c>
      <c r="E212" s="6">
        <f ca="1">IFERROR(__xludf.dummyfunction("GOOGLEFINANCE(""NSE:""&amp;A146, ""low"")"),305.8)</f>
        <v>305.8</v>
      </c>
      <c r="F212" s="6">
        <f ca="1">IFERROR(__xludf.dummyfunction("GOOGLEFINANCE(""NSE:""&amp;A146, ""closeyest"")"),303.55)</f>
        <v>303.55</v>
      </c>
      <c r="G212" s="6">
        <f ca="1">IFERROR(__xludf.dummyfunction("GOOGLEFINANCE(""NSE:""&amp;A146, ""volume"")"),1093407)</f>
        <v>1093407</v>
      </c>
      <c r="H212" s="6" t="b">
        <f t="shared" ca="1" si="6"/>
        <v>0</v>
      </c>
      <c r="I212" s="6" t="b">
        <f t="shared" ca="1" si="7"/>
        <v>0</v>
      </c>
      <c r="J212" s="7">
        <f ca="1">IFERROR(__xludf.dummyfunction("GOOGLEFINANCE(""NSE:""&amp;A146, ""changepct"")"),2.19)</f>
        <v>2.19</v>
      </c>
    </row>
    <row r="213" spans="1:10" ht="13.8">
      <c r="A213" s="5" t="s">
        <v>217</v>
      </c>
      <c r="B213" s="6">
        <f ca="1">IFERROR(__xludf.dummyfunction("GOOGLEFINANCE(""NSE:""&amp;A358, ""price"")"),866)</f>
        <v>866</v>
      </c>
      <c r="C213" s="6">
        <f ca="1">IFERROR(__xludf.dummyfunction("GOOGLEFINANCE(""NSE:""&amp;A358, ""priceopen"")"),880)</f>
        <v>880</v>
      </c>
      <c r="D213" s="6">
        <f ca="1">IFERROR(__xludf.dummyfunction("GOOGLEFINANCE(""NSE:""&amp;A358, ""high"")"),882)</f>
        <v>882</v>
      </c>
      <c r="E213" s="6">
        <f ca="1">IFERROR(__xludf.dummyfunction("GOOGLEFINANCE(""NSE:""&amp;A358, ""low"")"),861.8)</f>
        <v>861.8</v>
      </c>
      <c r="F213" s="6">
        <f ca="1">IFERROR(__xludf.dummyfunction("GOOGLEFINANCE(""NSE:""&amp;A358, ""closeyest"")"),868.6)</f>
        <v>868.6</v>
      </c>
      <c r="G213" s="6">
        <f ca="1">IFERROR(__xludf.dummyfunction("GOOGLEFINANCE(""NSE:""&amp;A358, ""volume"")"),1090544)</f>
        <v>1090544</v>
      </c>
      <c r="H213" s="6" t="b">
        <f t="shared" ca="1" si="6"/>
        <v>0</v>
      </c>
      <c r="I213" s="6" t="b">
        <f t="shared" ca="1" si="7"/>
        <v>0</v>
      </c>
      <c r="J213" s="7">
        <f ca="1">IFERROR(__xludf.dummyfunction("GOOGLEFINANCE(""NSE:""&amp;A358, ""changepct"")"),-0.3)</f>
        <v>-0.3</v>
      </c>
    </row>
    <row r="214" spans="1:10" ht="13.8">
      <c r="A214" s="5" t="s">
        <v>218</v>
      </c>
      <c r="B214" s="6">
        <f ca="1">IFERROR(__xludf.dummyfunction("GOOGLEFINANCE(""NSE:""&amp;A73, ""price"")"),213.35)</f>
        <v>213.35</v>
      </c>
      <c r="C214" s="6">
        <f ca="1">IFERROR(__xludf.dummyfunction("GOOGLEFINANCE(""NSE:""&amp;A73, ""priceopen"")"),214)</f>
        <v>214</v>
      </c>
      <c r="D214" s="6">
        <f ca="1">IFERROR(__xludf.dummyfunction("GOOGLEFINANCE(""NSE:""&amp;A73, ""high"")"),214)</f>
        <v>214</v>
      </c>
      <c r="E214" s="6">
        <f ca="1">IFERROR(__xludf.dummyfunction("GOOGLEFINANCE(""NSE:""&amp;A73, ""low"")"),211.05)</f>
        <v>211.05</v>
      </c>
      <c r="F214" s="6">
        <f ca="1">IFERROR(__xludf.dummyfunction("GOOGLEFINANCE(""NSE:""&amp;A73, ""closeyest"")"),204.8)</f>
        <v>204.8</v>
      </c>
      <c r="G214" s="6">
        <f ca="1">IFERROR(__xludf.dummyfunction("GOOGLEFINANCE(""NSE:""&amp;A73, ""volume"")"),1083602)</f>
        <v>1083602</v>
      </c>
      <c r="H214" s="6" t="b">
        <f t="shared" ca="1" si="6"/>
        <v>0</v>
      </c>
      <c r="I214" s="6" t="b">
        <f t="shared" ca="1" si="7"/>
        <v>1</v>
      </c>
      <c r="J214" s="7">
        <f ca="1">IFERROR(__xludf.dummyfunction("GOOGLEFINANCE(""NSE:""&amp;A73, ""changepct"")"),4.17)</f>
        <v>4.17</v>
      </c>
    </row>
    <row r="215" spans="1:10" ht="13.8">
      <c r="A215" s="5" t="s">
        <v>219</v>
      </c>
      <c r="B215" s="6">
        <f ca="1">IFERROR(__xludf.dummyfunction("GOOGLEFINANCE(""NSE:""&amp;A118, ""price"")"),1793)</f>
        <v>1793</v>
      </c>
      <c r="C215" s="6">
        <f ca="1">IFERROR(__xludf.dummyfunction("GOOGLEFINANCE(""NSE:""&amp;A118, ""priceopen"")"),1758.95)</f>
        <v>1758.95</v>
      </c>
      <c r="D215" s="6">
        <f ca="1">IFERROR(__xludf.dummyfunction("GOOGLEFINANCE(""NSE:""&amp;A118, ""high"")"),1798)</f>
        <v>1798</v>
      </c>
      <c r="E215" s="6">
        <f ca="1">IFERROR(__xludf.dummyfunction("GOOGLEFINANCE(""NSE:""&amp;A118, ""low"")"),1754)</f>
        <v>1754</v>
      </c>
      <c r="F215" s="6">
        <f ca="1">IFERROR(__xludf.dummyfunction("GOOGLEFINANCE(""NSE:""&amp;A118, ""closeyest"")"),1743.2)</f>
        <v>1743.2</v>
      </c>
      <c r="G215" s="6">
        <f ca="1">IFERROR(__xludf.dummyfunction("GOOGLEFINANCE(""NSE:""&amp;A118, ""volume"")"),1082244)</f>
        <v>1082244</v>
      </c>
      <c r="H215" s="6" t="b">
        <f t="shared" ca="1" si="6"/>
        <v>0</v>
      </c>
      <c r="I215" s="6" t="b">
        <f t="shared" ca="1" si="7"/>
        <v>0</v>
      </c>
      <c r="J215" s="7">
        <f ca="1">IFERROR(__xludf.dummyfunction("GOOGLEFINANCE(""NSE:""&amp;A118, ""changepct"")"),2.86)</f>
        <v>2.86</v>
      </c>
    </row>
    <row r="216" spans="1:10" ht="13.8">
      <c r="A216" s="5" t="s">
        <v>220</v>
      </c>
      <c r="B216" s="6">
        <f ca="1">IFERROR(__xludf.dummyfunction("GOOGLEFINANCE(""NSE:""&amp;A6, ""price"")"),1555)</f>
        <v>1555</v>
      </c>
      <c r="C216" s="6">
        <f ca="1">IFERROR(__xludf.dummyfunction("GOOGLEFINANCE(""NSE:""&amp;A6, ""priceopen"")"),1370)</f>
        <v>1370</v>
      </c>
      <c r="D216" s="6">
        <f ca="1">IFERROR(__xludf.dummyfunction("GOOGLEFINANCE(""NSE:""&amp;A6, ""high"")"),1565)</f>
        <v>1565</v>
      </c>
      <c r="E216" s="6">
        <f ca="1">IFERROR(__xludf.dummyfunction("GOOGLEFINANCE(""NSE:""&amp;A6, ""low"")"),1351)</f>
        <v>1351</v>
      </c>
      <c r="F216" s="6">
        <f ca="1">IFERROR(__xludf.dummyfunction("GOOGLEFINANCE(""NSE:""&amp;A6, ""closeyest"")"),1360.5)</f>
        <v>1360.5</v>
      </c>
      <c r="G216" s="6">
        <f ca="1">IFERROR(__xludf.dummyfunction("GOOGLEFINANCE(""NSE:""&amp;A6, ""volume"")"),1074363)</f>
        <v>1074363</v>
      </c>
      <c r="H216" s="6" t="b">
        <f t="shared" ca="1" si="6"/>
        <v>0</v>
      </c>
      <c r="I216" s="6" t="b">
        <f t="shared" ca="1" si="7"/>
        <v>0</v>
      </c>
      <c r="J216" s="7">
        <f ca="1">IFERROR(__xludf.dummyfunction("GOOGLEFINANCE(""NSE:""&amp;A6, ""changepct"")"),14.3)</f>
        <v>14.3</v>
      </c>
    </row>
    <row r="217" spans="1:10" ht="13.8">
      <c r="A217" s="5" t="s">
        <v>221</v>
      </c>
      <c r="B217" s="6">
        <f ca="1">IFERROR(__xludf.dummyfunction("GOOGLEFINANCE(""NSE:""&amp;A42, ""price"")"),388)</f>
        <v>388</v>
      </c>
      <c r="C217" s="6">
        <f ca="1">IFERROR(__xludf.dummyfunction("GOOGLEFINANCE(""NSE:""&amp;A42, ""priceopen"")"),373.6)</f>
        <v>373.6</v>
      </c>
      <c r="D217" s="6">
        <f ca="1">IFERROR(__xludf.dummyfunction("GOOGLEFINANCE(""NSE:""&amp;A42, ""high"")"),391.95)</f>
        <v>391.95</v>
      </c>
      <c r="E217" s="6">
        <f ca="1">IFERROR(__xludf.dummyfunction("GOOGLEFINANCE(""NSE:""&amp;A42, ""low"")"),366.8)</f>
        <v>366.8</v>
      </c>
      <c r="F217" s="6">
        <f ca="1">IFERROR(__xludf.dummyfunction("GOOGLEFINANCE(""NSE:""&amp;A42, ""closeyest"")"),366.85)</f>
        <v>366.85</v>
      </c>
      <c r="G217" s="6">
        <f ca="1">IFERROR(__xludf.dummyfunction("GOOGLEFINANCE(""NSE:""&amp;A42, ""volume"")"),1067092)</f>
        <v>1067092</v>
      </c>
      <c r="H217" s="6" t="b">
        <f t="shared" ca="1" si="6"/>
        <v>0</v>
      </c>
      <c r="I217" s="6" t="b">
        <f t="shared" ca="1" si="7"/>
        <v>0</v>
      </c>
      <c r="J217" s="7">
        <f ca="1">IFERROR(__xludf.dummyfunction("GOOGLEFINANCE(""NSE:""&amp;A42, ""changepct"")"),5.77)</f>
        <v>5.77</v>
      </c>
    </row>
    <row r="218" spans="1:10" ht="13.8">
      <c r="A218" s="5" t="s">
        <v>222</v>
      </c>
      <c r="B218" s="6">
        <f ca="1">IFERROR(__xludf.dummyfunction("GOOGLEFINANCE(""NSE:""&amp;A84, ""price"")"),73.5)</f>
        <v>73.5</v>
      </c>
      <c r="C218" s="6">
        <f ca="1">IFERROR(__xludf.dummyfunction("GOOGLEFINANCE(""NSE:""&amp;A84, ""priceopen"")"),71.4)</f>
        <v>71.400000000000006</v>
      </c>
      <c r="D218" s="6">
        <f ca="1">IFERROR(__xludf.dummyfunction("GOOGLEFINANCE(""NSE:""&amp;A84, ""high"")"),75.2)</f>
        <v>75.2</v>
      </c>
      <c r="E218" s="6">
        <f ca="1">IFERROR(__xludf.dummyfunction("GOOGLEFINANCE(""NSE:""&amp;A84, ""low"")"),71.35)</f>
        <v>71.349999999999994</v>
      </c>
      <c r="F218" s="6">
        <f ca="1">IFERROR(__xludf.dummyfunction("GOOGLEFINANCE(""NSE:""&amp;A84, ""closeyest"")"),70.85)</f>
        <v>70.849999999999994</v>
      </c>
      <c r="G218" s="6">
        <f ca="1">IFERROR(__xludf.dummyfunction("GOOGLEFINANCE(""NSE:""&amp;A84, ""volume"")"),1064927)</f>
        <v>1064927</v>
      </c>
      <c r="H218" s="6" t="b">
        <f t="shared" ca="1" si="6"/>
        <v>0</v>
      </c>
      <c r="I218" s="6" t="b">
        <f t="shared" ca="1" si="7"/>
        <v>0</v>
      </c>
      <c r="J218" s="7">
        <f ca="1">IFERROR(__xludf.dummyfunction("GOOGLEFINANCE(""NSE:""&amp;A84, ""changepct"")"),3.74)</f>
        <v>3.74</v>
      </c>
    </row>
    <row r="219" spans="1:10" ht="13.8">
      <c r="A219" s="5" t="s">
        <v>223</v>
      </c>
      <c r="B219" s="6">
        <f ca="1">IFERROR(__xludf.dummyfunction("GOOGLEFINANCE(""NSE:""&amp;A260, ""price"")"),100.7)</f>
        <v>100.7</v>
      </c>
      <c r="C219" s="6">
        <f ca="1">IFERROR(__xludf.dummyfunction("GOOGLEFINANCE(""NSE:""&amp;A260, ""priceopen"")"),100.85)</f>
        <v>100.85</v>
      </c>
      <c r="D219" s="6">
        <f ca="1">IFERROR(__xludf.dummyfunction("GOOGLEFINANCE(""NSE:""&amp;A260, ""high"")"),101.9)</f>
        <v>101.9</v>
      </c>
      <c r="E219" s="6">
        <f ca="1">IFERROR(__xludf.dummyfunction("GOOGLEFINANCE(""NSE:""&amp;A260, ""low"")"),99.5)</f>
        <v>99.5</v>
      </c>
      <c r="F219" s="6">
        <f ca="1">IFERROR(__xludf.dummyfunction("GOOGLEFINANCE(""NSE:""&amp;A260, ""closeyest"")"),100.05)</f>
        <v>100.05</v>
      </c>
      <c r="G219" s="6">
        <f ca="1">IFERROR(__xludf.dummyfunction("GOOGLEFINANCE(""NSE:""&amp;A260, ""volume"")"),1061906)</f>
        <v>1061906</v>
      </c>
      <c r="H219" s="6" t="b">
        <f t="shared" ca="1" si="6"/>
        <v>0</v>
      </c>
      <c r="I219" s="6" t="b">
        <f t="shared" ca="1" si="7"/>
        <v>0</v>
      </c>
      <c r="J219" s="7">
        <f ca="1">IFERROR(__xludf.dummyfunction("GOOGLEFINANCE(""NSE:""&amp;A260, ""changepct"")"),0.65)</f>
        <v>0.65</v>
      </c>
    </row>
    <row r="220" spans="1:10" ht="13.8">
      <c r="A220" s="5" t="s">
        <v>224</v>
      </c>
      <c r="B220" s="6">
        <f ca="1">IFERROR(__xludf.dummyfunction("GOOGLEFINANCE(""NSE:""&amp;A382, ""price"")"),38)</f>
        <v>38</v>
      </c>
      <c r="C220" s="6">
        <f ca="1">IFERROR(__xludf.dummyfunction("GOOGLEFINANCE(""NSE:""&amp;A382, ""priceopen"")"),38.4)</f>
        <v>38.4</v>
      </c>
      <c r="D220" s="6">
        <f ca="1">IFERROR(__xludf.dummyfunction("GOOGLEFINANCE(""NSE:""&amp;A382, ""high"")"),38.4)</f>
        <v>38.4</v>
      </c>
      <c r="E220" s="6">
        <f ca="1">IFERROR(__xludf.dummyfunction("GOOGLEFINANCE(""NSE:""&amp;A382, ""low"")"),37.55)</f>
        <v>37.549999999999997</v>
      </c>
      <c r="F220" s="6">
        <f ca="1">IFERROR(__xludf.dummyfunction("GOOGLEFINANCE(""NSE:""&amp;A382, ""closeyest"")"),38.2)</f>
        <v>38.200000000000003</v>
      </c>
      <c r="G220" s="6">
        <f ca="1">IFERROR(__xludf.dummyfunction("GOOGLEFINANCE(""NSE:""&amp;A382, ""volume"")"),1047413)</f>
        <v>1047413</v>
      </c>
      <c r="H220" s="6" t="b">
        <f t="shared" ca="1" si="6"/>
        <v>0</v>
      </c>
      <c r="I220" s="6" t="b">
        <f t="shared" ca="1" si="7"/>
        <v>1</v>
      </c>
      <c r="J220" s="7">
        <f ca="1">IFERROR(__xludf.dummyfunction("GOOGLEFINANCE(""NSE:""&amp;A382, ""changepct"")"),-0.52)</f>
        <v>-0.52</v>
      </c>
    </row>
    <row r="221" spans="1:10" ht="13.8">
      <c r="A221" s="5" t="s">
        <v>225</v>
      </c>
      <c r="B221" s="6">
        <f ca="1">IFERROR(__xludf.dummyfunction("GOOGLEFINANCE(""NSE:""&amp;A317, ""price"")"),287)</f>
        <v>287</v>
      </c>
      <c r="C221" s="6">
        <f ca="1">IFERROR(__xludf.dummyfunction("GOOGLEFINANCE(""NSE:""&amp;A317, ""priceopen"")"),289.4)</f>
        <v>289.39999999999998</v>
      </c>
      <c r="D221" s="6">
        <f ca="1">IFERROR(__xludf.dummyfunction("GOOGLEFINANCE(""NSE:""&amp;A317, ""high"")"),292.4)</f>
        <v>292.39999999999998</v>
      </c>
      <c r="E221" s="6">
        <f ca="1">IFERROR(__xludf.dummyfunction("GOOGLEFINANCE(""NSE:""&amp;A317, ""low"")"),285.2)</f>
        <v>285.2</v>
      </c>
      <c r="F221" s="6">
        <f ca="1">IFERROR(__xludf.dummyfunction("GOOGLEFINANCE(""NSE:""&amp;A317, ""closeyest"")"),286.95)</f>
        <v>286.95</v>
      </c>
      <c r="G221" s="6">
        <f ca="1">IFERROR(__xludf.dummyfunction("GOOGLEFINANCE(""NSE:""&amp;A317, ""volume"")"),1026373)</f>
        <v>1026373</v>
      </c>
      <c r="H221" s="6" t="b">
        <f t="shared" ca="1" si="6"/>
        <v>0</v>
      </c>
      <c r="I221" s="6" t="b">
        <f t="shared" ca="1" si="7"/>
        <v>0</v>
      </c>
      <c r="J221" s="7">
        <f ca="1">IFERROR(__xludf.dummyfunction("GOOGLEFINANCE(""NSE:""&amp;A317, ""changepct"")"),0.02)</f>
        <v>0.02</v>
      </c>
    </row>
    <row r="222" spans="1:10" ht="13.8">
      <c r="A222" s="5" t="s">
        <v>226</v>
      </c>
      <c r="B222" s="6">
        <f ca="1">IFERROR(__xludf.dummyfunction("GOOGLEFINANCE(""NSE:""&amp;A172, ""price"")"),47)</f>
        <v>47</v>
      </c>
      <c r="C222" s="6">
        <f ca="1">IFERROR(__xludf.dummyfunction("GOOGLEFINANCE(""NSE:""&amp;A172, ""priceopen"")"),46.4)</f>
        <v>46.4</v>
      </c>
      <c r="D222" s="6">
        <f ca="1">IFERROR(__xludf.dummyfunction("GOOGLEFINANCE(""NSE:""&amp;A172, ""high"")"),47.35)</f>
        <v>47.35</v>
      </c>
      <c r="E222" s="6">
        <f ca="1">IFERROR(__xludf.dummyfunction("GOOGLEFINANCE(""NSE:""&amp;A172, ""low"")"),46.15)</f>
        <v>46.15</v>
      </c>
      <c r="F222" s="6">
        <f ca="1">IFERROR(__xludf.dummyfunction("GOOGLEFINANCE(""NSE:""&amp;A172, ""closeyest"")"),46.15)</f>
        <v>46.15</v>
      </c>
      <c r="G222" s="6">
        <f ca="1">IFERROR(__xludf.dummyfunction("GOOGLEFINANCE(""NSE:""&amp;A172, ""volume"")"),1016107)</f>
        <v>1016107</v>
      </c>
      <c r="H222" s="6" t="b">
        <f t="shared" ca="1" si="6"/>
        <v>0</v>
      </c>
      <c r="I222" s="6" t="b">
        <f t="shared" ca="1" si="7"/>
        <v>0</v>
      </c>
      <c r="J222" s="7">
        <f ca="1">IFERROR(__xludf.dummyfunction("GOOGLEFINANCE(""NSE:""&amp;A172, ""changepct"")"),1.84)</f>
        <v>1.84</v>
      </c>
    </row>
    <row r="223" spans="1:10" ht="13.8">
      <c r="A223" s="5" t="s">
        <v>227</v>
      </c>
      <c r="B223" s="6">
        <f ca="1">IFERROR(__xludf.dummyfunction("GOOGLEFINANCE(""NSE:""&amp;A275, ""price"")"),372)</f>
        <v>372</v>
      </c>
      <c r="C223" s="6">
        <f ca="1">IFERROR(__xludf.dummyfunction("GOOGLEFINANCE(""NSE:""&amp;A275, ""priceopen"")"),384)</f>
        <v>384</v>
      </c>
      <c r="D223" s="6">
        <f ca="1">IFERROR(__xludf.dummyfunction("GOOGLEFINANCE(""NSE:""&amp;A275, ""high"")"),388.5)</f>
        <v>388.5</v>
      </c>
      <c r="E223" s="6">
        <f ca="1">IFERROR(__xludf.dummyfunction("GOOGLEFINANCE(""NSE:""&amp;A275, ""low"")"),370.75)</f>
        <v>370.75</v>
      </c>
      <c r="F223" s="6">
        <f ca="1">IFERROR(__xludf.dummyfunction("GOOGLEFINANCE(""NSE:""&amp;A275, ""closeyest"")"),370.45)</f>
        <v>370.45</v>
      </c>
      <c r="G223" s="6">
        <f ca="1">IFERROR(__xludf.dummyfunction("GOOGLEFINANCE(""NSE:""&amp;A275, ""volume"")"),1015069)</f>
        <v>1015069</v>
      </c>
      <c r="H223" s="6" t="b">
        <f t="shared" ca="1" si="6"/>
        <v>0</v>
      </c>
      <c r="I223" s="6" t="b">
        <f t="shared" ca="1" si="7"/>
        <v>0</v>
      </c>
      <c r="J223" s="7">
        <f ca="1">IFERROR(__xludf.dummyfunction("GOOGLEFINANCE(""NSE:""&amp;A275, ""changepct"")"),0.42)</f>
        <v>0.42</v>
      </c>
    </row>
    <row r="224" spans="1:10" ht="13.8">
      <c r="A224" s="5" t="s">
        <v>228</v>
      </c>
      <c r="B224" s="6">
        <f ca="1">IFERROR(__xludf.dummyfunction("GOOGLEFINANCE(""NSE:""&amp;A283, ""price"")"),13.8)</f>
        <v>13.8</v>
      </c>
      <c r="C224" s="6">
        <f ca="1">IFERROR(__xludf.dummyfunction("GOOGLEFINANCE(""NSE:""&amp;A283, ""priceopen"")"),13.85)</f>
        <v>13.85</v>
      </c>
      <c r="D224" s="6">
        <f ca="1">IFERROR(__xludf.dummyfunction("GOOGLEFINANCE(""NSE:""&amp;A283, ""high"")"),13.95)</f>
        <v>13.95</v>
      </c>
      <c r="E224" s="6">
        <f ca="1">IFERROR(__xludf.dummyfunction("GOOGLEFINANCE(""NSE:""&amp;A283, ""low"")"),13.7)</f>
        <v>13.7</v>
      </c>
      <c r="F224" s="6">
        <f ca="1">IFERROR(__xludf.dummyfunction("GOOGLEFINANCE(""NSE:""&amp;A283, ""closeyest"")"),13.75)</f>
        <v>13.75</v>
      </c>
      <c r="G224" s="6">
        <f ca="1">IFERROR(__xludf.dummyfunction("GOOGLEFINANCE(""NSE:""&amp;A283, ""volume"")"),1001455)</f>
        <v>1001455</v>
      </c>
      <c r="H224" s="6" t="b">
        <f t="shared" ca="1" si="6"/>
        <v>0</v>
      </c>
      <c r="I224" s="6" t="b">
        <f t="shared" ca="1" si="7"/>
        <v>0</v>
      </c>
      <c r="J224" s="7">
        <f ca="1">IFERROR(__xludf.dummyfunction("GOOGLEFINANCE(""NSE:""&amp;A283, ""changepct"")"),0.36)</f>
        <v>0.36</v>
      </c>
    </row>
    <row r="225" spans="1:10" ht="13.8">
      <c r="A225" s="5" t="s">
        <v>229</v>
      </c>
      <c r="B225" s="6">
        <f ca="1">IFERROR(__xludf.dummyfunction("GOOGLEFINANCE(""NSE:""&amp;A292, ""price"")"),735)</f>
        <v>735</v>
      </c>
      <c r="C225" s="6">
        <f ca="1">IFERROR(__xludf.dummyfunction("GOOGLEFINANCE(""NSE:""&amp;A292, ""priceopen"")"),733.75)</f>
        <v>733.75</v>
      </c>
      <c r="D225" s="6">
        <f ca="1">IFERROR(__xludf.dummyfunction("GOOGLEFINANCE(""NSE:""&amp;A292, ""high"")"),739)</f>
        <v>739</v>
      </c>
      <c r="E225" s="6">
        <f ca="1">IFERROR(__xludf.dummyfunction("GOOGLEFINANCE(""NSE:""&amp;A292, ""low"")"),731.1)</f>
        <v>731.1</v>
      </c>
      <c r="F225" s="6">
        <f ca="1">IFERROR(__xludf.dummyfunction("GOOGLEFINANCE(""NSE:""&amp;A292, ""closeyest"")"),732.95)</f>
        <v>732.95</v>
      </c>
      <c r="G225" s="6">
        <f ca="1">IFERROR(__xludf.dummyfunction("GOOGLEFINANCE(""NSE:""&amp;A292, ""volume"")"),998254)</f>
        <v>998254</v>
      </c>
      <c r="H225" s="6" t="b">
        <f t="shared" ca="1" si="6"/>
        <v>0</v>
      </c>
      <c r="I225" s="6" t="b">
        <f t="shared" ca="1" si="7"/>
        <v>0</v>
      </c>
      <c r="J225" s="7">
        <f ca="1">IFERROR(__xludf.dummyfunction("GOOGLEFINANCE(""NSE:""&amp;A292, ""changepct"")"),0.28)</f>
        <v>0.28000000000000003</v>
      </c>
    </row>
    <row r="226" spans="1:10" ht="13.8">
      <c r="A226" s="5" t="s">
        <v>230</v>
      </c>
      <c r="B226" s="6">
        <f ca="1">IFERROR(__xludf.dummyfunction("GOOGLEFINANCE(""NSE:""&amp;A472, ""price"")"),152.5)</f>
        <v>152.5</v>
      </c>
      <c r="C226" s="6">
        <f ca="1">IFERROR(__xludf.dummyfunction("GOOGLEFINANCE(""NSE:""&amp;A472, ""priceopen"")"),156.6)</f>
        <v>156.6</v>
      </c>
      <c r="D226" s="6">
        <f ca="1">IFERROR(__xludf.dummyfunction("GOOGLEFINANCE(""NSE:""&amp;A472, ""high"")"),156.9)</f>
        <v>156.9</v>
      </c>
      <c r="E226" s="6">
        <f ca="1">IFERROR(__xludf.dummyfunction("GOOGLEFINANCE(""NSE:""&amp;A472, ""low"")"),151.55)</f>
        <v>151.55000000000001</v>
      </c>
      <c r="F226" s="6">
        <f ca="1">IFERROR(__xludf.dummyfunction("GOOGLEFINANCE(""NSE:""&amp;A472, ""closeyest"")"),155.5)</f>
        <v>155.5</v>
      </c>
      <c r="G226" s="6">
        <f ca="1">IFERROR(__xludf.dummyfunction("GOOGLEFINANCE(""NSE:""&amp;A472, ""volume"")"),997930)</f>
        <v>997930</v>
      </c>
      <c r="H226" s="6" t="b">
        <f t="shared" ca="1" si="6"/>
        <v>0</v>
      </c>
      <c r="I226" s="6" t="b">
        <f t="shared" ca="1" si="7"/>
        <v>0</v>
      </c>
      <c r="J226" s="7">
        <f ca="1">IFERROR(__xludf.dummyfunction("GOOGLEFINANCE(""NSE:""&amp;A472, ""changepct"")"),-1.93)</f>
        <v>-1.93</v>
      </c>
    </row>
    <row r="227" spans="1:10" ht="13.8">
      <c r="A227" s="5" t="s">
        <v>231</v>
      </c>
      <c r="B227" s="6">
        <f ca="1">IFERROR(__xludf.dummyfunction("GOOGLEFINANCE(""NSE:""&amp;A305, ""price"")"),35.2)</f>
        <v>35.200000000000003</v>
      </c>
      <c r="C227" s="6">
        <f ca="1">IFERROR(__xludf.dummyfunction("GOOGLEFINANCE(""NSE:""&amp;A305, ""priceopen"")"),35.15)</f>
        <v>35.15</v>
      </c>
      <c r="D227" s="6">
        <f ca="1">IFERROR(__xludf.dummyfunction("GOOGLEFINANCE(""NSE:""&amp;A305, ""high"")"),35.45)</f>
        <v>35.450000000000003</v>
      </c>
      <c r="E227" s="6">
        <f ca="1">IFERROR(__xludf.dummyfunction("GOOGLEFINANCE(""NSE:""&amp;A305, ""low"")"),34.9)</f>
        <v>34.9</v>
      </c>
      <c r="F227" s="6">
        <f ca="1">IFERROR(__xludf.dummyfunction("GOOGLEFINANCE(""NSE:""&amp;A305, ""closeyest"")"),35.15)</f>
        <v>35.15</v>
      </c>
      <c r="G227" s="6">
        <f ca="1">IFERROR(__xludf.dummyfunction("GOOGLEFINANCE(""NSE:""&amp;A305, ""volume"")"),974306)</f>
        <v>974306</v>
      </c>
      <c r="H227" s="6" t="b">
        <f t="shared" ca="1" si="6"/>
        <v>0</v>
      </c>
      <c r="I227" s="6" t="b">
        <f t="shared" ca="1" si="7"/>
        <v>0</v>
      </c>
      <c r="J227" s="7">
        <f ca="1">IFERROR(__xludf.dummyfunction("GOOGLEFINANCE(""NSE:""&amp;A305, ""changepct"")"),0.14)</f>
        <v>0.14000000000000001</v>
      </c>
    </row>
    <row r="228" spans="1:10" ht="13.8">
      <c r="A228" s="5" t="s">
        <v>232</v>
      </c>
      <c r="B228" s="6">
        <f ca="1">IFERROR(__xludf.dummyfunction("GOOGLEFINANCE(""NSE:""&amp;A66, ""price"")"),878)</f>
        <v>878</v>
      </c>
      <c r="C228" s="6">
        <f ca="1">IFERROR(__xludf.dummyfunction("GOOGLEFINANCE(""NSE:""&amp;A66, ""priceopen"")"),842.35)</f>
        <v>842.35</v>
      </c>
      <c r="D228" s="6">
        <f ca="1">IFERROR(__xludf.dummyfunction("GOOGLEFINANCE(""NSE:""&amp;A66, ""high"")"),884.45)</f>
        <v>884.45</v>
      </c>
      <c r="E228" s="6">
        <f ca="1">IFERROR(__xludf.dummyfunction("GOOGLEFINANCE(""NSE:""&amp;A66, ""low"")"),840)</f>
        <v>840</v>
      </c>
      <c r="F228" s="6">
        <f ca="1">IFERROR(__xludf.dummyfunction("GOOGLEFINANCE(""NSE:""&amp;A66, ""closeyest"")"),839.35)</f>
        <v>839.35</v>
      </c>
      <c r="G228" s="6">
        <f ca="1">IFERROR(__xludf.dummyfunction("GOOGLEFINANCE(""NSE:""&amp;A66, ""volume"")"),972554)</f>
        <v>972554</v>
      </c>
      <c r="H228" s="6" t="b">
        <f t="shared" ca="1" si="6"/>
        <v>0</v>
      </c>
      <c r="I228" s="6" t="b">
        <f t="shared" ca="1" si="7"/>
        <v>0</v>
      </c>
      <c r="J228" s="7">
        <f ca="1">IFERROR(__xludf.dummyfunction("GOOGLEFINANCE(""NSE:""&amp;A66, ""changepct"")"),4.6)</f>
        <v>4.5999999999999996</v>
      </c>
    </row>
    <row r="229" spans="1:10" ht="13.8">
      <c r="A229" s="5" t="s">
        <v>233</v>
      </c>
      <c r="B229" s="6">
        <f ca="1">IFERROR(__xludf.dummyfunction("GOOGLEFINANCE(""NSE:""&amp;A239, ""price"")"),66.15)</f>
        <v>66.150000000000006</v>
      </c>
      <c r="C229" s="6">
        <f ca="1">IFERROR(__xludf.dummyfunction("GOOGLEFINANCE(""NSE:""&amp;A239, ""priceopen"")"),66.3)</f>
        <v>66.3</v>
      </c>
      <c r="D229" s="6">
        <f ca="1">IFERROR(__xludf.dummyfunction("GOOGLEFINANCE(""NSE:""&amp;A239, ""high"")"),66.8)</f>
        <v>66.8</v>
      </c>
      <c r="E229" s="6">
        <f ca="1">IFERROR(__xludf.dummyfunction("GOOGLEFINANCE(""NSE:""&amp;A239, ""low"")"),65)</f>
        <v>65</v>
      </c>
      <c r="F229" s="6">
        <f ca="1">IFERROR(__xludf.dummyfunction("GOOGLEFINANCE(""NSE:""&amp;A239, ""closeyest"")"),65.55)</f>
        <v>65.55</v>
      </c>
      <c r="G229" s="6">
        <f ca="1">IFERROR(__xludf.dummyfunction("GOOGLEFINANCE(""NSE:""&amp;A239, ""volume"")"),968363)</f>
        <v>968363</v>
      </c>
      <c r="H229" s="6" t="b">
        <f t="shared" ca="1" si="6"/>
        <v>0</v>
      </c>
      <c r="I229" s="6" t="b">
        <f t="shared" ca="1" si="7"/>
        <v>0</v>
      </c>
      <c r="J229" s="7">
        <f ca="1">IFERROR(__xludf.dummyfunction("GOOGLEFINANCE(""NSE:""&amp;A239, ""changepct"")"),0.92)</f>
        <v>0.92</v>
      </c>
    </row>
    <row r="230" spans="1:10" ht="13.8">
      <c r="A230" s="5" t="s">
        <v>234</v>
      </c>
      <c r="B230" s="6">
        <f ca="1">IFERROR(__xludf.dummyfunction("GOOGLEFINANCE(""NSE:""&amp;A26, ""price"")"),149.5)</f>
        <v>149.5</v>
      </c>
      <c r="C230" s="6">
        <f ca="1">IFERROR(__xludf.dummyfunction("GOOGLEFINANCE(""NSE:""&amp;A26, ""priceopen"")"),139.9)</f>
        <v>139.9</v>
      </c>
      <c r="D230" s="6">
        <f ca="1">IFERROR(__xludf.dummyfunction("GOOGLEFINANCE(""NSE:""&amp;A26, ""high"")"),151.8)</f>
        <v>151.80000000000001</v>
      </c>
      <c r="E230" s="6">
        <f ca="1">IFERROR(__xludf.dummyfunction("GOOGLEFINANCE(""NSE:""&amp;A26, ""low"")"),139.9)</f>
        <v>139.9</v>
      </c>
      <c r="F230" s="6">
        <f ca="1">IFERROR(__xludf.dummyfunction("GOOGLEFINANCE(""NSE:""&amp;A26, ""closeyest"")"),138.85)</f>
        <v>138.85</v>
      </c>
      <c r="G230" s="6">
        <f ca="1">IFERROR(__xludf.dummyfunction("GOOGLEFINANCE(""NSE:""&amp;A26, ""volume"")"),923831)</f>
        <v>923831</v>
      </c>
      <c r="H230" s="6" t="b">
        <f t="shared" ca="1" si="6"/>
        <v>1</v>
      </c>
      <c r="I230" s="6" t="b">
        <f t="shared" ca="1" si="7"/>
        <v>0</v>
      </c>
      <c r="J230" s="7">
        <f ca="1">IFERROR(__xludf.dummyfunction("GOOGLEFINANCE(""NSE:""&amp;A26, ""changepct"")"),7.67)</f>
        <v>7.67</v>
      </c>
    </row>
    <row r="231" spans="1:10" ht="13.8">
      <c r="A231" s="5" t="s">
        <v>235</v>
      </c>
      <c r="B231" s="6">
        <f ca="1">IFERROR(__xludf.dummyfunction("GOOGLEFINANCE(""NSE:""&amp;A384, ""price"")"),129.35)</f>
        <v>129.35</v>
      </c>
      <c r="C231" s="6">
        <f ca="1">IFERROR(__xludf.dummyfunction("GOOGLEFINANCE(""NSE:""&amp;A384, ""priceopen"")"),130.5)</f>
        <v>130.5</v>
      </c>
      <c r="D231" s="6">
        <f ca="1">IFERROR(__xludf.dummyfunction("GOOGLEFINANCE(""NSE:""&amp;A384, ""high"")"),134.95)</f>
        <v>134.94999999999999</v>
      </c>
      <c r="E231" s="6">
        <f ca="1">IFERROR(__xludf.dummyfunction("GOOGLEFINANCE(""NSE:""&amp;A384, ""low"")"),128.25)</f>
        <v>128.25</v>
      </c>
      <c r="F231" s="6">
        <f ca="1">IFERROR(__xludf.dummyfunction("GOOGLEFINANCE(""NSE:""&amp;A384, ""closeyest"")"),130.05)</f>
        <v>130.05000000000001</v>
      </c>
      <c r="G231" s="6">
        <f ca="1">IFERROR(__xludf.dummyfunction("GOOGLEFINANCE(""NSE:""&amp;A384, ""volume"")"),919110)</f>
        <v>919110</v>
      </c>
      <c r="H231" s="6" t="b">
        <f t="shared" ca="1" si="6"/>
        <v>0</v>
      </c>
      <c r="I231" s="6" t="b">
        <f t="shared" ca="1" si="7"/>
        <v>0</v>
      </c>
      <c r="J231" s="7">
        <f ca="1">IFERROR(__xludf.dummyfunction("GOOGLEFINANCE(""NSE:""&amp;A384, ""changepct"")"),-0.54)</f>
        <v>-0.54</v>
      </c>
    </row>
    <row r="232" spans="1:10" ht="13.8">
      <c r="A232" s="5" t="s">
        <v>236</v>
      </c>
      <c r="B232" s="6">
        <f ca="1">IFERROR(__xludf.dummyfunction("GOOGLEFINANCE(""NSE:""&amp;A75, ""price"")"),82)</f>
        <v>82</v>
      </c>
      <c r="C232" s="6">
        <f ca="1">IFERROR(__xludf.dummyfunction("GOOGLEFINANCE(""NSE:""&amp;A75, ""priceopen"")"),81.5)</f>
        <v>81.5</v>
      </c>
      <c r="D232" s="6">
        <f ca="1">IFERROR(__xludf.dummyfunction("GOOGLEFINANCE(""NSE:""&amp;A75, ""high"")"),85.7)</f>
        <v>85.7</v>
      </c>
      <c r="E232" s="6">
        <f ca="1">IFERROR(__xludf.dummyfunction("GOOGLEFINANCE(""NSE:""&amp;A75, ""low"")"),79.3)</f>
        <v>79.3</v>
      </c>
      <c r="F232" s="6">
        <f ca="1">IFERROR(__xludf.dummyfunction("GOOGLEFINANCE(""NSE:""&amp;A75, ""closeyest"")"),78.75)</f>
        <v>78.75</v>
      </c>
      <c r="G232" s="6">
        <f ca="1">IFERROR(__xludf.dummyfunction("GOOGLEFINANCE(""NSE:""&amp;A75, ""volume"")"),902551)</f>
        <v>902551</v>
      </c>
      <c r="H232" s="6" t="b">
        <f t="shared" ca="1" si="6"/>
        <v>0</v>
      </c>
      <c r="I232" s="6" t="b">
        <f t="shared" ca="1" si="7"/>
        <v>0</v>
      </c>
      <c r="J232" s="7">
        <f ca="1">IFERROR(__xludf.dummyfunction("GOOGLEFINANCE(""NSE:""&amp;A75, ""changepct"")"),4.13)</f>
        <v>4.13</v>
      </c>
    </row>
    <row r="233" spans="1:10" ht="13.8">
      <c r="A233" s="5" t="s">
        <v>237</v>
      </c>
      <c r="B233" s="6">
        <f ca="1">IFERROR(__xludf.dummyfunction("GOOGLEFINANCE(""NSE:""&amp;A30, ""price"")"),150.9)</f>
        <v>150.9</v>
      </c>
      <c r="C233" s="6">
        <f ca="1">IFERROR(__xludf.dummyfunction("GOOGLEFINANCE(""NSE:""&amp;A30, ""priceopen"")"),141.95)</f>
        <v>141.94999999999999</v>
      </c>
      <c r="D233" s="6">
        <f ca="1">IFERROR(__xludf.dummyfunction("GOOGLEFINANCE(""NSE:""&amp;A30, ""high"")"),152)</f>
        <v>152</v>
      </c>
      <c r="E233" s="6">
        <f ca="1">IFERROR(__xludf.dummyfunction("GOOGLEFINANCE(""NSE:""&amp;A30, ""low"")"),141.15)</f>
        <v>141.15</v>
      </c>
      <c r="F233" s="6">
        <f ca="1">IFERROR(__xludf.dummyfunction("GOOGLEFINANCE(""NSE:""&amp;A30, ""closeyest"")"),140.9)</f>
        <v>140.9</v>
      </c>
      <c r="G233" s="6">
        <f ca="1">IFERROR(__xludf.dummyfunction("GOOGLEFINANCE(""NSE:""&amp;A30, ""volume"")"),897333)</f>
        <v>897333</v>
      </c>
      <c r="H233" s="6" t="b">
        <f t="shared" ca="1" si="6"/>
        <v>0</v>
      </c>
      <c r="I233" s="6" t="b">
        <f t="shared" ca="1" si="7"/>
        <v>0</v>
      </c>
      <c r="J233" s="7">
        <f ca="1">IFERROR(__xludf.dummyfunction("GOOGLEFINANCE(""NSE:""&amp;A30, ""changepct"")"),7.1)</f>
        <v>7.1</v>
      </c>
    </row>
    <row r="234" spans="1:10" ht="13.8">
      <c r="A234" s="5" t="s">
        <v>238</v>
      </c>
      <c r="B234" s="6">
        <f ca="1">IFERROR(__xludf.dummyfunction("GOOGLEFINANCE(""NSE:""&amp;A377, ""price"")"),685)</f>
        <v>685</v>
      </c>
      <c r="C234" s="6">
        <f ca="1">IFERROR(__xludf.dummyfunction("GOOGLEFINANCE(""NSE:""&amp;A377, ""priceopen"")"),690)</f>
        <v>690</v>
      </c>
      <c r="D234" s="6">
        <f ca="1">IFERROR(__xludf.dummyfunction("GOOGLEFINANCE(""NSE:""&amp;A377, ""high"")"),690)</f>
        <v>690</v>
      </c>
      <c r="E234" s="6">
        <f ca="1">IFERROR(__xludf.dummyfunction("GOOGLEFINANCE(""NSE:""&amp;A377, ""low"")"),678.5)</f>
        <v>678.5</v>
      </c>
      <c r="F234" s="6">
        <f ca="1">IFERROR(__xludf.dummyfunction("GOOGLEFINANCE(""NSE:""&amp;A377, ""closeyest"")"),688.2)</f>
        <v>688.2</v>
      </c>
      <c r="G234" s="6">
        <f ca="1">IFERROR(__xludf.dummyfunction("GOOGLEFINANCE(""NSE:""&amp;A377, ""volume"")"),892898)</f>
        <v>892898</v>
      </c>
      <c r="H234" s="6" t="b">
        <f t="shared" ca="1" si="6"/>
        <v>0</v>
      </c>
      <c r="I234" s="6" t="b">
        <f t="shared" ca="1" si="7"/>
        <v>1</v>
      </c>
      <c r="J234" s="7">
        <f ca="1">IFERROR(__xludf.dummyfunction("GOOGLEFINANCE(""NSE:""&amp;A377, ""changepct"")"),-0.46)</f>
        <v>-0.46</v>
      </c>
    </row>
    <row r="235" spans="1:10" ht="13.8">
      <c r="A235" s="5" t="s">
        <v>239</v>
      </c>
      <c r="B235" s="6">
        <f ca="1">IFERROR(__xludf.dummyfunction("GOOGLEFINANCE(""NSE:""&amp;A471, ""price"")"),1131)</f>
        <v>1131</v>
      </c>
      <c r="C235" s="6">
        <f ca="1">IFERROR(__xludf.dummyfunction("GOOGLEFINANCE(""NSE:""&amp;A471, ""priceopen"")"),1143)</f>
        <v>1143</v>
      </c>
      <c r="D235" s="6">
        <f ca="1">IFERROR(__xludf.dummyfunction("GOOGLEFINANCE(""NSE:""&amp;A471, ""high"")"),1152)</f>
        <v>1152</v>
      </c>
      <c r="E235" s="6">
        <f ca="1">IFERROR(__xludf.dummyfunction("GOOGLEFINANCE(""NSE:""&amp;A471, ""low"")"),1120.8)</f>
        <v>1120.8</v>
      </c>
      <c r="F235" s="6">
        <f ca="1">IFERROR(__xludf.dummyfunction("GOOGLEFINANCE(""NSE:""&amp;A471, ""closeyest"")"),1152.35)</f>
        <v>1152.3499999999999</v>
      </c>
      <c r="G235" s="6">
        <f ca="1">IFERROR(__xludf.dummyfunction("GOOGLEFINANCE(""NSE:""&amp;A471, ""volume"")"),888158)</f>
        <v>888158</v>
      </c>
      <c r="H235" s="6" t="b">
        <f t="shared" ca="1" si="6"/>
        <v>0</v>
      </c>
      <c r="I235" s="6" t="b">
        <f t="shared" ca="1" si="7"/>
        <v>0</v>
      </c>
      <c r="J235" s="7">
        <f ca="1">IFERROR(__xludf.dummyfunction("GOOGLEFINANCE(""NSE:""&amp;A471, ""changepct"")"),-1.85)</f>
        <v>-1.85</v>
      </c>
    </row>
    <row r="236" spans="1:10" ht="13.8">
      <c r="A236" s="5" t="s">
        <v>240</v>
      </c>
      <c r="B236" s="6">
        <f ca="1">IFERROR(__xludf.dummyfunction("GOOGLEFINANCE(""NSE:""&amp;A119, ""price"")"),484.75)</f>
        <v>484.75</v>
      </c>
      <c r="C236" s="6">
        <f ca="1">IFERROR(__xludf.dummyfunction("GOOGLEFINANCE(""NSE:""&amp;A119, ""priceopen"")"),470)</f>
        <v>470</v>
      </c>
      <c r="D236" s="6">
        <f ca="1">IFERROR(__xludf.dummyfunction("GOOGLEFINANCE(""NSE:""&amp;A119, ""high"")"),486.7)</f>
        <v>486.7</v>
      </c>
      <c r="E236" s="6">
        <f ca="1">IFERROR(__xludf.dummyfunction("GOOGLEFINANCE(""NSE:""&amp;A119, ""low"")"),468.2)</f>
        <v>468.2</v>
      </c>
      <c r="F236" s="6">
        <f ca="1">IFERROR(__xludf.dummyfunction("GOOGLEFINANCE(""NSE:""&amp;A119, ""closeyest"")"),471.35)</f>
        <v>471.35</v>
      </c>
      <c r="G236" s="6">
        <f ca="1">IFERROR(__xludf.dummyfunction("GOOGLEFINANCE(""NSE:""&amp;A119, ""volume"")"),867771)</f>
        <v>867771</v>
      </c>
      <c r="H236" s="6" t="b">
        <f t="shared" ca="1" si="6"/>
        <v>0</v>
      </c>
      <c r="I236" s="6" t="b">
        <f t="shared" ca="1" si="7"/>
        <v>0</v>
      </c>
      <c r="J236" s="7">
        <f ca="1">IFERROR(__xludf.dummyfunction("GOOGLEFINANCE(""NSE:""&amp;A119, ""changepct"")"),2.84)</f>
        <v>2.84</v>
      </c>
    </row>
    <row r="237" spans="1:10" ht="13.8">
      <c r="A237" s="5" t="s">
        <v>241</v>
      </c>
      <c r="B237" s="6">
        <f ca="1">IFERROR(__xludf.dummyfunction("GOOGLEFINANCE(""NSE:""&amp;A41, ""price"")"),360.25)</f>
        <v>360.25</v>
      </c>
      <c r="C237" s="6">
        <f ca="1">IFERROR(__xludf.dummyfunction("GOOGLEFINANCE(""NSE:""&amp;A41, ""priceopen"")"),342.5)</f>
        <v>342.5</v>
      </c>
      <c r="D237" s="6">
        <f ca="1">IFERROR(__xludf.dummyfunction("GOOGLEFINANCE(""NSE:""&amp;A41, ""high"")"),361.8)</f>
        <v>361.8</v>
      </c>
      <c r="E237" s="6">
        <f ca="1">IFERROR(__xludf.dummyfunction("GOOGLEFINANCE(""NSE:""&amp;A41, ""low"")"),339.25)</f>
        <v>339.25</v>
      </c>
      <c r="F237" s="6">
        <f ca="1">IFERROR(__xludf.dummyfunction("GOOGLEFINANCE(""NSE:""&amp;A41, ""closeyest"")"),339.9)</f>
        <v>339.9</v>
      </c>
      <c r="G237" s="6">
        <f ca="1">IFERROR(__xludf.dummyfunction("GOOGLEFINANCE(""NSE:""&amp;A41, ""volume"")"),863102)</f>
        <v>863102</v>
      </c>
      <c r="H237" s="6" t="b">
        <f t="shared" ca="1" si="6"/>
        <v>0</v>
      </c>
      <c r="I237" s="6" t="b">
        <f t="shared" ca="1" si="7"/>
        <v>0</v>
      </c>
      <c r="J237" s="7">
        <f ca="1">IFERROR(__xludf.dummyfunction("GOOGLEFINANCE(""NSE:""&amp;A41, ""changepct"")"),5.99)</f>
        <v>5.99</v>
      </c>
    </row>
    <row r="238" spans="1:10" ht="13.8">
      <c r="A238" s="5" t="s">
        <v>242</v>
      </c>
      <c r="B238" s="6">
        <f ca="1">IFERROR(__xludf.dummyfunction("GOOGLEFINANCE(""NSE:""&amp;A71, ""price"")"),102.6)</f>
        <v>102.6</v>
      </c>
      <c r="C238" s="6">
        <f ca="1">IFERROR(__xludf.dummyfunction("GOOGLEFINANCE(""NSE:""&amp;A71, ""priceopen"")"),100.3)</f>
        <v>100.3</v>
      </c>
      <c r="D238" s="6">
        <f ca="1">IFERROR(__xludf.dummyfunction("GOOGLEFINANCE(""NSE:""&amp;A71, ""high"")"),107.35)</f>
        <v>107.35</v>
      </c>
      <c r="E238" s="6">
        <f ca="1">IFERROR(__xludf.dummyfunction("GOOGLEFINANCE(""NSE:""&amp;A71, ""low"")"),98.35)</f>
        <v>98.35</v>
      </c>
      <c r="F238" s="6">
        <f ca="1">IFERROR(__xludf.dummyfunction("GOOGLEFINANCE(""NSE:""&amp;A71, ""closeyest"")"),98.35)</f>
        <v>98.35</v>
      </c>
      <c r="G238" s="6">
        <f ca="1">IFERROR(__xludf.dummyfunction("GOOGLEFINANCE(""NSE:""&amp;A71, ""volume"")"),861238)</f>
        <v>861238</v>
      </c>
      <c r="H238" s="6" t="b">
        <f t="shared" ca="1" si="6"/>
        <v>0</v>
      </c>
      <c r="I238" s="6" t="b">
        <f t="shared" ca="1" si="7"/>
        <v>0</v>
      </c>
      <c r="J238" s="7">
        <f ca="1">IFERROR(__xludf.dummyfunction("GOOGLEFINANCE(""NSE:""&amp;A71, ""changepct"")"),4.32)</f>
        <v>4.32</v>
      </c>
    </row>
    <row r="239" spans="1:10" ht="13.8">
      <c r="A239" s="5" t="s">
        <v>243</v>
      </c>
      <c r="B239" s="6">
        <f ca="1">IFERROR(__xludf.dummyfunction("GOOGLEFINANCE(""NSE:""&amp;A234, ""price"")"),398.25)</f>
        <v>398.25</v>
      </c>
      <c r="C239" s="6">
        <f ca="1">IFERROR(__xludf.dummyfunction("GOOGLEFINANCE(""NSE:""&amp;A234, ""priceopen"")"),396)</f>
        <v>396</v>
      </c>
      <c r="D239" s="6">
        <f ca="1">IFERROR(__xludf.dummyfunction("GOOGLEFINANCE(""NSE:""&amp;A234, ""high"")"),399.65)</f>
        <v>399.65</v>
      </c>
      <c r="E239" s="6">
        <f ca="1">IFERROR(__xludf.dummyfunction("GOOGLEFINANCE(""NSE:""&amp;A234, ""low"")"),392)</f>
        <v>392</v>
      </c>
      <c r="F239" s="6">
        <f ca="1">IFERROR(__xludf.dummyfunction("GOOGLEFINANCE(""NSE:""&amp;A234, ""closeyest"")"),394.35)</f>
        <v>394.35</v>
      </c>
      <c r="G239" s="6">
        <f ca="1">IFERROR(__xludf.dummyfunction("GOOGLEFINANCE(""NSE:""&amp;A234, ""volume"")"),851388)</f>
        <v>851388</v>
      </c>
      <c r="H239" s="6" t="b">
        <f t="shared" ca="1" si="6"/>
        <v>0</v>
      </c>
      <c r="I239" s="6" t="b">
        <f t="shared" ca="1" si="7"/>
        <v>0</v>
      </c>
      <c r="J239" s="7">
        <f ca="1">IFERROR(__xludf.dummyfunction("GOOGLEFINANCE(""NSE:""&amp;A234, ""changepct"")"),0.99)</f>
        <v>0.99</v>
      </c>
    </row>
    <row r="240" spans="1:10" ht="13.8">
      <c r="A240" s="5" t="s">
        <v>244</v>
      </c>
      <c r="B240" s="6">
        <f ca="1">IFERROR(__xludf.dummyfunction("GOOGLEFINANCE(""NSE:""&amp;A271, ""price"")"),22.25)</f>
        <v>22.25</v>
      </c>
      <c r="C240" s="6">
        <f ca="1">IFERROR(__xludf.dummyfunction("GOOGLEFINANCE(""NSE:""&amp;A271, ""priceopen"")"),22.2)</f>
        <v>22.2</v>
      </c>
      <c r="D240" s="6">
        <f ca="1">IFERROR(__xludf.dummyfunction("GOOGLEFINANCE(""NSE:""&amp;A271, ""high"")"),22.3)</f>
        <v>22.3</v>
      </c>
      <c r="E240" s="6">
        <f ca="1">IFERROR(__xludf.dummyfunction("GOOGLEFINANCE(""NSE:""&amp;A271, ""low"")"),22.15)</f>
        <v>22.15</v>
      </c>
      <c r="F240" s="6">
        <f ca="1">IFERROR(__xludf.dummyfunction("GOOGLEFINANCE(""NSE:""&amp;A271, ""closeyest"")"),22.15)</f>
        <v>22.15</v>
      </c>
      <c r="G240" s="6">
        <f ca="1">IFERROR(__xludf.dummyfunction("GOOGLEFINANCE(""NSE:""&amp;A271, ""volume"")"),843634)</f>
        <v>843634</v>
      </c>
      <c r="H240" s="6" t="b">
        <f t="shared" ca="1" si="6"/>
        <v>0</v>
      </c>
      <c r="I240" s="6" t="b">
        <f t="shared" ca="1" si="7"/>
        <v>0</v>
      </c>
      <c r="J240" s="7">
        <f ca="1">IFERROR(__xludf.dummyfunction("GOOGLEFINANCE(""NSE:""&amp;A271, ""changepct"")"),0.45)</f>
        <v>0.45</v>
      </c>
    </row>
    <row r="241" spans="1:10" ht="13.8">
      <c r="A241" s="5" t="s">
        <v>245</v>
      </c>
      <c r="B241" s="6">
        <f ca="1">IFERROR(__xludf.dummyfunction("GOOGLEFINANCE(""NSE:""&amp;A89, ""price"")"),4227.5)</f>
        <v>4227.5</v>
      </c>
      <c r="C241" s="6">
        <f ca="1">IFERROR(__xludf.dummyfunction("GOOGLEFINANCE(""NSE:""&amp;A89, ""priceopen"")"),4120)</f>
        <v>4120</v>
      </c>
      <c r="D241" s="6">
        <f ca="1">IFERROR(__xludf.dummyfunction("GOOGLEFINANCE(""NSE:""&amp;A89, ""high"")"),4276.65)</f>
        <v>4276.6499999999996</v>
      </c>
      <c r="E241" s="6">
        <f ca="1">IFERROR(__xludf.dummyfunction("GOOGLEFINANCE(""NSE:""&amp;A89, ""low"")"),4063.6)</f>
        <v>4063.6</v>
      </c>
      <c r="F241" s="6">
        <f ca="1">IFERROR(__xludf.dummyfunction("GOOGLEFINANCE(""NSE:""&amp;A89, ""closeyest"")"),4081.35)</f>
        <v>4081.35</v>
      </c>
      <c r="G241" s="6">
        <f ca="1">IFERROR(__xludf.dummyfunction("GOOGLEFINANCE(""NSE:""&amp;A89, ""volume"")"),834885)</f>
        <v>834885</v>
      </c>
      <c r="H241" s="6" t="b">
        <f t="shared" ca="1" si="6"/>
        <v>0</v>
      </c>
      <c r="I241" s="6" t="b">
        <f t="shared" ca="1" si="7"/>
        <v>0</v>
      </c>
      <c r="J241" s="7">
        <f ca="1">IFERROR(__xludf.dummyfunction("GOOGLEFINANCE(""NSE:""&amp;A89, ""changepct"")"),3.58)</f>
        <v>3.58</v>
      </c>
    </row>
    <row r="242" spans="1:10" ht="13.8">
      <c r="A242" s="5" t="s">
        <v>246</v>
      </c>
      <c r="B242" s="6">
        <f ca="1">IFERROR(__xludf.dummyfunction("GOOGLEFINANCE(""NSE:""&amp;A313, ""price"")"),3937)</f>
        <v>3937</v>
      </c>
      <c r="C242" s="6">
        <f ca="1">IFERROR(__xludf.dummyfunction("GOOGLEFINANCE(""NSE:""&amp;A313, ""priceopen"")"),3959.95)</f>
        <v>3959.95</v>
      </c>
      <c r="D242" s="6">
        <f ca="1">IFERROR(__xludf.dummyfunction("GOOGLEFINANCE(""NSE:""&amp;A313, ""high"")"),4005)</f>
        <v>4005</v>
      </c>
      <c r="E242" s="6">
        <f ca="1">IFERROR(__xludf.dummyfunction("GOOGLEFINANCE(""NSE:""&amp;A313, ""low"")"),3929)</f>
        <v>3929</v>
      </c>
      <c r="F242" s="6">
        <f ca="1">IFERROR(__xludf.dummyfunction("GOOGLEFINANCE(""NSE:""&amp;A313, ""closeyest"")"),3934.8)</f>
        <v>3934.8</v>
      </c>
      <c r="G242" s="6">
        <f ca="1">IFERROR(__xludf.dummyfunction("GOOGLEFINANCE(""NSE:""&amp;A313, ""volume"")"),826722)</f>
        <v>826722</v>
      </c>
      <c r="H242" s="6" t="b">
        <f t="shared" ca="1" si="6"/>
        <v>0</v>
      </c>
      <c r="I242" s="6" t="b">
        <f t="shared" ca="1" si="7"/>
        <v>0</v>
      </c>
      <c r="J242" s="7">
        <f ca="1">IFERROR(__xludf.dummyfunction("GOOGLEFINANCE(""NSE:""&amp;A313, ""changepct"")"),0.06)</f>
        <v>0.06</v>
      </c>
    </row>
    <row r="243" spans="1:10" ht="13.8">
      <c r="A243" s="5" t="s">
        <v>247</v>
      </c>
      <c r="B243" s="6">
        <f ca="1">IFERROR(__xludf.dummyfunction("GOOGLEFINANCE(""NSE:""&amp;A433, ""price"")"),60.2)</f>
        <v>60.2</v>
      </c>
      <c r="C243" s="6">
        <f ca="1">IFERROR(__xludf.dummyfunction("GOOGLEFINANCE(""NSE:""&amp;A433, ""priceopen"")"),61.05)</f>
        <v>61.05</v>
      </c>
      <c r="D243" s="6">
        <f ca="1">IFERROR(__xludf.dummyfunction("GOOGLEFINANCE(""NSE:""&amp;A433, ""high"")"),61.6)</f>
        <v>61.6</v>
      </c>
      <c r="E243" s="6">
        <f ca="1">IFERROR(__xludf.dummyfunction("GOOGLEFINANCE(""NSE:""&amp;A433, ""low"")"),59.9)</f>
        <v>59.9</v>
      </c>
      <c r="F243" s="6">
        <f ca="1">IFERROR(__xludf.dummyfunction("GOOGLEFINANCE(""NSE:""&amp;A433, ""closeyest"")"),60.85)</f>
        <v>60.85</v>
      </c>
      <c r="G243" s="6">
        <f ca="1">IFERROR(__xludf.dummyfunction("GOOGLEFINANCE(""NSE:""&amp;A433, ""volume"")"),820481)</f>
        <v>820481</v>
      </c>
      <c r="H243" s="6" t="b">
        <f t="shared" ca="1" si="6"/>
        <v>0</v>
      </c>
      <c r="I243" s="6" t="b">
        <f t="shared" ca="1" si="7"/>
        <v>0</v>
      </c>
      <c r="J243" s="7">
        <f ca="1">IFERROR(__xludf.dummyfunction("GOOGLEFINANCE(""NSE:""&amp;A433, ""changepct"")"),-1.07)</f>
        <v>-1.07</v>
      </c>
    </row>
    <row r="244" spans="1:10" ht="13.8">
      <c r="A244" s="5" t="s">
        <v>248</v>
      </c>
      <c r="B244" s="6">
        <f ca="1">IFERROR(__xludf.dummyfunction("GOOGLEFINANCE(""NSE:""&amp;A383, ""price"")"),18.6)</f>
        <v>18.600000000000001</v>
      </c>
      <c r="C244" s="6">
        <f ca="1">IFERROR(__xludf.dummyfunction("GOOGLEFINANCE(""NSE:""&amp;A383, ""priceopen"")"),18.9)</f>
        <v>18.899999999999999</v>
      </c>
      <c r="D244" s="6">
        <f ca="1">IFERROR(__xludf.dummyfunction("GOOGLEFINANCE(""NSE:""&amp;A383, ""high"")"),19.15)</f>
        <v>19.149999999999999</v>
      </c>
      <c r="E244" s="6">
        <f ca="1">IFERROR(__xludf.dummyfunction("GOOGLEFINANCE(""NSE:""&amp;A383, ""low"")"),18.4)</f>
        <v>18.399999999999999</v>
      </c>
      <c r="F244" s="6">
        <f ca="1">IFERROR(__xludf.dummyfunction("GOOGLEFINANCE(""NSE:""&amp;A383, ""closeyest"")"),18.7)</f>
        <v>18.7</v>
      </c>
      <c r="G244" s="6">
        <f ca="1">IFERROR(__xludf.dummyfunction("GOOGLEFINANCE(""NSE:""&amp;A383, ""volume"")"),810457)</f>
        <v>810457</v>
      </c>
      <c r="H244" s="6" t="b">
        <f t="shared" ca="1" si="6"/>
        <v>0</v>
      </c>
      <c r="I244" s="6" t="b">
        <f t="shared" ca="1" si="7"/>
        <v>0</v>
      </c>
      <c r="J244" s="7">
        <f ca="1">IFERROR(__xludf.dummyfunction("GOOGLEFINANCE(""NSE:""&amp;A383, ""changepct"")"),-0.53)</f>
        <v>-0.53</v>
      </c>
    </row>
    <row r="245" spans="1:10" ht="13.8">
      <c r="A245" s="5" t="s">
        <v>249</v>
      </c>
      <c r="B245" s="6">
        <f ca="1">IFERROR(__xludf.dummyfunction("GOOGLEFINANCE(""NSE:""&amp;A196, ""price"")"),72.7)</f>
        <v>72.7</v>
      </c>
      <c r="C245" s="6">
        <f ca="1">IFERROR(__xludf.dummyfunction("GOOGLEFINANCE(""NSE:""&amp;A196, ""priceopen"")"),74)</f>
        <v>74</v>
      </c>
      <c r="D245" s="6">
        <f ca="1">IFERROR(__xludf.dummyfunction("GOOGLEFINANCE(""NSE:""&amp;A196, ""high"")"),74.75)</f>
        <v>74.75</v>
      </c>
      <c r="E245" s="6">
        <f ca="1">IFERROR(__xludf.dummyfunction("GOOGLEFINANCE(""NSE:""&amp;A196, ""low"")"),68.7)</f>
        <v>68.7</v>
      </c>
      <c r="F245" s="6">
        <f ca="1">IFERROR(__xludf.dummyfunction("GOOGLEFINANCE(""NSE:""&amp;A196, ""closeyest"")"),71.65)</f>
        <v>71.650000000000006</v>
      </c>
      <c r="G245" s="6">
        <f ca="1">IFERROR(__xludf.dummyfunction("GOOGLEFINANCE(""NSE:""&amp;A196, ""volume"")"),806807)</f>
        <v>806807</v>
      </c>
      <c r="H245" s="6" t="b">
        <f t="shared" ca="1" si="6"/>
        <v>0</v>
      </c>
      <c r="I245" s="6" t="b">
        <f t="shared" ca="1" si="7"/>
        <v>0</v>
      </c>
      <c r="J245" s="7">
        <f ca="1">IFERROR(__xludf.dummyfunction("GOOGLEFINANCE(""NSE:""&amp;A196, ""changepct"")"),1.47)</f>
        <v>1.47</v>
      </c>
    </row>
    <row r="246" spans="1:10" ht="13.8">
      <c r="A246" s="5" t="s">
        <v>250</v>
      </c>
      <c r="B246" s="6">
        <f ca="1">IFERROR(__xludf.dummyfunction("GOOGLEFINANCE(""NSE:""&amp;A117, ""price"")"),390.7)</f>
        <v>390.7</v>
      </c>
      <c r="C246" s="6">
        <f ca="1">IFERROR(__xludf.dummyfunction("GOOGLEFINANCE(""NSE:""&amp;A117, ""priceopen"")"),380)</f>
        <v>380</v>
      </c>
      <c r="D246" s="6">
        <f ca="1">IFERROR(__xludf.dummyfunction("GOOGLEFINANCE(""NSE:""&amp;A117, ""high"")"),392.1)</f>
        <v>392.1</v>
      </c>
      <c r="E246" s="6">
        <f ca="1">IFERROR(__xludf.dummyfunction("GOOGLEFINANCE(""NSE:""&amp;A117, ""low"")"),378.05)</f>
        <v>378.05</v>
      </c>
      <c r="F246" s="6">
        <f ca="1">IFERROR(__xludf.dummyfunction("GOOGLEFINANCE(""NSE:""&amp;A117, ""closeyest"")"),379.75)</f>
        <v>379.75</v>
      </c>
      <c r="G246" s="6">
        <f ca="1">IFERROR(__xludf.dummyfunction("GOOGLEFINANCE(""NSE:""&amp;A117, ""volume"")"),787942)</f>
        <v>787942</v>
      </c>
      <c r="H246" s="6" t="b">
        <f t="shared" ca="1" si="6"/>
        <v>0</v>
      </c>
      <c r="I246" s="6" t="b">
        <f t="shared" ca="1" si="7"/>
        <v>0</v>
      </c>
      <c r="J246" s="7">
        <f ca="1">IFERROR(__xludf.dummyfunction("GOOGLEFINANCE(""NSE:""&amp;A117, ""changepct"")"),2.88)</f>
        <v>2.88</v>
      </c>
    </row>
    <row r="247" spans="1:10" ht="13.8">
      <c r="A247" s="5" t="s">
        <v>251</v>
      </c>
      <c r="B247" s="6">
        <f ca="1">IFERROR(__xludf.dummyfunction("GOOGLEFINANCE(""NSE:""&amp;A25, ""price"")"),218)</f>
        <v>218</v>
      </c>
      <c r="C247" s="6">
        <f ca="1">IFERROR(__xludf.dummyfunction("GOOGLEFINANCE(""NSE:""&amp;A25, ""priceopen"")"),212)</f>
        <v>212</v>
      </c>
      <c r="D247" s="6">
        <f ca="1">IFERROR(__xludf.dummyfunction("GOOGLEFINANCE(""NSE:""&amp;A25, ""high"")"),221.8)</f>
        <v>221.8</v>
      </c>
      <c r="E247" s="6">
        <f ca="1">IFERROR(__xludf.dummyfunction("GOOGLEFINANCE(""NSE:""&amp;A25, ""low"")"),208.25)</f>
        <v>208.25</v>
      </c>
      <c r="F247" s="6">
        <f ca="1">IFERROR(__xludf.dummyfunction("GOOGLEFINANCE(""NSE:""&amp;A25, ""closeyest"")"),202.45)</f>
        <v>202.45</v>
      </c>
      <c r="G247" s="6">
        <f ca="1">IFERROR(__xludf.dummyfunction("GOOGLEFINANCE(""NSE:""&amp;A25, ""volume"")"),785497)</f>
        <v>785497</v>
      </c>
      <c r="H247" s="6" t="b">
        <f t="shared" ca="1" si="6"/>
        <v>0</v>
      </c>
      <c r="I247" s="6" t="b">
        <f t="shared" ca="1" si="7"/>
        <v>0</v>
      </c>
      <c r="J247" s="7">
        <f ca="1">IFERROR(__xludf.dummyfunction("GOOGLEFINANCE(""NSE:""&amp;A25, ""changepct"")"),7.68)</f>
        <v>7.68</v>
      </c>
    </row>
    <row r="248" spans="1:10" ht="13.8">
      <c r="A248" s="5" t="s">
        <v>252</v>
      </c>
      <c r="B248" s="6">
        <f ca="1">IFERROR(__xludf.dummyfunction("GOOGLEFINANCE(""NSE:""&amp;A249, ""price"")"),37.2)</f>
        <v>37.200000000000003</v>
      </c>
      <c r="C248" s="6">
        <f ca="1">IFERROR(__xludf.dummyfunction("GOOGLEFINANCE(""NSE:""&amp;A249, ""priceopen"")"),37.2)</f>
        <v>37.200000000000003</v>
      </c>
      <c r="D248" s="6">
        <f ca="1">IFERROR(__xludf.dummyfunction("GOOGLEFINANCE(""NSE:""&amp;A249, ""high"")"),37.45)</f>
        <v>37.450000000000003</v>
      </c>
      <c r="E248" s="6">
        <f ca="1">IFERROR(__xludf.dummyfunction("GOOGLEFINANCE(""NSE:""&amp;A249, ""low"")"),36.8)</f>
        <v>36.799999999999997</v>
      </c>
      <c r="F248" s="6">
        <f ca="1">IFERROR(__xludf.dummyfunction("GOOGLEFINANCE(""NSE:""&amp;A249, ""closeyest"")"),36.9)</f>
        <v>36.9</v>
      </c>
      <c r="G248" s="6">
        <f ca="1">IFERROR(__xludf.dummyfunction("GOOGLEFINANCE(""NSE:""&amp;A249, ""volume"")"),772969)</f>
        <v>772969</v>
      </c>
      <c r="H248" s="6" t="b">
        <f t="shared" ca="1" si="6"/>
        <v>0</v>
      </c>
      <c r="I248" s="6" t="b">
        <f t="shared" ca="1" si="7"/>
        <v>0</v>
      </c>
      <c r="J248" s="7">
        <f ca="1">IFERROR(__xludf.dummyfunction("GOOGLEFINANCE(""NSE:""&amp;A249, ""changepct"")"),0.81)</f>
        <v>0.81</v>
      </c>
    </row>
    <row r="249" spans="1:10" ht="13.8">
      <c r="A249" s="5" t="s">
        <v>253</v>
      </c>
      <c r="B249" s="6">
        <f ca="1">IFERROR(__xludf.dummyfunction("GOOGLEFINANCE(""NSE:""&amp;A326, ""price"")"),198)</f>
        <v>198</v>
      </c>
      <c r="C249" s="6">
        <f ca="1">IFERROR(__xludf.dummyfunction("GOOGLEFINANCE(""NSE:""&amp;A326, ""priceopen"")"),198.5)</f>
        <v>198.5</v>
      </c>
      <c r="D249" s="6">
        <f ca="1">IFERROR(__xludf.dummyfunction("GOOGLEFINANCE(""NSE:""&amp;A326, ""high"")"),207.95)</f>
        <v>207.95</v>
      </c>
      <c r="E249" s="6">
        <f ca="1">IFERROR(__xludf.dummyfunction("GOOGLEFINANCE(""NSE:""&amp;A326, ""low"")"),197.55)</f>
        <v>197.55</v>
      </c>
      <c r="F249" s="6">
        <f ca="1">IFERROR(__xludf.dummyfunction("GOOGLEFINANCE(""NSE:""&amp;A326, ""closeyest"")"),198.05)</f>
        <v>198.05</v>
      </c>
      <c r="G249" s="6">
        <f ca="1">IFERROR(__xludf.dummyfunction("GOOGLEFINANCE(""NSE:""&amp;A326, ""volume"")"),770318)</f>
        <v>770318</v>
      </c>
      <c r="H249" s="6" t="b">
        <f t="shared" ca="1" si="6"/>
        <v>0</v>
      </c>
      <c r="I249" s="6" t="b">
        <f t="shared" ca="1" si="7"/>
        <v>0</v>
      </c>
      <c r="J249" s="7">
        <f ca="1">IFERROR(__xludf.dummyfunction("GOOGLEFINANCE(""NSE:""&amp;A326, ""changepct"")"),-0.03)</f>
        <v>-0.03</v>
      </c>
    </row>
    <row r="250" spans="1:10" ht="13.8">
      <c r="A250" s="5" t="s">
        <v>254</v>
      </c>
      <c r="B250" s="6">
        <f ca="1">IFERROR(__xludf.dummyfunction("GOOGLEFINANCE(""NSE:""&amp;A397, ""price"")"),652.55)</f>
        <v>652.54999999999995</v>
      </c>
      <c r="C250" s="6">
        <f ca="1">IFERROR(__xludf.dummyfunction("GOOGLEFINANCE(""NSE:""&amp;A397, ""priceopen"")"),662.6)</f>
        <v>662.6</v>
      </c>
      <c r="D250" s="6">
        <f ca="1">IFERROR(__xludf.dummyfunction("GOOGLEFINANCE(""NSE:""&amp;A397, ""high"")"),680)</f>
        <v>680</v>
      </c>
      <c r="E250" s="6">
        <f ca="1">IFERROR(__xludf.dummyfunction("GOOGLEFINANCE(""NSE:""&amp;A397, ""low"")"),647)</f>
        <v>647</v>
      </c>
      <c r="F250" s="6">
        <f ca="1">IFERROR(__xludf.dummyfunction("GOOGLEFINANCE(""NSE:""&amp;A397, ""closeyest"")"),656.75)</f>
        <v>656.75</v>
      </c>
      <c r="G250" s="6">
        <f ca="1">IFERROR(__xludf.dummyfunction("GOOGLEFINANCE(""NSE:""&amp;A397, ""volume"")"),769577)</f>
        <v>769577</v>
      </c>
      <c r="H250" s="6" t="b">
        <f t="shared" ca="1" si="6"/>
        <v>0</v>
      </c>
      <c r="I250" s="6" t="b">
        <f t="shared" ca="1" si="7"/>
        <v>0</v>
      </c>
      <c r="J250" s="7">
        <f ca="1">IFERROR(__xludf.dummyfunction("GOOGLEFINANCE(""NSE:""&amp;A397, ""changepct"")"),-0.64)</f>
        <v>-0.64</v>
      </c>
    </row>
    <row r="251" spans="1:10" ht="13.8">
      <c r="A251" s="5" t="s">
        <v>255</v>
      </c>
      <c r="B251" s="6">
        <f ca="1">IFERROR(__xludf.dummyfunction("GOOGLEFINANCE(""NSE:""&amp;A206, ""price"")"),52.5)</f>
        <v>52.5</v>
      </c>
      <c r="C251" s="6">
        <f ca="1">IFERROR(__xludf.dummyfunction("GOOGLEFINANCE(""NSE:""&amp;A206, ""priceopen"")"),52.45)</f>
        <v>52.45</v>
      </c>
      <c r="D251" s="6">
        <f ca="1">IFERROR(__xludf.dummyfunction("GOOGLEFINANCE(""NSE:""&amp;A206, ""high"")"),53.8)</f>
        <v>53.8</v>
      </c>
      <c r="E251" s="6">
        <f ca="1">IFERROR(__xludf.dummyfunction("GOOGLEFINANCE(""NSE:""&amp;A206, ""low"")"),51.65)</f>
        <v>51.65</v>
      </c>
      <c r="F251" s="6">
        <f ca="1">IFERROR(__xludf.dummyfunction("GOOGLEFINANCE(""NSE:""&amp;A206, ""closeyest"")"),51.8)</f>
        <v>51.8</v>
      </c>
      <c r="G251" s="6">
        <f ca="1">IFERROR(__xludf.dummyfunction("GOOGLEFINANCE(""NSE:""&amp;A206, ""volume"")"),759941)</f>
        <v>759941</v>
      </c>
      <c r="H251" s="6" t="b">
        <f t="shared" ca="1" si="6"/>
        <v>0</v>
      </c>
      <c r="I251" s="6" t="b">
        <f t="shared" ca="1" si="7"/>
        <v>0</v>
      </c>
      <c r="J251" s="7">
        <f ca="1">IFERROR(__xludf.dummyfunction("GOOGLEFINANCE(""NSE:""&amp;A206, ""changepct"")"),1.35)</f>
        <v>1.35</v>
      </c>
    </row>
    <row r="252" spans="1:10" ht="13.8">
      <c r="A252" s="5" t="s">
        <v>256</v>
      </c>
      <c r="B252" s="6">
        <f ca="1">IFERROR(__xludf.dummyfunction("GOOGLEFINANCE(""NSE:""&amp;A415, ""price"")"),62.5)</f>
        <v>62.5</v>
      </c>
      <c r="C252" s="6">
        <f ca="1">IFERROR(__xludf.dummyfunction("GOOGLEFINANCE(""NSE:""&amp;A415, ""priceopen"")"),63.7)</f>
        <v>63.7</v>
      </c>
      <c r="D252" s="6">
        <f ca="1">IFERROR(__xludf.dummyfunction("GOOGLEFINANCE(""NSE:""&amp;A415, ""high"")"),64.15)</f>
        <v>64.150000000000006</v>
      </c>
      <c r="E252" s="6">
        <f ca="1">IFERROR(__xludf.dummyfunction("GOOGLEFINANCE(""NSE:""&amp;A415, ""low"")"),62.2)</f>
        <v>62.2</v>
      </c>
      <c r="F252" s="6">
        <f ca="1">IFERROR(__xludf.dummyfunction("GOOGLEFINANCE(""NSE:""&amp;A415, ""closeyest"")"),63.05)</f>
        <v>63.05</v>
      </c>
      <c r="G252" s="6">
        <f ca="1">IFERROR(__xludf.dummyfunction("GOOGLEFINANCE(""NSE:""&amp;A415, ""volume"")"),756927)</f>
        <v>756927</v>
      </c>
      <c r="H252" s="6" t="b">
        <f t="shared" ca="1" si="6"/>
        <v>0</v>
      </c>
      <c r="I252" s="6" t="b">
        <f t="shared" ca="1" si="7"/>
        <v>0</v>
      </c>
      <c r="J252" s="7">
        <f ca="1">IFERROR(__xludf.dummyfunction("GOOGLEFINANCE(""NSE:""&amp;A415, ""changepct"")"),-0.87)</f>
        <v>-0.87</v>
      </c>
    </row>
    <row r="253" spans="1:10" ht="13.8">
      <c r="A253" s="5" t="s">
        <v>257</v>
      </c>
      <c r="B253" s="6">
        <f ca="1">IFERROR(__xludf.dummyfunction("GOOGLEFINANCE(""NSE:""&amp;A179, ""price"")"),17.85)</f>
        <v>17.850000000000001</v>
      </c>
      <c r="C253" s="6">
        <f ca="1">IFERROR(__xludf.dummyfunction("GOOGLEFINANCE(""NSE:""&amp;A179, ""priceopen"")"),17.6)</f>
        <v>17.600000000000001</v>
      </c>
      <c r="D253" s="6">
        <f ca="1">IFERROR(__xludf.dummyfunction("GOOGLEFINANCE(""NSE:""&amp;A179, ""high"")"),17.9)</f>
        <v>17.899999999999999</v>
      </c>
      <c r="E253" s="6">
        <f ca="1">IFERROR(__xludf.dummyfunction("GOOGLEFINANCE(""NSE:""&amp;A179, ""low"")"),17.6)</f>
        <v>17.600000000000001</v>
      </c>
      <c r="F253" s="6">
        <f ca="1">IFERROR(__xludf.dummyfunction("GOOGLEFINANCE(""NSE:""&amp;A179, ""closeyest"")"),17.55)</f>
        <v>17.55</v>
      </c>
      <c r="G253" s="6">
        <f ca="1">IFERROR(__xludf.dummyfunction("GOOGLEFINANCE(""NSE:""&amp;A179, ""volume"")"),753482)</f>
        <v>753482</v>
      </c>
      <c r="H253" s="6" t="b">
        <f t="shared" ca="1" si="6"/>
        <v>1</v>
      </c>
      <c r="I253" s="6" t="b">
        <f t="shared" ca="1" si="7"/>
        <v>0</v>
      </c>
      <c r="J253" s="7">
        <f ca="1">IFERROR(__xludf.dummyfunction("GOOGLEFINANCE(""NSE:""&amp;A179, ""changepct"")"),1.71)</f>
        <v>1.71</v>
      </c>
    </row>
    <row r="254" spans="1:10" ht="13.8">
      <c r="A254" s="5" t="s">
        <v>258</v>
      </c>
      <c r="B254" s="6">
        <f ca="1">IFERROR(__xludf.dummyfunction("GOOGLEFINANCE(""NSE:""&amp;A149, ""price"")"),255)</f>
        <v>255</v>
      </c>
      <c r="C254" s="6">
        <f ca="1">IFERROR(__xludf.dummyfunction("GOOGLEFINANCE(""NSE:""&amp;A149, ""priceopen"")"),254.95)</f>
        <v>254.95</v>
      </c>
      <c r="D254" s="6">
        <f ca="1">IFERROR(__xludf.dummyfunction("GOOGLEFINANCE(""NSE:""&amp;A149, ""high"")"),261.95)</f>
        <v>261.95</v>
      </c>
      <c r="E254" s="6">
        <f ca="1">IFERROR(__xludf.dummyfunction("GOOGLEFINANCE(""NSE:""&amp;A149, ""low"")"),250.1)</f>
        <v>250.1</v>
      </c>
      <c r="F254" s="6">
        <f ca="1">IFERROR(__xludf.dummyfunction("GOOGLEFINANCE(""NSE:""&amp;A149, ""closeyest"")"),249.7)</f>
        <v>249.7</v>
      </c>
      <c r="G254" s="6">
        <f ca="1">IFERROR(__xludf.dummyfunction("GOOGLEFINANCE(""NSE:""&amp;A149, ""volume"")"),738592)</f>
        <v>738592</v>
      </c>
      <c r="H254" s="6" t="b">
        <f t="shared" ca="1" si="6"/>
        <v>0</v>
      </c>
      <c r="I254" s="6" t="b">
        <f t="shared" ca="1" si="7"/>
        <v>0</v>
      </c>
      <c r="J254" s="7">
        <f ca="1">IFERROR(__xludf.dummyfunction("GOOGLEFINANCE(""NSE:""&amp;A149, ""changepct"")"),2.12)</f>
        <v>2.12</v>
      </c>
    </row>
    <row r="255" spans="1:10" ht="13.8">
      <c r="A255" s="5" t="s">
        <v>259</v>
      </c>
      <c r="B255" s="6">
        <f ca="1">IFERROR(__xludf.dummyfunction("GOOGLEFINANCE(""NSE:""&amp;A97, ""price"")"),1024)</f>
        <v>1024</v>
      </c>
      <c r="C255" s="6">
        <f ca="1">IFERROR(__xludf.dummyfunction("GOOGLEFINANCE(""NSE:""&amp;A97, ""priceopen"")"),992)</f>
        <v>992</v>
      </c>
      <c r="D255" s="6">
        <f ca="1">IFERROR(__xludf.dummyfunction("GOOGLEFINANCE(""NSE:""&amp;A97, ""high"")"),1027.6)</f>
        <v>1027.5999999999999</v>
      </c>
      <c r="E255" s="6">
        <f ca="1">IFERROR(__xludf.dummyfunction("GOOGLEFINANCE(""NSE:""&amp;A97, ""low"")"),982)</f>
        <v>982</v>
      </c>
      <c r="F255" s="6">
        <f ca="1">IFERROR(__xludf.dummyfunction("GOOGLEFINANCE(""NSE:""&amp;A97, ""closeyest"")"),990)</f>
        <v>990</v>
      </c>
      <c r="G255" s="6">
        <f ca="1">IFERROR(__xludf.dummyfunction("GOOGLEFINANCE(""NSE:""&amp;A97, ""volume"")"),713244)</f>
        <v>713244</v>
      </c>
      <c r="H255" s="6" t="b">
        <f t="shared" ca="1" si="6"/>
        <v>0</v>
      </c>
      <c r="I255" s="6" t="b">
        <f t="shared" ca="1" si="7"/>
        <v>0</v>
      </c>
      <c r="J255" s="7">
        <f ca="1">IFERROR(__xludf.dummyfunction("GOOGLEFINANCE(""NSE:""&amp;A97, ""changepct"")"),3.43)</f>
        <v>3.43</v>
      </c>
    </row>
    <row r="256" spans="1:10" ht="13.8">
      <c r="A256" s="5" t="s">
        <v>260</v>
      </c>
      <c r="B256" s="6">
        <f ca="1">IFERROR(__xludf.dummyfunction("GOOGLEFINANCE(""NSE:""&amp;A451, ""price"")"),230)</f>
        <v>230</v>
      </c>
      <c r="C256" s="6">
        <f ca="1">IFERROR(__xludf.dummyfunction("GOOGLEFINANCE(""NSE:""&amp;A451, ""priceopen"")"),234.95)</f>
        <v>234.95</v>
      </c>
      <c r="D256" s="6">
        <f ca="1">IFERROR(__xludf.dummyfunction("GOOGLEFINANCE(""NSE:""&amp;A451, ""high"")"),236.2)</f>
        <v>236.2</v>
      </c>
      <c r="E256" s="6">
        <f ca="1">IFERROR(__xludf.dummyfunction("GOOGLEFINANCE(""NSE:""&amp;A451, ""low"")"),229.6)</f>
        <v>229.6</v>
      </c>
      <c r="F256" s="6">
        <f ca="1">IFERROR(__xludf.dummyfunction("GOOGLEFINANCE(""NSE:""&amp;A451, ""closeyest"")"),232.9)</f>
        <v>232.9</v>
      </c>
      <c r="G256" s="6">
        <f ca="1">IFERROR(__xludf.dummyfunction("GOOGLEFINANCE(""NSE:""&amp;A451, ""volume"")"),710077)</f>
        <v>710077</v>
      </c>
      <c r="H256" s="6" t="b">
        <f t="shared" ca="1" si="6"/>
        <v>0</v>
      </c>
      <c r="I256" s="6" t="b">
        <f t="shared" ca="1" si="7"/>
        <v>0</v>
      </c>
      <c r="J256" s="7">
        <f ca="1">IFERROR(__xludf.dummyfunction("GOOGLEFINANCE(""NSE:""&amp;A451, ""changepct"")"),-1.25)</f>
        <v>-1.25</v>
      </c>
    </row>
    <row r="257" spans="1:10" ht="13.8">
      <c r="A257" s="5" t="s">
        <v>261</v>
      </c>
      <c r="B257" s="6">
        <f ca="1">IFERROR(__xludf.dummyfunction("GOOGLEFINANCE(""NSE:""&amp;A37, ""price"")"),242.75)</f>
        <v>242.75</v>
      </c>
      <c r="C257" s="6">
        <f ca="1">IFERROR(__xludf.dummyfunction("GOOGLEFINANCE(""NSE:""&amp;A37, ""priceopen"")"),228.5)</f>
        <v>228.5</v>
      </c>
      <c r="D257" s="6">
        <f ca="1">IFERROR(__xludf.dummyfunction("GOOGLEFINANCE(""NSE:""&amp;A37, ""high"")"),244.75)</f>
        <v>244.75</v>
      </c>
      <c r="E257" s="6">
        <f ca="1">IFERROR(__xludf.dummyfunction("GOOGLEFINANCE(""NSE:""&amp;A37, ""low"")"),227.95)</f>
        <v>227.95</v>
      </c>
      <c r="F257" s="6">
        <f ca="1">IFERROR(__xludf.dummyfunction("GOOGLEFINANCE(""NSE:""&amp;A37, ""closeyest"")"),228.9)</f>
        <v>228.9</v>
      </c>
      <c r="G257" s="6">
        <f ca="1">IFERROR(__xludf.dummyfunction("GOOGLEFINANCE(""NSE:""&amp;A37, ""volume"")"),693787)</f>
        <v>693787</v>
      </c>
      <c r="H257" s="6" t="b">
        <f t="shared" ref="H257:H320" ca="1" si="8">C257=E257</f>
        <v>0</v>
      </c>
      <c r="I257" s="6" t="b">
        <f t="shared" ref="I257:I320" ca="1" si="9">D257=C257</f>
        <v>0</v>
      </c>
      <c r="J257" s="7">
        <f ca="1">IFERROR(__xludf.dummyfunction("GOOGLEFINANCE(""NSE:""&amp;A37, ""changepct"")"),6.05)</f>
        <v>6.05</v>
      </c>
    </row>
    <row r="258" spans="1:10" ht="13.8">
      <c r="A258" s="5" t="s">
        <v>262</v>
      </c>
      <c r="B258" s="6">
        <f ca="1">IFERROR(__xludf.dummyfunction("GOOGLEFINANCE(""NSE:""&amp;A311, ""price"")"),970)</f>
        <v>970</v>
      </c>
      <c r="C258" s="6">
        <f ca="1">IFERROR(__xludf.dummyfunction("GOOGLEFINANCE(""NSE:""&amp;A311, ""priceopen"")"),964)</f>
        <v>964</v>
      </c>
      <c r="D258" s="6">
        <f ca="1">IFERROR(__xludf.dummyfunction("GOOGLEFINANCE(""NSE:""&amp;A311, ""high"")"),970)</f>
        <v>970</v>
      </c>
      <c r="E258" s="6">
        <f ca="1">IFERROR(__xludf.dummyfunction("GOOGLEFINANCE(""NSE:""&amp;A311, ""low"")"),946)</f>
        <v>946</v>
      </c>
      <c r="F258" s="6">
        <f ca="1">IFERROR(__xludf.dummyfunction("GOOGLEFINANCE(""NSE:""&amp;A311, ""closeyest"")"),969)</f>
        <v>969</v>
      </c>
      <c r="G258" s="6">
        <f ca="1">IFERROR(__xludf.dummyfunction("GOOGLEFINANCE(""NSE:""&amp;A311, ""volume"")"),692507)</f>
        <v>692507</v>
      </c>
      <c r="H258" s="6" t="b">
        <f t="shared" ca="1" si="8"/>
        <v>0</v>
      </c>
      <c r="I258" s="6" t="b">
        <f t="shared" ca="1" si="9"/>
        <v>0</v>
      </c>
      <c r="J258" s="7">
        <f ca="1">IFERROR(__xludf.dummyfunction("GOOGLEFINANCE(""NSE:""&amp;A311, ""changepct"")"),0.1)</f>
        <v>0.1</v>
      </c>
    </row>
    <row r="259" spans="1:10" ht="13.8">
      <c r="A259" s="5" t="s">
        <v>263</v>
      </c>
      <c r="B259" s="6">
        <f ca="1">IFERROR(__xludf.dummyfunction("GOOGLEFINANCE(""NSE:""&amp;A310, ""price"")"),2708.9)</f>
        <v>2708.9</v>
      </c>
      <c r="C259" s="6">
        <f ca="1">IFERROR(__xludf.dummyfunction("GOOGLEFINANCE(""NSE:""&amp;A310, ""priceopen"")"),2718)</f>
        <v>2718</v>
      </c>
      <c r="D259" s="6">
        <f ca="1">IFERROR(__xludf.dummyfunction("GOOGLEFINANCE(""NSE:""&amp;A310, ""high"")"),2718)</f>
        <v>2718</v>
      </c>
      <c r="E259" s="6">
        <f ca="1">IFERROR(__xludf.dummyfunction("GOOGLEFINANCE(""NSE:""&amp;A310, ""low"")"),2674.15)</f>
        <v>2674.15</v>
      </c>
      <c r="F259" s="6">
        <f ca="1">IFERROR(__xludf.dummyfunction("GOOGLEFINANCE(""NSE:""&amp;A310, ""closeyest"")"),2706.2)</f>
        <v>2706.2</v>
      </c>
      <c r="G259" s="6">
        <f ca="1">IFERROR(__xludf.dummyfunction("GOOGLEFINANCE(""NSE:""&amp;A310, ""volume"")"),684596)</f>
        <v>684596</v>
      </c>
      <c r="H259" s="6" t="b">
        <f t="shared" ca="1" si="8"/>
        <v>0</v>
      </c>
      <c r="I259" s="6" t="b">
        <f t="shared" ca="1" si="9"/>
        <v>1</v>
      </c>
      <c r="J259" s="7">
        <f ca="1">IFERROR(__xludf.dummyfunction("GOOGLEFINANCE(""NSE:""&amp;A310, ""changepct"")"),0.1)</f>
        <v>0.1</v>
      </c>
    </row>
    <row r="260" spans="1:10" ht="13.8">
      <c r="A260" s="5" t="s">
        <v>264</v>
      </c>
      <c r="B260" s="6">
        <f ca="1">IFERROR(__xludf.dummyfunction("GOOGLEFINANCE(""NSE:""&amp;A135, ""price"")"),1388.85)</f>
        <v>1388.85</v>
      </c>
      <c r="C260" s="6">
        <f ca="1">IFERROR(__xludf.dummyfunction("GOOGLEFINANCE(""NSE:""&amp;A135, ""priceopen"")"),1370.65)</f>
        <v>1370.65</v>
      </c>
      <c r="D260" s="6">
        <f ca="1">IFERROR(__xludf.dummyfunction("GOOGLEFINANCE(""NSE:""&amp;A135, ""high"")"),1424)</f>
        <v>1424</v>
      </c>
      <c r="E260" s="6">
        <f ca="1">IFERROR(__xludf.dummyfunction("GOOGLEFINANCE(""NSE:""&amp;A135, ""low"")"),1365)</f>
        <v>1365</v>
      </c>
      <c r="F260" s="6">
        <f ca="1">IFERROR(__xludf.dummyfunction("GOOGLEFINANCE(""NSE:""&amp;A135, ""closeyest"")"),1356.35)</f>
        <v>1356.35</v>
      </c>
      <c r="G260" s="6">
        <f ca="1">IFERROR(__xludf.dummyfunction("GOOGLEFINANCE(""NSE:""&amp;A135, ""volume"")"),671958)</f>
        <v>671958</v>
      </c>
      <c r="H260" s="6" t="b">
        <f t="shared" ca="1" si="8"/>
        <v>0</v>
      </c>
      <c r="I260" s="6" t="b">
        <f t="shared" ca="1" si="9"/>
        <v>0</v>
      </c>
      <c r="J260" s="7">
        <f ca="1">IFERROR(__xludf.dummyfunction("GOOGLEFINANCE(""NSE:""&amp;A135, ""changepct"")"),2.4)</f>
        <v>2.4</v>
      </c>
    </row>
    <row r="261" spans="1:10" ht="13.8">
      <c r="A261" s="5" t="s">
        <v>265</v>
      </c>
      <c r="B261" s="6">
        <f ca="1">IFERROR(__xludf.dummyfunction("GOOGLEFINANCE(""NSE:""&amp;A18, ""price"")"),258)</f>
        <v>258</v>
      </c>
      <c r="C261" s="6">
        <f ca="1">IFERROR(__xludf.dummyfunction("GOOGLEFINANCE(""NSE:""&amp;A18, ""priceopen"")"),237.35)</f>
        <v>237.35</v>
      </c>
      <c r="D261" s="6">
        <f ca="1">IFERROR(__xludf.dummyfunction("GOOGLEFINANCE(""NSE:""&amp;A18, ""high"")"),268.2)</f>
        <v>268.2</v>
      </c>
      <c r="E261" s="6">
        <f ca="1">IFERROR(__xludf.dummyfunction("GOOGLEFINANCE(""NSE:""&amp;A18, ""low"")"),237.35)</f>
        <v>237.35</v>
      </c>
      <c r="F261" s="6">
        <f ca="1">IFERROR(__xludf.dummyfunction("GOOGLEFINANCE(""NSE:""&amp;A18, ""closeyest"")"),236.1)</f>
        <v>236.1</v>
      </c>
      <c r="G261" s="6">
        <f ca="1">IFERROR(__xludf.dummyfunction("GOOGLEFINANCE(""NSE:""&amp;A18, ""volume"")"),642730)</f>
        <v>642730</v>
      </c>
      <c r="H261" s="6" t="b">
        <f t="shared" ca="1" si="8"/>
        <v>1</v>
      </c>
      <c r="I261" s="6" t="b">
        <f t="shared" ca="1" si="9"/>
        <v>0</v>
      </c>
      <c r="J261" s="7">
        <f ca="1">IFERROR(__xludf.dummyfunction("GOOGLEFINANCE(""NSE:""&amp;A18, ""changepct"")"),9.28)</f>
        <v>9.2799999999999994</v>
      </c>
    </row>
    <row r="262" spans="1:10" ht="13.8">
      <c r="A262" s="5" t="s">
        <v>266</v>
      </c>
      <c r="B262" s="6">
        <f ca="1">IFERROR(__xludf.dummyfunction("GOOGLEFINANCE(""NSE:""&amp;A501, ""price"")"),604)</f>
        <v>604</v>
      </c>
      <c r="C262" s="6">
        <f ca="1">IFERROR(__xludf.dummyfunction("GOOGLEFINANCE(""NSE:""&amp;A501, ""priceopen"")"),635.1)</f>
        <v>635.1</v>
      </c>
      <c r="D262" s="6">
        <f ca="1">IFERROR(__xludf.dummyfunction("GOOGLEFINANCE(""NSE:""&amp;A501, ""high"")"),635.1)</f>
        <v>635.1</v>
      </c>
      <c r="E262" s="6">
        <f ca="1">IFERROR(__xludf.dummyfunction("GOOGLEFINANCE(""NSE:""&amp;A501, ""low"")"),600)</f>
        <v>600</v>
      </c>
      <c r="F262" s="6">
        <f ca="1">IFERROR(__xludf.dummyfunction("GOOGLEFINANCE(""NSE:""&amp;A501, ""closeyest"")"),653.1)</f>
        <v>653.1</v>
      </c>
      <c r="G262" s="6">
        <f ca="1">IFERROR(__xludf.dummyfunction("GOOGLEFINANCE(""NSE:""&amp;A501, ""volume"")"),637702)</f>
        <v>637702</v>
      </c>
      <c r="H262" s="6" t="b">
        <f t="shared" ca="1" si="8"/>
        <v>0</v>
      </c>
      <c r="I262" s="6" t="b">
        <f t="shared" ca="1" si="9"/>
        <v>1</v>
      </c>
      <c r="J262" s="7">
        <f ca="1">IFERROR(__xludf.dummyfunction("GOOGLEFINANCE(""NSE:""&amp;A501, ""changepct"")"),-7.52)</f>
        <v>-7.52</v>
      </c>
    </row>
    <row r="263" spans="1:10" ht="13.8">
      <c r="A263" s="5" t="s">
        <v>267</v>
      </c>
      <c r="B263" s="6">
        <f ca="1">IFERROR(__xludf.dummyfunction("GOOGLEFINANCE(""NSE:""&amp;A256, ""price"")"),422)</f>
        <v>422</v>
      </c>
      <c r="C263" s="6">
        <f ca="1">IFERROR(__xludf.dummyfunction("GOOGLEFINANCE(""NSE:""&amp;A256, ""priceopen"")"),422.95)</f>
        <v>422.95</v>
      </c>
      <c r="D263" s="6">
        <f ca="1">IFERROR(__xludf.dummyfunction("GOOGLEFINANCE(""NSE:""&amp;A256, ""high"")"),427.65)</f>
        <v>427.65</v>
      </c>
      <c r="E263" s="6">
        <f ca="1">IFERROR(__xludf.dummyfunction("GOOGLEFINANCE(""NSE:""&amp;A256, ""low"")"),420.25)</f>
        <v>420.25</v>
      </c>
      <c r="F263" s="6">
        <f ca="1">IFERROR(__xludf.dummyfunction("GOOGLEFINANCE(""NSE:""&amp;A256, ""closeyest"")"),419.1)</f>
        <v>419.1</v>
      </c>
      <c r="G263" s="6">
        <f ca="1">IFERROR(__xludf.dummyfunction("GOOGLEFINANCE(""NSE:""&amp;A256, ""volume"")"),633908)</f>
        <v>633908</v>
      </c>
      <c r="H263" s="6" t="b">
        <f t="shared" ca="1" si="8"/>
        <v>0</v>
      </c>
      <c r="I263" s="6" t="b">
        <f t="shared" ca="1" si="9"/>
        <v>0</v>
      </c>
      <c r="J263" s="7">
        <f ca="1">IFERROR(__xludf.dummyfunction("GOOGLEFINANCE(""NSE:""&amp;A256, ""changepct"")"),0.69)</f>
        <v>0.69</v>
      </c>
    </row>
    <row r="264" spans="1:10" ht="13.8">
      <c r="A264" s="5" t="s">
        <v>268</v>
      </c>
      <c r="B264" s="6">
        <f ca="1">IFERROR(__xludf.dummyfunction("GOOGLEFINANCE(""NSE:""&amp;A136, ""price"")"),470.35)</f>
        <v>470.35</v>
      </c>
      <c r="C264" s="6">
        <f ca="1">IFERROR(__xludf.dummyfunction("GOOGLEFINANCE(""NSE:""&amp;A136, ""priceopen"")"),459.9)</f>
        <v>459.9</v>
      </c>
      <c r="D264" s="6">
        <f ca="1">IFERROR(__xludf.dummyfunction("GOOGLEFINANCE(""NSE:""&amp;A136, ""high"")"),484.8)</f>
        <v>484.8</v>
      </c>
      <c r="E264" s="6">
        <f ca="1">IFERROR(__xludf.dummyfunction("GOOGLEFINANCE(""NSE:""&amp;A136, ""low"")"),459.15)</f>
        <v>459.15</v>
      </c>
      <c r="F264" s="6">
        <f ca="1">IFERROR(__xludf.dummyfunction("GOOGLEFINANCE(""NSE:""&amp;A136, ""closeyest"")"),459.4)</f>
        <v>459.4</v>
      </c>
      <c r="G264" s="6">
        <f ca="1">IFERROR(__xludf.dummyfunction("GOOGLEFINANCE(""NSE:""&amp;A136, ""volume"")"),628463)</f>
        <v>628463</v>
      </c>
      <c r="H264" s="6" t="b">
        <f t="shared" ca="1" si="8"/>
        <v>0</v>
      </c>
      <c r="I264" s="6" t="b">
        <f t="shared" ca="1" si="9"/>
        <v>0</v>
      </c>
      <c r="J264" s="7">
        <f ca="1">IFERROR(__xludf.dummyfunction("GOOGLEFINANCE(""NSE:""&amp;A136, ""changepct"")"),2.38)</f>
        <v>2.38</v>
      </c>
    </row>
    <row r="265" spans="1:10" ht="13.8">
      <c r="A265" s="5" t="s">
        <v>269</v>
      </c>
      <c r="B265" s="6">
        <f ca="1">IFERROR(__xludf.dummyfunction("GOOGLEFINANCE(""NSE:""&amp;A242, ""price"")"),1362)</f>
        <v>1362</v>
      </c>
      <c r="C265" s="6">
        <f ca="1">IFERROR(__xludf.dummyfunction("GOOGLEFINANCE(""NSE:""&amp;A242, ""priceopen"")"),1359)</f>
        <v>1359</v>
      </c>
      <c r="D265" s="6">
        <f ca="1">IFERROR(__xludf.dummyfunction("GOOGLEFINANCE(""NSE:""&amp;A242, ""high"")"),1377.8)</f>
        <v>1377.8</v>
      </c>
      <c r="E265" s="6">
        <f ca="1">IFERROR(__xludf.dummyfunction("GOOGLEFINANCE(""NSE:""&amp;A242, ""low"")"),1347)</f>
        <v>1347</v>
      </c>
      <c r="F265" s="6">
        <f ca="1">IFERROR(__xludf.dummyfunction("GOOGLEFINANCE(""NSE:""&amp;A242, ""closeyest"")"),1349.85)</f>
        <v>1349.85</v>
      </c>
      <c r="G265" s="6">
        <f ca="1">IFERROR(__xludf.dummyfunction("GOOGLEFINANCE(""NSE:""&amp;A242, ""volume"")"),623005)</f>
        <v>623005</v>
      </c>
      <c r="H265" s="6" t="b">
        <f t="shared" ca="1" si="8"/>
        <v>0</v>
      </c>
      <c r="I265" s="6" t="b">
        <f t="shared" ca="1" si="9"/>
        <v>0</v>
      </c>
      <c r="J265" s="7">
        <f ca="1">IFERROR(__xludf.dummyfunction("GOOGLEFINANCE(""NSE:""&amp;A242, ""changepct"")"),0.9)</f>
        <v>0.9</v>
      </c>
    </row>
    <row r="266" spans="1:10" ht="13.8">
      <c r="A266" s="5" t="s">
        <v>270</v>
      </c>
      <c r="B266" s="6">
        <f ca="1">IFERROR(__xludf.dummyfunction("GOOGLEFINANCE(""NSE:""&amp;A215, ""price"")"),188.3)</f>
        <v>188.3</v>
      </c>
      <c r="C266" s="6">
        <f ca="1">IFERROR(__xludf.dummyfunction("GOOGLEFINANCE(""NSE:""&amp;A215, ""priceopen"")"),189.9)</f>
        <v>189.9</v>
      </c>
      <c r="D266" s="6">
        <f ca="1">IFERROR(__xludf.dummyfunction("GOOGLEFINANCE(""NSE:""&amp;A215, ""high"")"),192)</f>
        <v>192</v>
      </c>
      <c r="E266" s="6">
        <f ca="1">IFERROR(__xludf.dummyfunction("GOOGLEFINANCE(""NSE:""&amp;A215, ""low"")"),187)</f>
        <v>187</v>
      </c>
      <c r="F266" s="6">
        <f ca="1">IFERROR(__xludf.dummyfunction("GOOGLEFINANCE(""NSE:""&amp;A215, ""closeyest"")"),186.15)</f>
        <v>186.15</v>
      </c>
      <c r="G266" s="6">
        <f ca="1">IFERROR(__xludf.dummyfunction("GOOGLEFINANCE(""NSE:""&amp;A215, ""volume"")"),621777)</f>
        <v>621777</v>
      </c>
      <c r="H266" s="6" t="b">
        <f t="shared" ca="1" si="8"/>
        <v>0</v>
      </c>
      <c r="I266" s="6" t="b">
        <f t="shared" ca="1" si="9"/>
        <v>0</v>
      </c>
      <c r="J266" s="7">
        <f ca="1">IFERROR(__xludf.dummyfunction("GOOGLEFINANCE(""NSE:""&amp;A215, ""changepct"")"),1.15)</f>
        <v>1.1499999999999999</v>
      </c>
    </row>
    <row r="267" spans="1:10" ht="13.8">
      <c r="A267" s="5" t="s">
        <v>271</v>
      </c>
      <c r="B267" s="6">
        <f ca="1">IFERROR(__xludf.dummyfunction("GOOGLEFINANCE(""NSE:""&amp;A51, ""price"")"),428)</f>
        <v>428</v>
      </c>
      <c r="C267" s="6">
        <f ca="1">IFERROR(__xludf.dummyfunction("GOOGLEFINANCE(""NSE:""&amp;A51, ""priceopen"")"),410.75)</f>
        <v>410.75</v>
      </c>
      <c r="D267" s="6">
        <f ca="1">IFERROR(__xludf.dummyfunction("GOOGLEFINANCE(""NSE:""&amp;A51, ""high"")"),447.4)</f>
        <v>447.4</v>
      </c>
      <c r="E267" s="6">
        <f ca="1">IFERROR(__xludf.dummyfunction("GOOGLEFINANCE(""NSE:""&amp;A51, ""low"")"),407.1)</f>
        <v>407.1</v>
      </c>
      <c r="F267" s="6">
        <f ca="1">IFERROR(__xludf.dummyfunction("GOOGLEFINANCE(""NSE:""&amp;A51, ""closeyest"")"),407.8)</f>
        <v>407.8</v>
      </c>
      <c r="G267" s="6">
        <f ca="1">IFERROR(__xludf.dummyfunction("GOOGLEFINANCE(""NSE:""&amp;A51, ""volume"")"),613055)</f>
        <v>613055</v>
      </c>
      <c r="H267" s="6" t="b">
        <f t="shared" ca="1" si="8"/>
        <v>0</v>
      </c>
      <c r="I267" s="6" t="b">
        <f t="shared" ca="1" si="9"/>
        <v>0</v>
      </c>
      <c r="J267" s="7">
        <f ca="1">IFERROR(__xludf.dummyfunction("GOOGLEFINANCE(""NSE:""&amp;A51, ""changepct"")"),4.95)</f>
        <v>4.95</v>
      </c>
    </row>
    <row r="268" spans="1:10" ht="13.8">
      <c r="A268" s="5" t="s">
        <v>272</v>
      </c>
      <c r="B268" s="6">
        <f ca="1">IFERROR(__xludf.dummyfunction("GOOGLEFINANCE(""NSE:""&amp;A72, ""price"")"),79)</f>
        <v>79</v>
      </c>
      <c r="C268" s="6">
        <f ca="1">IFERROR(__xludf.dummyfunction("GOOGLEFINANCE(""NSE:""&amp;A72, ""priceopen"")"),79.2)</f>
        <v>79.2</v>
      </c>
      <c r="D268" s="6">
        <f ca="1">IFERROR(__xludf.dummyfunction("GOOGLEFINANCE(""NSE:""&amp;A72, ""high"")"),79.9)</f>
        <v>79.900000000000006</v>
      </c>
      <c r="E268" s="6">
        <f ca="1">IFERROR(__xludf.dummyfunction("GOOGLEFINANCE(""NSE:""&amp;A72, ""low"")"),78)</f>
        <v>78</v>
      </c>
      <c r="F268" s="6">
        <f ca="1">IFERROR(__xludf.dummyfunction("GOOGLEFINANCE(""NSE:""&amp;A72, ""closeyest"")"),75.8)</f>
        <v>75.8</v>
      </c>
      <c r="G268" s="6">
        <f ca="1">IFERROR(__xludf.dummyfunction("GOOGLEFINANCE(""NSE:""&amp;A72, ""volume"")"),606922)</f>
        <v>606922</v>
      </c>
      <c r="H268" s="6" t="b">
        <f t="shared" ca="1" si="8"/>
        <v>0</v>
      </c>
      <c r="I268" s="6" t="b">
        <f t="shared" ca="1" si="9"/>
        <v>0</v>
      </c>
      <c r="J268" s="7">
        <f ca="1">IFERROR(__xludf.dummyfunction("GOOGLEFINANCE(""NSE:""&amp;A72, ""changepct"")"),4.22)</f>
        <v>4.22</v>
      </c>
    </row>
    <row r="269" spans="1:10" ht="13.8">
      <c r="A269" s="5" t="s">
        <v>273</v>
      </c>
      <c r="B269" s="6">
        <f ca="1">IFERROR(__xludf.dummyfunction("GOOGLEFINANCE(""NSE:""&amp;A427, ""price"")"),6404)</f>
        <v>6404</v>
      </c>
      <c r="C269" s="6">
        <f ca="1">IFERROR(__xludf.dummyfunction("GOOGLEFINANCE(""NSE:""&amp;A427, ""priceopen"")"),6509.95)</f>
        <v>6509.95</v>
      </c>
      <c r="D269" s="6">
        <f ca="1">IFERROR(__xludf.dummyfunction("GOOGLEFINANCE(""NSE:""&amp;A427, ""high"")"),6570)</f>
        <v>6570</v>
      </c>
      <c r="E269" s="6">
        <f ca="1">IFERROR(__xludf.dummyfunction("GOOGLEFINANCE(""NSE:""&amp;A427, ""low"")"),6367)</f>
        <v>6367</v>
      </c>
      <c r="F269" s="6">
        <f ca="1">IFERROR(__xludf.dummyfunction("GOOGLEFINANCE(""NSE:""&amp;A427, ""closeyest"")"),6467.15)</f>
        <v>6467.15</v>
      </c>
      <c r="G269" s="6">
        <f ca="1">IFERROR(__xludf.dummyfunction("GOOGLEFINANCE(""NSE:""&amp;A427, ""volume"")"),605241)</f>
        <v>605241</v>
      </c>
      <c r="H269" s="6" t="b">
        <f t="shared" ca="1" si="8"/>
        <v>0</v>
      </c>
      <c r="I269" s="6" t="b">
        <f t="shared" ca="1" si="9"/>
        <v>0</v>
      </c>
      <c r="J269" s="7">
        <f ca="1">IFERROR(__xludf.dummyfunction("GOOGLEFINANCE(""NSE:""&amp;A427, ""changepct"")"),-0.98)</f>
        <v>-0.98</v>
      </c>
    </row>
    <row r="270" spans="1:10" ht="13.8">
      <c r="A270" s="5" t="s">
        <v>274</v>
      </c>
      <c r="B270" s="6">
        <f ca="1">IFERROR(__xludf.dummyfunction("GOOGLEFINANCE(""NSE:""&amp;A32, ""price"")"),3542)</f>
        <v>3542</v>
      </c>
      <c r="C270" s="6">
        <f ca="1">IFERROR(__xludf.dummyfunction("GOOGLEFINANCE(""NSE:""&amp;A32, ""priceopen"")"),3320)</f>
        <v>3320</v>
      </c>
      <c r="D270" s="6">
        <f ca="1">IFERROR(__xludf.dummyfunction("GOOGLEFINANCE(""NSE:""&amp;A32, ""high"")"),3584.4)</f>
        <v>3584.4</v>
      </c>
      <c r="E270" s="6">
        <f ca="1">IFERROR(__xludf.dummyfunction("GOOGLEFINANCE(""NSE:""&amp;A32, ""low"")"),3320)</f>
        <v>3320</v>
      </c>
      <c r="F270" s="6">
        <f ca="1">IFERROR(__xludf.dummyfunction("GOOGLEFINANCE(""NSE:""&amp;A32, ""closeyest"")"),3312.9)</f>
        <v>3312.9</v>
      </c>
      <c r="G270" s="6">
        <f ca="1">IFERROR(__xludf.dummyfunction("GOOGLEFINANCE(""NSE:""&amp;A32, ""volume"")"),605175)</f>
        <v>605175</v>
      </c>
      <c r="H270" s="6" t="b">
        <f t="shared" ca="1" si="8"/>
        <v>1</v>
      </c>
      <c r="I270" s="6" t="b">
        <f t="shared" ca="1" si="9"/>
        <v>0</v>
      </c>
      <c r="J270" s="7">
        <f ca="1">IFERROR(__xludf.dummyfunction("GOOGLEFINANCE(""NSE:""&amp;A32, ""changepct"")"),6.92)</f>
        <v>6.92</v>
      </c>
    </row>
    <row r="271" spans="1:10" ht="13.8">
      <c r="A271" s="5" t="s">
        <v>275</v>
      </c>
      <c r="B271" s="6">
        <f ca="1">IFERROR(__xludf.dummyfunction("GOOGLEFINANCE(""NSE:""&amp;A93, ""price"")"),362.5)</f>
        <v>362.5</v>
      </c>
      <c r="C271" s="6">
        <f ca="1">IFERROR(__xludf.dummyfunction("GOOGLEFINANCE(""NSE:""&amp;A93, ""priceopen"")"),351.85)</f>
        <v>351.85</v>
      </c>
      <c r="D271" s="6">
        <f ca="1">IFERROR(__xludf.dummyfunction("GOOGLEFINANCE(""NSE:""&amp;A93, ""high"")"),368.45)</f>
        <v>368.45</v>
      </c>
      <c r="E271" s="6">
        <f ca="1">IFERROR(__xludf.dummyfunction("GOOGLEFINANCE(""NSE:""&amp;A93, ""low"")"),349.75)</f>
        <v>349.75</v>
      </c>
      <c r="F271" s="6">
        <f ca="1">IFERROR(__xludf.dummyfunction("GOOGLEFINANCE(""NSE:""&amp;A93, ""closeyest"")"),350.15)</f>
        <v>350.15</v>
      </c>
      <c r="G271" s="6">
        <f ca="1">IFERROR(__xludf.dummyfunction("GOOGLEFINANCE(""NSE:""&amp;A93, ""volume"")"),604409)</f>
        <v>604409</v>
      </c>
      <c r="H271" s="6" t="b">
        <f t="shared" ca="1" si="8"/>
        <v>0</v>
      </c>
      <c r="I271" s="6" t="b">
        <f t="shared" ca="1" si="9"/>
        <v>0</v>
      </c>
      <c r="J271" s="7">
        <f ca="1">IFERROR(__xludf.dummyfunction("GOOGLEFINANCE(""NSE:""&amp;A93, ""changepct"")"),3.53)</f>
        <v>3.53</v>
      </c>
    </row>
    <row r="272" spans="1:10" ht="13.8">
      <c r="A272" s="5" t="s">
        <v>276</v>
      </c>
      <c r="B272" s="6">
        <f ca="1">IFERROR(__xludf.dummyfunction("GOOGLEFINANCE(""NSE:""&amp;A180, ""price"")"),41.9)</f>
        <v>41.9</v>
      </c>
      <c r="C272" s="6">
        <f ca="1">IFERROR(__xludf.dummyfunction("GOOGLEFINANCE(""NSE:""&amp;A180, ""priceopen"")"),41.9)</f>
        <v>41.9</v>
      </c>
      <c r="D272" s="6">
        <f ca="1">IFERROR(__xludf.dummyfunction("GOOGLEFINANCE(""NSE:""&amp;A180, ""high"")"),42.1)</f>
        <v>42.1</v>
      </c>
      <c r="E272" s="6">
        <f ca="1">IFERROR(__xludf.dummyfunction("GOOGLEFINANCE(""NSE:""&amp;A180, ""low"")"),41.35)</f>
        <v>41.35</v>
      </c>
      <c r="F272" s="6">
        <f ca="1">IFERROR(__xludf.dummyfunction("GOOGLEFINANCE(""NSE:""&amp;A180, ""closeyest"")"),41.2)</f>
        <v>41.2</v>
      </c>
      <c r="G272" s="6">
        <f ca="1">IFERROR(__xludf.dummyfunction("GOOGLEFINANCE(""NSE:""&amp;A180, ""volume"")"),595636)</f>
        <v>595636</v>
      </c>
      <c r="H272" s="6" t="b">
        <f t="shared" ca="1" si="8"/>
        <v>0</v>
      </c>
      <c r="I272" s="6" t="b">
        <f t="shared" ca="1" si="9"/>
        <v>0</v>
      </c>
      <c r="J272" s="7">
        <f ca="1">IFERROR(__xludf.dummyfunction("GOOGLEFINANCE(""NSE:""&amp;A180, ""changepct"")"),1.7)</f>
        <v>1.7</v>
      </c>
    </row>
    <row r="273" spans="1:10" ht="13.8">
      <c r="A273" s="5" t="s">
        <v>277</v>
      </c>
      <c r="B273" s="6">
        <f ca="1">IFERROR(__xludf.dummyfunction("GOOGLEFINANCE(""NSE:""&amp;A418, ""price"")"),3969.5)</f>
        <v>3969.5</v>
      </c>
      <c r="C273" s="6">
        <f ca="1">IFERROR(__xludf.dummyfunction("GOOGLEFINANCE(""NSE:""&amp;A418, ""priceopen"")"),4048)</f>
        <v>4048</v>
      </c>
      <c r="D273" s="6">
        <f ca="1">IFERROR(__xludf.dummyfunction("GOOGLEFINANCE(""NSE:""&amp;A418, ""high"")"),4048)</f>
        <v>4048</v>
      </c>
      <c r="E273" s="6">
        <f ca="1">IFERROR(__xludf.dummyfunction("GOOGLEFINANCE(""NSE:""&amp;A418, ""low"")"),3961)</f>
        <v>3961</v>
      </c>
      <c r="F273" s="6">
        <f ca="1">IFERROR(__xludf.dummyfunction("GOOGLEFINANCE(""NSE:""&amp;A418, ""closeyest"")"),4004.25)</f>
        <v>4004.25</v>
      </c>
      <c r="G273" s="6">
        <f ca="1">IFERROR(__xludf.dummyfunction("GOOGLEFINANCE(""NSE:""&amp;A418, ""volume"")"),590904)</f>
        <v>590904</v>
      </c>
      <c r="H273" s="6" t="b">
        <f t="shared" ca="1" si="8"/>
        <v>0</v>
      </c>
      <c r="I273" s="6" t="b">
        <f t="shared" ca="1" si="9"/>
        <v>1</v>
      </c>
      <c r="J273" s="7">
        <f ca="1">IFERROR(__xludf.dummyfunction("GOOGLEFINANCE(""NSE:""&amp;A418, ""changepct"")"),-0.87)</f>
        <v>-0.87</v>
      </c>
    </row>
    <row r="274" spans="1:10" ht="13.8">
      <c r="A274" s="5" t="s">
        <v>278</v>
      </c>
      <c r="B274" s="6">
        <f ca="1">IFERROR(__xludf.dummyfunction("GOOGLEFINANCE(""NSE:""&amp;A83, ""price"")"),314.95)</f>
        <v>314.95</v>
      </c>
      <c r="C274" s="6">
        <f ca="1">IFERROR(__xludf.dummyfunction("GOOGLEFINANCE(""NSE:""&amp;A83, ""priceopen"")"),305.8)</f>
        <v>305.8</v>
      </c>
      <c r="D274" s="6">
        <f ca="1">IFERROR(__xludf.dummyfunction("GOOGLEFINANCE(""NSE:""&amp;A83, ""high"")"),315.85)</f>
        <v>315.85000000000002</v>
      </c>
      <c r="E274" s="6">
        <f ca="1">IFERROR(__xludf.dummyfunction("GOOGLEFINANCE(""NSE:""&amp;A83, ""low"")"),303)</f>
        <v>303</v>
      </c>
      <c r="F274" s="6">
        <f ca="1">IFERROR(__xludf.dummyfunction("GOOGLEFINANCE(""NSE:""&amp;A83, ""closeyest"")"),303.4)</f>
        <v>303.39999999999998</v>
      </c>
      <c r="G274" s="6">
        <f ca="1">IFERROR(__xludf.dummyfunction("GOOGLEFINANCE(""NSE:""&amp;A83, ""volume"")"),576194)</f>
        <v>576194</v>
      </c>
      <c r="H274" s="6" t="b">
        <f t="shared" ca="1" si="8"/>
        <v>0</v>
      </c>
      <c r="I274" s="6" t="b">
        <f t="shared" ca="1" si="9"/>
        <v>0</v>
      </c>
      <c r="J274" s="7">
        <f ca="1">IFERROR(__xludf.dummyfunction("GOOGLEFINANCE(""NSE:""&amp;A83, ""changepct"")"),3.81)</f>
        <v>3.81</v>
      </c>
    </row>
    <row r="275" spans="1:10" ht="13.8">
      <c r="A275" s="5" t="s">
        <v>279</v>
      </c>
      <c r="B275" s="6">
        <f ca="1">IFERROR(__xludf.dummyfunction("GOOGLEFINANCE(""NSE:""&amp;A142, ""price"")"),346.5)</f>
        <v>346.5</v>
      </c>
      <c r="C275" s="6">
        <f ca="1">IFERROR(__xludf.dummyfunction("GOOGLEFINANCE(""NSE:""&amp;A142, ""priceopen"")"),340.4)</f>
        <v>340.4</v>
      </c>
      <c r="D275" s="6">
        <f ca="1">IFERROR(__xludf.dummyfunction("GOOGLEFINANCE(""NSE:""&amp;A142, ""high"")"),350)</f>
        <v>350</v>
      </c>
      <c r="E275" s="6">
        <f ca="1">IFERROR(__xludf.dummyfunction("GOOGLEFINANCE(""NSE:""&amp;A142, ""low"")"),337)</f>
        <v>337</v>
      </c>
      <c r="F275" s="6">
        <f ca="1">IFERROR(__xludf.dummyfunction("GOOGLEFINANCE(""NSE:""&amp;A142, ""closeyest"")"),338.7)</f>
        <v>338.7</v>
      </c>
      <c r="G275" s="6">
        <f ca="1">IFERROR(__xludf.dummyfunction("GOOGLEFINANCE(""NSE:""&amp;A142, ""volume"")"),571831)</f>
        <v>571831</v>
      </c>
      <c r="H275" s="6" t="b">
        <f t="shared" ca="1" si="8"/>
        <v>0</v>
      </c>
      <c r="I275" s="6" t="b">
        <f t="shared" ca="1" si="9"/>
        <v>0</v>
      </c>
      <c r="J275" s="7">
        <f ca="1">IFERROR(__xludf.dummyfunction("GOOGLEFINANCE(""NSE:""&amp;A142, ""changepct"")"),2.3)</f>
        <v>2.2999999999999998</v>
      </c>
    </row>
    <row r="276" spans="1:10" ht="13.8">
      <c r="A276" s="5" t="s">
        <v>280</v>
      </c>
      <c r="B276" s="6">
        <f ca="1">IFERROR(__xludf.dummyfunction("GOOGLEFINANCE(""NSE:""&amp;A345, ""price"")"),1454)</f>
        <v>1454</v>
      </c>
      <c r="C276" s="6">
        <f ca="1">IFERROR(__xludf.dummyfunction("GOOGLEFINANCE(""NSE:""&amp;A345, ""priceopen"")"),1462)</f>
        <v>1462</v>
      </c>
      <c r="D276" s="6">
        <f ca="1">IFERROR(__xludf.dummyfunction("GOOGLEFINANCE(""NSE:""&amp;A345, ""high"")"),1465)</f>
        <v>1465</v>
      </c>
      <c r="E276" s="6">
        <f ca="1">IFERROR(__xludf.dummyfunction("GOOGLEFINANCE(""NSE:""&amp;A345, ""low"")"),1431.85)</f>
        <v>1431.85</v>
      </c>
      <c r="F276" s="6">
        <f ca="1">IFERROR(__xludf.dummyfunction("GOOGLEFINANCE(""NSE:""&amp;A345, ""closeyest"")"),1456.95)</f>
        <v>1456.95</v>
      </c>
      <c r="G276" s="6">
        <f ca="1">IFERROR(__xludf.dummyfunction("GOOGLEFINANCE(""NSE:""&amp;A345, ""volume"")"),562259)</f>
        <v>562259</v>
      </c>
      <c r="H276" s="6" t="b">
        <f t="shared" ca="1" si="8"/>
        <v>0</v>
      </c>
      <c r="I276" s="6" t="b">
        <f t="shared" ca="1" si="9"/>
        <v>0</v>
      </c>
      <c r="J276" s="7">
        <f ca="1">IFERROR(__xludf.dummyfunction("GOOGLEFINANCE(""NSE:""&amp;A345, ""changepct"")"),-0.2)</f>
        <v>-0.2</v>
      </c>
    </row>
    <row r="277" spans="1:10" ht="13.8">
      <c r="A277" s="5" t="s">
        <v>281</v>
      </c>
      <c r="B277" s="6">
        <f ca="1">IFERROR(__xludf.dummyfunction("GOOGLEFINANCE(""NSE:""&amp;A182, ""price"")"),133.9)</f>
        <v>133.9</v>
      </c>
      <c r="C277" s="6">
        <f ca="1">IFERROR(__xludf.dummyfunction("GOOGLEFINANCE(""NSE:""&amp;A182, ""priceopen"")"),132)</f>
        <v>132</v>
      </c>
      <c r="D277" s="6">
        <f ca="1">IFERROR(__xludf.dummyfunction("GOOGLEFINANCE(""NSE:""&amp;A182, ""high"")"),135)</f>
        <v>135</v>
      </c>
      <c r="E277" s="6">
        <f ca="1">IFERROR(__xludf.dummyfunction("GOOGLEFINANCE(""NSE:""&amp;A182, ""low"")"),131.2)</f>
        <v>131.19999999999999</v>
      </c>
      <c r="F277" s="6">
        <f ca="1">IFERROR(__xludf.dummyfunction("GOOGLEFINANCE(""NSE:""&amp;A182, ""closeyest"")"),131.7)</f>
        <v>131.69999999999999</v>
      </c>
      <c r="G277" s="6">
        <f ca="1">IFERROR(__xludf.dummyfunction("GOOGLEFINANCE(""NSE:""&amp;A182, ""volume"")"),551880)</f>
        <v>551880</v>
      </c>
      <c r="H277" s="6" t="b">
        <f t="shared" ca="1" si="8"/>
        <v>0</v>
      </c>
      <c r="I277" s="6" t="b">
        <f t="shared" ca="1" si="9"/>
        <v>0</v>
      </c>
      <c r="J277" s="7">
        <f ca="1">IFERROR(__xludf.dummyfunction("GOOGLEFINANCE(""NSE:""&amp;A182, ""changepct"")"),1.67)</f>
        <v>1.67</v>
      </c>
    </row>
    <row r="278" spans="1:10" ht="13.8">
      <c r="A278" s="5" t="s">
        <v>282</v>
      </c>
      <c r="B278" s="6">
        <f ca="1">IFERROR(__xludf.dummyfunction("GOOGLEFINANCE(""NSE:""&amp;A297, ""price"")"),1400)</f>
        <v>1400</v>
      </c>
      <c r="C278" s="6">
        <f ca="1">IFERROR(__xludf.dummyfunction("GOOGLEFINANCE(""NSE:""&amp;A297, ""priceopen"")"),1402.1)</f>
        <v>1402.1</v>
      </c>
      <c r="D278" s="6">
        <f ca="1">IFERROR(__xludf.dummyfunction("GOOGLEFINANCE(""NSE:""&amp;A297, ""high"")"),1408.95)</f>
        <v>1408.95</v>
      </c>
      <c r="E278" s="6">
        <f ca="1">IFERROR(__xludf.dummyfunction("GOOGLEFINANCE(""NSE:""&amp;A297, ""low"")"),1386.1)</f>
        <v>1386.1</v>
      </c>
      <c r="F278" s="6">
        <f ca="1">IFERROR(__xludf.dummyfunction("GOOGLEFINANCE(""NSE:""&amp;A297, ""closeyest"")"),1397.2)</f>
        <v>1397.2</v>
      </c>
      <c r="G278" s="6">
        <f ca="1">IFERROR(__xludf.dummyfunction("GOOGLEFINANCE(""NSE:""&amp;A297, ""volume"")"),551253)</f>
        <v>551253</v>
      </c>
      <c r="H278" s="6" t="b">
        <f t="shared" ca="1" si="8"/>
        <v>0</v>
      </c>
      <c r="I278" s="6" t="b">
        <f t="shared" ca="1" si="9"/>
        <v>0</v>
      </c>
      <c r="J278" s="7">
        <f ca="1">IFERROR(__xludf.dummyfunction("GOOGLEFINANCE(""NSE:""&amp;A297, ""changepct"")"),0.2)</f>
        <v>0.2</v>
      </c>
    </row>
    <row r="279" spans="1:10" ht="13.8">
      <c r="A279" s="5" t="s">
        <v>283</v>
      </c>
      <c r="B279" s="6">
        <f ca="1">IFERROR(__xludf.dummyfunction("GOOGLEFINANCE(""NSE:""&amp;A178, ""price"")"),117.7)</f>
        <v>117.7</v>
      </c>
      <c r="C279" s="6">
        <f ca="1">IFERROR(__xludf.dummyfunction("GOOGLEFINANCE(""NSE:""&amp;A178, ""priceopen"")"),116.7)</f>
        <v>116.7</v>
      </c>
      <c r="D279" s="6">
        <f ca="1">IFERROR(__xludf.dummyfunction("GOOGLEFINANCE(""NSE:""&amp;A178, ""high"")"),118.3)</f>
        <v>118.3</v>
      </c>
      <c r="E279" s="6">
        <f ca="1">IFERROR(__xludf.dummyfunction("GOOGLEFINANCE(""NSE:""&amp;A178, ""low"")"),115.65)</f>
        <v>115.65</v>
      </c>
      <c r="F279" s="6">
        <f ca="1">IFERROR(__xludf.dummyfunction("GOOGLEFINANCE(""NSE:""&amp;A178, ""closeyest"")"),115.7)</f>
        <v>115.7</v>
      </c>
      <c r="G279" s="6">
        <f ca="1">IFERROR(__xludf.dummyfunction("GOOGLEFINANCE(""NSE:""&amp;A178, ""volume"")"),550216)</f>
        <v>550216</v>
      </c>
      <c r="H279" s="6" t="b">
        <f t="shared" ca="1" si="8"/>
        <v>0</v>
      </c>
      <c r="I279" s="6" t="b">
        <f t="shared" ca="1" si="9"/>
        <v>0</v>
      </c>
      <c r="J279" s="7">
        <f ca="1">IFERROR(__xludf.dummyfunction("GOOGLEFINANCE(""NSE:""&amp;A178, ""changepct"")"),1.73)</f>
        <v>1.73</v>
      </c>
    </row>
    <row r="280" spans="1:10" ht="13.8">
      <c r="A280" s="5" t="s">
        <v>284</v>
      </c>
      <c r="B280" s="6">
        <f ca="1">IFERROR(__xludf.dummyfunction("GOOGLEFINANCE(""NSE:""&amp;A462, ""price"")"),82.45)</f>
        <v>82.45</v>
      </c>
      <c r="C280" s="6">
        <f ca="1">IFERROR(__xludf.dummyfunction("GOOGLEFINANCE(""NSE:""&amp;A462, ""priceopen"")"),83.7)</f>
        <v>83.7</v>
      </c>
      <c r="D280" s="6">
        <f ca="1">IFERROR(__xludf.dummyfunction("GOOGLEFINANCE(""NSE:""&amp;A462, ""high"")"),84.95)</f>
        <v>84.95</v>
      </c>
      <c r="E280" s="6">
        <f ca="1">IFERROR(__xludf.dummyfunction("GOOGLEFINANCE(""NSE:""&amp;A462, ""low"")"),82)</f>
        <v>82</v>
      </c>
      <c r="F280" s="6">
        <f ca="1">IFERROR(__xludf.dummyfunction("GOOGLEFINANCE(""NSE:""&amp;A462, ""closeyest"")"),83.75)</f>
        <v>83.75</v>
      </c>
      <c r="G280" s="6">
        <f ca="1">IFERROR(__xludf.dummyfunction("GOOGLEFINANCE(""NSE:""&amp;A462, ""volume"")"),539635)</f>
        <v>539635</v>
      </c>
      <c r="H280" s="6" t="b">
        <f t="shared" ca="1" si="8"/>
        <v>0</v>
      </c>
      <c r="I280" s="6" t="b">
        <f t="shared" ca="1" si="9"/>
        <v>0</v>
      </c>
      <c r="J280" s="7">
        <f ca="1">IFERROR(__xludf.dummyfunction("GOOGLEFINANCE(""NSE:""&amp;A462, ""changepct"")"),-1.55)</f>
        <v>-1.55</v>
      </c>
    </row>
    <row r="281" spans="1:10" ht="13.8">
      <c r="A281" s="5" t="s">
        <v>285</v>
      </c>
      <c r="B281" s="6">
        <f ca="1">IFERROR(__xludf.dummyfunction("GOOGLEFINANCE(""NSE:""&amp;A105, ""price"")"),1085)</f>
        <v>1085</v>
      </c>
      <c r="C281" s="6">
        <f ca="1">IFERROR(__xludf.dummyfunction("GOOGLEFINANCE(""NSE:""&amp;A105, ""priceopen"")"),1059)</f>
        <v>1059</v>
      </c>
      <c r="D281" s="6">
        <f ca="1">IFERROR(__xludf.dummyfunction("GOOGLEFINANCE(""NSE:""&amp;A105, ""high"")"),1098.15)</f>
        <v>1098.1500000000001</v>
      </c>
      <c r="E281" s="6">
        <f ca="1">IFERROR(__xludf.dummyfunction("GOOGLEFINANCE(""NSE:""&amp;A105, ""low"")"),1056)</f>
        <v>1056</v>
      </c>
      <c r="F281" s="6">
        <f ca="1">IFERROR(__xludf.dummyfunction("GOOGLEFINANCE(""NSE:""&amp;A105, ""closeyest"")"),1051.15)</f>
        <v>1051.1500000000001</v>
      </c>
      <c r="G281" s="6">
        <f ca="1">IFERROR(__xludf.dummyfunction("GOOGLEFINANCE(""NSE:""&amp;A105, ""volume"")"),535565)</f>
        <v>535565</v>
      </c>
      <c r="H281" s="6" t="b">
        <f t="shared" ca="1" si="8"/>
        <v>0</v>
      </c>
      <c r="I281" s="6" t="b">
        <f t="shared" ca="1" si="9"/>
        <v>0</v>
      </c>
      <c r="J281" s="7">
        <f ca="1">IFERROR(__xludf.dummyfunction("GOOGLEFINANCE(""NSE:""&amp;A105, ""changepct"")"),3.22)</f>
        <v>3.22</v>
      </c>
    </row>
    <row r="282" spans="1:10" ht="13.8">
      <c r="A282" s="5" t="s">
        <v>286</v>
      </c>
      <c r="B282" s="6">
        <f ca="1">IFERROR(__xludf.dummyfunction("GOOGLEFINANCE(""NSE:""&amp;A315, ""price"")"),1128.5)</f>
        <v>1128.5</v>
      </c>
      <c r="C282" s="6">
        <f ca="1">IFERROR(__xludf.dummyfunction("GOOGLEFINANCE(""NSE:""&amp;A315, ""priceopen"")"),1133.4)</f>
        <v>1133.4000000000001</v>
      </c>
      <c r="D282" s="6">
        <f ca="1">IFERROR(__xludf.dummyfunction("GOOGLEFINANCE(""NSE:""&amp;A315, ""high"")"),1144)</f>
        <v>1144</v>
      </c>
      <c r="E282" s="6">
        <f ca="1">IFERROR(__xludf.dummyfunction("GOOGLEFINANCE(""NSE:""&amp;A315, ""low"")"),1116.55)</f>
        <v>1116.55</v>
      </c>
      <c r="F282" s="6">
        <f ca="1">IFERROR(__xludf.dummyfunction("GOOGLEFINANCE(""NSE:""&amp;A315, ""closeyest"")"),1127.85)</f>
        <v>1127.8499999999999</v>
      </c>
      <c r="G282" s="6">
        <f ca="1">IFERROR(__xludf.dummyfunction("GOOGLEFINANCE(""NSE:""&amp;A315, ""volume"")"),519661)</f>
        <v>519661</v>
      </c>
      <c r="H282" s="6" t="b">
        <f t="shared" ca="1" si="8"/>
        <v>0</v>
      </c>
      <c r="I282" s="6" t="b">
        <f t="shared" ca="1" si="9"/>
        <v>0</v>
      </c>
      <c r="J282" s="7">
        <f ca="1">IFERROR(__xludf.dummyfunction("GOOGLEFINANCE(""NSE:""&amp;A315, ""changepct"")"),0.06)</f>
        <v>0.06</v>
      </c>
    </row>
    <row r="283" spans="1:10" ht="13.8">
      <c r="A283" s="5" t="s">
        <v>287</v>
      </c>
      <c r="B283" s="6">
        <f ca="1">IFERROR(__xludf.dummyfunction("GOOGLEFINANCE(""NSE:""&amp;A13, ""price"")"),2140)</f>
        <v>2140</v>
      </c>
      <c r="C283" s="6">
        <f ca="1">IFERROR(__xludf.dummyfunction("GOOGLEFINANCE(""NSE:""&amp;A13, ""priceopen"")"),1945.05)</f>
        <v>1945.05</v>
      </c>
      <c r="D283" s="6">
        <f ca="1">IFERROR(__xludf.dummyfunction("GOOGLEFINANCE(""NSE:""&amp;A13, ""high"")"),2140)</f>
        <v>2140</v>
      </c>
      <c r="E283" s="6">
        <f ca="1">IFERROR(__xludf.dummyfunction("GOOGLEFINANCE(""NSE:""&amp;A13, ""low"")"),1896.05)</f>
        <v>1896.05</v>
      </c>
      <c r="F283" s="6">
        <f ca="1">IFERROR(__xludf.dummyfunction("GOOGLEFINANCE(""NSE:""&amp;A13, ""closeyest"")"),1940)</f>
        <v>1940</v>
      </c>
      <c r="G283" s="6">
        <f ca="1">IFERROR(__xludf.dummyfunction("GOOGLEFINANCE(""NSE:""&amp;A13, ""volume"")"),519337)</f>
        <v>519337</v>
      </c>
      <c r="H283" s="6" t="b">
        <f t="shared" ca="1" si="8"/>
        <v>0</v>
      </c>
      <c r="I283" s="6" t="b">
        <f t="shared" ca="1" si="9"/>
        <v>0</v>
      </c>
      <c r="J283" s="7">
        <f ca="1">IFERROR(__xludf.dummyfunction("GOOGLEFINANCE(""NSE:""&amp;A13, ""changepct"")"),10.31)</f>
        <v>10.31</v>
      </c>
    </row>
    <row r="284" spans="1:10" ht="13.8">
      <c r="A284" s="5" t="s">
        <v>288</v>
      </c>
      <c r="B284" s="6">
        <f ca="1">IFERROR(__xludf.dummyfunction("GOOGLEFINANCE(""NSE:""&amp;A325, ""price"")"),2981)</f>
        <v>2981</v>
      </c>
      <c r="C284" s="6">
        <f ca="1">IFERROR(__xludf.dummyfunction("GOOGLEFINANCE(""NSE:""&amp;A325, ""priceopen"")"),3033.85)</f>
        <v>3033.85</v>
      </c>
      <c r="D284" s="6">
        <f ca="1">IFERROR(__xludf.dummyfunction("GOOGLEFINANCE(""NSE:""&amp;A325, ""high"")"),3069)</f>
        <v>3069</v>
      </c>
      <c r="E284" s="6">
        <f ca="1">IFERROR(__xludf.dummyfunction("GOOGLEFINANCE(""NSE:""&amp;A325, ""low"")"),2940)</f>
        <v>2940</v>
      </c>
      <c r="F284" s="6">
        <f ca="1">IFERROR(__xludf.dummyfunction("GOOGLEFINANCE(""NSE:""&amp;A325, ""closeyest"")"),2981.95)</f>
        <v>2981.95</v>
      </c>
      <c r="G284" s="6">
        <f ca="1">IFERROR(__xludf.dummyfunction("GOOGLEFINANCE(""NSE:""&amp;A325, ""volume"")"),517068)</f>
        <v>517068</v>
      </c>
      <c r="H284" s="6" t="b">
        <f t="shared" ca="1" si="8"/>
        <v>0</v>
      </c>
      <c r="I284" s="6" t="b">
        <f t="shared" ca="1" si="9"/>
        <v>0</v>
      </c>
      <c r="J284" s="7">
        <f ca="1">IFERROR(__xludf.dummyfunction("GOOGLEFINANCE(""NSE:""&amp;A325, ""changepct"")"),-0.03)</f>
        <v>-0.03</v>
      </c>
    </row>
    <row r="285" spans="1:10" ht="13.8">
      <c r="A285" s="5" t="s">
        <v>289</v>
      </c>
      <c r="B285" s="6">
        <f ca="1">IFERROR(__xludf.dummyfunction("GOOGLEFINANCE(""NSE:""&amp;A485, ""price"")"),436)</f>
        <v>436</v>
      </c>
      <c r="C285" s="6">
        <f ca="1">IFERROR(__xludf.dummyfunction("GOOGLEFINANCE(""NSE:""&amp;A485, ""priceopen"")"),438)</f>
        <v>438</v>
      </c>
      <c r="D285" s="6">
        <f ca="1">IFERROR(__xludf.dummyfunction("GOOGLEFINANCE(""NSE:""&amp;A485, ""high"")"),445)</f>
        <v>445</v>
      </c>
      <c r="E285" s="6">
        <f ca="1">IFERROR(__xludf.dummyfunction("GOOGLEFINANCE(""NSE:""&amp;A485, ""low"")"),426.35)</f>
        <v>426.35</v>
      </c>
      <c r="F285" s="6">
        <f ca="1">IFERROR(__xludf.dummyfunction("GOOGLEFINANCE(""NSE:""&amp;A485, ""closeyest"")"),448.5)</f>
        <v>448.5</v>
      </c>
      <c r="G285" s="6">
        <f ca="1">IFERROR(__xludf.dummyfunction("GOOGLEFINANCE(""NSE:""&amp;A485, ""volume"")"),513932)</f>
        <v>513932</v>
      </c>
      <c r="H285" s="6" t="b">
        <f t="shared" ca="1" si="8"/>
        <v>0</v>
      </c>
      <c r="I285" s="6" t="b">
        <f t="shared" ca="1" si="9"/>
        <v>0</v>
      </c>
      <c r="J285" s="7">
        <f ca="1">IFERROR(__xludf.dummyfunction("GOOGLEFINANCE(""NSE:""&amp;A485, ""changepct"")"),-2.79)</f>
        <v>-2.79</v>
      </c>
    </row>
    <row r="286" spans="1:10" ht="13.8">
      <c r="A286" s="5" t="s">
        <v>290</v>
      </c>
      <c r="B286" s="6">
        <f ca="1">IFERROR(__xludf.dummyfunction("GOOGLEFINANCE(""NSE:""&amp;A403, ""price"")"),683.9)</f>
        <v>683.9</v>
      </c>
      <c r="C286" s="6">
        <f ca="1">IFERROR(__xludf.dummyfunction("GOOGLEFINANCE(""NSE:""&amp;A403, ""priceopen"")"),691.2)</f>
        <v>691.2</v>
      </c>
      <c r="D286" s="6">
        <f ca="1">IFERROR(__xludf.dummyfunction("GOOGLEFINANCE(""NSE:""&amp;A403, ""high"")"),696.35)</f>
        <v>696.35</v>
      </c>
      <c r="E286" s="6">
        <f ca="1">IFERROR(__xludf.dummyfunction("GOOGLEFINANCE(""NSE:""&amp;A403, ""low"")"),680.2)</f>
        <v>680.2</v>
      </c>
      <c r="F286" s="6">
        <f ca="1">IFERROR(__xludf.dummyfunction("GOOGLEFINANCE(""NSE:""&amp;A403, ""closeyest"")"),689.1)</f>
        <v>689.1</v>
      </c>
      <c r="G286" s="6">
        <f ca="1">IFERROR(__xludf.dummyfunction("GOOGLEFINANCE(""NSE:""&amp;A403, ""volume"")"),512185)</f>
        <v>512185</v>
      </c>
      <c r="H286" s="6" t="b">
        <f t="shared" ca="1" si="8"/>
        <v>0</v>
      </c>
      <c r="I286" s="6" t="b">
        <f t="shared" ca="1" si="9"/>
        <v>0</v>
      </c>
      <c r="J286" s="7">
        <f ca="1">IFERROR(__xludf.dummyfunction("GOOGLEFINANCE(""NSE:""&amp;A403, ""changepct"")"),-0.75)</f>
        <v>-0.75</v>
      </c>
    </row>
    <row r="287" spans="1:10" ht="13.8">
      <c r="A287" s="5" t="s">
        <v>291</v>
      </c>
      <c r="B287" s="6">
        <f ca="1">IFERROR(__xludf.dummyfunction("GOOGLEFINANCE(""NSE:""&amp;A483, ""price"")"),211)</f>
        <v>211</v>
      </c>
      <c r="C287" s="6">
        <f ca="1">IFERROR(__xludf.dummyfunction("GOOGLEFINANCE(""NSE:""&amp;A483, ""priceopen"")"),215)</f>
        <v>215</v>
      </c>
      <c r="D287" s="6">
        <f ca="1">IFERROR(__xludf.dummyfunction("GOOGLEFINANCE(""NSE:""&amp;A483, ""high"")"),215)</f>
        <v>215</v>
      </c>
      <c r="E287" s="6">
        <f ca="1">IFERROR(__xludf.dummyfunction("GOOGLEFINANCE(""NSE:""&amp;A483, ""low"")"),207.75)</f>
        <v>207.75</v>
      </c>
      <c r="F287" s="6">
        <f ca="1">IFERROR(__xludf.dummyfunction("GOOGLEFINANCE(""NSE:""&amp;A483, ""closeyest"")"),216.7)</f>
        <v>216.7</v>
      </c>
      <c r="G287" s="6">
        <f ca="1">IFERROR(__xludf.dummyfunction("GOOGLEFINANCE(""NSE:""&amp;A483, ""volume"")"),510975)</f>
        <v>510975</v>
      </c>
      <c r="H287" s="6" t="b">
        <f t="shared" ca="1" si="8"/>
        <v>0</v>
      </c>
      <c r="I287" s="6" t="b">
        <f t="shared" ca="1" si="9"/>
        <v>1</v>
      </c>
      <c r="J287" s="7">
        <f ca="1">IFERROR(__xludf.dummyfunction("GOOGLEFINANCE(""NSE:""&amp;A483, ""changepct"")"),-2.63)</f>
        <v>-2.63</v>
      </c>
    </row>
    <row r="288" spans="1:10" ht="13.8">
      <c r="A288" s="5" t="s">
        <v>292</v>
      </c>
      <c r="B288" s="6">
        <f ca="1">IFERROR(__xludf.dummyfunction("GOOGLEFINANCE(""NSE:""&amp;A312, ""price"")"),69)</f>
        <v>69</v>
      </c>
      <c r="C288" s="6">
        <f ca="1">IFERROR(__xludf.dummyfunction("GOOGLEFINANCE(""NSE:""&amp;A312, ""priceopen"")"),69.5)</f>
        <v>69.5</v>
      </c>
      <c r="D288" s="6">
        <f ca="1">IFERROR(__xludf.dummyfunction("GOOGLEFINANCE(""NSE:""&amp;A312, ""high"")"),70.6)</f>
        <v>70.599999999999994</v>
      </c>
      <c r="E288" s="6">
        <f ca="1">IFERROR(__xludf.dummyfunction("GOOGLEFINANCE(""NSE:""&amp;A312, ""low"")"),68.2)</f>
        <v>68.2</v>
      </c>
      <c r="F288" s="6">
        <f ca="1">IFERROR(__xludf.dummyfunction("GOOGLEFINANCE(""NSE:""&amp;A312, ""closeyest"")"),68.95)</f>
        <v>68.95</v>
      </c>
      <c r="G288" s="6">
        <f ca="1">IFERROR(__xludf.dummyfunction("GOOGLEFINANCE(""NSE:""&amp;A312, ""volume"")"),509679)</f>
        <v>509679</v>
      </c>
      <c r="H288" s="6" t="b">
        <f t="shared" ca="1" si="8"/>
        <v>0</v>
      </c>
      <c r="I288" s="6" t="b">
        <f t="shared" ca="1" si="9"/>
        <v>0</v>
      </c>
      <c r="J288" s="7">
        <f ca="1">IFERROR(__xludf.dummyfunction("GOOGLEFINANCE(""NSE:""&amp;A312, ""changepct"")"),0.07)</f>
        <v>7.0000000000000007E-2</v>
      </c>
    </row>
    <row r="289" spans="1:10" ht="13.8">
      <c r="A289" s="5" t="s">
        <v>293</v>
      </c>
      <c r="B289" s="6">
        <f ca="1">IFERROR(__xludf.dummyfunction("GOOGLEFINANCE(""NSE:""&amp;A258, ""price"")"),95.5)</f>
        <v>95.5</v>
      </c>
      <c r="C289" s="6">
        <f ca="1">IFERROR(__xludf.dummyfunction("GOOGLEFINANCE(""NSE:""&amp;A258, ""priceopen"")"),95.15)</f>
        <v>95.15</v>
      </c>
      <c r="D289" s="6">
        <f ca="1">IFERROR(__xludf.dummyfunction("GOOGLEFINANCE(""NSE:""&amp;A258, ""high"")"),97)</f>
        <v>97</v>
      </c>
      <c r="E289" s="6">
        <f ca="1">IFERROR(__xludf.dummyfunction("GOOGLEFINANCE(""NSE:""&amp;A258, ""low"")"),95.15)</f>
        <v>95.15</v>
      </c>
      <c r="F289" s="6">
        <f ca="1">IFERROR(__xludf.dummyfunction("GOOGLEFINANCE(""NSE:""&amp;A258, ""closeyest"")"),94.85)</f>
        <v>94.85</v>
      </c>
      <c r="G289" s="6">
        <f ca="1">IFERROR(__xludf.dummyfunction("GOOGLEFINANCE(""NSE:""&amp;A258, ""volume"")"),505205)</f>
        <v>505205</v>
      </c>
      <c r="H289" s="6" t="b">
        <f t="shared" ca="1" si="8"/>
        <v>1</v>
      </c>
      <c r="I289" s="6" t="b">
        <f t="shared" ca="1" si="9"/>
        <v>0</v>
      </c>
      <c r="J289" s="7">
        <f ca="1">IFERROR(__xludf.dummyfunction("GOOGLEFINANCE(""NSE:""&amp;A258, ""changepct"")"),0.69)</f>
        <v>0.69</v>
      </c>
    </row>
    <row r="290" spans="1:10" ht="13.8">
      <c r="A290" s="5" t="s">
        <v>294</v>
      </c>
      <c r="B290" s="6">
        <f ca="1">IFERROR(__xludf.dummyfunction("GOOGLEFINANCE(""NSE:""&amp;A458, ""price"")"),528.1)</f>
        <v>528.1</v>
      </c>
      <c r="C290" s="6">
        <f ca="1">IFERROR(__xludf.dummyfunction("GOOGLEFINANCE(""NSE:""&amp;A458, ""priceopen"")"),541.5)</f>
        <v>541.5</v>
      </c>
      <c r="D290" s="6">
        <f ca="1">IFERROR(__xludf.dummyfunction("GOOGLEFINANCE(""NSE:""&amp;A458, ""high"")"),541.5)</f>
        <v>541.5</v>
      </c>
      <c r="E290" s="6">
        <f ca="1">IFERROR(__xludf.dummyfunction("GOOGLEFINANCE(""NSE:""&amp;A458, ""low"")"),525.2)</f>
        <v>525.20000000000005</v>
      </c>
      <c r="F290" s="6">
        <f ca="1">IFERROR(__xludf.dummyfunction("GOOGLEFINANCE(""NSE:""&amp;A458, ""closeyest"")"),535.9)</f>
        <v>535.9</v>
      </c>
      <c r="G290" s="6">
        <f ca="1">IFERROR(__xludf.dummyfunction("GOOGLEFINANCE(""NSE:""&amp;A458, ""volume"")"),497388)</f>
        <v>497388</v>
      </c>
      <c r="H290" s="6" t="b">
        <f t="shared" ca="1" si="8"/>
        <v>0</v>
      </c>
      <c r="I290" s="6" t="b">
        <f t="shared" ca="1" si="9"/>
        <v>1</v>
      </c>
      <c r="J290" s="7">
        <f ca="1">IFERROR(__xludf.dummyfunction("GOOGLEFINANCE(""NSE:""&amp;A458, ""changepct"")"),-1.46)</f>
        <v>-1.46</v>
      </c>
    </row>
    <row r="291" spans="1:10" ht="13.8">
      <c r="A291" s="5" t="s">
        <v>295</v>
      </c>
      <c r="B291" s="6">
        <f ca="1">IFERROR(__xludf.dummyfunction("GOOGLEFINANCE(""NSE:""&amp;A347, ""price"")"),260.1)</f>
        <v>260.10000000000002</v>
      </c>
      <c r="C291" s="6">
        <f ca="1">IFERROR(__xludf.dummyfunction("GOOGLEFINANCE(""NSE:""&amp;A347, ""priceopen"")"),258.05)</f>
        <v>258.05</v>
      </c>
      <c r="D291" s="6">
        <f ca="1">IFERROR(__xludf.dummyfunction("GOOGLEFINANCE(""NSE:""&amp;A347, ""high"")"),262.7)</f>
        <v>262.7</v>
      </c>
      <c r="E291" s="6">
        <f ca="1">IFERROR(__xludf.dummyfunction("GOOGLEFINANCE(""NSE:""&amp;A347, ""low"")"),257.8)</f>
        <v>257.8</v>
      </c>
      <c r="F291" s="6">
        <f ca="1">IFERROR(__xludf.dummyfunction("GOOGLEFINANCE(""NSE:""&amp;A347, ""closeyest"")"),260.65)</f>
        <v>260.64999999999998</v>
      </c>
      <c r="G291" s="6">
        <f ca="1">IFERROR(__xludf.dummyfunction("GOOGLEFINANCE(""NSE:""&amp;A347, ""volume"")"),488928)</f>
        <v>488928</v>
      </c>
      <c r="H291" s="6" t="b">
        <f t="shared" ca="1" si="8"/>
        <v>0</v>
      </c>
      <c r="I291" s="6" t="b">
        <f t="shared" ca="1" si="9"/>
        <v>0</v>
      </c>
      <c r="J291" s="7">
        <f ca="1">IFERROR(__xludf.dummyfunction("GOOGLEFINANCE(""NSE:""&amp;A347, ""changepct"")"),-0.21)</f>
        <v>-0.21</v>
      </c>
    </row>
    <row r="292" spans="1:10" ht="13.8">
      <c r="A292" s="5" t="s">
        <v>296</v>
      </c>
      <c r="B292" s="6">
        <f ca="1">IFERROR(__xludf.dummyfunction("GOOGLEFINANCE(""NSE:""&amp;A487, ""price"")"),366.3)</f>
        <v>366.3</v>
      </c>
      <c r="C292" s="6">
        <f ca="1">IFERROR(__xludf.dummyfunction("GOOGLEFINANCE(""NSE:""&amp;A487, ""priceopen"")"),379.7)</f>
        <v>379.7</v>
      </c>
      <c r="D292" s="6">
        <f ca="1">IFERROR(__xludf.dummyfunction("GOOGLEFINANCE(""NSE:""&amp;A487, ""high"")"),382.5)</f>
        <v>382.5</v>
      </c>
      <c r="E292" s="6">
        <f ca="1">IFERROR(__xludf.dummyfunction("GOOGLEFINANCE(""NSE:""&amp;A487, ""low"")"),360)</f>
        <v>360</v>
      </c>
      <c r="F292" s="6">
        <f ca="1">IFERROR(__xludf.dummyfunction("GOOGLEFINANCE(""NSE:""&amp;A487, ""closeyest"")"),377.1)</f>
        <v>377.1</v>
      </c>
      <c r="G292" s="6">
        <f ca="1">IFERROR(__xludf.dummyfunction("GOOGLEFINANCE(""NSE:""&amp;A487, ""volume"")"),482472)</f>
        <v>482472</v>
      </c>
      <c r="H292" s="6" t="b">
        <f t="shared" ca="1" si="8"/>
        <v>0</v>
      </c>
      <c r="I292" s="6" t="b">
        <f t="shared" ca="1" si="9"/>
        <v>0</v>
      </c>
      <c r="J292" s="7">
        <f ca="1">IFERROR(__xludf.dummyfunction("GOOGLEFINANCE(""NSE:""&amp;A487, ""changepct"")"),-2.86)</f>
        <v>-2.86</v>
      </c>
    </row>
    <row r="293" spans="1:10" ht="13.8">
      <c r="A293" s="5" t="s">
        <v>297</v>
      </c>
      <c r="B293" s="6">
        <f ca="1">IFERROR(__xludf.dummyfunction("GOOGLEFINANCE(""NSE:""&amp;A341, ""price"")"),2365)</f>
        <v>2365</v>
      </c>
      <c r="C293" s="6">
        <f ca="1">IFERROR(__xludf.dummyfunction("GOOGLEFINANCE(""NSE:""&amp;A341, ""priceopen"")"),2384)</f>
        <v>2384</v>
      </c>
      <c r="D293" s="6">
        <f ca="1">IFERROR(__xludf.dummyfunction("GOOGLEFINANCE(""NSE:""&amp;A341, ""high"")"),2395)</f>
        <v>2395</v>
      </c>
      <c r="E293" s="6">
        <f ca="1">IFERROR(__xludf.dummyfunction("GOOGLEFINANCE(""NSE:""&amp;A341, ""low"")"),2361)</f>
        <v>2361</v>
      </c>
      <c r="F293" s="6">
        <f ca="1">IFERROR(__xludf.dummyfunction("GOOGLEFINANCE(""NSE:""&amp;A341, ""closeyest"")"),2369)</f>
        <v>2369</v>
      </c>
      <c r="G293" s="6">
        <f ca="1">IFERROR(__xludf.dummyfunction("GOOGLEFINANCE(""NSE:""&amp;A341, ""volume"")"),478138)</f>
        <v>478138</v>
      </c>
      <c r="H293" s="6" t="b">
        <f t="shared" ca="1" si="8"/>
        <v>0</v>
      </c>
      <c r="I293" s="6" t="b">
        <f t="shared" ca="1" si="9"/>
        <v>0</v>
      </c>
      <c r="J293" s="7">
        <f ca="1">IFERROR(__xludf.dummyfunction("GOOGLEFINANCE(""NSE:""&amp;A341, ""changepct"")"),-0.17)</f>
        <v>-0.17</v>
      </c>
    </row>
    <row r="294" spans="1:10" ht="13.8">
      <c r="A294" s="5" t="s">
        <v>298</v>
      </c>
      <c r="B294" s="6">
        <f ca="1">IFERROR(__xludf.dummyfunction("GOOGLEFINANCE(""NSE:""&amp;A145, ""price"")"),1190)</f>
        <v>1190</v>
      </c>
      <c r="C294" s="6">
        <f ca="1">IFERROR(__xludf.dummyfunction("GOOGLEFINANCE(""NSE:""&amp;A145, ""priceopen"")"),1175)</f>
        <v>1175</v>
      </c>
      <c r="D294" s="6">
        <f ca="1">IFERROR(__xludf.dummyfunction("GOOGLEFINANCE(""NSE:""&amp;A145, ""high"")"),1202.55)</f>
        <v>1202.55</v>
      </c>
      <c r="E294" s="6">
        <f ca="1">IFERROR(__xludf.dummyfunction("GOOGLEFINANCE(""NSE:""&amp;A145, ""low"")"),1163.85)</f>
        <v>1163.8499999999999</v>
      </c>
      <c r="F294" s="6">
        <f ca="1">IFERROR(__xludf.dummyfunction("GOOGLEFINANCE(""NSE:""&amp;A145, ""closeyest"")"),1164.4)</f>
        <v>1164.4000000000001</v>
      </c>
      <c r="G294" s="6">
        <f ca="1">IFERROR(__xludf.dummyfunction("GOOGLEFINANCE(""NSE:""&amp;A145, ""volume"")"),471683)</f>
        <v>471683</v>
      </c>
      <c r="H294" s="6" t="b">
        <f t="shared" ca="1" si="8"/>
        <v>0</v>
      </c>
      <c r="I294" s="6" t="b">
        <f t="shared" ca="1" si="9"/>
        <v>0</v>
      </c>
      <c r="J294" s="7">
        <f ca="1">IFERROR(__xludf.dummyfunction("GOOGLEFINANCE(""NSE:""&amp;A145, ""changepct"")"),2.2)</f>
        <v>2.2000000000000002</v>
      </c>
    </row>
    <row r="295" spans="1:10" ht="13.8">
      <c r="A295" s="5" t="s">
        <v>299</v>
      </c>
      <c r="B295" s="6">
        <f ca="1">IFERROR(__xludf.dummyfunction("GOOGLEFINANCE(""NSE:""&amp;A226, ""price"")"),290)</f>
        <v>290</v>
      </c>
      <c r="C295" s="6">
        <f ca="1">IFERROR(__xludf.dummyfunction("GOOGLEFINANCE(""NSE:""&amp;A226, ""priceopen"")"),291.9)</f>
        <v>291.89999999999998</v>
      </c>
      <c r="D295" s="6">
        <f ca="1">IFERROR(__xludf.dummyfunction("GOOGLEFINANCE(""NSE:""&amp;A226, ""high"")"),291.9)</f>
        <v>291.89999999999998</v>
      </c>
      <c r="E295" s="6">
        <f ca="1">IFERROR(__xludf.dummyfunction("GOOGLEFINANCE(""NSE:""&amp;A226, ""low"")"),286)</f>
        <v>286</v>
      </c>
      <c r="F295" s="6">
        <f ca="1">IFERROR(__xludf.dummyfunction("GOOGLEFINANCE(""NSE:""&amp;A226, ""closeyest"")"),286.95)</f>
        <v>286.95</v>
      </c>
      <c r="G295" s="6">
        <f ca="1">IFERROR(__xludf.dummyfunction("GOOGLEFINANCE(""NSE:""&amp;A226, ""volume"")"),455206)</f>
        <v>455206</v>
      </c>
      <c r="H295" s="6" t="b">
        <f t="shared" ca="1" si="8"/>
        <v>0</v>
      </c>
      <c r="I295" s="6" t="b">
        <f t="shared" ca="1" si="9"/>
        <v>1</v>
      </c>
      <c r="J295" s="7">
        <f ca="1">IFERROR(__xludf.dummyfunction("GOOGLEFINANCE(""NSE:""&amp;A226, ""changepct"")"),1.06)</f>
        <v>1.06</v>
      </c>
    </row>
    <row r="296" spans="1:10" ht="13.8">
      <c r="A296" s="5" t="s">
        <v>300</v>
      </c>
      <c r="B296" s="6">
        <f ca="1">IFERROR(__xludf.dummyfunction("GOOGLEFINANCE(""NSE:""&amp;A475, ""price"")"),73.5)</f>
        <v>73.5</v>
      </c>
      <c r="C296" s="6">
        <f ca="1">IFERROR(__xludf.dummyfunction("GOOGLEFINANCE(""NSE:""&amp;A475, ""priceopen"")"),75.9)</f>
        <v>75.900000000000006</v>
      </c>
      <c r="D296" s="6">
        <f ca="1">IFERROR(__xludf.dummyfunction("GOOGLEFINANCE(""NSE:""&amp;A475, ""high"")"),75.9)</f>
        <v>75.900000000000006</v>
      </c>
      <c r="E296" s="6">
        <f ca="1">IFERROR(__xludf.dummyfunction("GOOGLEFINANCE(""NSE:""&amp;A475, ""low"")"),73.5)</f>
        <v>73.5</v>
      </c>
      <c r="F296" s="6">
        <f ca="1">IFERROR(__xludf.dummyfunction("GOOGLEFINANCE(""NSE:""&amp;A475, ""closeyest"")"),75.05)</f>
        <v>75.05</v>
      </c>
      <c r="G296" s="6">
        <f ca="1">IFERROR(__xludf.dummyfunction("GOOGLEFINANCE(""NSE:""&amp;A475, ""volume"")"),455061)</f>
        <v>455061</v>
      </c>
      <c r="H296" s="6" t="b">
        <f t="shared" ca="1" si="8"/>
        <v>0</v>
      </c>
      <c r="I296" s="6" t="b">
        <f t="shared" ca="1" si="9"/>
        <v>1</v>
      </c>
      <c r="J296" s="7">
        <f ca="1">IFERROR(__xludf.dummyfunction("GOOGLEFINANCE(""NSE:""&amp;A475, ""changepct"")"),-2.07)</f>
        <v>-2.0699999999999998</v>
      </c>
    </row>
    <row r="297" spans="1:10" ht="13.8">
      <c r="A297" s="5" t="s">
        <v>301</v>
      </c>
      <c r="B297" s="6">
        <f ca="1">IFERROR(__xludf.dummyfunction("GOOGLEFINANCE(""NSE:""&amp;A367, ""price"")"),2989.85)</f>
        <v>2989.85</v>
      </c>
      <c r="C297" s="6">
        <f ca="1">IFERROR(__xludf.dummyfunction("GOOGLEFINANCE(""NSE:""&amp;A367, ""priceopen"")"),3001.7)</f>
        <v>3001.7</v>
      </c>
      <c r="D297" s="6">
        <f ca="1">IFERROR(__xludf.dummyfunction("GOOGLEFINANCE(""NSE:""&amp;A367, ""high"")"),3025)</f>
        <v>3025</v>
      </c>
      <c r="E297" s="6">
        <f ca="1">IFERROR(__xludf.dummyfunction("GOOGLEFINANCE(""NSE:""&amp;A367, ""low"")"),2971)</f>
        <v>2971</v>
      </c>
      <c r="F297" s="6">
        <f ca="1">IFERROR(__xludf.dummyfunction("GOOGLEFINANCE(""NSE:""&amp;A367, ""closeyest"")"),3001.7)</f>
        <v>3001.7</v>
      </c>
      <c r="G297" s="6">
        <f ca="1">IFERROR(__xludf.dummyfunction("GOOGLEFINANCE(""NSE:""&amp;A367, ""volume"")"),442147)</f>
        <v>442147</v>
      </c>
      <c r="H297" s="6" t="b">
        <f t="shared" ca="1" si="8"/>
        <v>0</v>
      </c>
      <c r="I297" s="6" t="b">
        <f t="shared" ca="1" si="9"/>
        <v>0</v>
      </c>
      <c r="J297" s="7">
        <f ca="1">IFERROR(__xludf.dummyfunction("GOOGLEFINANCE(""NSE:""&amp;A367, ""changepct"")"),-0.39)</f>
        <v>-0.39</v>
      </c>
    </row>
    <row r="298" spans="1:10" ht="13.8">
      <c r="A298" s="5" t="s">
        <v>302</v>
      </c>
      <c r="B298" s="6">
        <f ca="1">IFERROR(__xludf.dummyfunction("GOOGLEFINANCE(""NSE:""&amp;A229, ""price"")"),140.3)</f>
        <v>140.30000000000001</v>
      </c>
      <c r="C298" s="6">
        <f ca="1">IFERROR(__xludf.dummyfunction("GOOGLEFINANCE(""NSE:""&amp;A229, ""priceopen"")"),140.25)</f>
        <v>140.25</v>
      </c>
      <c r="D298" s="6">
        <f ca="1">IFERROR(__xludf.dummyfunction("GOOGLEFINANCE(""NSE:""&amp;A229, ""high"")"),142.05)</f>
        <v>142.05000000000001</v>
      </c>
      <c r="E298" s="6">
        <f ca="1">IFERROR(__xludf.dummyfunction("GOOGLEFINANCE(""NSE:""&amp;A229, ""low"")"),139.05)</f>
        <v>139.05000000000001</v>
      </c>
      <c r="F298" s="6">
        <f ca="1">IFERROR(__xludf.dummyfunction("GOOGLEFINANCE(""NSE:""&amp;A229, ""closeyest"")"),138.85)</f>
        <v>138.85</v>
      </c>
      <c r="G298" s="6">
        <f ca="1">IFERROR(__xludf.dummyfunction("GOOGLEFINANCE(""NSE:""&amp;A229, ""volume"")"),440866)</f>
        <v>440866</v>
      </c>
      <c r="H298" s="6" t="b">
        <f t="shared" ca="1" si="8"/>
        <v>0</v>
      </c>
      <c r="I298" s="6" t="b">
        <f t="shared" ca="1" si="9"/>
        <v>0</v>
      </c>
      <c r="J298" s="7">
        <f ca="1">IFERROR(__xludf.dummyfunction("GOOGLEFINANCE(""NSE:""&amp;A229, ""changepct"")"),1.04)</f>
        <v>1.04</v>
      </c>
    </row>
    <row r="299" spans="1:10" ht="13.8">
      <c r="A299" s="5" t="s">
        <v>303</v>
      </c>
      <c r="B299" s="6">
        <f ca="1">IFERROR(__xludf.dummyfunction("GOOGLEFINANCE(""NSE:""&amp;A134, ""price"")"),40.3)</f>
        <v>40.299999999999997</v>
      </c>
      <c r="C299" s="6">
        <f ca="1">IFERROR(__xludf.dummyfunction("GOOGLEFINANCE(""NSE:""&amp;A134, ""priceopen"")"),39.9)</f>
        <v>39.9</v>
      </c>
      <c r="D299" s="6">
        <f ca="1">IFERROR(__xludf.dummyfunction("GOOGLEFINANCE(""NSE:""&amp;A134, ""high"")"),40.9)</f>
        <v>40.9</v>
      </c>
      <c r="E299" s="6">
        <f ca="1">IFERROR(__xludf.dummyfunction("GOOGLEFINANCE(""NSE:""&amp;A134, ""low"")"),39.2)</f>
        <v>39.200000000000003</v>
      </c>
      <c r="F299" s="6">
        <f ca="1">IFERROR(__xludf.dummyfunction("GOOGLEFINANCE(""NSE:""&amp;A134, ""closeyest"")"),39.35)</f>
        <v>39.35</v>
      </c>
      <c r="G299" s="6">
        <f ca="1">IFERROR(__xludf.dummyfunction("GOOGLEFINANCE(""NSE:""&amp;A134, ""volume"")"),438047)</f>
        <v>438047</v>
      </c>
      <c r="H299" s="6" t="b">
        <f t="shared" ca="1" si="8"/>
        <v>0</v>
      </c>
      <c r="I299" s="6" t="b">
        <f t="shared" ca="1" si="9"/>
        <v>0</v>
      </c>
      <c r="J299" s="7">
        <f ca="1">IFERROR(__xludf.dummyfunction("GOOGLEFINANCE(""NSE:""&amp;A134, ""changepct"")"),2.41)</f>
        <v>2.41</v>
      </c>
    </row>
    <row r="300" spans="1:10" ht="13.8">
      <c r="A300" s="5" t="s">
        <v>304</v>
      </c>
      <c r="B300" s="6">
        <f ca="1">IFERROR(__xludf.dummyfunction("GOOGLEFINANCE(""NSE:""&amp;A94, ""price"")"),230.25)</f>
        <v>230.25</v>
      </c>
      <c r="C300" s="6">
        <f ca="1">IFERROR(__xludf.dummyfunction("GOOGLEFINANCE(""NSE:""&amp;A94, ""priceopen"")"),220)</f>
        <v>220</v>
      </c>
      <c r="D300" s="6">
        <f ca="1">IFERROR(__xludf.dummyfunction("GOOGLEFINANCE(""NSE:""&amp;A94, ""high"")"),235)</f>
        <v>235</v>
      </c>
      <c r="E300" s="6">
        <f ca="1">IFERROR(__xludf.dummyfunction("GOOGLEFINANCE(""NSE:""&amp;A94, ""low"")"),220)</f>
        <v>220</v>
      </c>
      <c r="F300" s="6">
        <f ca="1">IFERROR(__xludf.dummyfunction("GOOGLEFINANCE(""NSE:""&amp;A94, ""closeyest"")"),222.45)</f>
        <v>222.45</v>
      </c>
      <c r="G300" s="6">
        <f ca="1">IFERROR(__xludf.dummyfunction("GOOGLEFINANCE(""NSE:""&amp;A94, ""volume"")"),436663)</f>
        <v>436663</v>
      </c>
      <c r="H300" s="6" t="b">
        <f t="shared" ca="1" si="8"/>
        <v>1</v>
      </c>
      <c r="I300" s="6" t="b">
        <f t="shared" ca="1" si="9"/>
        <v>0</v>
      </c>
      <c r="J300" s="7">
        <f ca="1">IFERROR(__xludf.dummyfunction("GOOGLEFINANCE(""NSE:""&amp;A94, ""changepct"")"),3.51)</f>
        <v>3.51</v>
      </c>
    </row>
    <row r="301" spans="1:10" ht="13.8">
      <c r="A301" s="5" t="s">
        <v>305</v>
      </c>
      <c r="B301" s="6">
        <f ca="1">IFERROR(__xludf.dummyfunction("GOOGLEFINANCE(""NSE:""&amp;A173, ""price"")"),49.95)</f>
        <v>49.95</v>
      </c>
      <c r="C301" s="6">
        <f ca="1">IFERROR(__xludf.dummyfunction("GOOGLEFINANCE(""NSE:""&amp;A173, ""priceopen"")"),49.35)</f>
        <v>49.35</v>
      </c>
      <c r="D301" s="6">
        <f ca="1">IFERROR(__xludf.dummyfunction("GOOGLEFINANCE(""NSE:""&amp;A173, ""high"")"),50.2)</f>
        <v>50.2</v>
      </c>
      <c r="E301" s="6">
        <f ca="1">IFERROR(__xludf.dummyfunction("GOOGLEFINANCE(""NSE:""&amp;A173, ""low"")"),49.35)</f>
        <v>49.35</v>
      </c>
      <c r="F301" s="6">
        <f ca="1">IFERROR(__xludf.dummyfunction("GOOGLEFINANCE(""NSE:""&amp;A173, ""closeyest"")"),49.05)</f>
        <v>49.05</v>
      </c>
      <c r="G301" s="6">
        <f ca="1">IFERROR(__xludf.dummyfunction("GOOGLEFINANCE(""NSE:""&amp;A173, ""volume"")"),433336)</f>
        <v>433336</v>
      </c>
      <c r="H301" s="6" t="b">
        <f t="shared" ca="1" si="8"/>
        <v>1</v>
      </c>
      <c r="I301" s="6" t="b">
        <f t="shared" ca="1" si="9"/>
        <v>0</v>
      </c>
      <c r="J301" s="7">
        <f ca="1">IFERROR(__xludf.dummyfunction("GOOGLEFINANCE(""NSE:""&amp;A173, ""changepct"")"),1.83)</f>
        <v>1.83</v>
      </c>
    </row>
    <row r="302" spans="1:10" ht="13.8">
      <c r="A302" s="5" t="s">
        <v>306</v>
      </c>
      <c r="B302" s="6">
        <f ca="1">IFERROR(__xludf.dummyfunction("GOOGLEFINANCE(""NSE:""&amp;A49, ""price"")"),854.9)</f>
        <v>854.9</v>
      </c>
      <c r="C302" s="6">
        <f ca="1">IFERROR(__xludf.dummyfunction("GOOGLEFINANCE(""NSE:""&amp;A49, ""priceopen"")"),834.8)</f>
        <v>834.8</v>
      </c>
      <c r="D302" s="6">
        <f ca="1">IFERROR(__xludf.dummyfunction("GOOGLEFINANCE(""NSE:""&amp;A49, ""high"")"),854.9)</f>
        <v>854.9</v>
      </c>
      <c r="E302" s="6">
        <f ca="1">IFERROR(__xludf.dummyfunction("GOOGLEFINANCE(""NSE:""&amp;A49, ""low"")"),820)</f>
        <v>820</v>
      </c>
      <c r="F302" s="6">
        <f ca="1">IFERROR(__xludf.dummyfunction("GOOGLEFINANCE(""NSE:""&amp;A49, ""closeyest"")"),814.2)</f>
        <v>814.2</v>
      </c>
      <c r="G302" s="6">
        <f ca="1">IFERROR(__xludf.dummyfunction("GOOGLEFINANCE(""NSE:""&amp;A49, ""volume"")"),423181)</f>
        <v>423181</v>
      </c>
      <c r="H302" s="6" t="b">
        <f t="shared" ca="1" si="8"/>
        <v>0</v>
      </c>
      <c r="I302" s="6" t="b">
        <f t="shared" ca="1" si="9"/>
        <v>0</v>
      </c>
      <c r="J302" s="7">
        <f ca="1">IFERROR(__xludf.dummyfunction("GOOGLEFINANCE(""NSE:""&amp;A49, ""changepct"")"),5)</f>
        <v>5</v>
      </c>
    </row>
    <row r="303" spans="1:10" ht="13.8">
      <c r="A303" s="5" t="s">
        <v>307</v>
      </c>
      <c r="B303" s="6">
        <f ca="1">IFERROR(__xludf.dummyfunction("GOOGLEFINANCE(""NSE:""&amp;A437, ""price"")"),479.95)</f>
        <v>479.95</v>
      </c>
      <c r="C303" s="6">
        <f ca="1">IFERROR(__xludf.dummyfunction("GOOGLEFINANCE(""NSE:""&amp;A437, ""priceopen"")"),489.15)</f>
        <v>489.15</v>
      </c>
      <c r="D303" s="6">
        <f ca="1">IFERROR(__xludf.dummyfunction("GOOGLEFINANCE(""NSE:""&amp;A437, ""high"")"),490.55)</f>
        <v>490.55</v>
      </c>
      <c r="E303" s="6">
        <f ca="1">IFERROR(__xludf.dummyfunction("GOOGLEFINANCE(""NSE:""&amp;A437, ""low"")"),478.2)</f>
        <v>478.2</v>
      </c>
      <c r="F303" s="6">
        <f ca="1">IFERROR(__xludf.dummyfunction("GOOGLEFINANCE(""NSE:""&amp;A437, ""closeyest"")"),485.35)</f>
        <v>485.35</v>
      </c>
      <c r="G303" s="6">
        <f ca="1">IFERROR(__xludf.dummyfunction("GOOGLEFINANCE(""NSE:""&amp;A437, ""volume"")"),415266)</f>
        <v>415266</v>
      </c>
      <c r="H303" s="6" t="b">
        <f t="shared" ca="1" si="8"/>
        <v>0</v>
      </c>
      <c r="I303" s="6" t="b">
        <f t="shared" ca="1" si="9"/>
        <v>0</v>
      </c>
      <c r="J303" s="7">
        <f ca="1">IFERROR(__xludf.dummyfunction("GOOGLEFINANCE(""NSE:""&amp;A437, ""changepct"")"),-1.11)</f>
        <v>-1.1100000000000001</v>
      </c>
    </row>
    <row r="304" spans="1:10" ht="13.8">
      <c r="A304" s="5" t="s">
        <v>308</v>
      </c>
      <c r="B304" s="6">
        <f ca="1">IFERROR(__xludf.dummyfunction("GOOGLEFINANCE(""NSE:""&amp;A473, ""price"")"),535.7)</f>
        <v>535.70000000000005</v>
      </c>
      <c r="C304" s="6">
        <f ca="1">IFERROR(__xludf.dummyfunction("GOOGLEFINANCE(""NSE:""&amp;A473, ""priceopen"")"),543.9)</f>
        <v>543.9</v>
      </c>
      <c r="D304" s="6">
        <f ca="1">IFERROR(__xludf.dummyfunction("GOOGLEFINANCE(""NSE:""&amp;A473, ""high"")"),546.85)</f>
        <v>546.85</v>
      </c>
      <c r="E304" s="6">
        <f ca="1">IFERROR(__xludf.dummyfunction("GOOGLEFINANCE(""NSE:""&amp;A473, ""low"")"),531.85)</f>
        <v>531.85</v>
      </c>
      <c r="F304" s="6">
        <f ca="1">IFERROR(__xludf.dummyfunction("GOOGLEFINANCE(""NSE:""&amp;A473, ""closeyest"")"),546.4)</f>
        <v>546.4</v>
      </c>
      <c r="G304" s="6">
        <f ca="1">IFERROR(__xludf.dummyfunction("GOOGLEFINANCE(""NSE:""&amp;A473, ""volume"")"),414972)</f>
        <v>414972</v>
      </c>
      <c r="H304" s="6" t="b">
        <f t="shared" ca="1" si="8"/>
        <v>0</v>
      </c>
      <c r="I304" s="6" t="b">
        <f t="shared" ca="1" si="9"/>
        <v>0</v>
      </c>
      <c r="J304" s="7">
        <f ca="1">IFERROR(__xludf.dummyfunction("GOOGLEFINANCE(""NSE:""&amp;A473, ""changepct"")"),-1.96)</f>
        <v>-1.96</v>
      </c>
    </row>
    <row r="305" spans="1:10" ht="13.8">
      <c r="A305" s="5" t="s">
        <v>309</v>
      </c>
      <c r="B305" s="6">
        <f ca="1">IFERROR(__xludf.dummyfunction("GOOGLEFINANCE(""NSE:""&amp;A303, ""price"")"),790)</f>
        <v>790</v>
      </c>
      <c r="C305" s="6">
        <f ca="1">IFERROR(__xludf.dummyfunction("GOOGLEFINANCE(""NSE:""&amp;A303, ""priceopen"")"),797.45)</f>
        <v>797.45</v>
      </c>
      <c r="D305" s="6">
        <f ca="1">IFERROR(__xludf.dummyfunction("GOOGLEFINANCE(""NSE:""&amp;A303, ""high"")"),808.75)</f>
        <v>808.75</v>
      </c>
      <c r="E305" s="6">
        <f ca="1">IFERROR(__xludf.dummyfunction("GOOGLEFINANCE(""NSE:""&amp;A303, ""low"")"),783.4)</f>
        <v>783.4</v>
      </c>
      <c r="F305" s="6">
        <f ca="1">IFERROR(__xludf.dummyfunction("GOOGLEFINANCE(""NSE:""&amp;A303, ""closeyest"")"),788.9)</f>
        <v>788.9</v>
      </c>
      <c r="G305" s="6">
        <f ca="1">IFERROR(__xludf.dummyfunction("GOOGLEFINANCE(""NSE:""&amp;A303, ""volume"")"),389037)</f>
        <v>389037</v>
      </c>
      <c r="H305" s="6" t="b">
        <f t="shared" ca="1" si="8"/>
        <v>0</v>
      </c>
      <c r="I305" s="6" t="b">
        <f t="shared" ca="1" si="9"/>
        <v>0</v>
      </c>
      <c r="J305" s="7">
        <f ca="1">IFERROR(__xludf.dummyfunction("GOOGLEFINANCE(""NSE:""&amp;A303, ""changepct"")"),0.14)</f>
        <v>0.14000000000000001</v>
      </c>
    </row>
    <row r="306" spans="1:10" ht="13.8">
      <c r="A306" s="5" t="s">
        <v>310</v>
      </c>
      <c r="B306" s="6">
        <f ca="1">IFERROR(__xludf.dummyfunction("GOOGLEFINANCE(""NSE:""&amp;A138, ""price"")"),89.35)</f>
        <v>89.35</v>
      </c>
      <c r="C306" s="6">
        <f ca="1">IFERROR(__xludf.dummyfunction("GOOGLEFINANCE(""NSE:""&amp;A138, ""priceopen"")"),87.35)</f>
        <v>87.35</v>
      </c>
      <c r="D306" s="6">
        <f ca="1">IFERROR(__xludf.dummyfunction("GOOGLEFINANCE(""NSE:""&amp;A138, ""high"")"),89.4)</f>
        <v>89.4</v>
      </c>
      <c r="E306" s="6">
        <f ca="1">IFERROR(__xludf.dummyfunction("GOOGLEFINANCE(""NSE:""&amp;A138, ""low"")"),87.35)</f>
        <v>87.35</v>
      </c>
      <c r="F306" s="6">
        <f ca="1">IFERROR(__xludf.dummyfunction("GOOGLEFINANCE(""NSE:""&amp;A138, ""closeyest"")"),87.3)</f>
        <v>87.3</v>
      </c>
      <c r="G306" s="6">
        <f ca="1">IFERROR(__xludf.dummyfunction("GOOGLEFINANCE(""NSE:""&amp;A138, ""volume"")"),385511)</f>
        <v>385511</v>
      </c>
      <c r="H306" s="6" t="b">
        <f t="shared" ca="1" si="8"/>
        <v>1</v>
      </c>
      <c r="I306" s="6" t="b">
        <f t="shared" ca="1" si="9"/>
        <v>0</v>
      </c>
      <c r="J306" s="7">
        <f ca="1">IFERROR(__xludf.dummyfunction("GOOGLEFINANCE(""NSE:""&amp;A138, ""changepct"")"),2.35)</f>
        <v>2.35</v>
      </c>
    </row>
    <row r="307" spans="1:10" ht="13.8">
      <c r="A307" s="5" t="s">
        <v>311</v>
      </c>
      <c r="B307" s="6">
        <f ca="1">IFERROR(__xludf.dummyfunction("GOOGLEFINANCE(""NSE:""&amp;A48, ""price"")"),191.15)</f>
        <v>191.15</v>
      </c>
      <c r="C307" s="6">
        <f ca="1">IFERROR(__xludf.dummyfunction("GOOGLEFINANCE(""NSE:""&amp;A48, ""priceopen"")"),190)</f>
        <v>190</v>
      </c>
      <c r="D307" s="6">
        <f ca="1">IFERROR(__xludf.dummyfunction("GOOGLEFINANCE(""NSE:""&amp;A48, ""high"")"),191.15)</f>
        <v>191.15</v>
      </c>
      <c r="E307" s="6">
        <f ca="1">IFERROR(__xludf.dummyfunction("GOOGLEFINANCE(""NSE:""&amp;A48, ""low"")"),185.1)</f>
        <v>185.1</v>
      </c>
      <c r="F307" s="6">
        <f ca="1">IFERROR(__xludf.dummyfunction("GOOGLEFINANCE(""NSE:""&amp;A48, ""closeyest"")"),182.05)</f>
        <v>182.05</v>
      </c>
      <c r="G307" s="6">
        <f ca="1">IFERROR(__xludf.dummyfunction("GOOGLEFINANCE(""NSE:""&amp;A48, ""volume"")"),376421)</f>
        <v>376421</v>
      </c>
      <c r="H307" s="6" t="b">
        <f t="shared" ca="1" si="8"/>
        <v>0</v>
      </c>
      <c r="I307" s="6" t="b">
        <f t="shared" ca="1" si="9"/>
        <v>0</v>
      </c>
      <c r="J307" s="7">
        <f ca="1">IFERROR(__xludf.dummyfunction("GOOGLEFINANCE(""NSE:""&amp;A48, ""changepct"")"),5)</f>
        <v>5</v>
      </c>
    </row>
    <row r="308" spans="1:10" ht="13.8">
      <c r="A308" s="5" t="s">
        <v>312</v>
      </c>
      <c r="B308" s="6">
        <f ca="1">IFERROR(__xludf.dummyfunction("GOOGLEFINANCE(""NSE:""&amp;A306, ""price"")"),73.8)</f>
        <v>73.8</v>
      </c>
      <c r="C308" s="6">
        <f ca="1">IFERROR(__xludf.dummyfunction("GOOGLEFINANCE(""NSE:""&amp;A306, ""priceopen"")"),74.4)</f>
        <v>74.400000000000006</v>
      </c>
      <c r="D308" s="6">
        <f ca="1">IFERROR(__xludf.dummyfunction("GOOGLEFINANCE(""NSE:""&amp;A306, ""high"")"),74.4)</f>
        <v>74.400000000000006</v>
      </c>
      <c r="E308" s="6">
        <f ca="1">IFERROR(__xludf.dummyfunction("GOOGLEFINANCE(""NSE:""&amp;A306, ""low"")"),73.25)</f>
        <v>73.25</v>
      </c>
      <c r="F308" s="6">
        <f ca="1">IFERROR(__xludf.dummyfunction("GOOGLEFINANCE(""NSE:""&amp;A306, ""closeyest"")"),73.7)</f>
        <v>73.7</v>
      </c>
      <c r="G308" s="6">
        <f ca="1">IFERROR(__xludf.dummyfunction("GOOGLEFINANCE(""NSE:""&amp;A306, ""volume"")"),375981)</f>
        <v>375981</v>
      </c>
      <c r="H308" s="6" t="b">
        <f t="shared" ca="1" si="8"/>
        <v>0</v>
      </c>
      <c r="I308" s="6" t="b">
        <f t="shared" ca="1" si="9"/>
        <v>1</v>
      </c>
      <c r="J308" s="7">
        <f ca="1">IFERROR(__xludf.dummyfunction("GOOGLEFINANCE(""NSE:""&amp;A306, ""changepct"")"),0.14)</f>
        <v>0.14000000000000001</v>
      </c>
    </row>
    <row r="309" spans="1:10" ht="13.8">
      <c r="A309" s="5" t="s">
        <v>313</v>
      </c>
      <c r="B309" s="6">
        <f ca="1">IFERROR(__xludf.dummyfunction("GOOGLEFINANCE(""NSE:""&amp;A430, ""price"")"),175.25)</f>
        <v>175.25</v>
      </c>
      <c r="C309" s="6">
        <f ca="1">IFERROR(__xludf.dummyfunction("GOOGLEFINANCE(""NSE:""&amp;A430, ""priceopen"")"),178)</f>
        <v>178</v>
      </c>
      <c r="D309" s="6">
        <f ca="1">IFERROR(__xludf.dummyfunction("GOOGLEFINANCE(""NSE:""&amp;A430, ""high"")"),178)</f>
        <v>178</v>
      </c>
      <c r="E309" s="6">
        <f ca="1">IFERROR(__xludf.dummyfunction("GOOGLEFINANCE(""NSE:""&amp;A430, ""low"")"),174.75)</f>
        <v>174.75</v>
      </c>
      <c r="F309" s="6">
        <f ca="1">IFERROR(__xludf.dummyfunction("GOOGLEFINANCE(""NSE:""&amp;A430, ""closeyest"")"),177)</f>
        <v>177</v>
      </c>
      <c r="G309" s="6">
        <f ca="1">IFERROR(__xludf.dummyfunction("GOOGLEFINANCE(""NSE:""&amp;A430, ""volume"")"),372838)</f>
        <v>372838</v>
      </c>
      <c r="H309" s="6" t="b">
        <f t="shared" ca="1" si="8"/>
        <v>0</v>
      </c>
      <c r="I309" s="6" t="b">
        <f t="shared" ca="1" si="9"/>
        <v>1</v>
      </c>
      <c r="J309" s="7">
        <f ca="1">IFERROR(__xludf.dummyfunction("GOOGLEFINANCE(""NSE:""&amp;A430, ""changepct"")"),-0.99)</f>
        <v>-0.99</v>
      </c>
    </row>
    <row r="310" spans="1:10" ht="13.8">
      <c r="A310" s="5" t="s">
        <v>314</v>
      </c>
      <c r="B310" s="6">
        <f ca="1">IFERROR(__xludf.dummyfunction("GOOGLEFINANCE(""NSE:""&amp;A362, ""price"")"),297)</f>
        <v>297</v>
      </c>
      <c r="C310" s="6">
        <f ca="1">IFERROR(__xludf.dummyfunction("GOOGLEFINANCE(""NSE:""&amp;A362, ""priceopen"")"),299.4)</f>
        <v>299.39999999999998</v>
      </c>
      <c r="D310" s="6">
        <f ca="1">IFERROR(__xludf.dummyfunction("GOOGLEFINANCE(""NSE:""&amp;A362, ""high"")"),302.95)</f>
        <v>302.95</v>
      </c>
      <c r="E310" s="6">
        <f ca="1">IFERROR(__xludf.dummyfunction("GOOGLEFINANCE(""NSE:""&amp;A362, ""low"")"),296)</f>
        <v>296</v>
      </c>
      <c r="F310" s="6">
        <f ca="1">IFERROR(__xludf.dummyfunction("GOOGLEFINANCE(""NSE:""&amp;A362, ""closeyest"")"),298.05)</f>
        <v>298.05</v>
      </c>
      <c r="G310" s="6">
        <f ca="1">IFERROR(__xludf.dummyfunction("GOOGLEFINANCE(""NSE:""&amp;A362, ""volume"")"),368888)</f>
        <v>368888</v>
      </c>
      <c r="H310" s="6" t="b">
        <f t="shared" ca="1" si="8"/>
        <v>0</v>
      </c>
      <c r="I310" s="6" t="b">
        <f t="shared" ca="1" si="9"/>
        <v>0</v>
      </c>
      <c r="J310" s="7">
        <f ca="1">IFERROR(__xludf.dummyfunction("GOOGLEFINANCE(""NSE:""&amp;A362, ""changepct"")"),-0.35)</f>
        <v>-0.35</v>
      </c>
    </row>
    <row r="311" spans="1:10" ht="13.8">
      <c r="A311" s="5" t="s">
        <v>315</v>
      </c>
      <c r="B311" s="6">
        <f ca="1">IFERROR(__xludf.dummyfunction("GOOGLEFINANCE(""NSE:""&amp;A422, ""price"")"),2118.8)</f>
        <v>2118.8000000000002</v>
      </c>
      <c r="C311" s="6">
        <f ca="1">IFERROR(__xludf.dummyfunction("GOOGLEFINANCE(""NSE:""&amp;A422, ""priceopen"")"),2138.4)</f>
        <v>2138.4</v>
      </c>
      <c r="D311" s="6">
        <f ca="1">IFERROR(__xludf.dummyfunction("GOOGLEFINANCE(""NSE:""&amp;A422, ""high"")"),2145)</f>
        <v>2145</v>
      </c>
      <c r="E311" s="6">
        <f ca="1">IFERROR(__xludf.dummyfunction("GOOGLEFINANCE(""NSE:""&amp;A422, ""low"")"),2100)</f>
        <v>2100</v>
      </c>
      <c r="F311" s="6">
        <f ca="1">IFERROR(__xludf.dummyfunction("GOOGLEFINANCE(""NSE:""&amp;A422, ""closeyest"")"),2138.4)</f>
        <v>2138.4</v>
      </c>
      <c r="G311" s="6">
        <f ca="1">IFERROR(__xludf.dummyfunction("GOOGLEFINANCE(""NSE:""&amp;A422, ""volume"")"),366326)</f>
        <v>366326</v>
      </c>
      <c r="H311" s="6" t="b">
        <f t="shared" ca="1" si="8"/>
        <v>0</v>
      </c>
      <c r="I311" s="6" t="b">
        <f t="shared" ca="1" si="9"/>
        <v>0</v>
      </c>
      <c r="J311" s="7">
        <f ca="1">IFERROR(__xludf.dummyfunction("GOOGLEFINANCE(""NSE:""&amp;A422, ""changepct"")"),-0.92)</f>
        <v>-0.92</v>
      </c>
    </row>
    <row r="312" spans="1:10" ht="13.8">
      <c r="A312" s="5" t="s">
        <v>316</v>
      </c>
      <c r="B312" s="6">
        <f ca="1">IFERROR(__xludf.dummyfunction("GOOGLEFINANCE(""NSE:""&amp;A214, ""price"")"),1713)</f>
        <v>1713</v>
      </c>
      <c r="C312" s="6">
        <f ca="1">IFERROR(__xludf.dummyfunction("GOOGLEFINANCE(""NSE:""&amp;A214, ""priceopen"")"),1710.9)</f>
        <v>1710.9</v>
      </c>
      <c r="D312" s="6">
        <f ca="1">IFERROR(__xludf.dummyfunction("GOOGLEFINANCE(""NSE:""&amp;A214, ""high"")"),1759.95)</f>
        <v>1759.95</v>
      </c>
      <c r="E312" s="6">
        <f ca="1">IFERROR(__xludf.dummyfunction("GOOGLEFINANCE(""NSE:""&amp;A214, ""low"")"),1705)</f>
        <v>1705</v>
      </c>
      <c r="F312" s="6">
        <f ca="1">IFERROR(__xludf.dummyfunction("GOOGLEFINANCE(""NSE:""&amp;A214, ""closeyest"")"),1693.1)</f>
        <v>1693.1</v>
      </c>
      <c r="G312" s="6">
        <f ca="1">IFERROR(__xludf.dummyfunction("GOOGLEFINANCE(""NSE:""&amp;A214, ""volume"")"),361295)</f>
        <v>361295</v>
      </c>
      <c r="H312" s="6" t="b">
        <f t="shared" ca="1" si="8"/>
        <v>0</v>
      </c>
      <c r="I312" s="6" t="b">
        <f t="shared" ca="1" si="9"/>
        <v>0</v>
      </c>
      <c r="J312" s="7">
        <f ca="1">IFERROR(__xludf.dummyfunction("GOOGLEFINANCE(""NSE:""&amp;A214, ""changepct"")"),1.18)</f>
        <v>1.18</v>
      </c>
    </row>
    <row r="313" spans="1:10" ht="13.8">
      <c r="A313" s="5" t="s">
        <v>317</v>
      </c>
      <c r="B313" s="6">
        <f ca="1">IFERROR(__xludf.dummyfunction("GOOGLEFINANCE(""NSE:""&amp;A190, ""price"")"),1698)</f>
        <v>1698</v>
      </c>
      <c r="C313" s="6">
        <f ca="1">IFERROR(__xludf.dummyfunction("GOOGLEFINANCE(""NSE:""&amp;A190, ""priceopen"")"),1676)</f>
        <v>1676</v>
      </c>
      <c r="D313" s="6">
        <f ca="1">IFERROR(__xludf.dummyfunction("GOOGLEFINANCE(""NSE:""&amp;A190, ""high"")"),1735)</f>
        <v>1735</v>
      </c>
      <c r="E313" s="6">
        <f ca="1">IFERROR(__xludf.dummyfunction("GOOGLEFINANCE(""NSE:""&amp;A190, ""low"")"),1650)</f>
        <v>1650</v>
      </c>
      <c r="F313" s="6">
        <f ca="1">IFERROR(__xludf.dummyfunction("GOOGLEFINANCE(""NSE:""&amp;A190, ""closeyest"")"),1671.6)</f>
        <v>1671.6</v>
      </c>
      <c r="G313" s="6">
        <f ca="1">IFERROR(__xludf.dummyfunction("GOOGLEFINANCE(""NSE:""&amp;A190, ""volume"")"),359013)</f>
        <v>359013</v>
      </c>
      <c r="H313" s="6" t="b">
        <f t="shared" ca="1" si="8"/>
        <v>0</v>
      </c>
      <c r="I313" s="6" t="b">
        <f t="shared" ca="1" si="9"/>
        <v>0</v>
      </c>
      <c r="J313" s="7">
        <f ca="1">IFERROR(__xludf.dummyfunction("GOOGLEFINANCE(""NSE:""&amp;A190, ""changepct"")"),1.58)</f>
        <v>1.58</v>
      </c>
    </row>
    <row r="314" spans="1:10" ht="13.8">
      <c r="A314" s="5" t="s">
        <v>318</v>
      </c>
      <c r="B314" s="6">
        <f ca="1">IFERROR(__xludf.dummyfunction("GOOGLEFINANCE(""NSE:""&amp;A192, ""price"")"),248.8)</f>
        <v>248.8</v>
      </c>
      <c r="C314" s="6">
        <f ca="1">IFERROR(__xludf.dummyfunction("GOOGLEFINANCE(""NSE:""&amp;A192, ""priceopen"")"),246)</f>
        <v>246</v>
      </c>
      <c r="D314" s="6">
        <f ca="1">IFERROR(__xludf.dummyfunction("GOOGLEFINANCE(""NSE:""&amp;A192, ""high"")"),249)</f>
        <v>249</v>
      </c>
      <c r="E314" s="6">
        <f ca="1">IFERROR(__xludf.dummyfunction("GOOGLEFINANCE(""NSE:""&amp;A192, ""low"")"),245.55)</f>
        <v>245.55</v>
      </c>
      <c r="F314" s="6">
        <f ca="1">IFERROR(__xludf.dummyfunction("GOOGLEFINANCE(""NSE:""&amp;A192, ""closeyest"")"),244.95)</f>
        <v>244.95</v>
      </c>
      <c r="G314" s="6">
        <f ca="1">IFERROR(__xludf.dummyfunction("GOOGLEFINANCE(""NSE:""&amp;A192, ""volume"")"),355390)</f>
        <v>355390</v>
      </c>
      <c r="H314" s="6" t="b">
        <f t="shared" ca="1" si="8"/>
        <v>0</v>
      </c>
      <c r="I314" s="6" t="b">
        <f t="shared" ca="1" si="9"/>
        <v>0</v>
      </c>
      <c r="J314" s="7">
        <f ca="1">IFERROR(__xludf.dummyfunction("GOOGLEFINANCE(""NSE:""&amp;A192, ""changepct"")"),1.57)</f>
        <v>1.57</v>
      </c>
    </row>
    <row r="315" spans="1:10" ht="13.8">
      <c r="A315" s="5" t="s">
        <v>319</v>
      </c>
      <c r="B315" s="6">
        <f ca="1">IFERROR(__xludf.dummyfunction("GOOGLEFINANCE(""NSE:""&amp;A60, ""price"")"),211)</f>
        <v>211</v>
      </c>
      <c r="C315" s="6">
        <f ca="1">IFERROR(__xludf.dummyfunction("GOOGLEFINANCE(""NSE:""&amp;A60, ""priceopen"")"),200)</f>
        <v>200</v>
      </c>
      <c r="D315" s="6">
        <f ca="1">IFERROR(__xludf.dummyfunction("GOOGLEFINANCE(""NSE:""&amp;A60, ""high"")"),212.75)</f>
        <v>212.75</v>
      </c>
      <c r="E315" s="6">
        <f ca="1">IFERROR(__xludf.dummyfunction("GOOGLEFINANCE(""NSE:""&amp;A60, ""low"")"),195)</f>
        <v>195</v>
      </c>
      <c r="F315" s="6">
        <f ca="1">IFERROR(__xludf.dummyfunction("GOOGLEFINANCE(""NSE:""&amp;A60, ""closeyest"")"),201.3)</f>
        <v>201.3</v>
      </c>
      <c r="G315" s="6">
        <f ca="1">IFERROR(__xludf.dummyfunction("GOOGLEFINANCE(""NSE:""&amp;A60, ""volume"")"),354195)</f>
        <v>354195</v>
      </c>
      <c r="H315" s="6" t="b">
        <f t="shared" ca="1" si="8"/>
        <v>0</v>
      </c>
      <c r="I315" s="6" t="b">
        <f t="shared" ca="1" si="9"/>
        <v>0</v>
      </c>
      <c r="J315" s="7">
        <f ca="1">IFERROR(__xludf.dummyfunction("GOOGLEFINANCE(""NSE:""&amp;A60, ""changepct"")"),4.82)</f>
        <v>4.82</v>
      </c>
    </row>
    <row r="316" spans="1:10" ht="13.8">
      <c r="A316" s="5" t="s">
        <v>320</v>
      </c>
      <c r="B316" s="6">
        <f ca="1">IFERROR(__xludf.dummyfunction("GOOGLEFINANCE(""NSE:""&amp;A410, ""price"")"),70.3)</f>
        <v>70.3</v>
      </c>
      <c r="C316" s="6">
        <f ca="1">IFERROR(__xludf.dummyfunction("GOOGLEFINANCE(""NSE:""&amp;A410, ""priceopen"")"),71.5)</f>
        <v>71.5</v>
      </c>
      <c r="D316" s="6">
        <f ca="1">IFERROR(__xludf.dummyfunction("GOOGLEFINANCE(""NSE:""&amp;A410, ""high"")"),72.6)</f>
        <v>72.599999999999994</v>
      </c>
      <c r="E316" s="6">
        <f ca="1">IFERROR(__xludf.dummyfunction("GOOGLEFINANCE(""NSE:""&amp;A410, ""low"")"),70)</f>
        <v>70</v>
      </c>
      <c r="F316" s="6">
        <f ca="1">IFERROR(__xludf.dummyfunction("GOOGLEFINANCE(""NSE:""&amp;A410, ""closeyest"")"),70.85)</f>
        <v>70.849999999999994</v>
      </c>
      <c r="G316" s="6">
        <f ca="1">IFERROR(__xludf.dummyfunction("GOOGLEFINANCE(""NSE:""&amp;A410, ""volume"")"),352795)</f>
        <v>352795</v>
      </c>
      <c r="H316" s="6" t="b">
        <f t="shared" ca="1" si="8"/>
        <v>0</v>
      </c>
      <c r="I316" s="6" t="b">
        <f t="shared" ca="1" si="9"/>
        <v>0</v>
      </c>
      <c r="J316" s="7">
        <f ca="1">IFERROR(__xludf.dummyfunction("GOOGLEFINANCE(""NSE:""&amp;A410, ""changepct"")"),-0.78)</f>
        <v>-0.78</v>
      </c>
    </row>
    <row r="317" spans="1:10" ht="13.8">
      <c r="A317" s="5" t="s">
        <v>321</v>
      </c>
      <c r="B317" s="6">
        <f ca="1">IFERROR(__xludf.dummyfunction("GOOGLEFINANCE(""NSE:""&amp;A393, ""price"")"),1145.05)</f>
        <v>1145.05</v>
      </c>
      <c r="C317" s="6">
        <f ca="1">IFERROR(__xludf.dummyfunction("GOOGLEFINANCE(""NSE:""&amp;A393, ""priceopen"")"),1152)</f>
        <v>1152</v>
      </c>
      <c r="D317" s="6">
        <f ca="1">IFERROR(__xludf.dummyfunction("GOOGLEFINANCE(""NSE:""&amp;A393, ""high"")"),1159)</f>
        <v>1159</v>
      </c>
      <c r="E317" s="6">
        <f ca="1">IFERROR(__xludf.dummyfunction("GOOGLEFINANCE(""NSE:""&amp;A393, ""low"")"),1132.65)</f>
        <v>1132.6500000000001</v>
      </c>
      <c r="F317" s="6">
        <f ca="1">IFERROR(__xludf.dummyfunction("GOOGLEFINANCE(""NSE:""&amp;A393, ""closeyest"")"),1152.25)</f>
        <v>1152.25</v>
      </c>
      <c r="G317" s="6">
        <f ca="1">IFERROR(__xludf.dummyfunction("GOOGLEFINANCE(""NSE:""&amp;A393, ""volume"")"),346723)</f>
        <v>346723</v>
      </c>
      <c r="H317" s="6" t="b">
        <f t="shared" ca="1" si="8"/>
        <v>0</v>
      </c>
      <c r="I317" s="6" t="b">
        <f t="shared" ca="1" si="9"/>
        <v>0</v>
      </c>
      <c r="J317" s="7">
        <f ca="1">IFERROR(__xludf.dummyfunction("GOOGLEFINANCE(""NSE:""&amp;A393, ""changepct"")"),-0.62)</f>
        <v>-0.62</v>
      </c>
    </row>
    <row r="318" spans="1:10" ht="13.8">
      <c r="A318" s="5" t="s">
        <v>322</v>
      </c>
      <c r="B318" s="6">
        <f ca="1">IFERROR(__xludf.dummyfunction("GOOGLEFINANCE(""NSE:""&amp;A407, ""price"")"),273.7)</f>
        <v>273.7</v>
      </c>
      <c r="C318" s="6">
        <f ca="1">IFERROR(__xludf.dummyfunction("GOOGLEFINANCE(""NSE:""&amp;A407, ""priceopen"")"),277.2)</f>
        <v>277.2</v>
      </c>
      <c r="D318" s="6">
        <f ca="1">IFERROR(__xludf.dummyfunction("GOOGLEFINANCE(""NSE:""&amp;A407, ""high"")"),280)</f>
        <v>280</v>
      </c>
      <c r="E318" s="6">
        <f ca="1">IFERROR(__xludf.dummyfunction("GOOGLEFINANCE(""NSE:""&amp;A407, ""low"")"),272.65)</f>
        <v>272.64999999999998</v>
      </c>
      <c r="F318" s="6">
        <f ca="1">IFERROR(__xludf.dummyfunction("GOOGLEFINANCE(""NSE:""&amp;A407, ""closeyest"")"),275.8)</f>
        <v>275.8</v>
      </c>
      <c r="G318" s="6">
        <f ca="1">IFERROR(__xludf.dummyfunction("GOOGLEFINANCE(""NSE:""&amp;A407, ""volume"")"),342536)</f>
        <v>342536</v>
      </c>
      <c r="H318" s="6" t="b">
        <f t="shared" ca="1" si="8"/>
        <v>0</v>
      </c>
      <c r="I318" s="6" t="b">
        <f t="shared" ca="1" si="9"/>
        <v>0</v>
      </c>
      <c r="J318" s="7">
        <f ca="1">IFERROR(__xludf.dummyfunction("GOOGLEFINANCE(""NSE:""&amp;A407, ""changepct"")"),-0.76)</f>
        <v>-0.76</v>
      </c>
    </row>
    <row r="319" spans="1:10" ht="13.8">
      <c r="A319" s="5" t="s">
        <v>323</v>
      </c>
      <c r="B319" s="6">
        <f ca="1">IFERROR(__xludf.dummyfunction("GOOGLEFINANCE(""NSE:""&amp;A284, ""price"")"),789)</f>
        <v>789</v>
      </c>
      <c r="C319" s="6">
        <f ca="1">IFERROR(__xludf.dummyfunction("GOOGLEFINANCE(""NSE:""&amp;A284, ""priceopen"")"),791.85)</f>
        <v>791.85</v>
      </c>
      <c r="D319" s="6">
        <f ca="1">IFERROR(__xludf.dummyfunction("GOOGLEFINANCE(""NSE:""&amp;A284, ""high"")"),805.4)</f>
        <v>805.4</v>
      </c>
      <c r="E319" s="6">
        <f ca="1">IFERROR(__xludf.dummyfunction("GOOGLEFINANCE(""NSE:""&amp;A284, ""low"")"),780.15)</f>
        <v>780.15</v>
      </c>
      <c r="F319" s="6">
        <f ca="1">IFERROR(__xludf.dummyfunction("GOOGLEFINANCE(""NSE:""&amp;A284, ""closeyest"")"),786.25)</f>
        <v>786.25</v>
      </c>
      <c r="G319" s="6">
        <f ca="1">IFERROR(__xludf.dummyfunction("GOOGLEFINANCE(""NSE:""&amp;A284, ""volume"")"),337110)</f>
        <v>337110</v>
      </c>
      <c r="H319" s="6" t="b">
        <f t="shared" ca="1" si="8"/>
        <v>0</v>
      </c>
      <c r="I319" s="6" t="b">
        <f t="shared" ca="1" si="9"/>
        <v>0</v>
      </c>
      <c r="J319" s="7">
        <f ca="1">IFERROR(__xludf.dummyfunction("GOOGLEFINANCE(""NSE:""&amp;A284, ""changepct"")"),0.35)</f>
        <v>0.35</v>
      </c>
    </row>
    <row r="320" spans="1:10" ht="13.8">
      <c r="A320" s="5" t="s">
        <v>324</v>
      </c>
      <c r="B320" s="6">
        <f ca="1">IFERROR(__xludf.dummyfunction("GOOGLEFINANCE(""NSE:""&amp;A161, ""price"")"),859)</f>
        <v>859</v>
      </c>
      <c r="C320" s="6">
        <f ca="1">IFERROR(__xludf.dummyfunction("GOOGLEFINANCE(""NSE:""&amp;A161, ""priceopen"")"),846.95)</f>
        <v>846.95</v>
      </c>
      <c r="D320" s="6">
        <f ca="1">IFERROR(__xludf.dummyfunction("GOOGLEFINANCE(""NSE:""&amp;A161, ""high"")"),869)</f>
        <v>869</v>
      </c>
      <c r="E320" s="6">
        <f ca="1">IFERROR(__xludf.dummyfunction("GOOGLEFINANCE(""NSE:""&amp;A161, ""low"")"),836)</f>
        <v>836</v>
      </c>
      <c r="F320" s="6">
        <f ca="1">IFERROR(__xludf.dummyfunction("GOOGLEFINANCE(""NSE:""&amp;A161, ""closeyest"")"),842.45)</f>
        <v>842.45</v>
      </c>
      <c r="G320" s="6">
        <f ca="1">IFERROR(__xludf.dummyfunction("GOOGLEFINANCE(""NSE:""&amp;A161, ""volume"")"),333763)</f>
        <v>333763</v>
      </c>
      <c r="H320" s="6" t="b">
        <f t="shared" ca="1" si="8"/>
        <v>0</v>
      </c>
      <c r="I320" s="6" t="b">
        <f t="shared" ca="1" si="9"/>
        <v>0</v>
      </c>
      <c r="J320" s="7">
        <f ca="1">IFERROR(__xludf.dummyfunction("GOOGLEFINANCE(""NSE:""&amp;A161, ""changepct"")"),1.96)</f>
        <v>1.96</v>
      </c>
    </row>
    <row r="321" spans="1:10" ht="13.8">
      <c r="A321" s="5" t="s">
        <v>325</v>
      </c>
      <c r="B321" s="6">
        <f ca="1">IFERROR(__xludf.dummyfunction("GOOGLEFINANCE(""NSE:""&amp;A363, ""price"")"),283.65)</f>
        <v>283.64999999999998</v>
      </c>
      <c r="C321" s="6">
        <f ca="1">IFERROR(__xludf.dummyfunction("GOOGLEFINANCE(""NSE:""&amp;A363, ""priceopen"")"),288.9)</f>
        <v>288.89999999999998</v>
      </c>
      <c r="D321" s="6">
        <f ca="1">IFERROR(__xludf.dummyfunction("GOOGLEFINANCE(""NSE:""&amp;A363, ""high"")"),288.9)</f>
        <v>288.89999999999998</v>
      </c>
      <c r="E321" s="6">
        <f ca="1">IFERROR(__xludf.dummyfunction("GOOGLEFINANCE(""NSE:""&amp;A363, ""low"")"),279.1)</f>
        <v>279.10000000000002</v>
      </c>
      <c r="F321" s="6">
        <f ca="1">IFERROR(__xludf.dummyfunction("GOOGLEFINANCE(""NSE:""&amp;A363, ""closeyest"")"),284.65)</f>
        <v>284.64999999999998</v>
      </c>
      <c r="G321" s="6">
        <f ca="1">IFERROR(__xludf.dummyfunction("GOOGLEFINANCE(""NSE:""&amp;A363, ""volume"")"),330171)</f>
        <v>330171</v>
      </c>
      <c r="H321" s="6" t="b">
        <f t="shared" ref="H321:H384" ca="1" si="10">C321=E321</f>
        <v>0</v>
      </c>
      <c r="I321" s="6" t="b">
        <f t="shared" ref="I321:I384" ca="1" si="11">D321=C321</f>
        <v>1</v>
      </c>
      <c r="J321" s="7">
        <f ca="1">IFERROR(__xludf.dummyfunction("GOOGLEFINANCE(""NSE:""&amp;A363, ""changepct"")"),-0.35)</f>
        <v>-0.35</v>
      </c>
    </row>
    <row r="322" spans="1:10" ht="13.8">
      <c r="A322" s="5" t="s">
        <v>326</v>
      </c>
      <c r="B322" s="6">
        <f ca="1">IFERROR(__xludf.dummyfunction("GOOGLEFINANCE(""NSE:""&amp;A488, ""price"")"),227)</f>
        <v>227</v>
      </c>
      <c r="C322" s="6">
        <f ca="1">IFERROR(__xludf.dummyfunction("GOOGLEFINANCE(""NSE:""&amp;A488, ""priceopen"")"),225.5)</f>
        <v>225.5</v>
      </c>
      <c r="D322" s="6">
        <f ca="1">IFERROR(__xludf.dummyfunction("GOOGLEFINANCE(""NSE:""&amp;A488, ""high"")"),233)</f>
        <v>233</v>
      </c>
      <c r="E322" s="6">
        <f ca="1">IFERROR(__xludf.dummyfunction("GOOGLEFINANCE(""NSE:""&amp;A488, ""low"")"),225.25)</f>
        <v>225.25</v>
      </c>
      <c r="F322" s="6">
        <f ca="1">IFERROR(__xludf.dummyfunction("GOOGLEFINANCE(""NSE:""&amp;A488, ""closeyest"")"),233.9)</f>
        <v>233.9</v>
      </c>
      <c r="G322" s="6">
        <f ca="1">IFERROR(__xludf.dummyfunction("GOOGLEFINANCE(""NSE:""&amp;A488, ""volume"")"),320211)</f>
        <v>320211</v>
      </c>
      <c r="H322" s="6" t="b">
        <f t="shared" ca="1" si="10"/>
        <v>0</v>
      </c>
      <c r="I322" s="6" t="b">
        <f t="shared" ca="1" si="11"/>
        <v>0</v>
      </c>
      <c r="J322" s="7">
        <f ca="1">IFERROR(__xludf.dummyfunction("GOOGLEFINANCE(""NSE:""&amp;A488, ""changepct"")"),-2.95)</f>
        <v>-2.95</v>
      </c>
    </row>
    <row r="323" spans="1:10" ht="13.8">
      <c r="A323" s="5" t="s">
        <v>327</v>
      </c>
      <c r="B323" s="6">
        <f ca="1">IFERROR(__xludf.dummyfunction("GOOGLEFINANCE(""NSE:""&amp;A499, ""price"")"),37.7)</f>
        <v>37.700000000000003</v>
      </c>
      <c r="C323" s="6">
        <f ca="1">IFERROR(__xludf.dummyfunction("GOOGLEFINANCE(""NSE:""&amp;A499, ""priceopen"")"),37.7)</f>
        <v>37.700000000000003</v>
      </c>
      <c r="D323" s="6">
        <f ca="1">IFERROR(__xludf.dummyfunction("GOOGLEFINANCE(""NSE:""&amp;A499, ""high"")"),37.7)</f>
        <v>37.700000000000003</v>
      </c>
      <c r="E323" s="6">
        <f ca="1">IFERROR(__xludf.dummyfunction("GOOGLEFINANCE(""NSE:""&amp;A499, ""low"")"),37.7)</f>
        <v>37.700000000000003</v>
      </c>
      <c r="F323" s="6">
        <f ca="1">IFERROR(__xludf.dummyfunction("GOOGLEFINANCE(""NSE:""&amp;A499, ""closeyest"")"),39.65)</f>
        <v>39.65</v>
      </c>
      <c r="G323" s="6">
        <f ca="1">IFERROR(__xludf.dummyfunction("GOOGLEFINANCE(""NSE:""&amp;A499, ""volume"")"),315218)</f>
        <v>315218</v>
      </c>
      <c r="H323" s="6" t="b">
        <f t="shared" ca="1" si="10"/>
        <v>1</v>
      </c>
      <c r="I323" s="6" t="b">
        <f t="shared" ca="1" si="11"/>
        <v>1</v>
      </c>
      <c r="J323" s="7">
        <f ca="1">IFERROR(__xludf.dummyfunction("GOOGLEFINANCE(""NSE:""&amp;A499, ""changepct"")"),-4.92)</f>
        <v>-4.92</v>
      </c>
    </row>
    <row r="324" spans="1:10" ht="13.8">
      <c r="A324" s="5" t="s">
        <v>328</v>
      </c>
      <c r="B324" s="6">
        <f ca="1">IFERROR(__xludf.dummyfunction("GOOGLEFINANCE(""NSE:""&amp;A411, ""price"")"),1059)</f>
        <v>1059</v>
      </c>
      <c r="C324" s="6">
        <f ca="1">IFERROR(__xludf.dummyfunction("GOOGLEFINANCE(""NSE:""&amp;A411, ""priceopen"")"),1072)</f>
        <v>1072</v>
      </c>
      <c r="D324" s="6">
        <f ca="1">IFERROR(__xludf.dummyfunction("GOOGLEFINANCE(""NSE:""&amp;A411, ""high"")"),1100)</f>
        <v>1100</v>
      </c>
      <c r="E324" s="6">
        <f ca="1">IFERROR(__xludf.dummyfunction("GOOGLEFINANCE(""NSE:""&amp;A411, ""low"")"),1051.1)</f>
        <v>1051.0999999999999</v>
      </c>
      <c r="F324" s="6">
        <f ca="1">IFERROR(__xludf.dummyfunction("GOOGLEFINANCE(""NSE:""&amp;A411, ""closeyest"")"),1067.7)</f>
        <v>1067.7</v>
      </c>
      <c r="G324" s="6">
        <f ca="1">IFERROR(__xludf.dummyfunction("GOOGLEFINANCE(""NSE:""&amp;A411, ""volume"")"),312613)</f>
        <v>312613</v>
      </c>
      <c r="H324" s="6" t="b">
        <f t="shared" ca="1" si="10"/>
        <v>0</v>
      </c>
      <c r="I324" s="6" t="b">
        <f t="shared" ca="1" si="11"/>
        <v>0</v>
      </c>
      <c r="J324" s="7">
        <f ca="1">IFERROR(__xludf.dummyfunction("GOOGLEFINANCE(""NSE:""&amp;A411, ""changepct"")"),-0.81)</f>
        <v>-0.81</v>
      </c>
    </row>
    <row r="325" spans="1:10" ht="13.8">
      <c r="A325" s="5" t="s">
        <v>329</v>
      </c>
      <c r="B325" s="6">
        <f ca="1">IFERROR(__xludf.dummyfunction("GOOGLEFINANCE(""NSE:""&amp;A7, ""price"")"),5749)</f>
        <v>5749</v>
      </c>
      <c r="C325" s="6">
        <f ca="1">IFERROR(__xludf.dummyfunction("GOOGLEFINANCE(""NSE:""&amp;A7, ""priceopen"")"),5300)</f>
        <v>5300</v>
      </c>
      <c r="D325" s="6">
        <f ca="1">IFERROR(__xludf.dummyfunction("GOOGLEFINANCE(""NSE:""&amp;A7, ""high"")"),6071.25)</f>
        <v>6071.25</v>
      </c>
      <c r="E325" s="6">
        <f ca="1">IFERROR(__xludf.dummyfunction("GOOGLEFINANCE(""NSE:""&amp;A7, ""low"")"),5250)</f>
        <v>5250</v>
      </c>
      <c r="F325" s="6">
        <f ca="1">IFERROR(__xludf.dummyfunction("GOOGLEFINANCE(""NSE:""&amp;A7, ""closeyest"")"),5059.4)</f>
        <v>5059.3999999999996</v>
      </c>
      <c r="G325" s="6">
        <f ca="1">IFERROR(__xludf.dummyfunction("GOOGLEFINANCE(""NSE:""&amp;A7, ""volume"")"),311831)</f>
        <v>311831</v>
      </c>
      <c r="H325" s="6" t="b">
        <f t="shared" ca="1" si="10"/>
        <v>0</v>
      </c>
      <c r="I325" s="6" t="b">
        <f t="shared" ca="1" si="11"/>
        <v>0</v>
      </c>
      <c r="J325" s="7">
        <f ca="1">IFERROR(__xludf.dummyfunction("GOOGLEFINANCE(""NSE:""&amp;A7, ""changepct"")"),13.63)</f>
        <v>13.63</v>
      </c>
    </row>
    <row r="326" spans="1:10" ht="13.8">
      <c r="A326" s="5" t="s">
        <v>330</v>
      </c>
      <c r="B326" s="6">
        <f ca="1">IFERROR(__xludf.dummyfunction("GOOGLEFINANCE(""NSE:""&amp;A431, ""price"")"),990)</f>
        <v>990</v>
      </c>
      <c r="C326" s="6">
        <f ca="1">IFERROR(__xludf.dummyfunction("GOOGLEFINANCE(""NSE:""&amp;A431, ""priceopen"")"),950.25)</f>
        <v>950.25</v>
      </c>
      <c r="D326" s="6">
        <f ca="1">IFERROR(__xludf.dummyfunction("GOOGLEFINANCE(""NSE:""&amp;A431, ""high"")"),1025)</f>
        <v>1025</v>
      </c>
      <c r="E326" s="6">
        <f ca="1">IFERROR(__xludf.dummyfunction("GOOGLEFINANCE(""NSE:""&amp;A431, ""low"")"),930.05)</f>
        <v>930.05</v>
      </c>
      <c r="F326" s="6">
        <f ca="1">IFERROR(__xludf.dummyfunction("GOOGLEFINANCE(""NSE:""&amp;A431, ""closeyest"")"),1000.25)</f>
        <v>1000.25</v>
      </c>
      <c r="G326" s="6">
        <f ca="1">IFERROR(__xludf.dummyfunction("GOOGLEFINANCE(""NSE:""&amp;A431, ""volume"")"),309659)</f>
        <v>309659</v>
      </c>
      <c r="H326" s="6" t="b">
        <f t="shared" ca="1" si="10"/>
        <v>0</v>
      </c>
      <c r="I326" s="6" t="b">
        <f t="shared" ca="1" si="11"/>
        <v>0</v>
      </c>
      <c r="J326" s="7">
        <f ca="1">IFERROR(__xludf.dummyfunction("GOOGLEFINANCE(""NSE:""&amp;A431, ""changepct"")"),-1.02)</f>
        <v>-1.02</v>
      </c>
    </row>
    <row r="327" spans="1:10" ht="13.8">
      <c r="A327" s="5" t="s">
        <v>331</v>
      </c>
      <c r="B327" s="6">
        <f ca="1">IFERROR(__xludf.dummyfunction("GOOGLEFINANCE(""NSE:""&amp;A124, ""price"")"),250.5)</f>
        <v>250.5</v>
      </c>
      <c r="C327" s="6">
        <f ca="1">IFERROR(__xludf.dummyfunction("GOOGLEFINANCE(""NSE:""&amp;A124, ""priceopen"")"),245.75)</f>
        <v>245.75</v>
      </c>
      <c r="D327" s="6">
        <f ca="1">IFERROR(__xludf.dummyfunction("GOOGLEFINANCE(""NSE:""&amp;A124, ""high"")"),257.1)</f>
        <v>257.10000000000002</v>
      </c>
      <c r="E327" s="6">
        <f ca="1">IFERROR(__xludf.dummyfunction("GOOGLEFINANCE(""NSE:""&amp;A124, ""low"")"),245.2)</f>
        <v>245.2</v>
      </c>
      <c r="F327" s="6">
        <f ca="1">IFERROR(__xludf.dummyfunction("GOOGLEFINANCE(""NSE:""&amp;A124, ""closeyest"")"),243.8)</f>
        <v>243.8</v>
      </c>
      <c r="G327" s="6">
        <f ca="1">IFERROR(__xludf.dummyfunction("GOOGLEFINANCE(""NSE:""&amp;A124, ""volume"")"),308600)</f>
        <v>308600</v>
      </c>
      <c r="H327" s="6" t="b">
        <f t="shared" ca="1" si="10"/>
        <v>0</v>
      </c>
      <c r="I327" s="6" t="b">
        <f t="shared" ca="1" si="11"/>
        <v>0</v>
      </c>
      <c r="J327" s="7">
        <f ca="1">IFERROR(__xludf.dummyfunction("GOOGLEFINANCE(""NSE:""&amp;A124, ""changepct"")"),2.75)</f>
        <v>2.75</v>
      </c>
    </row>
    <row r="328" spans="1:10" ht="13.8">
      <c r="A328" s="5" t="s">
        <v>332</v>
      </c>
      <c r="B328" s="6">
        <f ca="1">IFERROR(__xludf.dummyfunction("GOOGLEFINANCE(""NSE:""&amp;A395, ""price"")"),1323)</f>
        <v>1323</v>
      </c>
      <c r="C328" s="6">
        <f ca="1">IFERROR(__xludf.dummyfunction("GOOGLEFINANCE(""NSE:""&amp;A395, ""priceopen"")"),1332)</f>
        <v>1332</v>
      </c>
      <c r="D328" s="6">
        <f ca="1">IFERROR(__xludf.dummyfunction("GOOGLEFINANCE(""NSE:""&amp;A395, ""high"")"),1337)</f>
        <v>1337</v>
      </c>
      <c r="E328" s="6">
        <f ca="1">IFERROR(__xludf.dummyfunction("GOOGLEFINANCE(""NSE:""&amp;A395, ""low"")"),1320.45)</f>
        <v>1320.45</v>
      </c>
      <c r="F328" s="6">
        <f ca="1">IFERROR(__xludf.dummyfunction("GOOGLEFINANCE(""NSE:""&amp;A395, ""closeyest"")"),1331.35)</f>
        <v>1331.35</v>
      </c>
      <c r="G328" s="6">
        <f ca="1">IFERROR(__xludf.dummyfunction("GOOGLEFINANCE(""NSE:""&amp;A395, ""volume"")"),307775)</f>
        <v>307775</v>
      </c>
      <c r="H328" s="6" t="b">
        <f t="shared" ca="1" si="10"/>
        <v>0</v>
      </c>
      <c r="I328" s="6" t="b">
        <f t="shared" ca="1" si="11"/>
        <v>0</v>
      </c>
      <c r="J328" s="7">
        <f ca="1">IFERROR(__xludf.dummyfunction("GOOGLEFINANCE(""NSE:""&amp;A395, ""changepct"")"),-0.63)</f>
        <v>-0.63</v>
      </c>
    </row>
    <row r="329" spans="1:10" ht="13.8">
      <c r="A329" s="5" t="s">
        <v>333</v>
      </c>
      <c r="B329" s="6">
        <f ca="1">IFERROR(__xludf.dummyfunction("GOOGLEFINANCE(""NSE:""&amp;A459, ""price"")"),162)</f>
        <v>162</v>
      </c>
      <c r="C329" s="6">
        <f ca="1">IFERROR(__xludf.dummyfunction("GOOGLEFINANCE(""NSE:""&amp;A459, ""priceopen"")"),165)</f>
        <v>165</v>
      </c>
      <c r="D329" s="6">
        <f ca="1">IFERROR(__xludf.dummyfunction("GOOGLEFINANCE(""NSE:""&amp;A459, ""high"")"),165.8)</f>
        <v>165.8</v>
      </c>
      <c r="E329" s="6">
        <f ca="1">IFERROR(__xludf.dummyfunction("GOOGLEFINANCE(""NSE:""&amp;A459, ""low"")"),161.7)</f>
        <v>161.69999999999999</v>
      </c>
      <c r="F329" s="6">
        <f ca="1">IFERROR(__xludf.dummyfunction("GOOGLEFINANCE(""NSE:""&amp;A459, ""closeyest"")"),164.4)</f>
        <v>164.4</v>
      </c>
      <c r="G329" s="6">
        <f ca="1">IFERROR(__xludf.dummyfunction("GOOGLEFINANCE(""NSE:""&amp;A459, ""volume"")"),300989)</f>
        <v>300989</v>
      </c>
      <c r="H329" s="6" t="b">
        <f t="shared" ca="1" si="10"/>
        <v>0</v>
      </c>
      <c r="I329" s="6" t="b">
        <f t="shared" ca="1" si="11"/>
        <v>0</v>
      </c>
      <c r="J329" s="7">
        <f ca="1">IFERROR(__xludf.dummyfunction("GOOGLEFINANCE(""NSE:""&amp;A459, ""changepct"")"),-1.46)</f>
        <v>-1.46</v>
      </c>
    </row>
    <row r="330" spans="1:10" ht="13.8">
      <c r="A330" s="5" t="s">
        <v>334</v>
      </c>
      <c r="B330" s="6">
        <f ca="1">IFERROR(__xludf.dummyfunction("GOOGLEFINANCE(""NSE:""&amp;A484, ""price"")"),223.85)</f>
        <v>223.85</v>
      </c>
      <c r="C330" s="6">
        <f ca="1">IFERROR(__xludf.dummyfunction("GOOGLEFINANCE(""NSE:""&amp;A484, ""priceopen"")"),232)</f>
        <v>232</v>
      </c>
      <c r="D330" s="6">
        <f ca="1">IFERROR(__xludf.dummyfunction("GOOGLEFINANCE(""NSE:""&amp;A484, ""high"")"),234.5)</f>
        <v>234.5</v>
      </c>
      <c r="E330" s="6">
        <f ca="1">IFERROR(__xludf.dummyfunction("GOOGLEFINANCE(""NSE:""&amp;A484, ""low"")"),221.3)</f>
        <v>221.3</v>
      </c>
      <c r="F330" s="6">
        <f ca="1">IFERROR(__xludf.dummyfunction("GOOGLEFINANCE(""NSE:""&amp;A484, ""closeyest"")"),229.9)</f>
        <v>229.9</v>
      </c>
      <c r="G330" s="6">
        <f ca="1">IFERROR(__xludf.dummyfunction("GOOGLEFINANCE(""NSE:""&amp;A484, ""volume"")"),299931)</f>
        <v>299931</v>
      </c>
      <c r="H330" s="6" t="b">
        <f t="shared" ca="1" si="10"/>
        <v>0</v>
      </c>
      <c r="I330" s="6" t="b">
        <f t="shared" ca="1" si="11"/>
        <v>0</v>
      </c>
      <c r="J330" s="7">
        <f ca="1">IFERROR(__xludf.dummyfunction("GOOGLEFINANCE(""NSE:""&amp;A484, ""changepct"")"),-2.63)</f>
        <v>-2.63</v>
      </c>
    </row>
    <row r="331" spans="1:10" ht="13.8">
      <c r="A331" s="5" t="s">
        <v>335</v>
      </c>
      <c r="B331" s="6">
        <f ca="1">IFERROR(__xludf.dummyfunction("GOOGLEFINANCE(""NSE:""&amp;A46, ""price"")"),135)</f>
        <v>135</v>
      </c>
      <c r="C331" s="6">
        <f ca="1">IFERROR(__xludf.dummyfunction("GOOGLEFINANCE(""NSE:""&amp;A46, ""priceopen"")"),129.5)</f>
        <v>129.5</v>
      </c>
      <c r="D331" s="6">
        <f ca="1">IFERROR(__xludf.dummyfunction("GOOGLEFINANCE(""NSE:""&amp;A46, ""high"")"),135.8)</f>
        <v>135.80000000000001</v>
      </c>
      <c r="E331" s="6">
        <f ca="1">IFERROR(__xludf.dummyfunction("GOOGLEFINANCE(""NSE:""&amp;A46, ""low"")"),126.5)</f>
        <v>126.5</v>
      </c>
      <c r="F331" s="6">
        <f ca="1">IFERROR(__xludf.dummyfunction("GOOGLEFINANCE(""NSE:""&amp;A46, ""closeyest"")"),128.3)</f>
        <v>128.30000000000001</v>
      </c>
      <c r="G331" s="6">
        <f ca="1">IFERROR(__xludf.dummyfunction("GOOGLEFINANCE(""NSE:""&amp;A46, ""volume"")"),293772)</f>
        <v>293772</v>
      </c>
      <c r="H331" s="6" t="b">
        <f t="shared" ca="1" si="10"/>
        <v>0</v>
      </c>
      <c r="I331" s="6" t="b">
        <f t="shared" ca="1" si="11"/>
        <v>0</v>
      </c>
      <c r="J331" s="7">
        <f ca="1">IFERROR(__xludf.dummyfunction("GOOGLEFINANCE(""NSE:""&amp;A46, ""changepct"")"),5.22)</f>
        <v>5.22</v>
      </c>
    </row>
    <row r="332" spans="1:10" ht="13.8">
      <c r="A332" s="5" t="s">
        <v>336</v>
      </c>
      <c r="B332" s="6">
        <f ca="1">IFERROR(__xludf.dummyfunction("GOOGLEFINANCE(""NSE:""&amp;A316, ""price"")"),965.9)</f>
        <v>965.9</v>
      </c>
      <c r="C332" s="6">
        <f ca="1">IFERROR(__xludf.dummyfunction("GOOGLEFINANCE(""NSE:""&amp;A316, ""priceopen"")"),970)</f>
        <v>970</v>
      </c>
      <c r="D332" s="6">
        <f ca="1">IFERROR(__xludf.dummyfunction("GOOGLEFINANCE(""NSE:""&amp;A316, ""high"")"),972.45)</f>
        <v>972.45</v>
      </c>
      <c r="E332" s="6">
        <f ca="1">IFERROR(__xludf.dummyfunction("GOOGLEFINANCE(""NSE:""&amp;A316, ""low"")"),961.45)</f>
        <v>961.45</v>
      </c>
      <c r="F332" s="6">
        <f ca="1">IFERROR(__xludf.dummyfunction("GOOGLEFINANCE(""NSE:""&amp;A316, ""closeyest"")"),965.5)</f>
        <v>965.5</v>
      </c>
      <c r="G332" s="6">
        <f ca="1">IFERROR(__xludf.dummyfunction("GOOGLEFINANCE(""NSE:""&amp;A316, ""volume"")"),293365)</f>
        <v>293365</v>
      </c>
      <c r="H332" s="6" t="b">
        <f t="shared" ca="1" si="10"/>
        <v>0</v>
      </c>
      <c r="I332" s="6" t="b">
        <f t="shared" ca="1" si="11"/>
        <v>0</v>
      </c>
      <c r="J332" s="7">
        <f ca="1">IFERROR(__xludf.dummyfunction("GOOGLEFINANCE(""NSE:""&amp;A316, ""changepct"")"),0.04)</f>
        <v>0.04</v>
      </c>
    </row>
    <row r="333" spans="1:10" ht="13.8">
      <c r="A333" s="5" t="s">
        <v>337</v>
      </c>
      <c r="B333" s="6">
        <f ca="1">IFERROR(__xludf.dummyfunction("GOOGLEFINANCE(""NSE:""&amp;A100, ""price"")"),138.6)</f>
        <v>138.6</v>
      </c>
      <c r="C333" s="6">
        <f ca="1">IFERROR(__xludf.dummyfunction("GOOGLEFINANCE(""NSE:""&amp;A100, ""priceopen"")"),135.8)</f>
        <v>135.80000000000001</v>
      </c>
      <c r="D333" s="6">
        <f ca="1">IFERROR(__xludf.dummyfunction("GOOGLEFINANCE(""NSE:""&amp;A100, ""high"")"),139.95)</f>
        <v>139.94999999999999</v>
      </c>
      <c r="E333" s="6">
        <f ca="1">IFERROR(__xludf.dummyfunction("GOOGLEFINANCE(""NSE:""&amp;A100, ""low"")"),135.3)</f>
        <v>135.30000000000001</v>
      </c>
      <c r="F333" s="6">
        <f ca="1">IFERROR(__xludf.dummyfunction("GOOGLEFINANCE(""NSE:""&amp;A100, ""closeyest"")"),134.15)</f>
        <v>134.15</v>
      </c>
      <c r="G333" s="6">
        <f ca="1">IFERROR(__xludf.dummyfunction("GOOGLEFINANCE(""NSE:""&amp;A100, ""volume"")"),279580)</f>
        <v>279580</v>
      </c>
      <c r="H333" s="6" t="b">
        <f t="shared" ca="1" si="10"/>
        <v>0</v>
      </c>
      <c r="I333" s="6" t="b">
        <f t="shared" ca="1" si="11"/>
        <v>0</v>
      </c>
      <c r="J333" s="7">
        <f ca="1">IFERROR(__xludf.dummyfunction("GOOGLEFINANCE(""NSE:""&amp;A100, ""changepct"")"),3.32)</f>
        <v>3.32</v>
      </c>
    </row>
    <row r="334" spans="1:10" ht="13.8">
      <c r="A334" s="5" t="s">
        <v>338</v>
      </c>
      <c r="B334" s="6">
        <f ca="1">IFERROR(__xludf.dummyfunction("GOOGLEFINANCE(""NSE:""&amp;A350, ""price"")"),1984.45)</f>
        <v>1984.45</v>
      </c>
      <c r="C334" s="6">
        <f ca="1">IFERROR(__xludf.dummyfunction("GOOGLEFINANCE(""NSE:""&amp;A350, ""priceopen"")"),1995)</f>
        <v>1995</v>
      </c>
      <c r="D334" s="6">
        <f ca="1">IFERROR(__xludf.dummyfunction("GOOGLEFINANCE(""NSE:""&amp;A350, ""high"")"),2017.1)</f>
        <v>2017.1</v>
      </c>
      <c r="E334" s="6">
        <f ca="1">IFERROR(__xludf.dummyfunction("GOOGLEFINANCE(""NSE:""&amp;A350, ""low"")"),1980)</f>
        <v>1980</v>
      </c>
      <c r="F334" s="6">
        <f ca="1">IFERROR(__xludf.dummyfunction("GOOGLEFINANCE(""NSE:""&amp;A350, ""closeyest"")"),1988.85)</f>
        <v>1988.85</v>
      </c>
      <c r="G334" s="6">
        <f ca="1">IFERROR(__xludf.dummyfunction("GOOGLEFINANCE(""NSE:""&amp;A350, ""volume"")"),278255)</f>
        <v>278255</v>
      </c>
      <c r="H334" s="6" t="b">
        <f t="shared" ca="1" si="10"/>
        <v>0</v>
      </c>
      <c r="I334" s="6" t="b">
        <f t="shared" ca="1" si="11"/>
        <v>0</v>
      </c>
      <c r="J334" s="7">
        <f ca="1">IFERROR(__xludf.dummyfunction("GOOGLEFINANCE(""NSE:""&amp;A350, ""changepct"")"),-0.22)</f>
        <v>-0.22</v>
      </c>
    </row>
    <row r="335" spans="1:10" ht="13.8">
      <c r="A335" s="5" t="s">
        <v>339</v>
      </c>
      <c r="B335" s="6">
        <f ca="1">IFERROR(__xludf.dummyfunction("GOOGLEFINANCE(""NSE:""&amp;A251, ""price"")"),295.75)</f>
        <v>295.75</v>
      </c>
      <c r="C335" s="6">
        <f ca="1">IFERROR(__xludf.dummyfunction("GOOGLEFINANCE(""NSE:""&amp;A251, ""priceopen"")"),296.45)</f>
        <v>296.45</v>
      </c>
      <c r="D335" s="6">
        <f ca="1">IFERROR(__xludf.dummyfunction("GOOGLEFINANCE(""NSE:""&amp;A251, ""high"")"),301.5)</f>
        <v>301.5</v>
      </c>
      <c r="E335" s="6">
        <f ca="1">IFERROR(__xludf.dummyfunction("GOOGLEFINANCE(""NSE:""&amp;A251, ""low"")"),293.4)</f>
        <v>293.39999999999998</v>
      </c>
      <c r="F335" s="6">
        <f ca="1">IFERROR(__xludf.dummyfunction("GOOGLEFINANCE(""NSE:""&amp;A251, ""closeyest"")"),293.55)</f>
        <v>293.55</v>
      </c>
      <c r="G335" s="6">
        <f ca="1">IFERROR(__xludf.dummyfunction("GOOGLEFINANCE(""NSE:""&amp;A251, ""volume"")"),274887)</f>
        <v>274887</v>
      </c>
      <c r="H335" s="6" t="b">
        <f t="shared" ca="1" si="10"/>
        <v>0</v>
      </c>
      <c r="I335" s="6" t="b">
        <f t="shared" ca="1" si="11"/>
        <v>0</v>
      </c>
      <c r="J335" s="7">
        <f ca="1">IFERROR(__xludf.dummyfunction("GOOGLEFINANCE(""NSE:""&amp;A251, ""changepct"")"),0.75)</f>
        <v>0.75</v>
      </c>
    </row>
    <row r="336" spans="1:10" ht="13.8">
      <c r="A336" s="5" t="s">
        <v>340</v>
      </c>
      <c r="B336" s="6">
        <f ca="1">IFERROR(__xludf.dummyfunction("GOOGLEFINANCE(""NSE:""&amp;A436, ""price"")"),1924.95)</f>
        <v>1924.95</v>
      </c>
      <c r="C336" s="6">
        <f ca="1">IFERROR(__xludf.dummyfunction("GOOGLEFINANCE(""NSE:""&amp;A436, ""priceopen"")"),1974.5)</f>
        <v>1974.5</v>
      </c>
      <c r="D336" s="6">
        <f ca="1">IFERROR(__xludf.dummyfunction("GOOGLEFINANCE(""NSE:""&amp;A436, ""high"")"),1988.7)</f>
        <v>1988.7</v>
      </c>
      <c r="E336" s="6">
        <f ca="1">IFERROR(__xludf.dummyfunction("GOOGLEFINANCE(""NSE:""&amp;A436, ""low"")"),1911.45)</f>
        <v>1911.45</v>
      </c>
      <c r="F336" s="6">
        <f ca="1">IFERROR(__xludf.dummyfunction("GOOGLEFINANCE(""NSE:""&amp;A436, ""closeyest"")"),1946.4)</f>
        <v>1946.4</v>
      </c>
      <c r="G336" s="6">
        <f ca="1">IFERROR(__xludf.dummyfunction("GOOGLEFINANCE(""NSE:""&amp;A436, ""volume"")"),269636)</f>
        <v>269636</v>
      </c>
      <c r="H336" s="6" t="b">
        <f t="shared" ca="1" si="10"/>
        <v>0</v>
      </c>
      <c r="I336" s="6" t="b">
        <f t="shared" ca="1" si="11"/>
        <v>0</v>
      </c>
      <c r="J336" s="7">
        <f ca="1">IFERROR(__xludf.dummyfunction("GOOGLEFINANCE(""NSE:""&amp;A436, ""changepct"")"),-1.1)</f>
        <v>-1.1000000000000001</v>
      </c>
    </row>
    <row r="337" spans="1:10" ht="13.8">
      <c r="A337" s="5" t="s">
        <v>341</v>
      </c>
      <c r="B337" s="6">
        <f ca="1">IFERROR(__xludf.dummyfunction("GOOGLEFINANCE(""NSE:""&amp;A479, ""price"")"),568)</f>
        <v>568</v>
      </c>
      <c r="C337" s="6">
        <f ca="1">IFERROR(__xludf.dummyfunction("GOOGLEFINANCE(""NSE:""&amp;A479, ""priceopen"")"),581.5)</f>
        <v>581.5</v>
      </c>
      <c r="D337" s="6">
        <f ca="1">IFERROR(__xludf.dummyfunction("GOOGLEFINANCE(""NSE:""&amp;A479, ""high"")"),585.1)</f>
        <v>585.1</v>
      </c>
      <c r="E337" s="6">
        <f ca="1">IFERROR(__xludf.dummyfunction("GOOGLEFINANCE(""NSE:""&amp;A479, ""low"")"),567)</f>
        <v>567</v>
      </c>
      <c r="F337" s="6">
        <f ca="1">IFERROR(__xludf.dummyfunction("GOOGLEFINANCE(""NSE:""&amp;A479, ""closeyest"")"),580.85)</f>
        <v>580.85</v>
      </c>
      <c r="G337" s="6">
        <f ca="1">IFERROR(__xludf.dummyfunction("GOOGLEFINANCE(""NSE:""&amp;A479, ""volume"")"),268240)</f>
        <v>268240</v>
      </c>
      <c r="H337" s="6" t="b">
        <f t="shared" ca="1" si="10"/>
        <v>0</v>
      </c>
      <c r="I337" s="6" t="b">
        <f t="shared" ca="1" si="11"/>
        <v>0</v>
      </c>
      <c r="J337" s="7">
        <f ca="1">IFERROR(__xludf.dummyfunction("GOOGLEFINANCE(""NSE:""&amp;A479, ""changepct"")"),-2.21)</f>
        <v>-2.21</v>
      </c>
    </row>
    <row r="338" spans="1:10" ht="13.8">
      <c r="A338" s="5" t="s">
        <v>342</v>
      </c>
      <c r="B338" s="6">
        <f ca="1">IFERROR(__xludf.dummyfunction("GOOGLEFINANCE(""NSE:""&amp;A421, ""price"")"),703)</f>
        <v>703</v>
      </c>
      <c r="C338" s="6">
        <f ca="1">IFERROR(__xludf.dummyfunction("GOOGLEFINANCE(""NSE:""&amp;A421, ""priceopen"")"),715.5)</f>
        <v>715.5</v>
      </c>
      <c r="D338" s="6">
        <f ca="1">IFERROR(__xludf.dummyfunction("GOOGLEFINANCE(""NSE:""&amp;A421, ""high"")"),719.8)</f>
        <v>719.8</v>
      </c>
      <c r="E338" s="6">
        <f ca="1">IFERROR(__xludf.dummyfunction("GOOGLEFINANCE(""NSE:""&amp;A421, ""low"")"),701)</f>
        <v>701</v>
      </c>
      <c r="F338" s="6">
        <f ca="1">IFERROR(__xludf.dummyfunction("GOOGLEFINANCE(""NSE:""&amp;A421, ""closeyest"")"),709.5)</f>
        <v>709.5</v>
      </c>
      <c r="G338" s="6">
        <f ca="1">IFERROR(__xludf.dummyfunction("GOOGLEFINANCE(""NSE:""&amp;A421, ""volume"")"),268070)</f>
        <v>268070</v>
      </c>
      <c r="H338" s="6" t="b">
        <f t="shared" ca="1" si="10"/>
        <v>0</v>
      </c>
      <c r="I338" s="6" t="b">
        <f t="shared" ca="1" si="11"/>
        <v>0</v>
      </c>
      <c r="J338" s="7">
        <f ca="1">IFERROR(__xludf.dummyfunction("GOOGLEFINANCE(""NSE:""&amp;A421, ""changepct"")"),-0.92)</f>
        <v>-0.92</v>
      </c>
    </row>
    <row r="339" spans="1:10" ht="13.8">
      <c r="A339" s="5" t="s">
        <v>343</v>
      </c>
      <c r="B339" s="6">
        <f ca="1">IFERROR(__xludf.dummyfunction("GOOGLEFINANCE(""NSE:""&amp;A277, ""price"")"),38)</f>
        <v>38</v>
      </c>
      <c r="C339" s="6">
        <f ca="1">IFERROR(__xludf.dummyfunction("GOOGLEFINANCE(""NSE:""&amp;A277, ""priceopen"")"),38)</f>
        <v>38</v>
      </c>
      <c r="D339" s="6">
        <f ca="1">IFERROR(__xludf.dummyfunction("GOOGLEFINANCE(""NSE:""&amp;A277, ""high"")"),38.25)</f>
        <v>38.25</v>
      </c>
      <c r="E339" s="6">
        <f ca="1">IFERROR(__xludf.dummyfunction("GOOGLEFINANCE(""NSE:""&amp;A277, ""low"")"),37.8)</f>
        <v>37.799999999999997</v>
      </c>
      <c r="F339" s="6">
        <f ca="1">IFERROR(__xludf.dummyfunction("GOOGLEFINANCE(""NSE:""&amp;A277, ""closeyest"")"),37.85)</f>
        <v>37.85</v>
      </c>
      <c r="G339" s="6">
        <f ca="1">IFERROR(__xludf.dummyfunction("GOOGLEFINANCE(""NSE:""&amp;A277, ""volume"")"),265866)</f>
        <v>265866</v>
      </c>
      <c r="H339" s="6" t="b">
        <f t="shared" ca="1" si="10"/>
        <v>0</v>
      </c>
      <c r="I339" s="6" t="b">
        <f t="shared" ca="1" si="11"/>
        <v>0</v>
      </c>
      <c r="J339" s="7">
        <f ca="1">IFERROR(__xludf.dummyfunction("GOOGLEFINANCE(""NSE:""&amp;A277, ""changepct"")"),0.4)</f>
        <v>0.4</v>
      </c>
    </row>
    <row r="340" spans="1:10" ht="13.8">
      <c r="A340" s="5" t="s">
        <v>344</v>
      </c>
      <c r="B340" s="6">
        <f ca="1">IFERROR(__xludf.dummyfunction("GOOGLEFINANCE(""NSE:""&amp;A112, ""price"")"),76.35)</f>
        <v>76.349999999999994</v>
      </c>
      <c r="C340" s="6">
        <f ca="1">IFERROR(__xludf.dummyfunction("GOOGLEFINANCE(""NSE:""&amp;A112, ""priceopen"")"),74.1)</f>
        <v>74.099999999999994</v>
      </c>
      <c r="D340" s="6">
        <f ca="1">IFERROR(__xludf.dummyfunction("GOOGLEFINANCE(""NSE:""&amp;A112, ""high"")"),78)</f>
        <v>78</v>
      </c>
      <c r="E340" s="6">
        <f ca="1">IFERROR(__xludf.dummyfunction("GOOGLEFINANCE(""NSE:""&amp;A112, ""low"")"),74.1)</f>
        <v>74.099999999999994</v>
      </c>
      <c r="F340" s="6">
        <f ca="1">IFERROR(__xludf.dummyfunction("GOOGLEFINANCE(""NSE:""&amp;A112, ""closeyest"")"),74.1)</f>
        <v>74.099999999999994</v>
      </c>
      <c r="G340" s="6">
        <f ca="1">IFERROR(__xludf.dummyfunction("GOOGLEFINANCE(""NSE:""&amp;A112, ""volume"")"),263743)</f>
        <v>263743</v>
      </c>
      <c r="H340" s="6" t="b">
        <f t="shared" ca="1" si="10"/>
        <v>1</v>
      </c>
      <c r="I340" s="6" t="b">
        <f t="shared" ca="1" si="11"/>
        <v>0</v>
      </c>
      <c r="J340" s="7">
        <f ca="1">IFERROR(__xludf.dummyfunction("GOOGLEFINANCE(""NSE:""&amp;A112, ""changepct"")"),3.04)</f>
        <v>3.04</v>
      </c>
    </row>
    <row r="341" spans="1:10" ht="13.8">
      <c r="A341" s="5" t="s">
        <v>345</v>
      </c>
      <c r="B341" s="6">
        <f ca="1">IFERROR(__xludf.dummyfunction("GOOGLEFINANCE(""NSE:""&amp;A474, ""price"")"),204.25)</f>
        <v>204.25</v>
      </c>
      <c r="C341" s="6">
        <f ca="1">IFERROR(__xludf.dummyfunction("GOOGLEFINANCE(""NSE:""&amp;A474, ""priceopen"")"),208.5)</f>
        <v>208.5</v>
      </c>
      <c r="D341" s="6">
        <f ca="1">IFERROR(__xludf.dummyfunction("GOOGLEFINANCE(""NSE:""&amp;A474, ""high"")"),212.5)</f>
        <v>212.5</v>
      </c>
      <c r="E341" s="6">
        <f ca="1">IFERROR(__xludf.dummyfunction("GOOGLEFINANCE(""NSE:""&amp;A474, ""low"")"),202.35)</f>
        <v>202.35</v>
      </c>
      <c r="F341" s="6">
        <f ca="1">IFERROR(__xludf.dummyfunction("GOOGLEFINANCE(""NSE:""&amp;A474, ""closeyest"")"),208.35)</f>
        <v>208.35</v>
      </c>
      <c r="G341" s="6">
        <f ca="1">IFERROR(__xludf.dummyfunction("GOOGLEFINANCE(""NSE:""&amp;A474, ""volume"")"),261809)</f>
        <v>261809</v>
      </c>
      <c r="H341" s="6" t="b">
        <f t="shared" ca="1" si="10"/>
        <v>0</v>
      </c>
      <c r="I341" s="6" t="b">
        <f t="shared" ca="1" si="11"/>
        <v>0</v>
      </c>
      <c r="J341" s="7">
        <f ca="1">IFERROR(__xludf.dummyfunction("GOOGLEFINANCE(""NSE:""&amp;A474, ""changepct"")"),-1.97)</f>
        <v>-1.97</v>
      </c>
    </row>
    <row r="342" spans="1:10" ht="13.8">
      <c r="A342" s="5" t="s">
        <v>346</v>
      </c>
      <c r="B342" s="6">
        <f ca="1">IFERROR(__xludf.dummyfunction("GOOGLEFINANCE(""NSE:""&amp;A291, ""price"")"),890.4)</f>
        <v>890.4</v>
      </c>
      <c r="C342" s="6">
        <f ca="1">IFERROR(__xludf.dummyfunction("GOOGLEFINANCE(""NSE:""&amp;A291, ""priceopen"")"),890)</f>
        <v>890</v>
      </c>
      <c r="D342" s="6">
        <f ca="1">IFERROR(__xludf.dummyfunction("GOOGLEFINANCE(""NSE:""&amp;A291, ""high"")"),909.5)</f>
        <v>909.5</v>
      </c>
      <c r="E342" s="6">
        <f ca="1">IFERROR(__xludf.dummyfunction("GOOGLEFINANCE(""NSE:""&amp;A291, ""low"")"),885.75)</f>
        <v>885.75</v>
      </c>
      <c r="F342" s="6">
        <f ca="1">IFERROR(__xludf.dummyfunction("GOOGLEFINANCE(""NSE:""&amp;A291, ""closeyest"")"),887.75)</f>
        <v>887.75</v>
      </c>
      <c r="G342" s="6">
        <f ca="1">IFERROR(__xludf.dummyfunction("GOOGLEFINANCE(""NSE:""&amp;A291, ""volume"")"),261662)</f>
        <v>261662</v>
      </c>
      <c r="H342" s="6" t="b">
        <f t="shared" ca="1" si="10"/>
        <v>0</v>
      </c>
      <c r="I342" s="6" t="b">
        <f t="shared" ca="1" si="11"/>
        <v>0</v>
      </c>
      <c r="J342" s="7">
        <f ca="1">IFERROR(__xludf.dummyfunction("GOOGLEFINANCE(""NSE:""&amp;A291, ""changepct"")"),0.3)</f>
        <v>0.3</v>
      </c>
    </row>
    <row r="343" spans="1:10" ht="13.8">
      <c r="A343" s="5" t="s">
        <v>347</v>
      </c>
      <c r="B343" s="6">
        <f ca="1">IFERROR(__xludf.dummyfunction("GOOGLEFINANCE(""NSE:""&amp;A200, ""price"")"),321.2)</f>
        <v>321.2</v>
      </c>
      <c r="C343" s="6">
        <f ca="1">IFERROR(__xludf.dummyfunction("GOOGLEFINANCE(""NSE:""&amp;A200, ""priceopen"")"),317)</f>
        <v>317</v>
      </c>
      <c r="D343" s="6">
        <f ca="1">IFERROR(__xludf.dummyfunction("GOOGLEFINANCE(""NSE:""&amp;A200, ""high"")"),324)</f>
        <v>324</v>
      </c>
      <c r="E343" s="6">
        <f ca="1">IFERROR(__xludf.dummyfunction("GOOGLEFINANCE(""NSE:""&amp;A200, ""low"")"),315)</f>
        <v>315</v>
      </c>
      <c r="F343" s="6">
        <f ca="1">IFERROR(__xludf.dummyfunction("GOOGLEFINANCE(""NSE:""&amp;A200, ""closeyest"")"),316.7)</f>
        <v>316.7</v>
      </c>
      <c r="G343" s="6">
        <f ca="1">IFERROR(__xludf.dummyfunction("GOOGLEFINANCE(""NSE:""&amp;A200, ""volume"")"),257184)</f>
        <v>257184</v>
      </c>
      <c r="H343" s="6" t="b">
        <f t="shared" ca="1" si="10"/>
        <v>0</v>
      </c>
      <c r="I343" s="6" t="b">
        <f t="shared" ca="1" si="11"/>
        <v>0</v>
      </c>
      <c r="J343" s="7">
        <f ca="1">IFERROR(__xludf.dummyfunction("GOOGLEFINANCE(""NSE:""&amp;A200, ""changepct"")"),1.42)</f>
        <v>1.42</v>
      </c>
    </row>
    <row r="344" spans="1:10" ht="13.8">
      <c r="A344" s="5" t="s">
        <v>348</v>
      </c>
      <c r="B344" s="6">
        <f ca="1">IFERROR(__xludf.dummyfunction("GOOGLEFINANCE(""NSE:""&amp;A240, ""price"")"),643)</f>
        <v>643</v>
      </c>
      <c r="C344" s="6">
        <f ca="1">IFERROR(__xludf.dummyfunction("GOOGLEFINANCE(""NSE:""&amp;A240, ""priceopen"")"),639.9)</f>
        <v>639.9</v>
      </c>
      <c r="D344" s="6">
        <f ca="1">IFERROR(__xludf.dummyfunction("GOOGLEFINANCE(""NSE:""&amp;A240, ""high"")"),646)</f>
        <v>646</v>
      </c>
      <c r="E344" s="6">
        <f ca="1">IFERROR(__xludf.dummyfunction("GOOGLEFINANCE(""NSE:""&amp;A240, ""low"")"),635.45)</f>
        <v>635.45000000000005</v>
      </c>
      <c r="F344" s="6">
        <f ca="1">IFERROR(__xludf.dummyfunction("GOOGLEFINANCE(""NSE:""&amp;A240, ""closeyest"")"),637.2)</f>
        <v>637.20000000000005</v>
      </c>
      <c r="G344" s="6">
        <f ca="1">IFERROR(__xludf.dummyfunction("GOOGLEFINANCE(""NSE:""&amp;A240, ""volume"")"),249045)</f>
        <v>249045</v>
      </c>
      <c r="H344" s="6" t="b">
        <f t="shared" ca="1" si="10"/>
        <v>0</v>
      </c>
      <c r="I344" s="6" t="b">
        <f t="shared" ca="1" si="11"/>
        <v>0</v>
      </c>
      <c r="J344" s="7">
        <f ca="1">IFERROR(__xludf.dummyfunction("GOOGLEFINANCE(""NSE:""&amp;A240, ""changepct"")"),0.91)</f>
        <v>0.91</v>
      </c>
    </row>
    <row r="345" spans="1:10" ht="13.8">
      <c r="A345" s="5" t="s">
        <v>349</v>
      </c>
      <c r="B345" s="6">
        <f ca="1">IFERROR(__xludf.dummyfunction("GOOGLEFINANCE(""NSE:""&amp;A103, ""price"")"),170.15)</f>
        <v>170.15</v>
      </c>
      <c r="C345" s="6">
        <f ca="1">IFERROR(__xludf.dummyfunction("GOOGLEFINANCE(""NSE:""&amp;A103, ""priceopen"")"),167)</f>
        <v>167</v>
      </c>
      <c r="D345" s="6">
        <f ca="1">IFERROR(__xludf.dummyfunction("GOOGLEFINANCE(""NSE:""&amp;A103, ""high"")"),174.9)</f>
        <v>174.9</v>
      </c>
      <c r="E345" s="6">
        <f ca="1">IFERROR(__xludf.dummyfunction("GOOGLEFINANCE(""NSE:""&amp;A103, ""low"")"),166.95)</f>
        <v>166.95</v>
      </c>
      <c r="F345" s="6">
        <f ca="1">IFERROR(__xludf.dummyfunction("GOOGLEFINANCE(""NSE:""&amp;A103, ""closeyest"")"),164.8)</f>
        <v>164.8</v>
      </c>
      <c r="G345" s="6">
        <f ca="1">IFERROR(__xludf.dummyfunction("GOOGLEFINANCE(""NSE:""&amp;A103, ""volume"")"),248127)</f>
        <v>248127</v>
      </c>
      <c r="H345" s="6" t="b">
        <f t="shared" ca="1" si="10"/>
        <v>0</v>
      </c>
      <c r="I345" s="6" t="b">
        <f t="shared" ca="1" si="11"/>
        <v>0</v>
      </c>
      <c r="J345" s="7">
        <f ca="1">IFERROR(__xludf.dummyfunction("GOOGLEFINANCE(""NSE:""&amp;A103, ""changepct"")"),3.25)</f>
        <v>3.25</v>
      </c>
    </row>
    <row r="346" spans="1:10" ht="13.8">
      <c r="A346" s="5" t="s">
        <v>350</v>
      </c>
      <c r="B346" s="6">
        <f ca="1">IFERROR(__xludf.dummyfunction("GOOGLEFINANCE(""NSE:""&amp;A372, ""price"")"),491)</f>
        <v>491</v>
      </c>
      <c r="C346" s="6">
        <f ca="1">IFERROR(__xludf.dummyfunction("GOOGLEFINANCE(""NSE:""&amp;A372, ""priceopen"")"),495)</f>
        <v>495</v>
      </c>
      <c r="D346" s="6">
        <f ca="1">IFERROR(__xludf.dummyfunction("GOOGLEFINANCE(""NSE:""&amp;A372, ""high"")"),495)</f>
        <v>495</v>
      </c>
      <c r="E346" s="6">
        <f ca="1">IFERROR(__xludf.dummyfunction("GOOGLEFINANCE(""NSE:""&amp;A372, ""low"")"),482)</f>
        <v>482</v>
      </c>
      <c r="F346" s="6">
        <f ca="1">IFERROR(__xludf.dummyfunction("GOOGLEFINANCE(""NSE:""&amp;A372, ""closeyest"")"),493.1)</f>
        <v>493.1</v>
      </c>
      <c r="G346" s="6">
        <f ca="1">IFERROR(__xludf.dummyfunction("GOOGLEFINANCE(""NSE:""&amp;A372, ""volume"")"),247725)</f>
        <v>247725</v>
      </c>
      <c r="H346" s="6" t="b">
        <f t="shared" ca="1" si="10"/>
        <v>0</v>
      </c>
      <c r="I346" s="6" t="b">
        <f t="shared" ca="1" si="11"/>
        <v>1</v>
      </c>
      <c r="J346" s="7">
        <f ca="1">IFERROR(__xludf.dummyfunction("GOOGLEFINANCE(""NSE:""&amp;A372, ""changepct"")"),-0.43)</f>
        <v>-0.43</v>
      </c>
    </row>
    <row r="347" spans="1:10" ht="13.8">
      <c r="A347" s="5" t="s">
        <v>351</v>
      </c>
      <c r="B347" s="6">
        <f ca="1">IFERROR(__xludf.dummyfunction("GOOGLEFINANCE(""NSE:""&amp;A61, ""price"")"),352.2)</f>
        <v>352.2</v>
      </c>
      <c r="C347" s="6">
        <f ca="1">IFERROR(__xludf.dummyfunction("GOOGLEFINANCE(""NSE:""&amp;A61, ""priceopen"")"),337.9)</f>
        <v>337.9</v>
      </c>
      <c r="D347" s="6">
        <f ca="1">IFERROR(__xludf.dummyfunction("GOOGLEFINANCE(""NSE:""&amp;A61, ""high"")"),354.7)</f>
        <v>354.7</v>
      </c>
      <c r="E347" s="6">
        <f ca="1">IFERROR(__xludf.dummyfunction("GOOGLEFINANCE(""NSE:""&amp;A61, ""low"")"),337.9)</f>
        <v>337.9</v>
      </c>
      <c r="F347" s="6">
        <f ca="1">IFERROR(__xludf.dummyfunction("GOOGLEFINANCE(""NSE:""&amp;A61, ""closeyest"")"),336.2)</f>
        <v>336.2</v>
      </c>
      <c r="G347" s="6">
        <f ca="1">IFERROR(__xludf.dummyfunction("GOOGLEFINANCE(""NSE:""&amp;A61, ""volume"")"),247484)</f>
        <v>247484</v>
      </c>
      <c r="H347" s="6" t="b">
        <f t="shared" ca="1" si="10"/>
        <v>1</v>
      </c>
      <c r="I347" s="6" t="b">
        <f t="shared" ca="1" si="11"/>
        <v>0</v>
      </c>
      <c r="J347" s="7">
        <f ca="1">IFERROR(__xludf.dummyfunction("GOOGLEFINANCE(""NSE:""&amp;A61, ""changepct"")"),4.76)</f>
        <v>4.76</v>
      </c>
    </row>
    <row r="348" spans="1:10" ht="13.8">
      <c r="A348" s="5" t="s">
        <v>352</v>
      </c>
      <c r="B348" s="6">
        <f ca="1">IFERROR(__xludf.dummyfunction("GOOGLEFINANCE(""NSE:""&amp;A241, ""price"")"),124)</f>
        <v>124</v>
      </c>
      <c r="C348" s="6">
        <f ca="1">IFERROR(__xludf.dummyfunction("GOOGLEFINANCE(""NSE:""&amp;A241, ""priceopen"")"),124)</f>
        <v>124</v>
      </c>
      <c r="D348" s="6">
        <f ca="1">IFERROR(__xludf.dummyfunction("GOOGLEFINANCE(""NSE:""&amp;A241, ""high"")"),124.9)</f>
        <v>124.9</v>
      </c>
      <c r="E348" s="6">
        <f ca="1">IFERROR(__xludf.dummyfunction("GOOGLEFINANCE(""NSE:""&amp;A241, ""low"")"),122.15)</f>
        <v>122.15</v>
      </c>
      <c r="F348" s="6">
        <f ca="1">IFERROR(__xludf.dummyfunction("GOOGLEFINANCE(""NSE:""&amp;A241, ""closeyest"")"),122.9)</f>
        <v>122.9</v>
      </c>
      <c r="G348" s="6">
        <f ca="1">IFERROR(__xludf.dummyfunction("GOOGLEFINANCE(""NSE:""&amp;A241, ""volume"")"),245445)</f>
        <v>245445</v>
      </c>
      <c r="H348" s="6" t="b">
        <f t="shared" ca="1" si="10"/>
        <v>0</v>
      </c>
      <c r="I348" s="6" t="b">
        <f t="shared" ca="1" si="11"/>
        <v>0</v>
      </c>
      <c r="J348" s="7">
        <f ca="1">IFERROR(__xludf.dummyfunction("GOOGLEFINANCE(""NSE:""&amp;A241, ""changepct"")"),0.9)</f>
        <v>0.9</v>
      </c>
    </row>
    <row r="349" spans="1:10" ht="13.8">
      <c r="A349" s="5" t="s">
        <v>353</v>
      </c>
      <c r="B349" s="6">
        <f ca="1">IFERROR(__xludf.dummyfunction("GOOGLEFINANCE(""NSE:""&amp;A376, ""price"")"),46.15)</f>
        <v>46.15</v>
      </c>
      <c r="C349" s="6">
        <f ca="1">IFERROR(__xludf.dummyfunction("GOOGLEFINANCE(""NSE:""&amp;A376, ""priceopen"")"),46.9)</f>
        <v>46.9</v>
      </c>
      <c r="D349" s="6">
        <f ca="1">IFERROR(__xludf.dummyfunction("GOOGLEFINANCE(""NSE:""&amp;A376, ""high"")"),47.15)</f>
        <v>47.15</v>
      </c>
      <c r="E349" s="6">
        <f ca="1">IFERROR(__xludf.dummyfunction("GOOGLEFINANCE(""NSE:""&amp;A376, ""low"")"),45.7)</f>
        <v>45.7</v>
      </c>
      <c r="F349" s="6">
        <f ca="1">IFERROR(__xludf.dummyfunction("GOOGLEFINANCE(""NSE:""&amp;A376, ""closeyest"")"),46.35)</f>
        <v>46.35</v>
      </c>
      <c r="G349" s="6">
        <f ca="1">IFERROR(__xludf.dummyfunction("GOOGLEFINANCE(""NSE:""&amp;A376, ""volume"")"),243734)</f>
        <v>243734</v>
      </c>
      <c r="H349" s="6" t="b">
        <f t="shared" ca="1" si="10"/>
        <v>0</v>
      </c>
      <c r="I349" s="6" t="b">
        <f t="shared" ca="1" si="11"/>
        <v>0</v>
      </c>
      <c r="J349" s="7">
        <f ca="1">IFERROR(__xludf.dummyfunction("GOOGLEFINANCE(""NSE:""&amp;A376, ""changepct"")"),-0.43)</f>
        <v>-0.43</v>
      </c>
    </row>
    <row r="350" spans="1:10" ht="13.8">
      <c r="A350" s="5" t="s">
        <v>354</v>
      </c>
      <c r="B350" s="6">
        <f ca="1">IFERROR(__xludf.dummyfunction("GOOGLEFINANCE(""NSE:""&amp;A259, ""price"")"),582.5)</f>
        <v>582.5</v>
      </c>
      <c r="C350" s="6">
        <f ca="1">IFERROR(__xludf.dummyfunction("GOOGLEFINANCE(""NSE:""&amp;A259, ""priceopen"")"),583.45)</f>
        <v>583.45000000000005</v>
      </c>
      <c r="D350" s="6">
        <f ca="1">IFERROR(__xludf.dummyfunction("GOOGLEFINANCE(""NSE:""&amp;A259, ""high"")"),596.5)</f>
        <v>596.5</v>
      </c>
      <c r="E350" s="6">
        <f ca="1">IFERROR(__xludf.dummyfunction("GOOGLEFINANCE(""NSE:""&amp;A259, ""low"")"),577)</f>
        <v>577</v>
      </c>
      <c r="F350" s="6">
        <f ca="1">IFERROR(__xludf.dummyfunction("GOOGLEFINANCE(""NSE:""&amp;A259, ""closeyest"")"),578.65)</f>
        <v>578.65</v>
      </c>
      <c r="G350" s="6">
        <f ca="1">IFERROR(__xludf.dummyfunction("GOOGLEFINANCE(""NSE:""&amp;A259, ""volume"")"),239688)</f>
        <v>239688</v>
      </c>
      <c r="H350" s="6" t="b">
        <f t="shared" ca="1" si="10"/>
        <v>0</v>
      </c>
      <c r="I350" s="6" t="b">
        <f t="shared" ca="1" si="11"/>
        <v>0</v>
      </c>
      <c r="J350" s="7">
        <f ca="1">IFERROR(__xludf.dummyfunction("GOOGLEFINANCE(""NSE:""&amp;A259, ""changepct"")"),0.67)</f>
        <v>0.67</v>
      </c>
    </row>
    <row r="351" spans="1:10" ht="13.8">
      <c r="A351" s="5" t="s">
        <v>355</v>
      </c>
      <c r="B351" s="6">
        <f ca="1">IFERROR(__xludf.dummyfunction("GOOGLEFINANCE(""NSE:""&amp;A496, ""price"")"),1709.5)</f>
        <v>1709.5</v>
      </c>
      <c r="C351" s="6">
        <f ca="1">IFERROR(__xludf.dummyfunction("GOOGLEFINANCE(""NSE:""&amp;A496, ""priceopen"")"),1700)</f>
        <v>1700</v>
      </c>
      <c r="D351" s="6">
        <f ca="1">IFERROR(__xludf.dummyfunction("GOOGLEFINANCE(""NSE:""&amp;A496, ""high"")"),1779)</f>
        <v>1779</v>
      </c>
      <c r="E351" s="6">
        <f ca="1">IFERROR(__xludf.dummyfunction("GOOGLEFINANCE(""NSE:""&amp;A496, ""low"")"),1675.45)</f>
        <v>1675.45</v>
      </c>
      <c r="F351" s="6">
        <f ca="1">IFERROR(__xludf.dummyfunction("GOOGLEFINANCE(""NSE:""&amp;A496, ""closeyest"")"),1779.2)</f>
        <v>1779.2</v>
      </c>
      <c r="G351" s="6">
        <f ca="1">IFERROR(__xludf.dummyfunction("GOOGLEFINANCE(""NSE:""&amp;A496, ""volume"")"),238835)</f>
        <v>238835</v>
      </c>
      <c r="H351" s="6" t="b">
        <f t="shared" ca="1" si="10"/>
        <v>0</v>
      </c>
      <c r="I351" s="6" t="b">
        <f t="shared" ca="1" si="11"/>
        <v>0</v>
      </c>
      <c r="J351" s="7">
        <f ca="1">IFERROR(__xludf.dummyfunction("GOOGLEFINANCE(""NSE:""&amp;A496, ""changepct"")"),-3.92)</f>
        <v>-3.92</v>
      </c>
    </row>
    <row r="352" spans="1:10" ht="13.8">
      <c r="A352" s="5" t="s">
        <v>356</v>
      </c>
      <c r="B352" s="6">
        <f ca="1">IFERROR(__xludf.dummyfunction("GOOGLEFINANCE(""NSE:""&amp;A416, ""price"")"),181.45)</f>
        <v>181.45</v>
      </c>
      <c r="C352" s="6">
        <f ca="1">IFERROR(__xludf.dummyfunction("GOOGLEFINANCE(""NSE:""&amp;A416, ""priceopen"")"),185)</f>
        <v>185</v>
      </c>
      <c r="D352" s="6">
        <f ca="1">IFERROR(__xludf.dummyfunction("GOOGLEFINANCE(""NSE:""&amp;A416, ""high"")"),185.15)</f>
        <v>185.15</v>
      </c>
      <c r="E352" s="6">
        <f ca="1">IFERROR(__xludf.dummyfunction("GOOGLEFINANCE(""NSE:""&amp;A416, ""low"")"),181)</f>
        <v>181</v>
      </c>
      <c r="F352" s="6">
        <f ca="1">IFERROR(__xludf.dummyfunction("GOOGLEFINANCE(""NSE:""&amp;A416, ""closeyest"")"),183.05)</f>
        <v>183.05</v>
      </c>
      <c r="G352" s="6">
        <f ca="1">IFERROR(__xludf.dummyfunction("GOOGLEFINANCE(""NSE:""&amp;A416, ""volume"")"),235686)</f>
        <v>235686</v>
      </c>
      <c r="H352" s="6" t="b">
        <f t="shared" ca="1" si="10"/>
        <v>0</v>
      </c>
      <c r="I352" s="6" t="b">
        <f t="shared" ca="1" si="11"/>
        <v>0</v>
      </c>
      <c r="J352" s="7">
        <f ca="1">IFERROR(__xludf.dummyfunction("GOOGLEFINANCE(""NSE:""&amp;A416, ""changepct"")"),-0.87)</f>
        <v>-0.87</v>
      </c>
    </row>
    <row r="353" spans="1:10" ht="13.8">
      <c r="A353" s="5" t="s">
        <v>357</v>
      </c>
      <c r="B353" s="6">
        <f ca="1">IFERROR(__xludf.dummyfunction("GOOGLEFINANCE(""NSE:""&amp;A45, ""price"")"),4615)</f>
        <v>4615</v>
      </c>
      <c r="C353" s="6">
        <f ca="1">IFERROR(__xludf.dummyfunction("GOOGLEFINANCE(""NSE:""&amp;A45, ""priceopen"")"),4400)</f>
        <v>4400</v>
      </c>
      <c r="D353" s="6">
        <f ca="1">IFERROR(__xludf.dummyfunction("GOOGLEFINANCE(""NSE:""&amp;A45, ""high"")"),4787.7)</f>
        <v>4787.7</v>
      </c>
      <c r="E353" s="6">
        <f ca="1">IFERROR(__xludf.dummyfunction("GOOGLEFINANCE(""NSE:""&amp;A45, ""low"")"),4393.5)</f>
        <v>4393.5</v>
      </c>
      <c r="F353" s="6">
        <f ca="1">IFERROR(__xludf.dummyfunction("GOOGLEFINANCE(""NSE:""&amp;A45, ""closeyest"")"),4383.5)</f>
        <v>4383.5</v>
      </c>
      <c r="G353" s="6">
        <f ca="1">IFERROR(__xludf.dummyfunction("GOOGLEFINANCE(""NSE:""&amp;A45, ""volume"")"),235019)</f>
        <v>235019</v>
      </c>
      <c r="H353" s="6" t="b">
        <f t="shared" ca="1" si="10"/>
        <v>0</v>
      </c>
      <c r="I353" s="6" t="b">
        <f t="shared" ca="1" si="11"/>
        <v>0</v>
      </c>
      <c r="J353" s="7">
        <f ca="1">IFERROR(__xludf.dummyfunction("GOOGLEFINANCE(""NSE:""&amp;A45, ""changepct"")"),5.28)</f>
        <v>5.28</v>
      </c>
    </row>
    <row r="354" spans="1:10" ht="13.8">
      <c r="A354" s="5" t="s">
        <v>358</v>
      </c>
      <c r="B354" s="6">
        <f ca="1">IFERROR(__xludf.dummyfunction("GOOGLEFINANCE(""NSE:""&amp;A230, ""price"")"),541)</f>
        <v>541</v>
      </c>
      <c r="C354" s="6">
        <f ca="1">IFERROR(__xludf.dummyfunction("GOOGLEFINANCE(""NSE:""&amp;A230, ""priceopen"")"),539.85)</f>
        <v>539.85</v>
      </c>
      <c r="D354" s="6">
        <f ca="1">IFERROR(__xludf.dummyfunction("GOOGLEFINANCE(""NSE:""&amp;A230, ""high"")"),554.9)</f>
        <v>554.9</v>
      </c>
      <c r="E354" s="6">
        <f ca="1">IFERROR(__xludf.dummyfunction("GOOGLEFINANCE(""NSE:""&amp;A230, ""low"")"),525)</f>
        <v>525</v>
      </c>
      <c r="F354" s="6">
        <f ca="1">IFERROR(__xludf.dummyfunction("GOOGLEFINANCE(""NSE:""&amp;A230, ""closeyest"")"),535.5)</f>
        <v>535.5</v>
      </c>
      <c r="G354" s="6">
        <f ca="1">IFERROR(__xludf.dummyfunction("GOOGLEFINANCE(""NSE:""&amp;A230, ""volume"")"),230819)</f>
        <v>230819</v>
      </c>
      <c r="H354" s="6" t="b">
        <f t="shared" ca="1" si="10"/>
        <v>0</v>
      </c>
      <c r="I354" s="6" t="b">
        <f t="shared" ca="1" si="11"/>
        <v>0</v>
      </c>
      <c r="J354" s="7">
        <f ca="1">IFERROR(__xludf.dummyfunction("GOOGLEFINANCE(""NSE:""&amp;A230, ""changepct"")"),1.03)</f>
        <v>1.03</v>
      </c>
    </row>
    <row r="355" spans="1:10" ht="13.8">
      <c r="A355" s="5" t="s">
        <v>359</v>
      </c>
      <c r="B355" s="6">
        <f ca="1">IFERROR(__xludf.dummyfunction("GOOGLEFINANCE(""NSE:""&amp;A365, ""price"")"),385)</f>
        <v>385</v>
      </c>
      <c r="C355" s="6">
        <f ca="1">IFERROR(__xludf.dummyfunction("GOOGLEFINANCE(""NSE:""&amp;A365, ""priceopen"")"),388)</f>
        <v>388</v>
      </c>
      <c r="D355" s="6">
        <f ca="1">IFERROR(__xludf.dummyfunction("GOOGLEFINANCE(""NSE:""&amp;A365, ""high"")"),389.7)</f>
        <v>389.7</v>
      </c>
      <c r="E355" s="6">
        <f ca="1">IFERROR(__xludf.dummyfunction("GOOGLEFINANCE(""NSE:""&amp;A365, ""low"")"),382.1)</f>
        <v>382.1</v>
      </c>
      <c r="F355" s="6">
        <f ca="1">IFERROR(__xludf.dummyfunction("GOOGLEFINANCE(""NSE:""&amp;A365, ""closeyest"")"),386.4)</f>
        <v>386.4</v>
      </c>
      <c r="G355" s="6">
        <f ca="1">IFERROR(__xludf.dummyfunction("GOOGLEFINANCE(""NSE:""&amp;A365, ""volume"")"),210859)</f>
        <v>210859</v>
      </c>
      <c r="H355" s="6" t="b">
        <f t="shared" ca="1" si="10"/>
        <v>0</v>
      </c>
      <c r="I355" s="6" t="b">
        <f t="shared" ca="1" si="11"/>
        <v>0</v>
      </c>
      <c r="J355" s="7">
        <f ca="1">IFERROR(__xludf.dummyfunction("GOOGLEFINANCE(""NSE:""&amp;A365, ""changepct"")"),-0.36)</f>
        <v>-0.36</v>
      </c>
    </row>
    <row r="356" spans="1:10" ht="13.8">
      <c r="A356" s="5" t="s">
        <v>360</v>
      </c>
      <c r="B356" s="6">
        <f ca="1">IFERROR(__xludf.dummyfunction("GOOGLEFINANCE(""NSE:""&amp;A152, ""price"")"),2519.8)</f>
        <v>2519.8000000000002</v>
      </c>
      <c r="C356" s="6">
        <f ca="1">IFERROR(__xludf.dummyfunction("GOOGLEFINANCE(""NSE:""&amp;A152, ""priceopen"")"),2475)</f>
        <v>2475</v>
      </c>
      <c r="D356" s="6">
        <f ca="1">IFERROR(__xludf.dummyfunction("GOOGLEFINANCE(""NSE:""&amp;A152, ""high"")"),2524)</f>
        <v>2524</v>
      </c>
      <c r="E356" s="6">
        <f ca="1">IFERROR(__xludf.dummyfunction("GOOGLEFINANCE(""NSE:""&amp;A152, ""low"")"),2457.05)</f>
        <v>2457.0500000000002</v>
      </c>
      <c r="F356" s="6">
        <f ca="1">IFERROR(__xludf.dummyfunction("GOOGLEFINANCE(""NSE:""&amp;A152, ""closeyest"")"),2467.6)</f>
        <v>2467.6</v>
      </c>
      <c r="G356" s="6">
        <f ca="1">IFERROR(__xludf.dummyfunction("GOOGLEFINANCE(""NSE:""&amp;A152, ""volume"")"),205400)</f>
        <v>205400</v>
      </c>
      <c r="H356" s="6" t="b">
        <f t="shared" ca="1" si="10"/>
        <v>0</v>
      </c>
      <c r="I356" s="6" t="b">
        <f t="shared" ca="1" si="11"/>
        <v>0</v>
      </c>
      <c r="J356" s="7">
        <f ca="1">IFERROR(__xludf.dummyfunction("GOOGLEFINANCE(""NSE:""&amp;A152, ""changepct"")"),2.12)</f>
        <v>2.12</v>
      </c>
    </row>
    <row r="357" spans="1:10" ht="13.8">
      <c r="A357" s="5" t="s">
        <v>361</v>
      </c>
      <c r="B357" s="6">
        <f ca="1">IFERROR(__xludf.dummyfunction("GOOGLEFINANCE(""NSE:""&amp;A445, ""price"")"),425)</f>
        <v>425</v>
      </c>
      <c r="C357" s="6">
        <f ca="1">IFERROR(__xludf.dummyfunction("GOOGLEFINANCE(""NSE:""&amp;A445, ""priceopen"")"),432.9)</f>
        <v>432.9</v>
      </c>
      <c r="D357" s="6">
        <f ca="1">IFERROR(__xludf.dummyfunction("GOOGLEFINANCE(""NSE:""&amp;A445, ""high"")"),434.45)</f>
        <v>434.45</v>
      </c>
      <c r="E357" s="6">
        <f ca="1">IFERROR(__xludf.dummyfunction("GOOGLEFINANCE(""NSE:""&amp;A445, ""low"")"),424)</f>
        <v>424</v>
      </c>
      <c r="F357" s="6">
        <f ca="1">IFERROR(__xludf.dummyfunction("GOOGLEFINANCE(""NSE:""&amp;A445, ""closeyest"")"),430.15)</f>
        <v>430.15</v>
      </c>
      <c r="G357" s="6">
        <f ca="1">IFERROR(__xludf.dummyfunction("GOOGLEFINANCE(""NSE:""&amp;A445, ""volume"")"),199912)</f>
        <v>199912</v>
      </c>
      <c r="H357" s="6" t="b">
        <f t="shared" ca="1" si="10"/>
        <v>0</v>
      </c>
      <c r="I357" s="6" t="b">
        <f t="shared" ca="1" si="11"/>
        <v>0</v>
      </c>
      <c r="J357" s="7">
        <f ca="1">IFERROR(__xludf.dummyfunction("GOOGLEFINANCE(""NSE:""&amp;A445, ""changepct"")"),-1.2)</f>
        <v>-1.2</v>
      </c>
    </row>
    <row r="358" spans="1:10" ht="13.8">
      <c r="A358" s="5" t="s">
        <v>362</v>
      </c>
      <c r="B358" s="6">
        <f ca="1">IFERROR(__xludf.dummyfunction("GOOGLEFINANCE(""NSE:""&amp;A228, ""price"")"),891)</f>
        <v>891</v>
      </c>
      <c r="C358" s="6">
        <f ca="1">IFERROR(__xludf.dummyfunction("GOOGLEFINANCE(""NSE:""&amp;A228, ""priceopen"")"),886.65)</f>
        <v>886.65</v>
      </c>
      <c r="D358" s="6">
        <f ca="1">IFERROR(__xludf.dummyfunction("GOOGLEFINANCE(""NSE:""&amp;A228, ""high"")"),899)</f>
        <v>899</v>
      </c>
      <c r="E358" s="6">
        <f ca="1">IFERROR(__xludf.dummyfunction("GOOGLEFINANCE(""NSE:""&amp;A228, ""low"")"),874.6)</f>
        <v>874.6</v>
      </c>
      <c r="F358" s="6">
        <f ca="1">IFERROR(__xludf.dummyfunction("GOOGLEFINANCE(""NSE:""&amp;A228, ""closeyest"")"),881.8)</f>
        <v>881.8</v>
      </c>
      <c r="G358" s="6">
        <f ca="1">IFERROR(__xludf.dummyfunction("GOOGLEFINANCE(""NSE:""&amp;A228, ""volume"")"),199349)</f>
        <v>199349</v>
      </c>
      <c r="H358" s="6" t="b">
        <f t="shared" ca="1" si="10"/>
        <v>0</v>
      </c>
      <c r="I358" s="6" t="b">
        <f t="shared" ca="1" si="11"/>
        <v>0</v>
      </c>
      <c r="J358" s="7">
        <f ca="1">IFERROR(__xludf.dummyfunction("GOOGLEFINANCE(""NSE:""&amp;A228, ""changepct"")"),1.04)</f>
        <v>1.04</v>
      </c>
    </row>
    <row r="359" spans="1:10" ht="13.8">
      <c r="A359" s="5" t="s">
        <v>363</v>
      </c>
      <c r="B359" s="6">
        <f ca="1">IFERROR(__xludf.dummyfunction("GOOGLEFINANCE(""NSE:""&amp;A29, ""price"")"),89.25)</f>
        <v>89.25</v>
      </c>
      <c r="C359" s="6">
        <f ca="1">IFERROR(__xludf.dummyfunction("GOOGLEFINANCE(""NSE:""&amp;A29, ""priceopen"")"),84.25)</f>
        <v>84.25</v>
      </c>
      <c r="D359" s="6">
        <f ca="1">IFERROR(__xludf.dummyfunction("GOOGLEFINANCE(""NSE:""&amp;A29, ""high"")"),90.35)</f>
        <v>90.35</v>
      </c>
      <c r="E359" s="6">
        <f ca="1">IFERROR(__xludf.dummyfunction("GOOGLEFINANCE(""NSE:""&amp;A29, ""low"")"),82.55)</f>
        <v>82.55</v>
      </c>
      <c r="F359" s="6">
        <f ca="1">IFERROR(__xludf.dummyfunction("GOOGLEFINANCE(""NSE:""&amp;A29, ""closeyest"")"),83.25)</f>
        <v>83.25</v>
      </c>
      <c r="G359" s="6">
        <f ca="1">IFERROR(__xludf.dummyfunction("GOOGLEFINANCE(""NSE:""&amp;A29, ""volume"")"),197455)</f>
        <v>197455</v>
      </c>
      <c r="H359" s="6" t="b">
        <f t="shared" ca="1" si="10"/>
        <v>0</v>
      </c>
      <c r="I359" s="6" t="b">
        <f t="shared" ca="1" si="11"/>
        <v>0</v>
      </c>
      <c r="J359" s="7">
        <f ca="1">IFERROR(__xludf.dummyfunction("GOOGLEFINANCE(""NSE:""&amp;A29, ""changepct"")"),7.21)</f>
        <v>7.21</v>
      </c>
    </row>
    <row r="360" spans="1:10" ht="13.8">
      <c r="A360" s="5" t="s">
        <v>364</v>
      </c>
      <c r="B360" s="6">
        <f ca="1">IFERROR(__xludf.dummyfunction("GOOGLEFINANCE(""NSE:""&amp;A101, ""price"")"),514.5)</f>
        <v>514.5</v>
      </c>
      <c r="C360" s="6">
        <f ca="1">IFERROR(__xludf.dummyfunction("GOOGLEFINANCE(""NSE:""&amp;A101, ""priceopen"")"),500)</f>
        <v>500</v>
      </c>
      <c r="D360" s="6">
        <f ca="1">IFERROR(__xludf.dummyfunction("GOOGLEFINANCE(""NSE:""&amp;A101, ""high"")"),522)</f>
        <v>522</v>
      </c>
      <c r="E360" s="6">
        <f ca="1">IFERROR(__xludf.dummyfunction("GOOGLEFINANCE(""NSE:""&amp;A101, ""low"")"),500)</f>
        <v>500</v>
      </c>
      <c r="F360" s="6">
        <f ca="1">IFERROR(__xludf.dummyfunction("GOOGLEFINANCE(""NSE:""&amp;A101, ""closeyest"")"),498.2)</f>
        <v>498.2</v>
      </c>
      <c r="G360" s="6">
        <f ca="1">IFERROR(__xludf.dummyfunction("GOOGLEFINANCE(""NSE:""&amp;A101, ""volume"")"),196243)</f>
        <v>196243</v>
      </c>
      <c r="H360" s="6" t="b">
        <f t="shared" ca="1" si="10"/>
        <v>1</v>
      </c>
      <c r="I360" s="6" t="b">
        <f t="shared" ca="1" si="11"/>
        <v>0</v>
      </c>
      <c r="J360" s="7">
        <f ca="1">IFERROR(__xludf.dummyfunction("GOOGLEFINANCE(""NSE:""&amp;A101, ""changepct"")"),3.27)</f>
        <v>3.27</v>
      </c>
    </row>
    <row r="361" spans="1:10" ht="13.8">
      <c r="A361" s="5" t="s">
        <v>365</v>
      </c>
      <c r="B361" s="6">
        <f ca="1">IFERROR(__xludf.dummyfunction("GOOGLEFINANCE(""NSE:""&amp;A328, ""price"")"),464.35)</f>
        <v>464.35</v>
      </c>
      <c r="C361" s="6">
        <f ca="1">IFERROR(__xludf.dummyfunction("GOOGLEFINANCE(""NSE:""&amp;A328, ""priceopen"")"),467)</f>
        <v>467</v>
      </c>
      <c r="D361" s="6">
        <f ca="1">IFERROR(__xludf.dummyfunction("GOOGLEFINANCE(""NSE:""&amp;A328, ""high"")"),469.65)</f>
        <v>469.65</v>
      </c>
      <c r="E361" s="6">
        <f ca="1">IFERROR(__xludf.dummyfunction("GOOGLEFINANCE(""NSE:""&amp;A328, ""low"")"),463.15)</f>
        <v>463.15</v>
      </c>
      <c r="F361" s="6">
        <f ca="1">IFERROR(__xludf.dummyfunction("GOOGLEFINANCE(""NSE:""&amp;A328, ""closeyest"")"),464.55)</f>
        <v>464.55</v>
      </c>
      <c r="G361" s="6">
        <f ca="1">IFERROR(__xludf.dummyfunction("GOOGLEFINANCE(""NSE:""&amp;A328, ""volume"")"),196022)</f>
        <v>196022</v>
      </c>
      <c r="H361" s="6" t="b">
        <f t="shared" ca="1" si="10"/>
        <v>0</v>
      </c>
      <c r="I361" s="6" t="b">
        <f t="shared" ca="1" si="11"/>
        <v>0</v>
      </c>
      <c r="J361" s="7">
        <f ca="1">IFERROR(__xludf.dummyfunction("GOOGLEFINANCE(""NSE:""&amp;A328, ""changepct"")"),-0.04)</f>
        <v>-0.04</v>
      </c>
    </row>
    <row r="362" spans="1:10" ht="13.8">
      <c r="A362" s="5" t="s">
        <v>366</v>
      </c>
      <c r="B362" s="6">
        <f ca="1">IFERROR(__xludf.dummyfunction("GOOGLEFINANCE(""NSE:""&amp;A159, ""price"")"),713.75)</f>
        <v>713.75</v>
      </c>
      <c r="C362" s="6">
        <f ca="1">IFERROR(__xludf.dummyfunction("GOOGLEFINANCE(""NSE:""&amp;A159, ""priceopen"")"),701)</f>
        <v>701</v>
      </c>
      <c r="D362" s="6">
        <f ca="1">IFERROR(__xludf.dummyfunction("GOOGLEFINANCE(""NSE:""&amp;A159, ""high"")"),720)</f>
        <v>720</v>
      </c>
      <c r="E362" s="6">
        <f ca="1">IFERROR(__xludf.dummyfunction("GOOGLEFINANCE(""NSE:""&amp;A159, ""low"")"),688.05)</f>
        <v>688.05</v>
      </c>
      <c r="F362" s="6">
        <f ca="1">IFERROR(__xludf.dummyfunction("GOOGLEFINANCE(""NSE:""&amp;A159, ""closeyest"")"),699.95)</f>
        <v>699.95</v>
      </c>
      <c r="G362" s="6">
        <f ca="1">IFERROR(__xludf.dummyfunction("GOOGLEFINANCE(""NSE:""&amp;A159, ""volume"")"),195769)</f>
        <v>195769</v>
      </c>
      <c r="H362" s="6" t="b">
        <f t="shared" ca="1" si="10"/>
        <v>0</v>
      </c>
      <c r="I362" s="6" t="b">
        <f t="shared" ca="1" si="11"/>
        <v>0</v>
      </c>
      <c r="J362" s="7">
        <f ca="1">IFERROR(__xludf.dummyfunction("GOOGLEFINANCE(""NSE:""&amp;A159, ""changepct"")"),1.97)</f>
        <v>1.97</v>
      </c>
    </row>
    <row r="363" spans="1:10" ht="13.8">
      <c r="A363" s="5" t="s">
        <v>367</v>
      </c>
      <c r="B363" s="6">
        <f ca="1">IFERROR(__xludf.dummyfunction("GOOGLEFINANCE(""NSE:""&amp;A91, ""price"")"),449)</f>
        <v>449</v>
      </c>
      <c r="C363" s="6">
        <f ca="1">IFERROR(__xludf.dummyfunction("GOOGLEFINANCE(""NSE:""&amp;A91, ""priceopen"")"),434.25)</f>
        <v>434.25</v>
      </c>
      <c r="D363" s="6">
        <f ca="1">IFERROR(__xludf.dummyfunction("GOOGLEFINANCE(""NSE:""&amp;A91, ""high"")"),456.3)</f>
        <v>456.3</v>
      </c>
      <c r="E363" s="6">
        <f ca="1">IFERROR(__xludf.dummyfunction("GOOGLEFINANCE(""NSE:""&amp;A91, ""low"")"),432.55)</f>
        <v>432.55</v>
      </c>
      <c r="F363" s="6">
        <f ca="1">IFERROR(__xludf.dummyfunction("GOOGLEFINANCE(""NSE:""&amp;A91, ""closeyest"")"),433.6)</f>
        <v>433.6</v>
      </c>
      <c r="G363" s="6">
        <f ca="1">IFERROR(__xludf.dummyfunction("GOOGLEFINANCE(""NSE:""&amp;A91, ""volume"")"),193376)</f>
        <v>193376</v>
      </c>
      <c r="H363" s="6" t="b">
        <f t="shared" ca="1" si="10"/>
        <v>0</v>
      </c>
      <c r="I363" s="6" t="b">
        <f t="shared" ca="1" si="11"/>
        <v>0</v>
      </c>
      <c r="J363" s="7">
        <f ca="1">IFERROR(__xludf.dummyfunction("GOOGLEFINANCE(""NSE:""&amp;A91, ""changepct"")"),3.55)</f>
        <v>3.55</v>
      </c>
    </row>
    <row r="364" spans="1:10" ht="13.8">
      <c r="A364" s="5" t="s">
        <v>368</v>
      </c>
      <c r="B364" s="6">
        <f ca="1">IFERROR(__xludf.dummyfunction("GOOGLEFINANCE(""NSE:""&amp;A334, ""price"")"),313.05)</f>
        <v>313.05</v>
      </c>
      <c r="C364" s="6">
        <f ca="1">IFERROR(__xludf.dummyfunction("GOOGLEFINANCE(""NSE:""&amp;A334, ""priceopen"")"),324.5)</f>
        <v>324.5</v>
      </c>
      <c r="D364" s="6">
        <f ca="1">IFERROR(__xludf.dummyfunction("GOOGLEFINANCE(""NSE:""&amp;A334, ""high"")"),324.5)</f>
        <v>324.5</v>
      </c>
      <c r="E364" s="6">
        <f ca="1">IFERROR(__xludf.dummyfunction("GOOGLEFINANCE(""NSE:""&amp;A334, ""low"")"),307)</f>
        <v>307</v>
      </c>
      <c r="F364" s="6">
        <f ca="1">IFERROR(__xludf.dummyfunction("GOOGLEFINANCE(""NSE:""&amp;A334, ""closeyest"")"),313.35)</f>
        <v>313.35000000000002</v>
      </c>
      <c r="G364" s="6">
        <f ca="1">IFERROR(__xludf.dummyfunction("GOOGLEFINANCE(""NSE:""&amp;A334, ""volume"")"),192238)</f>
        <v>192238</v>
      </c>
      <c r="H364" s="6" t="b">
        <f t="shared" ca="1" si="10"/>
        <v>0</v>
      </c>
      <c r="I364" s="6" t="b">
        <f t="shared" ca="1" si="11"/>
        <v>1</v>
      </c>
      <c r="J364" s="7">
        <f ca="1">IFERROR(__xludf.dummyfunction("GOOGLEFINANCE(""NSE:""&amp;A334, ""changepct"")"),-0.1)</f>
        <v>-0.1</v>
      </c>
    </row>
    <row r="365" spans="1:10" ht="13.8">
      <c r="A365" s="5" t="s">
        <v>369</v>
      </c>
      <c r="B365" s="6">
        <f ca="1">IFERROR(__xludf.dummyfunction("GOOGLEFINANCE(""NSE:""&amp;A191, ""price"")"),3385)</f>
        <v>3385</v>
      </c>
      <c r="C365" s="6">
        <f ca="1">IFERROR(__xludf.dummyfunction("GOOGLEFINANCE(""NSE:""&amp;A191, ""priceopen"")"),3366)</f>
        <v>3366</v>
      </c>
      <c r="D365" s="6">
        <f ca="1">IFERROR(__xludf.dummyfunction("GOOGLEFINANCE(""NSE:""&amp;A191, ""high"")"),3479)</f>
        <v>3479</v>
      </c>
      <c r="E365" s="6">
        <f ca="1">IFERROR(__xludf.dummyfunction("GOOGLEFINANCE(""NSE:""&amp;A191, ""low"")"),3311.15)</f>
        <v>3311.15</v>
      </c>
      <c r="F365" s="6">
        <f ca="1">IFERROR(__xludf.dummyfunction("GOOGLEFINANCE(""NSE:""&amp;A191, ""closeyest"")"),3332.8)</f>
        <v>3332.8</v>
      </c>
      <c r="G365" s="6">
        <f ca="1">IFERROR(__xludf.dummyfunction("GOOGLEFINANCE(""NSE:""&amp;A191, ""volume"")"),185894)</f>
        <v>185894</v>
      </c>
      <c r="H365" s="6" t="b">
        <f t="shared" ca="1" si="10"/>
        <v>0</v>
      </c>
      <c r="I365" s="6" t="b">
        <f t="shared" ca="1" si="11"/>
        <v>0</v>
      </c>
      <c r="J365" s="7">
        <f ca="1">IFERROR(__xludf.dummyfunction("GOOGLEFINANCE(""NSE:""&amp;A191, ""changepct"")"),1.57)</f>
        <v>1.57</v>
      </c>
    </row>
    <row r="366" spans="1:10" ht="13.8">
      <c r="A366" s="5" t="s">
        <v>370</v>
      </c>
      <c r="B366" s="6">
        <f ca="1">IFERROR(__xludf.dummyfunction("GOOGLEFINANCE(""NSE:""&amp;A444, ""price"")"),75.6)</f>
        <v>75.599999999999994</v>
      </c>
      <c r="C366" s="6">
        <f ca="1">IFERROR(__xludf.dummyfunction("GOOGLEFINANCE(""NSE:""&amp;A444, ""priceopen"")"),77.05)</f>
        <v>77.05</v>
      </c>
      <c r="D366" s="6">
        <f ca="1">IFERROR(__xludf.dummyfunction("GOOGLEFINANCE(""NSE:""&amp;A444, ""high"")"),78.15)</f>
        <v>78.150000000000006</v>
      </c>
      <c r="E366" s="6">
        <f ca="1">IFERROR(__xludf.dummyfunction("GOOGLEFINANCE(""NSE:""&amp;A444, ""low"")"),75.4)</f>
        <v>75.400000000000006</v>
      </c>
      <c r="F366" s="6">
        <f ca="1">IFERROR(__xludf.dummyfunction("GOOGLEFINANCE(""NSE:""&amp;A444, ""closeyest"")"),76.5)</f>
        <v>76.5</v>
      </c>
      <c r="G366" s="6">
        <f ca="1">IFERROR(__xludf.dummyfunction("GOOGLEFINANCE(""NSE:""&amp;A444, ""volume"")"),180681)</f>
        <v>180681</v>
      </c>
      <c r="H366" s="6" t="b">
        <f t="shared" ca="1" si="10"/>
        <v>0</v>
      </c>
      <c r="I366" s="6" t="b">
        <f t="shared" ca="1" si="11"/>
        <v>0</v>
      </c>
      <c r="J366" s="7">
        <f ca="1">IFERROR(__xludf.dummyfunction("GOOGLEFINANCE(""NSE:""&amp;A444, ""changepct"")"),-1.18)</f>
        <v>-1.18</v>
      </c>
    </row>
    <row r="367" spans="1:10" ht="13.8">
      <c r="A367" s="5" t="s">
        <v>371</v>
      </c>
      <c r="B367" s="6">
        <f ca="1">IFERROR(__xludf.dummyfunction("GOOGLEFINANCE(""NSE:""&amp;A371, ""price"")"),741.95)</f>
        <v>741.95</v>
      </c>
      <c r="C367" s="6">
        <f ca="1">IFERROR(__xludf.dummyfunction("GOOGLEFINANCE(""NSE:""&amp;A371, ""priceopen"")"),753.85)</f>
        <v>753.85</v>
      </c>
      <c r="D367" s="6">
        <f ca="1">IFERROR(__xludf.dummyfunction("GOOGLEFINANCE(""NSE:""&amp;A371, ""high"")"),753.85)</f>
        <v>753.85</v>
      </c>
      <c r="E367" s="6">
        <f ca="1">IFERROR(__xludf.dummyfunction("GOOGLEFINANCE(""NSE:""&amp;A371, ""low"")"),738.75)</f>
        <v>738.75</v>
      </c>
      <c r="F367" s="6">
        <f ca="1">IFERROR(__xludf.dummyfunction("GOOGLEFINANCE(""NSE:""&amp;A371, ""closeyest"")"),745.1)</f>
        <v>745.1</v>
      </c>
      <c r="G367" s="6">
        <f ca="1">IFERROR(__xludf.dummyfunction("GOOGLEFINANCE(""NSE:""&amp;A371, ""volume"")"),179938)</f>
        <v>179938</v>
      </c>
      <c r="H367" s="6" t="b">
        <f t="shared" ca="1" si="10"/>
        <v>0</v>
      </c>
      <c r="I367" s="6" t="b">
        <f t="shared" ca="1" si="11"/>
        <v>1</v>
      </c>
      <c r="J367" s="7">
        <f ca="1">IFERROR(__xludf.dummyfunction("GOOGLEFINANCE(""NSE:""&amp;A371, ""changepct"")"),-0.42)</f>
        <v>-0.42</v>
      </c>
    </row>
    <row r="368" spans="1:10" ht="13.8">
      <c r="A368" s="5" t="s">
        <v>372</v>
      </c>
      <c r="B368" s="6">
        <f ca="1">IFERROR(__xludf.dummyfunction("GOOGLEFINANCE(""NSE:""&amp;A236, ""price"")"),144.6)</f>
        <v>144.6</v>
      </c>
      <c r="C368" s="6">
        <f ca="1">IFERROR(__xludf.dummyfunction("GOOGLEFINANCE(""NSE:""&amp;A236, ""priceopen"")"),144.7)</f>
        <v>144.69999999999999</v>
      </c>
      <c r="D368" s="6">
        <f ca="1">IFERROR(__xludf.dummyfunction("GOOGLEFINANCE(""NSE:""&amp;A236, ""high"")"),146)</f>
        <v>146</v>
      </c>
      <c r="E368" s="6">
        <f ca="1">IFERROR(__xludf.dummyfunction("GOOGLEFINANCE(""NSE:""&amp;A236, ""low"")"),143.75)</f>
        <v>143.75</v>
      </c>
      <c r="F368" s="6">
        <f ca="1">IFERROR(__xludf.dummyfunction("GOOGLEFINANCE(""NSE:""&amp;A236, ""closeyest"")"),143.2)</f>
        <v>143.19999999999999</v>
      </c>
      <c r="G368" s="6">
        <f ca="1">IFERROR(__xludf.dummyfunction("GOOGLEFINANCE(""NSE:""&amp;A236, ""volume"")"),177301)</f>
        <v>177301</v>
      </c>
      <c r="H368" s="6" t="b">
        <f t="shared" ca="1" si="10"/>
        <v>0</v>
      </c>
      <c r="I368" s="6" t="b">
        <f t="shared" ca="1" si="11"/>
        <v>0</v>
      </c>
      <c r="J368" s="7">
        <f ca="1">IFERROR(__xludf.dummyfunction("GOOGLEFINANCE(""NSE:""&amp;A236, ""changepct"")"),0.98)</f>
        <v>0.98</v>
      </c>
    </row>
    <row r="369" spans="1:10" ht="13.8">
      <c r="A369" s="5" t="s">
        <v>373</v>
      </c>
      <c r="B369" s="6">
        <f ca="1">IFERROR(__xludf.dummyfunction("GOOGLEFINANCE(""NSE:""&amp;A417, ""price"")"),284)</f>
        <v>284</v>
      </c>
      <c r="C369" s="6">
        <f ca="1">IFERROR(__xludf.dummyfunction("GOOGLEFINANCE(""NSE:""&amp;A417, ""priceopen"")"),289.8)</f>
        <v>289.8</v>
      </c>
      <c r="D369" s="6">
        <f ca="1">IFERROR(__xludf.dummyfunction("GOOGLEFINANCE(""NSE:""&amp;A417, ""high"")"),289.9)</f>
        <v>289.89999999999998</v>
      </c>
      <c r="E369" s="6">
        <f ca="1">IFERROR(__xludf.dummyfunction("GOOGLEFINANCE(""NSE:""&amp;A417, ""low"")"),283.25)</f>
        <v>283.25</v>
      </c>
      <c r="F369" s="6">
        <f ca="1">IFERROR(__xludf.dummyfunction("GOOGLEFINANCE(""NSE:""&amp;A417, ""closeyest"")"),286.5)</f>
        <v>286.5</v>
      </c>
      <c r="G369" s="6">
        <f ca="1">IFERROR(__xludf.dummyfunction("GOOGLEFINANCE(""NSE:""&amp;A417, ""volume"")"),177040)</f>
        <v>177040</v>
      </c>
      <c r="H369" s="6" t="b">
        <f t="shared" ca="1" si="10"/>
        <v>0</v>
      </c>
      <c r="I369" s="6" t="b">
        <f t="shared" ca="1" si="11"/>
        <v>0</v>
      </c>
      <c r="J369" s="7">
        <f ca="1">IFERROR(__xludf.dummyfunction("GOOGLEFINANCE(""NSE:""&amp;A417, ""changepct"")"),-0.87)</f>
        <v>-0.87</v>
      </c>
    </row>
    <row r="370" spans="1:10" ht="13.8">
      <c r="A370" s="5" t="s">
        <v>374</v>
      </c>
      <c r="B370" s="6">
        <f ca="1">IFERROR(__xludf.dummyfunction("GOOGLEFINANCE(""NSE:""&amp;A355, ""price"")"),171.9)</f>
        <v>171.9</v>
      </c>
      <c r="C370" s="6">
        <f ca="1">IFERROR(__xludf.dummyfunction("GOOGLEFINANCE(""NSE:""&amp;A355, ""priceopen"")"),175.65)</f>
        <v>175.65</v>
      </c>
      <c r="D370" s="6">
        <f ca="1">IFERROR(__xludf.dummyfunction("GOOGLEFINANCE(""NSE:""&amp;A355, ""high"")"),176.95)</f>
        <v>176.95</v>
      </c>
      <c r="E370" s="6">
        <f ca="1">IFERROR(__xludf.dummyfunction("GOOGLEFINANCE(""NSE:""&amp;A355, ""low"")"),171)</f>
        <v>171</v>
      </c>
      <c r="F370" s="6">
        <f ca="1">IFERROR(__xludf.dummyfunction("GOOGLEFINANCE(""NSE:""&amp;A355, ""closeyest"")"),172.4)</f>
        <v>172.4</v>
      </c>
      <c r="G370" s="6">
        <f ca="1">IFERROR(__xludf.dummyfunction("GOOGLEFINANCE(""NSE:""&amp;A355, ""volume"")"),175002)</f>
        <v>175002</v>
      </c>
      <c r="H370" s="6" t="b">
        <f t="shared" ca="1" si="10"/>
        <v>0</v>
      </c>
      <c r="I370" s="6" t="b">
        <f t="shared" ca="1" si="11"/>
        <v>0</v>
      </c>
      <c r="J370" s="7">
        <f ca="1">IFERROR(__xludf.dummyfunction("GOOGLEFINANCE(""NSE:""&amp;A355, ""changepct"")"),-0.29)</f>
        <v>-0.28999999999999998</v>
      </c>
    </row>
    <row r="371" spans="1:10" ht="13.8">
      <c r="A371" s="5" t="s">
        <v>375</v>
      </c>
      <c r="B371" s="6">
        <f ca="1">IFERROR(__xludf.dummyfunction("GOOGLEFINANCE(""NSE:""&amp;A267, ""price"")"),496)</f>
        <v>496</v>
      </c>
      <c r="C371" s="6">
        <f ca="1">IFERROR(__xludf.dummyfunction("GOOGLEFINANCE(""NSE:""&amp;A267, ""priceopen"")"),493.5)</f>
        <v>493.5</v>
      </c>
      <c r="D371" s="6">
        <f ca="1">IFERROR(__xludf.dummyfunction("GOOGLEFINANCE(""NSE:""&amp;A267, ""high"")"),503)</f>
        <v>503</v>
      </c>
      <c r="E371" s="6">
        <f ca="1">IFERROR(__xludf.dummyfunction("GOOGLEFINANCE(""NSE:""&amp;A267, ""low"")"),493.5)</f>
        <v>493.5</v>
      </c>
      <c r="F371" s="6">
        <f ca="1">IFERROR(__xludf.dummyfunction("GOOGLEFINANCE(""NSE:""&amp;A267, ""closeyest"")"),493.35)</f>
        <v>493.35</v>
      </c>
      <c r="G371" s="6">
        <f ca="1">IFERROR(__xludf.dummyfunction("GOOGLEFINANCE(""NSE:""&amp;A267, ""volume"")"),172015)</f>
        <v>172015</v>
      </c>
      <c r="H371" s="6" t="b">
        <f t="shared" ca="1" si="10"/>
        <v>1</v>
      </c>
      <c r="I371" s="6" t="b">
        <f t="shared" ca="1" si="11"/>
        <v>0</v>
      </c>
      <c r="J371" s="7">
        <f ca="1">IFERROR(__xludf.dummyfunction("GOOGLEFINANCE(""NSE:""&amp;A267, ""changepct"")"),0.54)</f>
        <v>0.54</v>
      </c>
    </row>
    <row r="372" spans="1:10" ht="13.8">
      <c r="A372" s="5" t="s">
        <v>376</v>
      </c>
      <c r="B372" s="6">
        <f ca="1">IFERROR(__xludf.dummyfunction("GOOGLEFINANCE(""NSE:""&amp;A478, ""price"")"),21330)</f>
        <v>21330</v>
      </c>
      <c r="C372" s="6">
        <f ca="1">IFERROR(__xludf.dummyfunction("GOOGLEFINANCE(""NSE:""&amp;A478, ""priceopen"")"),21898)</f>
        <v>21898</v>
      </c>
      <c r="D372" s="6">
        <f ca="1">IFERROR(__xludf.dummyfunction("GOOGLEFINANCE(""NSE:""&amp;A478, ""high"")"),21999)</f>
        <v>21999</v>
      </c>
      <c r="E372" s="6">
        <f ca="1">IFERROR(__xludf.dummyfunction("GOOGLEFINANCE(""NSE:""&amp;A478, ""low"")"),21240)</f>
        <v>21240</v>
      </c>
      <c r="F372" s="6">
        <f ca="1">IFERROR(__xludf.dummyfunction("GOOGLEFINANCE(""NSE:""&amp;A478, ""closeyest"")"),21807.35)</f>
        <v>21807.35</v>
      </c>
      <c r="G372" s="6">
        <f ca="1">IFERROR(__xludf.dummyfunction("GOOGLEFINANCE(""NSE:""&amp;A478, ""volume"")"),168209)</f>
        <v>168209</v>
      </c>
      <c r="H372" s="6" t="b">
        <f t="shared" ca="1" si="10"/>
        <v>0</v>
      </c>
      <c r="I372" s="6" t="b">
        <f t="shared" ca="1" si="11"/>
        <v>0</v>
      </c>
      <c r="J372" s="7">
        <f ca="1">IFERROR(__xludf.dummyfunction("GOOGLEFINANCE(""NSE:""&amp;A478, ""changepct"")"),-2.19)</f>
        <v>-2.19</v>
      </c>
    </row>
    <row r="373" spans="1:10" ht="13.8">
      <c r="A373" s="5" t="s">
        <v>377</v>
      </c>
      <c r="B373" s="6">
        <f ca="1">IFERROR(__xludf.dummyfunction("GOOGLEFINANCE(""NSE:""&amp;A74, ""price"")"),269)</f>
        <v>269</v>
      </c>
      <c r="C373" s="6">
        <f ca="1">IFERROR(__xludf.dummyfunction("GOOGLEFINANCE(""NSE:""&amp;A74, ""priceopen"")"),263.5)</f>
        <v>263.5</v>
      </c>
      <c r="D373" s="6">
        <f ca="1">IFERROR(__xludf.dummyfunction("GOOGLEFINANCE(""NSE:""&amp;A74, ""high"")"),270)</f>
        <v>270</v>
      </c>
      <c r="E373" s="6">
        <f ca="1">IFERROR(__xludf.dummyfunction("GOOGLEFINANCE(""NSE:""&amp;A74, ""low"")"),260)</f>
        <v>260</v>
      </c>
      <c r="F373" s="6">
        <f ca="1">IFERROR(__xludf.dummyfunction("GOOGLEFINANCE(""NSE:""&amp;A74, ""closeyest"")"),258.25)</f>
        <v>258.25</v>
      </c>
      <c r="G373" s="6">
        <f ca="1">IFERROR(__xludf.dummyfunction("GOOGLEFINANCE(""NSE:""&amp;A74, ""volume"")"),162580)</f>
        <v>162580</v>
      </c>
      <c r="H373" s="6" t="b">
        <f t="shared" ca="1" si="10"/>
        <v>0</v>
      </c>
      <c r="I373" s="6" t="b">
        <f t="shared" ca="1" si="11"/>
        <v>0</v>
      </c>
      <c r="J373" s="7">
        <f ca="1">IFERROR(__xludf.dummyfunction("GOOGLEFINANCE(""NSE:""&amp;A74, ""changepct"")"),4.16)</f>
        <v>4.16</v>
      </c>
    </row>
    <row r="374" spans="1:10" ht="13.8">
      <c r="A374" s="5" t="s">
        <v>378</v>
      </c>
      <c r="B374" s="6">
        <f ca="1">IFERROR(__xludf.dummyfunction("GOOGLEFINANCE(""NSE:""&amp;A289, ""price"")"),46.25)</f>
        <v>46.25</v>
      </c>
      <c r="C374" s="6">
        <f ca="1">IFERROR(__xludf.dummyfunction("GOOGLEFINANCE(""NSE:""&amp;A289, ""priceopen"")"),46.1)</f>
        <v>46.1</v>
      </c>
      <c r="D374" s="6">
        <f ca="1">IFERROR(__xludf.dummyfunction("GOOGLEFINANCE(""NSE:""&amp;A289, ""high"")"),47.95)</f>
        <v>47.95</v>
      </c>
      <c r="E374" s="6">
        <f ca="1">IFERROR(__xludf.dummyfunction("GOOGLEFINANCE(""NSE:""&amp;A289, ""low"")"),45.85)</f>
        <v>45.85</v>
      </c>
      <c r="F374" s="6">
        <f ca="1">IFERROR(__xludf.dummyfunction("GOOGLEFINANCE(""NSE:""&amp;A289, ""closeyest"")"),46.1)</f>
        <v>46.1</v>
      </c>
      <c r="G374" s="6">
        <f ca="1">IFERROR(__xludf.dummyfunction("GOOGLEFINANCE(""NSE:""&amp;A289, ""volume"")"),162535)</f>
        <v>162535</v>
      </c>
      <c r="H374" s="6" t="b">
        <f t="shared" ca="1" si="10"/>
        <v>0</v>
      </c>
      <c r="I374" s="6" t="b">
        <f t="shared" ca="1" si="11"/>
        <v>0</v>
      </c>
      <c r="J374" s="7">
        <f ca="1">IFERROR(__xludf.dummyfunction("GOOGLEFINANCE(""NSE:""&amp;A289, ""changepct"")"),0.33)</f>
        <v>0.33</v>
      </c>
    </row>
    <row r="375" spans="1:10" ht="13.8">
      <c r="A375" s="5" t="s">
        <v>379</v>
      </c>
      <c r="B375" s="6">
        <f ca="1">IFERROR(__xludf.dummyfunction("GOOGLEFINANCE(""NSE:""&amp;A153, ""price"")"),779.8)</f>
        <v>779.8</v>
      </c>
      <c r="C375" s="6">
        <f ca="1">IFERROR(__xludf.dummyfunction("GOOGLEFINANCE(""NSE:""&amp;A153, ""priceopen"")"),793.9)</f>
        <v>793.9</v>
      </c>
      <c r="D375" s="6">
        <f ca="1">IFERROR(__xludf.dummyfunction("GOOGLEFINANCE(""NSE:""&amp;A153, ""high"")"),793.9)</f>
        <v>793.9</v>
      </c>
      <c r="E375" s="6">
        <f ca="1">IFERROR(__xludf.dummyfunction("GOOGLEFINANCE(""NSE:""&amp;A153, ""low"")"),770.1)</f>
        <v>770.1</v>
      </c>
      <c r="F375" s="6">
        <f ca="1">IFERROR(__xludf.dummyfunction("GOOGLEFINANCE(""NSE:""&amp;A153, ""closeyest"")"),763.9)</f>
        <v>763.9</v>
      </c>
      <c r="G375" s="6">
        <f ca="1">IFERROR(__xludf.dummyfunction("GOOGLEFINANCE(""NSE:""&amp;A153, ""volume"")"),161608)</f>
        <v>161608</v>
      </c>
      <c r="H375" s="6" t="b">
        <f t="shared" ca="1" si="10"/>
        <v>0</v>
      </c>
      <c r="I375" s="6" t="b">
        <f t="shared" ca="1" si="11"/>
        <v>1</v>
      </c>
      <c r="J375" s="7">
        <f ca="1">IFERROR(__xludf.dummyfunction("GOOGLEFINANCE(""NSE:""&amp;A153, ""changepct"")"),2.08)</f>
        <v>2.08</v>
      </c>
    </row>
    <row r="376" spans="1:10" ht="13.8">
      <c r="A376" s="5" t="s">
        <v>380</v>
      </c>
      <c r="B376" s="6">
        <f ca="1">IFERROR(__xludf.dummyfunction("GOOGLEFINANCE(""NSE:""&amp;A293, ""price"")"),160)</f>
        <v>160</v>
      </c>
      <c r="C376" s="6">
        <f ca="1">IFERROR(__xludf.dummyfunction("GOOGLEFINANCE(""NSE:""&amp;A293, ""priceopen"")"),165)</f>
        <v>165</v>
      </c>
      <c r="D376" s="6">
        <f ca="1">IFERROR(__xludf.dummyfunction("GOOGLEFINANCE(""NSE:""&amp;A293, ""high"")"),165)</f>
        <v>165</v>
      </c>
      <c r="E376" s="6">
        <f ca="1">IFERROR(__xludf.dummyfunction("GOOGLEFINANCE(""NSE:""&amp;A293, ""low"")"),159)</f>
        <v>159</v>
      </c>
      <c r="F376" s="6">
        <f ca="1">IFERROR(__xludf.dummyfunction("GOOGLEFINANCE(""NSE:""&amp;A293, ""closeyest"")"),159.55)</f>
        <v>159.55000000000001</v>
      </c>
      <c r="G376" s="6">
        <f ca="1">IFERROR(__xludf.dummyfunction("GOOGLEFINANCE(""NSE:""&amp;A293, ""volume"")"),161425)</f>
        <v>161425</v>
      </c>
      <c r="H376" s="6" t="b">
        <f t="shared" ca="1" si="10"/>
        <v>0</v>
      </c>
      <c r="I376" s="6" t="b">
        <f t="shared" ca="1" si="11"/>
        <v>1</v>
      </c>
      <c r="J376" s="7">
        <f ca="1">IFERROR(__xludf.dummyfunction("GOOGLEFINANCE(""NSE:""&amp;A293, ""changepct"")"),0.28)</f>
        <v>0.28000000000000003</v>
      </c>
    </row>
    <row r="377" spans="1:10" ht="13.8">
      <c r="A377" s="5" t="s">
        <v>381</v>
      </c>
      <c r="B377" s="6">
        <f ca="1">IFERROR(__xludf.dummyfunction("GOOGLEFINANCE(""NSE:""&amp;A154, ""price"")"),153.2)</f>
        <v>153.19999999999999</v>
      </c>
      <c r="C377" s="6">
        <f ca="1">IFERROR(__xludf.dummyfunction("GOOGLEFINANCE(""NSE:""&amp;A154, ""priceopen"")"),150.2)</f>
        <v>150.19999999999999</v>
      </c>
      <c r="D377" s="6">
        <f ca="1">IFERROR(__xludf.dummyfunction("GOOGLEFINANCE(""NSE:""&amp;A154, ""high"")"),155)</f>
        <v>155</v>
      </c>
      <c r="E377" s="6">
        <f ca="1">IFERROR(__xludf.dummyfunction("GOOGLEFINANCE(""NSE:""&amp;A154, ""low"")"),150.2)</f>
        <v>150.19999999999999</v>
      </c>
      <c r="F377" s="6">
        <f ca="1">IFERROR(__xludf.dummyfunction("GOOGLEFINANCE(""NSE:""&amp;A154, ""closeyest"")"),150.1)</f>
        <v>150.1</v>
      </c>
      <c r="G377" s="6">
        <f ca="1">IFERROR(__xludf.dummyfunction("GOOGLEFINANCE(""NSE:""&amp;A154, ""volume"")"),155468)</f>
        <v>155468</v>
      </c>
      <c r="H377" s="6" t="b">
        <f t="shared" ca="1" si="10"/>
        <v>1</v>
      </c>
      <c r="I377" s="6" t="b">
        <f t="shared" ca="1" si="11"/>
        <v>0</v>
      </c>
      <c r="J377" s="7">
        <f ca="1">IFERROR(__xludf.dummyfunction("GOOGLEFINANCE(""NSE:""&amp;A154, ""changepct"")"),2.07)</f>
        <v>2.0699999999999998</v>
      </c>
    </row>
    <row r="378" spans="1:10" ht="13.8">
      <c r="A378" s="5" t="s">
        <v>382</v>
      </c>
      <c r="B378" s="6">
        <f ca="1">IFERROR(__xludf.dummyfunction("GOOGLEFINANCE(""NSE:""&amp;A263, ""price"")"),145.1)</f>
        <v>145.1</v>
      </c>
      <c r="C378" s="6">
        <f ca="1">IFERROR(__xludf.dummyfunction("GOOGLEFINANCE(""NSE:""&amp;A263, ""priceopen"")"),146.9)</f>
        <v>146.9</v>
      </c>
      <c r="D378" s="6">
        <f ca="1">IFERROR(__xludf.dummyfunction("GOOGLEFINANCE(""NSE:""&amp;A263, ""high"")"),147.35)</f>
        <v>147.35</v>
      </c>
      <c r="E378" s="6">
        <f ca="1">IFERROR(__xludf.dummyfunction("GOOGLEFINANCE(""NSE:""&amp;A263, ""low"")"),144.25)</f>
        <v>144.25</v>
      </c>
      <c r="F378" s="6">
        <f ca="1">IFERROR(__xludf.dummyfunction("GOOGLEFINANCE(""NSE:""&amp;A263, ""closeyest"")"),144.2)</f>
        <v>144.19999999999999</v>
      </c>
      <c r="G378" s="6">
        <f ca="1">IFERROR(__xludf.dummyfunction("GOOGLEFINANCE(""NSE:""&amp;A263, ""volume"")"),153660)</f>
        <v>153660</v>
      </c>
      <c r="H378" s="6" t="b">
        <f t="shared" ca="1" si="10"/>
        <v>0</v>
      </c>
      <c r="I378" s="6" t="b">
        <f t="shared" ca="1" si="11"/>
        <v>0</v>
      </c>
      <c r="J378" s="7">
        <f ca="1">IFERROR(__xludf.dummyfunction("GOOGLEFINANCE(""NSE:""&amp;A263, ""changepct"")"),0.62)</f>
        <v>0.62</v>
      </c>
    </row>
    <row r="379" spans="1:10" ht="13.8">
      <c r="A379" s="5" t="s">
        <v>383</v>
      </c>
      <c r="B379" s="6">
        <f ca="1">IFERROR(__xludf.dummyfunction("GOOGLEFINANCE(""NSE:""&amp;A356, ""price"")"),116.1)</f>
        <v>116.1</v>
      </c>
      <c r="C379" s="6">
        <f ca="1">IFERROR(__xludf.dummyfunction("GOOGLEFINANCE(""NSE:""&amp;A356, ""priceopen"")"),117.25)</f>
        <v>117.25</v>
      </c>
      <c r="D379" s="6">
        <f ca="1">IFERROR(__xludf.dummyfunction("GOOGLEFINANCE(""NSE:""&amp;A356, ""high"")"),117.4)</f>
        <v>117.4</v>
      </c>
      <c r="E379" s="6">
        <f ca="1">IFERROR(__xludf.dummyfunction("GOOGLEFINANCE(""NSE:""&amp;A356, ""low"")"),115.25)</f>
        <v>115.25</v>
      </c>
      <c r="F379" s="6">
        <f ca="1">IFERROR(__xludf.dummyfunction("GOOGLEFINANCE(""NSE:""&amp;A356, ""closeyest"")"),116.45)</f>
        <v>116.45</v>
      </c>
      <c r="G379" s="6">
        <f ca="1">IFERROR(__xludf.dummyfunction("GOOGLEFINANCE(""NSE:""&amp;A356, ""volume"")"),153523)</f>
        <v>153523</v>
      </c>
      <c r="H379" s="6" t="b">
        <f t="shared" ca="1" si="10"/>
        <v>0</v>
      </c>
      <c r="I379" s="6" t="b">
        <f t="shared" ca="1" si="11"/>
        <v>0</v>
      </c>
      <c r="J379" s="7">
        <f ca="1">IFERROR(__xludf.dummyfunction("GOOGLEFINANCE(""NSE:""&amp;A356, ""changepct"")"),-0.3)</f>
        <v>-0.3</v>
      </c>
    </row>
    <row r="380" spans="1:10" ht="13.8">
      <c r="A380" s="5" t="s">
        <v>384</v>
      </c>
      <c r="B380" s="6">
        <f ca="1">IFERROR(__xludf.dummyfunction("GOOGLEFINANCE(""NSE:""&amp;A213, ""price"")"),150)</f>
        <v>150</v>
      </c>
      <c r="C380" s="6">
        <f ca="1">IFERROR(__xludf.dummyfunction("GOOGLEFINANCE(""NSE:""&amp;A213, ""priceopen"")"),148.3)</f>
        <v>148.30000000000001</v>
      </c>
      <c r="D380" s="6">
        <f ca="1">IFERROR(__xludf.dummyfunction("GOOGLEFINANCE(""NSE:""&amp;A213, ""high"")"),154)</f>
        <v>154</v>
      </c>
      <c r="E380" s="6">
        <f ca="1">IFERROR(__xludf.dummyfunction("GOOGLEFINANCE(""NSE:""&amp;A213, ""low"")"),148.3)</f>
        <v>148.30000000000001</v>
      </c>
      <c r="F380" s="6">
        <f ca="1">IFERROR(__xludf.dummyfunction("GOOGLEFINANCE(""NSE:""&amp;A213, ""closeyest"")"),148.2)</f>
        <v>148.19999999999999</v>
      </c>
      <c r="G380" s="6">
        <f ca="1">IFERROR(__xludf.dummyfunction("GOOGLEFINANCE(""NSE:""&amp;A213, ""volume"")"),147895)</f>
        <v>147895</v>
      </c>
      <c r="H380" s="6" t="b">
        <f t="shared" ca="1" si="10"/>
        <v>1</v>
      </c>
      <c r="I380" s="6" t="b">
        <f t="shared" ca="1" si="11"/>
        <v>0</v>
      </c>
      <c r="J380" s="7">
        <f ca="1">IFERROR(__xludf.dummyfunction("GOOGLEFINANCE(""NSE:""&amp;A213, ""changepct"")"),1.21)</f>
        <v>1.21</v>
      </c>
    </row>
    <row r="381" spans="1:10" ht="13.8">
      <c r="A381" s="5" t="s">
        <v>385</v>
      </c>
      <c r="B381" s="6">
        <f ca="1">IFERROR(__xludf.dummyfunction("GOOGLEFINANCE(""NSE:""&amp;A375, ""price"")"),368)</f>
        <v>368</v>
      </c>
      <c r="C381" s="6">
        <f ca="1">IFERROR(__xludf.dummyfunction("GOOGLEFINANCE(""NSE:""&amp;A375, ""priceopen"")"),369.6)</f>
        <v>369.6</v>
      </c>
      <c r="D381" s="6">
        <f ca="1">IFERROR(__xludf.dummyfunction("GOOGLEFINANCE(""NSE:""&amp;A375, ""high"")"),376.9)</f>
        <v>376.9</v>
      </c>
      <c r="E381" s="6">
        <f ca="1">IFERROR(__xludf.dummyfunction("GOOGLEFINANCE(""NSE:""&amp;A375, ""low"")"),361.65)</f>
        <v>361.65</v>
      </c>
      <c r="F381" s="6">
        <f ca="1">IFERROR(__xludf.dummyfunction("GOOGLEFINANCE(""NSE:""&amp;A375, ""closeyest"")"),369.6)</f>
        <v>369.6</v>
      </c>
      <c r="G381" s="6">
        <f ca="1">IFERROR(__xludf.dummyfunction("GOOGLEFINANCE(""NSE:""&amp;A375, ""volume"")"),143750)</f>
        <v>143750</v>
      </c>
      <c r="H381" s="6" t="b">
        <f t="shared" ca="1" si="10"/>
        <v>0</v>
      </c>
      <c r="I381" s="6" t="b">
        <f t="shared" ca="1" si="11"/>
        <v>0</v>
      </c>
      <c r="J381" s="7">
        <f ca="1">IFERROR(__xludf.dummyfunction("GOOGLEFINANCE(""NSE:""&amp;A375, ""changepct"")"),-0.43)</f>
        <v>-0.43</v>
      </c>
    </row>
    <row r="382" spans="1:10" ht="13.8">
      <c r="A382" s="5" t="s">
        <v>386</v>
      </c>
      <c r="B382" s="6">
        <f ca="1">IFERROR(__xludf.dummyfunction("GOOGLEFINANCE(""NSE:""&amp;A114, ""price"")"),494)</f>
        <v>494</v>
      </c>
      <c r="C382" s="6">
        <f ca="1">IFERROR(__xludf.dummyfunction("GOOGLEFINANCE(""NSE:""&amp;A114, ""priceopen"")"),480)</f>
        <v>480</v>
      </c>
      <c r="D382" s="6">
        <f ca="1">IFERROR(__xludf.dummyfunction("GOOGLEFINANCE(""NSE:""&amp;A114, ""high"")"),504.9)</f>
        <v>504.9</v>
      </c>
      <c r="E382" s="6">
        <f ca="1">IFERROR(__xludf.dummyfunction("GOOGLEFINANCE(""NSE:""&amp;A114, ""low"")"),480)</f>
        <v>480</v>
      </c>
      <c r="F382" s="6">
        <f ca="1">IFERROR(__xludf.dummyfunction("GOOGLEFINANCE(""NSE:""&amp;A114, ""closeyest"")"),479.85)</f>
        <v>479.85</v>
      </c>
      <c r="G382" s="6">
        <f ca="1">IFERROR(__xludf.dummyfunction("GOOGLEFINANCE(""NSE:""&amp;A114, ""volume"")"),142454)</f>
        <v>142454</v>
      </c>
      <c r="H382" s="6" t="b">
        <f t="shared" ca="1" si="10"/>
        <v>1</v>
      </c>
      <c r="I382" s="6" t="b">
        <f t="shared" ca="1" si="11"/>
        <v>0</v>
      </c>
      <c r="J382" s="7">
        <f ca="1">IFERROR(__xludf.dummyfunction("GOOGLEFINANCE(""NSE:""&amp;A114, ""changepct"")"),2.95)</f>
        <v>2.95</v>
      </c>
    </row>
    <row r="383" spans="1:10" ht="13.8">
      <c r="A383" s="5" t="s">
        <v>387</v>
      </c>
      <c r="B383" s="6">
        <f ca="1">IFERROR(__xludf.dummyfunction("GOOGLEFINANCE(""NSE:""&amp;A56, ""price"")"),251.95)</f>
        <v>251.95</v>
      </c>
      <c r="C383" s="6">
        <f ca="1">IFERROR(__xludf.dummyfunction("GOOGLEFINANCE(""NSE:""&amp;A56, ""priceopen"")"),241.9)</f>
        <v>241.9</v>
      </c>
      <c r="D383" s="6">
        <f ca="1">IFERROR(__xludf.dummyfunction("GOOGLEFINANCE(""NSE:""&amp;A56, ""high"")"),258)</f>
        <v>258</v>
      </c>
      <c r="E383" s="6">
        <f ca="1">IFERROR(__xludf.dummyfunction("GOOGLEFINANCE(""NSE:""&amp;A56, ""low"")"),239.45)</f>
        <v>239.45</v>
      </c>
      <c r="F383" s="6">
        <f ca="1">IFERROR(__xludf.dummyfunction("GOOGLEFINANCE(""NSE:""&amp;A56, ""closeyest"")"),240.25)</f>
        <v>240.25</v>
      </c>
      <c r="G383" s="6">
        <f ca="1">IFERROR(__xludf.dummyfunction("GOOGLEFINANCE(""NSE:""&amp;A56, ""volume"")"),141518)</f>
        <v>141518</v>
      </c>
      <c r="H383" s="6" t="b">
        <f t="shared" ca="1" si="10"/>
        <v>0</v>
      </c>
      <c r="I383" s="6" t="b">
        <f t="shared" ca="1" si="11"/>
        <v>0</v>
      </c>
      <c r="J383" s="7">
        <f ca="1">IFERROR(__xludf.dummyfunction("GOOGLEFINANCE(""NSE:""&amp;A56, ""changepct"")"),4.87)</f>
        <v>4.87</v>
      </c>
    </row>
    <row r="384" spans="1:10" ht="13.8">
      <c r="A384" s="5" t="s">
        <v>388</v>
      </c>
      <c r="B384" s="6">
        <f ca="1">IFERROR(__xludf.dummyfunction("GOOGLEFINANCE(""NSE:""&amp;A14, ""price"")"),2026.4)</f>
        <v>2026.4</v>
      </c>
      <c r="C384" s="6">
        <f ca="1">IFERROR(__xludf.dummyfunction("GOOGLEFINANCE(""NSE:""&amp;A14, ""priceopen"")"),1965)</f>
        <v>1965</v>
      </c>
      <c r="D384" s="6">
        <f ca="1">IFERROR(__xludf.dummyfunction("GOOGLEFINANCE(""NSE:""&amp;A14, ""high"")"),2026.4)</f>
        <v>2026.4</v>
      </c>
      <c r="E384" s="6">
        <f ca="1">IFERROR(__xludf.dummyfunction("GOOGLEFINANCE(""NSE:""&amp;A14, ""low"")"),1926.05)</f>
        <v>1926.05</v>
      </c>
      <c r="F384" s="6">
        <f ca="1">IFERROR(__xludf.dummyfunction("GOOGLEFINANCE(""NSE:""&amp;A14, ""closeyest"")"),1842.2)</f>
        <v>1842.2</v>
      </c>
      <c r="G384" s="6">
        <f ca="1">IFERROR(__xludf.dummyfunction("GOOGLEFINANCE(""NSE:""&amp;A14, ""volume"")"),141151)</f>
        <v>141151</v>
      </c>
      <c r="H384" s="6" t="b">
        <f t="shared" ca="1" si="10"/>
        <v>0</v>
      </c>
      <c r="I384" s="6" t="b">
        <f t="shared" ca="1" si="11"/>
        <v>0</v>
      </c>
      <c r="J384" s="7">
        <f ca="1">IFERROR(__xludf.dummyfunction("GOOGLEFINANCE(""NSE:""&amp;A14, ""changepct"")"),10)</f>
        <v>10</v>
      </c>
    </row>
    <row r="385" spans="1:10" ht="13.8">
      <c r="A385" s="5" t="s">
        <v>389</v>
      </c>
      <c r="B385" s="6">
        <f ca="1">IFERROR(__xludf.dummyfunction("GOOGLEFINANCE(""NSE:""&amp;A102, ""price"")"),1710)</f>
        <v>1710</v>
      </c>
      <c r="C385" s="6">
        <f ca="1">IFERROR(__xludf.dummyfunction("GOOGLEFINANCE(""NSE:""&amp;A102, ""priceopen"")"),1679)</f>
        <v>1679</v>
      </c>
      <c r="D385" s="6">
        <f ca="1">IFERROR(__xludf.dummyfunction("GOOGLEFINANCE(""NSE:""&amp;A102, ""high"")"),1774.4)</f>
        <v>1774.4</v>
      </c>
      <c r="E385" s="6">
        <f ca="1">IFERROR(__xludf.dummyfunction("GOOGLEFINANCE(""NSE:""&amp;A102, ""low"")"),1657.6)</f>
        <v>1657.6</v>
      </c>
      <c r="F385" s="6">
        <f ca="1">IFERROR(__xludf.dummyfunction("GOOGLEFINANCE(""NSE:""&amp;A102, ""closeyest"")"),1656.1)</f>
        <v>1656.1</v>
      </c>
      <c r="G385" s="6">
        <f ca="1">IFERROR(__xludf.dummyfunction("GOOGLEFINANCE(""NSE:""&amp;A102, ""volume"")"),140607)</f>
        <v>140607</v>
      </c>
      <c r="H385" s="6" t="b">
        <f t="shared" ref="H385:H448" ca="1" si="12">C385=E385</f>
        <v>0</v>
      </c>
      <c r="I385" s="6" t="b">
        <f t="shared" ref="I385:I448" ca="1" si="13">D385=C385</f>
        <v>0</v>
      </c>
      <c r="J385" s="7">
        <f ca="1">IFERROR(__xludf.dummyfunction("GOOGLEFINANCE(""NSE:""&amp;A102, ""changepct"")"),3.25)</f>
        <v>3.25</v>
      </c>
    </row>
    <row r="386" spans="1:10" ht="13.8">
      <c r="A386" s="5" t="s">
        <v>390</v>
      </c>
      <c r="B386" s="6">
        <f ca="1">IFERROR(__xludf.dummyfunction("GOOGLEFINANCE(""NSE:""&amp;A111, ""price"")"),495.9)</f>
        <v>495.9</v>
      </c>
      <c r="C386" s="6">
        <f ca="1">IFERROR(__xludf.dummyfunction("GOOGLEFINANCE(""NSE:""&amp;A111, ""priceopen"")"),484.5)</f>
        <v>484.5</v>
      </c>
      <c r="D386" s="6">
        <f ca="1">IFERROR(__xludf.dummyfunction("GOOGLEFINANCE(""NSE:""&amp;A111, ""high"")"),498.8)</f>
        <v>498.8</v>
      </c>
      <c r="E386" s="6">
        <f ca="1">IFERROR(__xludf.dummyfunction("GOOGLEFINANCE(""NSE:""&amp;A111, ""low"")"),481.2)</f>
        <v>481.2</v>
      </c>
      <c r="F386" s="6">
        <f ca="1">IFERROR(__xludf.dummyfunction("GOOGLEFINANCE(""NSE:""&amp;A111, ""closeyest"")"),481.05)</f>
        <v>481.05</v>
      </c>
      <c r="G386" s="6">
        <f ca="1">IFERROR(__xludf.dummyfunction("GOOGLEFINANCE(""NSE:""&amp;A111, ""volume"")"),139290)</f>
        <v>139290</v>
      </c>
      <c r="H386" s="6" t="b">
        <f t="shared" ca="1" si="12"/>
        <v>0</v>
      </c>
      <c r="I386" s="6" t="b">
        <f t="shared" ca="1" si="13"/>
        <v>0</v>
      </c>
      <c r="J386" s="7">
        <f ca="1">IFERROR(__xludf.dummyfunction("GOOGLEFINANCE(""NSE:""&amp;A111, ""changepct"")"),3.09)</f>
        <v>3.09</v>
      </c>
    </row>
    <row r="387" spans="1:10" ht="13.8">
      <c r="A387" s="5" t="s">
        <v>391</v>
      </c>
      <c r="B387" s="6">
        <f ca="1">IFERROR(__xludf.dummyfunction("GOOGLEFINANCE(""NSE:""&amp;A162, ""price"")"),149.5)</f>
        <v>149.5</v>
      </c>
      <c r="C387" s="6">
        <f ca="1">IFERROR(__xludf.dummyfunction("GOOGLEFINANCE(""NSE:""&amp;A162, ""priceopen"")"),160)</f>
        <v>160</v>
      </c>
      <c r="D387" s="6">
        <f ca="1">IFERROR(__xludf.dummyfunction("GOOGLEFINANCE(""NSE:""&amp;A162, ""high"")"),160)</f>
        <v>160</v>
      </c>
      <c r="E387" s="6">
        <f ca="1">IFERROR(__xludf.dummyfunction("GOOGLEFINANCE(""NSE:""&amp;A162, ""low"")"),146.85)</f>
        <v>146.85</v>
      </c>
      <c r="F387" s="6">
        <f ca="1">IFERROR(__xludf.dummyfunction("GOOGLEFINANCE(""NSE:""&amp;A162, ""closeyest"")"),146.65)</f>
        <v>146.65</v>
      </c>
      <c r="G387" s="6">
        <f ca="1">IFERROR(__xludf.dummyfunction("GOOGLEFINANCE(""NSE:""&amp;A162, ""volume"")"),137236)</f>
        <v>137236</v>
      </c>
      <c r="H387" s="6" t="b">
        <f t="shared" ca="1" si="12"/>
        <v>0</v>
      </c>
      <c r="I387" s="6" t="b">
        <f t="shared" ca="1" si="13"/>
        <v>1</v>
      </c>
      <c r="J387" s="7">
        <f ca="1">IFERROR(__xludf.dummyfunction("GOOGLEFINANCE(""NSE:""&amp;A162, ""changepct"")"),1.94)</f>
        <v>1.94</v>
      </c>
    </row>
    <row r="388" spans="1:10" ht="13.8">
      <c r="A388" s="5" t="s">
        <v>392</v>
      </c>
      <c r="B388" s="6">
        <f ca="1">IFERROR(__xludf.dummyfunction("GOOGLEFINANCE(""NSE:""&amp;A470, ""price"")"),268)</f>
        <v>268</v>
      </c>
      <c r="C388" s="6">
        <f ca="1">IFERROR(__xludf.dummyfunction("GOOGLEFINANCE(""NSE:""&amp;A470, ""priceopen"")"),282.7)</f>
        <v>282.7</v>
      </c>
      <c r="D388" s="6">
        <f ca="1">IFERROR(__xludf.dummyfunction("GOOGLEFINANCE(""NSE:""&amp;A470, ""high"")"),282.7)</f>
        <v>282.7</v>
      </c>
      <c r="E388" s="6">
        <f ca="1">IFERROR(__xludf.dummyfunction("GOOGLEFINANCE(""NSE:""&amp;A470, ""low"")"),267)</f>
        <v>267</v>
      </c>
      <c r="F388" s="6">
        <f ca="1">IFERROR(__xludf.dummyfunction("GOOGLEFINANCE(""NSE:""&amp;A470, ""closeyest"")"),272.85)</f>
        <v>272.85000000000002</v>
      </c>
      <c r="G388" s="6">
        <f ca="1">IFERROR(__xludf.dummyfunction("GOOGLEFINANCE(""NSE:""&amp;A470, ""volume"")"),134728)</f>
        <v>134728</v>
      </c>
      <c r="H388" s="6" t="b">
        <f t="shared" ca="1" si="12"/>
        <v>0</v>
      </c>
      <c r="I388" s="6" t="b">
        <f t="shared" ca="1" si="13"/>
        <v>1</v>
      </c>
      <c r="J388" s="7">
        <f ca="1">IFERROR(__xludf.dummyfunction("GOOGLEFINANCE(""NSE:""&amp;A470, ""changepct"")"),-1.78)</f>
        <v>-1.78</v>
      </c>
    </row>
    <row r="389" spans="1:10" ht="13.8">
      <c r="A389" s="5" t="s">
        <v>393</v>
      </c>
      <c r="B389" s="6">
        <f ca="1">IFERROR(__xludf.dummyfunction("GOOGLEFINANCE(""NSE:""&amp;A176, ""price"")"),961)</f>
        <v>961</v>
      </c>
      <c r="C389" s="6">
        <f ca="1">IFERROR(__xludf.dummyfunction("GOOGLEFINANCE(""NSE:""&amp;A176, ""priceopen"")"),950)</f>
        <v>950</v>
      </c>
      <c r="D389" s="6">
        <f ca="1">IFERROR(__xludf.dummyfunction("GOOGLEFINANCE(""NSE:""&amp;A176, ""high"")"),990)</f>
        <v>990</v>
      </c>
      <c r="E389" s="6">
        <f ca="1">IFERROR(__xludf.dummyfunction("GOOGLEFINANCE(""NSE:""&amp;A176, ""low"")"),931.1)</f>
        <v>931.1</v>
      </c>
      <c r="F389" s="6">
        <f ca="1">IFERROR(__xludf.dummyfunction("GOOGLEFINANCE(""NSE:""&amp;A176, ""closeyest"")"),944.65)</f>
        <v>944.65</v>
      </c>
      <c r="G389" s="6">
        <f ca="1">IFERROR(__xludf.dummyfunction("GOOGLEFINANCE(""NSE:""&amp;A176, ""volume"")"),133912)</f>
        <v>133912</v>
      </c>
      <c r="H389" s="6" t="b">
        <f t="shared" ca="1" si="12"/>
        <v>0</v>
      </c>
      <c r="I389" s="6" t="b">
        <f t="shared" ca="1" si="13"/>
        <v>0</v>
      </c>
      <c r="J389" s="7">
        <f ca="1">IFERROR(__xludf.dummyfunction("GOOGLEFINANCE(""NSE:""&amp;A176, ""changepct"")"),1.73)</f>
        <v>1.73</v>
      </c>
    </row>
    <row r="390" spans="1:10" ht="13.8">
      <c r="A390" s="5" t="s">
        <v>394</v>
      </c>
      <c r="B390" s="6">
        <f ca="1">IFERROR(__xludf.dummyfunction("GOOGLEFINANCE(""NSE:""&amp;A165, ""price"")"),22330)</f>
        <v>22330</v>
      </c>
      <c r="C390" s="6">
        <f ca="1">IFERROR(__xludf.dummyfunction("GOOGLEFINANCE(""NSE:""&amp;A165, ""priceopen"")"),22200)</f>
        <v>22200</v>
      </c>
      <c r="D390" s="6">
        <f ca="1">IFERROR(__xludf.dummyfunction("GOOGLEFINANCE(""NSE:""&amp;A165, ""high"")"),22550)</f>
        <v>22550</v>
      </c>
      <c r="E390" s="6">
        <f ca="1">IFERROR(__xludf.dummyfunction("GOOGLEFINANCE(""NSE:""&amp;A165, ""low"")"),21939.55)</f>
        <v>21939.55</v>
      </c>
      <c r="F390" s="6">
        <f ca="1">IFERROR(__xludf.dummyfunction("GOOGLEFINANCE(""NSE:""&amp;A165, ""closeyest"")"),21910.1)</f>
        <v>21910.1</v>
      </c>
      <c r="G390" s="6">
        <f ca="1">IFERROR(__xludf.dummyfunction("GOOGLEFINANCE(""NSE:""&amp;A165, ""volume"")"),125348)</f>
        <v>125348</v>
      </c>
      <c r="H390" s="6" t="b">
        <f t="shared" ca="1" si="12"/>
        <v>0</v>
      </c>
      <c r="I390" s="6" t="b">
        <f t="shared" ca="1" si="13"/>
        <v>0</v>
      </c>
      <c r="J390" s="7">
        <f ca="1">IFERROR(__xludf.dummyfunction("GOOGLEFINANCE(""NSE:""&amp;A165, ""changepct"")"),1.92)</f>
        <v>1.92</v>
      </c>
    </row>
    <row r="391" spans="1:10" ht="13.8">
      <c r="A391" s="5" t="s">
        <v>395</v>
      </c>
      <c r="B391" s="6">
        <f ca="1">IFERROR(__xludf.dummyfunction("GOOGLEFINANCE(""NSE:""&amp;A143, ""price"")"),741)</f>
        <v>741</v>
      </c>
      <c r="C391" s="6">
        <f ca="1">IFERROR(__xludf.dummyfunction("GOOGLEFINANCE(""NSE:""&amp;A143, ""priceopen"")"),747.45)</f>
        <v>747.45</v>
      </c>
      <c r="D391" s="6">
        <f ca="1">IFERROR(__xludf.dummyfunction("GOOGLEFINANCE(""NSE:""&amp;A143, ""high"")"),770)</f>
        <v>770</v>
      </c>
      <c r="E391" s="6">
        <f ca="1">IFERROR(__xludf.dummyfunction("GOOGLEFINANCE(""NSE:""&amp;A143, ""low"")"),720)</f>
        <v>720</v>
      </c>
      <c r="F391" s="6">
        <f ca="1">IFERROR(__xludf.dummyfunction("GOOGLEFINANCE(""NSE:""&amp;A143, ""closeyest"")"),724.45)</f>
        <v>724.45</v>
      </c>
      <c r="G391" s="6">
        <f ca="1">IFERROR(__xludf.dummyfunction("GOOGLEFINANCE(""NSE:""&amp;A143, ""volume"")"),122978)</f>
        <v>122978</v>
      </c>
      <c r="H391" s="6" t="b">
        <f t="shared" ca="1" si="12"/>
        <v>0</v>
      </c>
      <c r="I391" s="6" t="b">
        <f t="shared" ca="1" si="13"/>
        <v>0</v>
      </c>
      <c r="J391" s="7">
        <f ca="1">IFERROR(__xludf.dummyfunction("GOOGLEFINANCE(""NSE:""&amp;A143, ""changepct"")"),2.28)</f>
        <v>2.2799999999999998</v>
      </c>
    </row>
    <row r="392" spans="1:10" ht="13.8">
      <c r="A392" s="5" t="s">
        <v>396</v>
      </c>
      <c r="B392" s="6">
        <f ca="1">IFERROR(__xludf.dummyfunction("GOOGLEFINANCE(""NSE:""&amp;A171, ""price"")"),1073)</f>
        <v>1073</v>
      </c>
      <c r="C392" s="6">
        <f ca="1">IFERROR(__xludf.dummyfunction("GOOGLEFINANCE(""NSE:""&amp;A171, ""priceopen"")"),1059.1)</f>
        <v>1059.0999999999999</v>
      </c>
      <c r="D392" s="6">
        <f ca="1">IFERROR(__xludf.dummyfunction("GOOGLEFINANCE(""NSE:""&amp;A171, ""high"")"),1105.75)</f>
        <v>1105.75</v>
      </c>
      <c r="E392" s="6">
        <f ca="1">IFERROR(__xludf.dummyfunction("GOOGLEFINANCE(""NSE:""&amp;A171, ""low"")"),1056)</f>
        <v>1056</v>
      </c>
      <c r="F392" s="6">
        <f ca="1">IFERROR(__xludf.dummyfunction("GOOGLEFINANCE(""NSE:""&amp;A171, ""closeyest"")"),1053.55)</f>
        <v>1053.55</v>
      </c>
      <c r="G392" s="6">
        <f ca="1">IFERROR(__xludf.dummyfunction("GOOGLEFINANCE(""NSE:""&amp;A171, ""volume"")"),122332)</f>
        <v>122332</v>
      </c>
      <c r="H392" s="6" t="b">
        <f t="shared" ca="1" si="12"/>
        <v>0</v>
      </c>
      <c r="I392" s="6" t="b">
        <f t="shared" ca="1" si="13"/>
        <v>0</v>
      </c>
      <c r="J392" s="7">
        <f ca="1">IFERROR(__xludf.dummyfunction("GOOGLEFINANCE(""NSE:""&amp;A171, ""changepct"")"),1.85)</f>
        <v>1.85</v>
      </c>
    </row>
    <row r="393" spans="1:10" ht="13.8">
      <c r="A393" s="5" t="s">
        <v>397</v>
      </c>
      <c r="B393" s="6">
        <f ca="1">IFERROR(__xludf.dummyfunction("GOOGLEFINANCE(""NSE:""&amp;A167, ""price"")"),248.05)</f>
        <v>248.05</v>
      </c>
      <c r="C393" s="6">
        <f ca="1">IFERROR(__xludf.dummyfunction("GOOGLEFINANCE(""NSE:""&amp;A167, ""priceopen"")"),245.5)</f>
        <v>245.5</v>
      </c>
      <c r="D393" s="6">
        <f ca="1">IFERROR(__xludf.dummyfunction("GOOGLEFINANCE(""NSE:""&amp;A167, ""high"")"),250.25)</f>
        <v>250.25</v>
      </c>
      <c r="E393" s="6">
        <f ca="1">IFERROR(__xludf.dummyfunction("GOOGLEFINANCE(""NSE:""&amp;A167, ""low"")"),242.75)</f>
        <v>242.75</v>
      </c>
      <c r="F393" s="6">
        <f ca="1">IFERROR(__xludf.dummyfunction("GOOGLEFINANCE(""NSE:""&amp;A167, ""closeyest"")"),243.5)</f>
        <v>243.5</v>
      </c>
      <c r="G393" s="6">
        <f ca="1">IFERROR(__xludf.dummyfunction("GOOGLEFINANCE(""NSE:""&amp;A167, ""volume"")"),116061)</f>
        <v>116061</v>
      </c>
      <c r="H393" s="6" t="b">
        <f t="shared" ca="1" si="12"/>
        <v>0</v>
      </c>
      <c r="I393" s="6" t="b">
        <f t="shared" ca="1" si="13"/>
        <v>0</v>
      </c>
      <c r="J393" s="7">
        <f ca="1">IFERROR(__xludf.dummyfunction("GOOGLEFINANCE(""NSE:""&amp;A167, ""changepct"")"),1.87)</f>
        <v>1.87</v>
      </c>
    </row>
    <row r="394" spans="1:10" ht="13.8">
      <c r="A394" s="5" t="s">
        <v>398</v>
      </c>
      <c r="B394" s="6">
        <f ca="1">IFERROR(__xludf.dummyfunction("GOOGLEFINANCE(""NSE:""&amp;A50, ""price"")"),206.25)</f>
        <v>206.25</v>
      </c>
      <c r="C394" s="6">
        <f ca="1">IFERROR(__xludf.dummyfunction("GOOGLEFINANCE(""NSE:""&amp;A50, ""priceopen"")"),198.15)</f>
        <v>198.15</v>
      </c>
      <c r="D394" s="6">
        <f ca="1">IFERROR(__xludf.dummyfunction("GOOGLEFINANCE(""NSE:""&amp;A50, ""high"")"),206.25)</f>
        <v>206.25</v>
      </c>
      <c r="E394" s="6">
        <f ca="1">IFERROR(__xludf.dummyfunction("GOOGLEFINANCE(""NSE:""&amp;A50, ""low"")"),192)</f>
        <v>192</v>
      </c>
      <c r="F394" s="6">
        <f ca="1">IFERROR(__xludf.dummyfunction("GOOGLEFINANCE(""NSE:""&amp;A50, ""closeyest"")"),196.5)</f>
        <v>196.5</v>
      </c>
      <c r="G394" s="6">
        <f ca="1">IFERROR(__xludf.dummyfunction("GOOGLEFINANCE(""NSE:""&amp;A50, ""volume"")"),112857)</f>
        <v>112857</v>
      </c>
      <c r="H394" s="6" t="b">
        <f t="shared" ca="1" si="12"/>
        <v>0</v>
      </c>
      <c r="I394" s="6" t="b">
        <f t="shared" ca="1" si="13"/>
        <v>0</v>
      </c>
      <c r="J394" s="7">
        <f ca="1">IFERROR(__xludf.dummyfunction("GOOGLEFINANCE(""NSE:""&amp;A50, ""changepct"")"),4.96)</f>
        <v>4.96</v>
      </c>
    </row>
    <row r="395" spans="1:10" ht="13.8">
      <c r="A395" s="5" t="s">
        <v>399</v>
      </c>
      <c r="B395" s="6">
        <f ca="1">IFERROR(__xludf.dummyfunction("GOOGLEFINANCE(""NSE:""&amp;A115, ""price"")"),8015)</f>
        <v>8015</v>
      </c>
      <c r="C395" s="6">
        <f ca="1">IFERROR(__xludf.dummyfunction("GOOGLEFINANCE(""NSE:""&amp;A115, ""priceopen"")"),7900)</f>
        <v>7900</v>
      </c>
      <c r="D395" s="6">
        <f ca="1">IFERROR(__xludf.dummyfunction("GOOGLEFINANCE(""NSE:""&amp;A115, ""high"")"),8129.95)</f>
        <v>8129.95</v>
      </c>
      <c r="E395" s="6">
        <f ca="1">IFERROR(__xludf.dummyfunction("GOOGLEFINANCE(""NSE:""&amp;A115, ""low"")"),7800)</f>
        <v>7800</v>
      </c>
      <c r="F395" s="6">
        <f ca="1">IFERROR(__xludf.dummyfunction("GOOGLEFINANCE(""NSE:""&amp;A115, ""closeyest"")"),7786.55)</f>
        <v>7786.55</v>
      </c>
      <c r="G395" s="6">
        <f ca="1">IFERROR(__xludf.dummyfunction("GOOGLEFINANCE(""NSE:""&amp;A115, ""volume"")"),110830)</f>
        <v>110830</v>
      </c>
      <c r="H395" s="6" t="b">
        <f t="shared" ca="1" si="12"/>
        <v>0</v>
      </c>
      <c r="I395" s="6" t="b">
        <f t="shared" ca="1" si="13"/>
        <v>0</v>
      </c>
      <c r="J395" s="7">
        <f ca="1">IFERROR(__xludf.dummyfunction("GOOGLEFINANCE(""NSE:""&amp;A115, ""changepct"")"),2.93)</f>
        <v>2.93</v>
      </c>
    </row>
    <row r="396" spans="1:10" ht="13.8">
      <c r="A396" s="5" t="s">
        <v>400</v>
      </c>
      <c r="B396" s="6">
        <f ca="1">IFERROR(__xludf.dummyfunction("GOOGLEFINANCE(""NSE:""&amp;A340, ""price"")"),269.3)</f>
        <v>269.3</v>
      </c>
      <c r="C396" s="6">
        <f ca="1">IFERROR(__xludf.dummyfunction("GOOGLEFINANCE(""NSE:""&amp;A340, ""priceopen"")"),271.75)</f>
        <v>271.75</v>
      </c>
      <c r="D396" s="6">
        <f ca="1">IFERROR(__xludf.dummyfunction("GOOGLEFINANCE(""NSE:""&amp;A340, ""high"")"),274.25)</f>
        <v>274.25</v>
      </c>
      <c r="E396" s="6">
        <f ca="1">IFERROR(__xludf.dummyfunction("GOOGLEFINANCE(""NSE:""&amp;A340, ""low"")"),266)</f>
        <v>266</v>
      </c>
      <c r="F396" s="6">
        <f ca="1">IFERROR(__xludf.dummyfunction("GOOGLEFINANCE(""NSE:""&amp;A340, ""closeyest"")"),269.75)</f>
        <v>269.75</v>
      </c>
      <c r="G396" s="6">
        <f ca="1">IFERROR(__xludf.dummyfunction("GOOGLEFINANCE(""NSE:""&amp;A340, ""volume"")"),110428)</f>
        <v>110428</v>
      </c>
      <c r="H396" s="6" t="b">
        <f t="shared" ca="1" si="12"/>
        <v>0</v>
      </c>
      <c r="I396" s="6" t="b">
        <f t="shared" ca="1" si="13"/>
        <v>0</v>
      </c>
      <c r="J396" s="7">
        <f ca="1">IFERROR(__xludf.dummyfunction("GOOGLEFINANCE(""NSE:""&amp;A340, ""changepct"")"),-0.17)</f>
        <v>-0.17</v>
      </c>
    </row>
    <row r="397" spans="1:10" ht="13.8">
      <c r="A397" s="5" t="s">
        <v>401</v>
      </c>
      <c r="B397" s="6">
        <f ca="1">IFERROR(__xludf.dummyfunction("GOOGLEFINANCE(""NSE:""&amp;A432, ""price"")"),403)</f>
        <v>403</v>
      </c>
      <c r="C397" s="6">
        <f ca="1">IFERROR(__xludf.dummyfunction("GOOGLEFINANCE(""NSE:""&amp;A432, ""priceopen"")"),402)</f>
        <v>402</v>
      </c>
      <c r="D397" s="6">
        <f ca="1">IFERROR(__xludf.dummyfunction("GOOGLEFINANCE(""NSE:""&amp;A432, ""high"")"),410.95)</f>
        <v>410.95</v>
      </c>
      <c r="E397" s="6">
        <f ca="1">IFERROR(__xludf.dummyfunction("GOOGLEFINANCE(""NSE:""&amp;A432, ""low"")"),398.8)</f>
        <v>398.8</v>
      </c>
      <c r="F397" s="6">
        <f ca="1">IFERROR(__xludf.dummyfunction("GOOGLEFINANCE(""NSE:""&amp;A432, ""closeyest"")"),407.25)</f>
        <v>407.25</v>
      </c>
      <c r="G397" s="6">
        <f ca="1">IFERROR(__xludf.dummyfunction("GOOGLEFINANCE(""NSE:""&amp;A432, ""volume"")"),103534)</f>
        <v>103534</v>
      </c>
      <c r="H397" s="6" t="b">
        <f t="shared" ca="1" si="12"/>
        <v>0</v>
      </c>
      <c r="I397" s="6" t="b">
        <f t="shared" ca="1" si="13"/>
        <v>0</v>
      </c>
      <c r="J397" s="7">
        <f ca="1">IFERROR(__xludf.dummyfunction("GOOGLEFINANCE(""NSE:""&amp;A432, ""changepct"")"),-1.04)</f>
        <v>-1.04</v>
      </c>
    </row>
    <row r="398" spans="1:10" ht="13.8">
      <c r="A398" s="5" t="s">
        <v>402</v>
      </c>
      <c r="B398" s="6">
        <f ca="1">IFERROR(__xludf.dummyfunction("GOOGLEFINANCE(""NSE:""&amp;A307, ""price"")"),892)</f>
        <v>892</v>
      </c>
      <c r="C398" s="6">
        <f ca="1">IFERROR(__xludf.dummyfunction("GOOGLEFINANCE(""NSE:""&amp;A307, ""priceopen"")"),891.7)</f>
        <v>891.7</v>
      </c>
      <c r="D398" s="6">
        <f ca="1">IFERROR(__xludf.dummyfunction("GOOGLEFINANCE(""NSE:""&amp;A307, ""high"")"),906.5)</f>
        <v>906.5</v>
      </c>
      <c r="E398" s="6">
        <f ca="1">IFERROR(__xludf.dummyfunction("GOOGLEFINANCE(""NSE:""&amp;A307, ""low"")"),891.45)</f>
        <v>891.45</v>
      </c>
      <c r="F398" s="6">
        <f ca="1">IFERROR(__xludf.dummyfunction("GOOGLEFINANCE(""NSE:""&amp;A307, ""closeyest"")"),890.8)</f>
        <v>890.8</v>
      </c>
      <c r="G398" s="6">
        <f ca="1">IFERROR(__xludf.dummyfunction("GOOGLEFINANCE(""NSE:""&amp;A307, ""volume"")"),98834)</f>
        <v>98834</v>
      </c>
      <c r="H398" s="6" t="b">
        <f t="shared" ca="1" si="12"/>
        <v>0</v>
      </c>
      <c r="I398" s="6" t="b">
        <f t="shared" ca="1" si="13"/>
        <v>0</v>
      </c>
      <c r="J398" s="7">
        <f ca="1">IFERROR(__xludf.dummyfunction("GOOGLEFINANCE(""NSE:""&amp;A307, ""changepct"")"),0.13)</f>
        <v>0.13</v>
      </c>
    </row>
    <row r="399" spans="1:10" ht="13.8">
      <c r="A399" s="5" t="s">
        <v>403</v>
      </c>
      <c r="B399" s="6">
        <f ca="1">IFERROR(__xludf.dummyfunction("GOOGLEFINANCE(""NSE:""&amp;A439, ""price"")"),1881)</f>
        <v>1881</v>
      </c>
      <c r="C399" s="6">
        <f ca="1">IFERROR(__xludf.dummyfunction("GOOGLEFINANCE(""NSE:""&amp;A439, ""priceopen"")"),1912)</f>
        <v>1912</v>
      </c>
      <c r="D399" s="6">
        <f ca="1">IFERROR(__xludf.dummyfunction("GOOGLEFINANCE(""NSE:""&amp;A439, ""high"")"),1922)</f>
        <v>1922</v>
      </c>
      <c r="E399" s="6">
        <f ca="1">IFERROR(__xludf.dummyfunction("GOOGLEFINANCE(""NSE:""&amp;A439, ""low"")"),1867.55)</f>
        <v>1867.55</v>
      </c>
      <c r="F399" s="6">
        <f ca="1">IFERROR(__xludf.dummyfunction("GOOGLEFINANCE(""NSE:""&amp;A439, ""closeyest"")"),1902.95)</f>
        <v>1902.95</v>
      </c>
      <c r="G399" s="6">
        <f ca="1">IFERROR(__xludf.dummyfunction("GOOGLEFINANCE(""NSE:""&amp;A439, ""volume"")"),98608)</f>
        <v>98608</v>
      </c>
      <c r="H399" s="6" t="b">
        <f t="shared" ca="1" si="12"/>
        <v>0</v>
      </c>
      <c r="I399" s="6" t="b">
        <f t="shared" ca="1" si="13"/>
        <v>0</v>
      </c>
      <c r="J399" s="7">
        <f ca="1">IFERROR(__xludf.dummyfunction("GOOGLEFINANCE(""NSE:""&amp;A439, ""changepct"")"),-1.15)</f>
        <v>-1.1499999999999999</v>
      </c>
    </row>
    <row r="400" spans="1:10" ht="13.8">
      <c r="A400" s="5" t="s">
        <v>404</v>
      </c>
      <c r="B400" s="6">
        <f ca="1">IFERROR(__xludf.dummyfunction("GOOGLEFINANCE(""NSE:""&amp;A265, ""price"")"),88.85)</f>
        <v>88.85</v>
      </c>
      <c r="C400" s="6">
        <f ca="1">IFERROR(__xludf.dummyfunction("GOOGLEFINANCE(""NSE:""&amp;A265, ""priceopen"")"),89.75)</f>
        <v>89.75</v>
      </c>
      <c r="D400" s="6">
        <f ca="1">IFERROR(__xludf.dummyfunction("GOOGLEFINANCE(""NSE:""&amp;A265, ""high"")"),89.75)</f>
        <v>89.75</v>
      </c>
      <c r="E400" s="6">
        <f ca="1">IFERROR(__xludf.dummyfunction("GOOGLEFINANCE(""NSE:""&amp;A265, ""low"")"),88.1)</f>
        <v>88.1</v>
      </c>
      <c r="F400" s="6">
        <f ca="1">IFERROR(__xludf.dummyfunction("GOOGLEFINANCE(""NSE:""&amp;A265, ""closeyest"")"),88.35)</f>
        <v>88.35</v>
      </c>
      <c r="G400" s="6">
        <f ca="1">IFERROR(__xludf.dummyfunction("GOOGLEFINANCE(""NSE:""&amp;A265, ""volume"")"),96771)</f>
        <v>96771</v>
      </c>
      <c r="H400" s="6" t="b">
        <f t="shared" ca="1" si="12"/>
        <v>0</v>
      </c>
      <c r="I400" s="6" t="b">
        <f t="shared" ca="1" si="13"/>
        <v>1</v>
      </c>
      <c r="J400" s="7">
        <f ca="1">IFERROR(__xludf.dummyfunction("GOOGLEFINANCE(""NSE:""&amp;A265, ""changepct"")"),0.57)</f>
        <v>0.56999999999999995</v>
      </c>
    </row>
    <row r="401" spans="1:10" ht="13.8">
      <c r="A401" s="5" t="s">
        <v>405</v>
      </c>
      <c r="B401" s="6">
        <f ca="1">IFERROR(__xludf.dummyfunction("GOOGLEFINANCE(""NSE:""&amp;A466, ""price"")"),769.8)</f>
        <v>769.8</v>
      </c>
      <c r="C401" s="6">
        <f ca="1">IFERROR(__xludf.dummyfunction("GOOGLEFINANCE(""NSE:""&amp;A466, ""priceopen"")"),792.45)</f>
        <v>792.45</v>
      </c>
      <c r="D401" s="6">
        <f ca="1">IFERROR(__xludf.dummyfunction("GOOGLEFINANCE(""NSE:""&amp;A466, ""high"")"),799)</f>
        <v>799</v>
      </c>
      <c r="E401" s="6">
        <f ca="1">IFERROR(__xludf.dummyfunction("GOOGLEFINANCE(""NSE:""&amp;A466, ""low"")"),752.15)</f>
        <v>752.15</v>
      </c>
      <c r="F401" s="6">
        <f ca="1">IFERROR(__xludf.dummyfunction("GOOGLEFINANCE(""NSE:""&amp;A466, ""closeyest"")"),782.45)</f>
        <v>782.45</v>
      </c>
      <c r="G401" s="6">
        <f ca="1">IFERROR(__xludf.dummyfunction("GOOGLEFINANCE(""NSE:""&amp;A466, ""volume"")"),94402)</f>
        <v>94402</v>
      </c>
      <c r="H401" s="6" t="b">
        <f t="shared" ca="1" si="12"/>
        <v>0</v>
      </c>
      <c r="I401" s="6" t="b">
        <f t="shared" ca="1" si="13"/>
        <v>0</v>
      </c>
      <c r="J401" s="7">
        <f ca="1">IFERROR(__xludf.dummyfunction("GOOGLEFINANCE(""NSE:""&amp;A466, ""changepct"")"),-1.62)</f>
        <v>-1.62</v>
      </c>
    </row>
    <row r="402" spans="1:10" ht="13.8">
      <c r="A402" s="5" t="s">
        <v>406</v>
      </c>
      <c r="B402" s="6">
        <f ca="1">IFERROR(__xludf.dummyfunction("GOOGLEFINANCE(""NSE:""&amp;A221, ""price"")"),372.8)</f>
        <v>372.8</v>
      </c>
      <c r="C402" s="6">
        <f ca="1">IFERROR(__xludf.dummyfunction("GOOGLEFINANCE(""NSE:""&amp;A221, ""priceopen"")"),370)</f>
        <v>370</v>
      </c>
      <c r="D402" s="6">
        <f ca="1">IFERROR(__xludf.dummyfunction("GOOGLEFINANCE(""NSE:""&amp;A221, ""high"")"),378.55)</f>
        <v>378.55</v>
      </c>
      <c r="E402" s="6">
        <f ca="1">IFERROR(__xludf.dummyfunction("GOOGLEFINANCE(""NSE:""&amp;A221, ""low"")"),367.25)</f>
        <v>367.25</v>
      </c>
      <c r="F402" s="6">
        <f ca="1">IFERROR(__xludf.dummyfunction("GOOGLEFINANCE(""NSE:""&amp;A221, ""closeyest"")"),368.65)</f>
        <v>368.65</v>
      </c>
      <c r="G402" s="6">
        <f ca="1">IFERROR(__xludf.dummyfunction("GOOGLEFINANCE(""NSE:""&amp;A221, ""volume"")"),93945)</f>
        <v>93945</v>
      </c>
      <c r="H402" s="6" t="b">
        <f t="shared" ca="1" si="12"/>
        <v>0</v>
      </c>
      <c r="I402" s="6" t="b">
        <f t="shared" ca="1" si="13"/>
        <v>0</v>
      </c>
      <c r="J402" s="7">
        <f ca="1">IFERROR(__xludf.dummyfunction("GOOGLEFINANCE(""NSE:""&amp;A221, ""changepct"")"),1.13)</f>
        <v>1.1299999999999999</v>
      </c>
    </row>
    <row r="403" spans="1:10" ht="13.8">
      <c r="A403" s="5" t="s">
        <v>407</v>
      </c>
      <c r="B403" s="6">
        <f ca="1">IFERROR(__xludf.dummyfunction("GOOGLEFINANCE(""NSE:""&amp;A188, ""price"")"),110.9)</f>
        <v>110.9</v>
      </c>
      <c r="C403" s="6">
        <f ca="1">IFERROR(__xludf.dummyfunction("GOOGLEFINANCE(""NSE:""&amp;A188, ""priceopen"")"),111)</f>
        <v>111</v>
      </c>
      <c r="D403" s="6">
        <f ca="1">IFERROR(__xludf.dummyfunction("GOOGLEFINANCE(""NSE:""&amp;A188, ""high"")"),114.85)</f>
        <v>114.85</v>
      </c>
      <c r="E403" s="6">
        <f ca="1">IFERROR(__xludf.dummyfunction("GOOGLEFINANCE(""NSE:""&amp;A188, ""low"")"),109.15)</f>
        <v>109.15</v>
      </c>
      <c r="F403" s="6">
        <f ca="1">IFERROR(__xludf.dummyfunction("GOOGLEFINANCE(""NSE:""&amp;A188, ""closeyest"")"),109.15)</f>
        <v>109.15</v>
      </c>
      <c r="G403" s="6">
        <f ca="1">IFERROR(__xludf.dummyfunction("GOOGLEFINANCE(""NSE:""&amp;A188, ""volume"")"),93455)</f>
        <v>93455</v>
      </c>
      <c r="H403" s="6" t="b">
        <f t="shared" ca="1" si="12"/>
        <v>0</v>
      </c>
      <c r="I403" s="6" t="b">
        <f t="shared" ca="1" si="13"/>
        <v>0</v>
      </c>
      <c r="J403" s="7">
        <f ca="1">IFERROR(__xludf.dummyfunction("GOOGLEFINANCE(""NSE:""&amp;A188, ""changepct"")"),1.6)</f>
        <v>1.6</v>
      </c>
    </row>
    <row r="404" spans="1:10" ht="13.8">
      <c r="A404" s="5" t="s">
        <v>408</v>
      </c>
      <c r="B404" s="6">
        <f ca="1">IFERROR(__xludf.dummyfunction("GOOGLEFINANCE(""NSE:""&amp;A164, ""price"")"),689.1)</f>
        <v>689.1</v>
      </c>
      <c r="C404" s="6">
        <f ca="1">IFERROR(__xludf.dummyfunction("GOOGLEFINANCE(""NSE:""&amp;A164, ""priceopen"")"),679.95)</f>
        <v>679.95</v>
      </c>
      <c r="D404" s="6">
        <f ca="1">IFERROR(__xludf.dummyfunction("GOOGLEFINANCE(""NSE:""&amp;A164, ""high"")"),709)</f>
        <v>709</v>
      </c>
      <c r="E404" s="6">
        <f ca="1">IFERROR(__xludf.dummyfunction("GOOGLEFINANCE(""NSE:""&amp;A164, ""low"")"),672.1)</f>
        <v>672.1</v>
      </c>
      <c r="F404" s="6">
        <f ca="1">IFERROR(__xludf.dummyfunction("GOOGLEFINANCE(""NSE:""&amp;A164, ""closeyest"")"),676.15)</f>
        <v>676.15</v>
      </c>
      <c r="G404" s="6">
        <f ca="1">IFERROR(__xludf.dummyfunction("GOOGLEFINANCE(""NSE:""&amp;A164, ""volume"")"),89550)</f>
        <v>89550</v>
      </c>
      <c r="H404" s="6" t="b">
        <f t="shared" ca="1" si="12"/>
        <v>0</v>
      </c>
      <c r="I404" s="6" t="b">
        <f t="shared" ca="1" si="13"/>
        <v>0</v>
      </c>
      <c r="J404" s="7">
        <f ca="1">IFERROR(__xludf.dummyfunction("GOOGLEFINANCE(""NSE:""&amp;A164, ""changepct"")"),1.92)</f>
        <v>1.92</v>
      </c>
    </row>
    <row r="405" spans="1:10" ht="13.8">
      <c r="A405" s="5" t="s">
        <v>409</v>
      </c>
      <c r="B405" s="6">
        <f ca="1">IFERROR(__xludf.dummyfunction("GOOGLEFINANCE(""NSE:""&amp;A381, ""price"")"),342.2)</f>
        <v>342.2</v>
      </c>
      <c r="C405" s="6">
        <f ca="1">IFERROR(__xludf.dummyfunction("GOOGLEFINANCE(""NSE:""&amp;A381, ""priceopen"")"),346.9)</f>
        <v>346.9</v>
      </c>
      <c r="D405" s="6">
        <f ca="1">IFERROR(__xludf.dummyfunction("GOOGLEFINANCE(""NSE:""&amp;A381, ""high"")"),349.8)</f>
        <v>349.8</v>
      </c>
      <c r="E405" s="6">
        <f ca="1">IFERROR(__xludf.dummyfunction("GOOGLEFINANCE(""NSE:""&amp;A381, ""low"")"),341.1)</f>
        <v>341.1</v>
      </c>
      <c r="F405" s="6">
        <f ca="1">IFERROR(__xludf.dummyfunction("GOOGLEFINANCE(""NSE:""&amp;A381, ""closeyest"")"),344)</f>
        <v>344</v>
      </c>
      <c r="G405" s="6">
        <f ca="1">IFERROR(__xludf.dummyfunction("GOOGLEFINANCE(""NSE:""&amp;A381, ""volume"")"),87434)</f>
        <v>87434</v>
      </c>
      <c r="H405" s="6" t="b">
        <f t="shared" ca="1" si="12"/>
        <v>0</v>
      </c>
      <c r="I405" s="6" t="b">
        <f t="shared" ca="1" si="13"/>
        <v>0</v>
      </c>
      <c r="J405" s="7">
        <f ca="1">IFERROR(__xludf.dummyfunction("GOOGLEFINANCE(""NSE:""&amp;A381, ""changepct"")"),-0.52)</f>
        <v>-0.52</v>
      </c>
    </row>
    <row r="406" spans="1:10" ht="13.8">
      <c r="A406" s="5" t="s">
        <v>410</v>
      </c>
      <c r="B406" s="6">
        <f ca="1">IFERROR(__xludf.dummyfunction("GOOGLEFINANCE(""NSE:""&amp;A129, ""price"")"),1633)</f>
        <v>1633</v>
      </c>
      <c r="C406" s="6">
        <f ca="1">IFERROR(__xludf.dummyfunction("GOOGLEFINANCE(""NSE:""&amp;A129, ""priceopen"")"),1604)</f>
        <v>1604</v>
      </c>
      <c r="D406" s="6">
        <f ca="1">IFERROR(__xludf.dummyfunction("GOOGLEFINANCE(""NSE:""&amp;A129, ""high"")"),1636.95)</f>
        <v>1636.95</v>
      </c>
      <c r="E406" s="6">
        <f ca="1">IFERROR(__xludf.dummyfunction("GOOGLEFINANCE(""NSE:""&amp;A129, ""low"")"),1594.7)</f>
        <v>1594.7</v>
      </c>
      <c r="F406" s="6">
        <f ca="1">IFERROR(__xludf.dummyfunction("GOOGLEFINANCE(""NSE:""&amp;A129, ""closeyest"")"),1592.95)</f>
        <v>1592.95</v>
      </c>
      <c r="G406" s="6">
        <f ca="1">IFERROR(__xludf.dummyfunction("GOOGLEFINANCE(""NSE:""&amp;A129, ""volume"")"),85839)</f>
        <v>85839</v>
      </c>
      <c r="H406" s="6" t="b">
        <f t="shared" ca="1" si="12"/>
        <v>0</v>
      </c>
      <c r="I406" s="6" t="b">
        <f t="shared" ca="1" si="13"/>
        <v>0</v>
      </c>
      <c r="J406" s="7">
        <f ca="1">IFERROR(__xludf.dummyfunction("GOOGLEFINANCE(""NSE:""&amp;A129, ""changepct"")"),2.51)</f>
        <v>2.5099999999999998</v>
      </c>
    </row>
    <row r="407" spans="1:10" ht="13.8">
      <c r="A407" s="5" t="s">
        <v>411</v>
      </c>
      <c r="B407" s="6">
        <f ca="1">IFERROR(__xludf.dummyfunction("GOOGLEFINANCE(""NSE:""&amp;A255, ""price"")"),2088)</f>
        <v>2088</v>
      </c>
      <c r="C407" s="6">
        <f ca="1">IFERROR(__xludf.dummyfunction("GOOGLEFINANCE(""NSE:""&amp;A255, ""priceopen"")"),2098.95)</f>
        <v>2098.9499999999998</v>
      </c>
      <c r="D407" s="6">
        <f ca="1">IFERROR(__xludf.dummyfunction("GOOGLEFINANCE(""NSE:""&amp;A255, ""high"")"),2127.3)</f>
        <v>2127.3000000000002</v>
      </c>
      <c r="E407" s="6">
        <f ca="1">IFERROR(__xludf.dummyfunction("GOOGLEFINANCE(""NSE:""&amp;A255, ""low"")"),2070)</f>
        <v>2070</v>
      </c>
      <c r="F407" s="6">
        <f ca="1">IFERROR(__xludf.dummyfunction("GOOGLEFINANCE(""NSE:""&amp;A255, ""closeyest"")"),2072.85)</f>
        <v>2072.85</v>
      </c>
      <c r="G407" s="6">
        <f ca="1">IFERROR(__xludf.dummyfunction("GOOGLEFINANCE(""NSE:""&amp;A255, ""volume"")"),83265)</f>
        <v>83265</v>
      </c>
      <c r="H407" s="6" t="b">
        <f t="shared" ca="1" si="12"/>
        <v>0</v>
      </c>
      <c r="I407" s="6" t="b">
        <f t="shared" ca="1" si="13"/>
        <v>0</v>
      </c>
      <c r="J407" s="7">
        <f ca="1">IFERROR(__xludf.dummyfunction("GOOGLEFINANCE(""NSE:""&amp;A255, ""changepct"")"),0.73)</f>
        <v>0.73</v>
      </c>
    </row>
    <row r="408" spans="1:10" ht="13.8">
      <c r="A408" s="5" t="s">
        <v>412</v>
      </c>
      <c r="B408" s="6">
        <f ca="1">IFERROR(__xludf.dummyfunction("GOOGLEFINANCE(""NSE:""&amp;A186, ""price"")"),206.9)</f>
        <v>206.9</v>
      </c>
      <c r="C408" s="6">
        <f ca="1">IFERROR(__xludf.dummyfunction("GOOGLEFINANCE(""NSE:""&amp;A186, ""priceopen"")"),205)</f>
        <v>205</v>
      </c>
      <c r="D408" s="6">
        <f ca="1">IFERROR(__xludf.dummyfunction("GOOGLEFINANCE(""NSE:""&amp;A186, ""high"")"),207.75)</f>
        <v>207.75</v>
      </c>
      <c r="E408" s="6">
        <f ca="1">IFERROR(__xludf.dummyfunction("GOOGLEFINANCE(""NSE:""&amp;A186, ""low"")"),203.9)</f>
        <v>203.9</v>
      </c>
      <c r="F408" s="6">
        <f ca="1">IFERROR(__xludf.dummyfunction("GOOGLEFINANCE(""NSE:""&amp;A186, ""closeyest"")"),203.6)</f>
        <v>203.6</v>
      </c>
      <c r="G408" s="6">
        <f ca="1">IFERROR(__xludf.dummyfunction("GOOGLEFINANCE(""NSE:""&amp;A186, ""volume"")"),81441)</f>
        <v>81441</v>
      </c>
      <c r="H408" s="6" t="b">
        <f t="shared" ca="1" si="12"/>
        <v>0</v>
      </c>
      <c r="I408" s="6" t="b">
        <f t="shared" ca="1" si="13"/>
        <v>0</v>
      </c>
      <c r="J408" s="7">
        <f ca="1">IFERROR(__xludf.dummyfunction("GOOGLEFINANCE(""NSE:""&amp;A186, ""changepct"")"),1.62)</f>
        <v>1.62</v>
      </c>
    </row>
    <row r="409" spans="1:10" ht="13.8">
      <c r="A409" s="5" t="s">
        <v>413</v>
      </c>
      <c r="B409" s="6">
        <f ca="1">IFERROR(__xludf.dummyfunction("GOOGLEFINANCE(""NSE:""&amp;A409, ""price"")"),198)</f>
        <v>198</v>
      </c>
      <c r="C409" s="6">
        <f ca="1">IFERROR(__xludf.dummyfunction("GOOGLEFINANCE(""NSE:""&amp;A409, ""priceopen"")"),200)</f>
        <v>200</v>
      </c>
      <c r="D409" s="6">
        <f ca="1">IFERROR(__xludf.dummyfunction("GOOGLEFINANCE(""NSE:""&amp;A409, ""high"")"),200)</f>
        <v>200</v>
      </c>
      <c r="E409" s="6">
        <f ca="1">IFERROR(__xludf.dummyfunction("GOOGLEFINANCE(""NSE:""&amp;A409, ""low"")"),195)</f>
        <v>195</v>
      </c>
      <c r="F409" s="6">
        <f ca="1">IFERROR(__xludf.dummyfunction("GOOGLEFINANCE(""NSE:""&amp;A409, ""closeyest"")"),199.55)</f>
        <v>199.55</v>
      </c>
      <c r="G409" s="6">
        <f ca="1">IFERROR(__xludf.dummyfunction("GOOGLEFINANCE(""NSE:""&amp;A409, ""volume"")"),81397)</f>
        <v>81397</v>
      </c>
      <c r="H409" s="6" t="b">
        <f t="shared" ca="1" si="12"/>
        <v>0</v>
      </c>
      <c r="I409" s="6" t="b">
        <f t="shared" ca="1" si="13"/>
        <v>1</v>
      </c>
      <c r="J409" s="7">
        <f ca="1">IFERROR(__xludf.dummyfunction("GOOGLEFINANCE(""NSE:""&amp;A409, ""changepct"")"),-0.78)</f>
        <v>-0.78</v>
      </c>
    </row>
    <row r="410" spans="1:10" ht="13.8">
      <c r="A410" s="5" t="s">
        <v>414</v>
      </c>
      <c r="B410" s="6">
        <f ca="1">IFERROR(__xludf.dummyfunction("GOOGLEFINANCE(""NSE:""&amp;A495, ""price"")"),429.4)</f>
        <v>429.4</v>
      </c>
      <c r="C410" s="6">
        <f ca="1">IFERROR(__xludf.dummyfunction("GOOGLEFINANCE(""NSE:""&amp;A495, ""priceopen"")"),445)</f>
        <v>445</v>
      </c>
      <c r="D410" s="6">
        <f ca="1">IFERROR(__xludf.dummyfunction("GOOGLEFINANCE(""NSE:""&amp;A495, ""high"")"),451.65)</f>
        <v>451.65</v>
      </c>
      <c r="E410" s="6">
        <f ca="1">IFERROR(__xludf.dummyfunction("GOOGLEFINANCE(""NSE:""&amp;A495, ""low"")"),426.25)</f>
        <v>426.25</v>
      </c>
      <c r="F410" s="6">
        <f ca="1">IFERROR(__xludf.dummyfunction("GOOGLEFINANCE(""NSE:""&amp;A495, ""closeyest"")"),446.3)</f>
        <v>446.3</v>
      </c>
      <c r="G410" s="6">
        <f ca="1">IFERROR(__xludf.dummyfunction("GOOGLEFINANCE(""NSE:""&amp;A495, ""volume"")"),81004)</f>
        <v>81004</v>
      </c>
      <c r="H410" s="6" t="b">
        <f t="shared" ca="1" si="12"/>
        <v>0</v>
      </c>
      <c r="I410" s="6" t="b">
        <f t="shared" ca="1" si="13"/>
        <v>0</v>
      </c>
      <c r="J410" s="7">
        <f ca="1">IFERROR(__xludf.dummyfunction("GOOGLEFINANCE(""NSE:""&amp;A495, ""changepct"")"),-3.79)</f>
        <v>-3.79</v>
      </c>
    </row>
    <row r="411" spans="1:10" ht="13.8">
      <c r="A411" s="5" t="s">
        <v>415</v>
      </c>
      <c r="B411" s="6">
        <f ca="1">IFERROR(__xludf.dummyfunction("GOOGLEFINANCE(""NSE:""&amp;A203, ""price"")"),439.5)</f>
        <v>439.5</v>
      </c>
      <c r="C411" s="6">
        <f ca="1">IFERROR(__xludf.dummyfunction("GOOGLEFINANCE(""NSE:""&amp;A203, ""priceopen"")"),435.05)</f>
        <v>435.05</v>
      </c>
      <c r="D411" s="6">
        <f ca="1">IFERROR(__xludf.dummyfunction("GOOGLEFINANCE(""NSE:""&amp;A203, ""high"")"),455)</f>
        <v>455</v>
      </c>
      <c r="E411" s="6">
        <f ca="1">IFERROR(__xludf.dummyfunction("GOOGLEFINANCE(""NSE:""&amp;A203, ""low"")"),433)</f>
        <v>433</v>
      </c>
      <c r="F411" s="6">
        <f ca="1">IFERROR(__xludf.dummyfunction("GOOGLEFINANCE(""NSE:""&amp;A203, ""closeyest"")"),433.55)</f>
        <v>433.55</v>
      </c>
      <c r="G411" s="6">
        <f ca="1">IFERROR(__xludf.dummyfunction("GOOGLEFINANCE(""NSE:""&amp;A203, ""volume"")"),78524)</f>
        <v>78524</v>
      </c>
      <c r="H411" s="6" t="b">
        <f t="shared" ca="1" si="12"/>
        <v>0</v>
      </c>
      <c r="I411" s="6" t="b">
        <f t="shared" ca="1" si="13"/>
        <v>0</v>
      </c>
      <c r="J411" s="7">
        <f ca="1">IFERROR(__xludf.dummyfunction("GOOGLEFINANCE(""NSE:""&amp;A203, ""changepct"")"),1.37)</f>
        <v>1.37</v>
      </c>
    </row>
    <row r="412" spans="1:10" ht="13.8">
      <c r="A412" s="5" t="s">
        <v>416</v>
      </c>
      <c r="B412" s="6">
        <f ca="1">IFERROR(__xludf.dummyfunction("GOOGLEFINANCE(""NSE:""&amp;A227, ""price"")"),463.35)</f>
        <v>463.35</v>
      </c>
      <c r="C412" s="6">
        <f ca="1">IFERROR(__xludf.dummyfunction("GOOGLEFINANCE(""NSE:""&amp;A227, ""priceopen"")"),462.5)</f>
        <v>462.5</v>
      </c>
      <c r="D412" s="6">
        <f ca="1">IFERROR(__xludf.dummyfunction("GOOGLEFINANCE(""NSE:""&amp;A227, ""high"")"),470)</f>
        <v>470</v>
      </c>
      <c r="E412" s="6">
        <f ca="1">IFERROR(__xludf.dummyfunction("GOOGLEFINANCE(""NSE:""&amp;A227, ""low"")"),460.05)</f>
        <v>460.05</v>
      </c>
      <c r="F412" s="6">
        <f ca="1">IFERROR(__xludf.dummyfunction("GOOGLEFINANCE(""NSE:""&amp;A227, ""closeyest"")"),458.55)</f>
        <v>458.55</v>
      </c>
      <c r="G412" s="6">
        <f ca="1">IFERROR(__xludf.dummyfunction("GOOGLEFINANCE(""NSE:""&amp;A227, ""volume"")"),75990)</f>
        <v>75990</v>
      </c>
      <c r="H412" s="6" t="b">
        <f t="shared" ca="1" si="12"/>
        <v>0</v>
      </c>
      <c r="I412" s="6" t="b">
        <f t="shared" ca="1" si="13"/>
        <v>0</v>
      </c>
      <c r="J412" s="7">
        <f ca="1">IFERROR(__xludf.dummyfunction("GOOGLEFINANCE(""NSE:""&amp;A227, ""changepct"")"),1.05)</f>
        <v>1.05</v>
      </c>
    </row>
    <row r="413" spans="1:10" ht="13.8">
      <c r="A413" s="5" t="s">
        <v>417</v>
      </c>
      <c r="B413" s="6">
        <f ca="1">IFERROR(__xludf.dummyfunction("GOOGLEFINANCE(""NSE:""&amp;A128, ""price"")"),385)</f>
        <v>385</v>
      </c>
      <c r="C413" s="6">
        <f ca="1">IFERROR(__xludf.dummyfunction("GOOGLEFINANCE(""NSE:""&amp;A128, ""priceopen"")"),376.5)</f>
        <v>376.5</v>
      </c>
      <c r="D413" s="6">
        <f ca="1">IFERROR(__xludf.dummyfunction("GOOGLEFINANCE(""NSE:""&amp;A128, ""high"")"),388)</f>
        <v>388</v>
      </c>
      <c r="E413" s="6">
        <f ca="1">IFERROR(__xludf.dummyfunction("GOOGLEFINANCE(""NSE:""&amp;A128, ""low"")"),376)</f>
        <v>376</v>
      </c>
      <c r="F413" s="6">
        <f ca="1">IFERROR(__xludf.dummyfunction("GOOGLEFINANCE(""NSE:""&amp;A128, ""closeyest"")"),375.45)</f>
        <v>375.45</v>
      </c>
      <c r="G413" s="6">
        <f ca="1">IFERROR(__xludf.dummyfunction("GOOGLEFINANCE(""NSE:""&amp;A128, ""volume"")"),74909)</f>
        <v>74909</v>
      </c>
      <c r="H413" s="6" t="b">
        <f t="shared" ca="1" si="12"/>
        <v>0</v>
      </c>
      <c r="I413" s="6" t="b">
        <f t="shared" ca="1" si="13"/>
        <v>0</v>
      </c>
      <c r="J413" s="7">
        <f ca="1">IFERROR(__xludf.dummyfunction("GOOGLEFINANCE(""NSE:""&amp;A128, ""changepct"")"),2.54)</f>
        <v>2.54</v>
      </c>
    </row>
    <row r="414" spans="1:10" ht="13.8">
      <c r="A414" s="5" t="s">
        <v>418</v>
      </c>
      <c r="B414" s="6">
        <f ca="1">IFERROR(__xludf.dummyfunction("GOOGLEFINANCE(""NSE:""&amp;A99, ""price"")"),8447)</f>
        <v>8447</v>
      </c>
      <c r="C414" s="6">
        <f ca="1">IFERROR(__xludf.dummyfunction("GOOGLEFINANCE(""NSE:""&amp;A99, ""priceopen"")"),8178)</f>
        <v>8178</v>
      </c>
      <c r="D414" s="6">
        <f ca="1">IFERROR(__xludf.dummyfunction("GOOGLEFINANCE(""NSE:""&amp;A99, ""high"")"),8525)</f>
        <v>8525</v>
      </c>
      <c r="E414" s="6">
        <f ca="1">IFERROR(__xludf.dummyfunction("GOOGLEFINANCE(""NSE:""&amp;A99, ""low"")"),8178)</f>
        <v>8178</v>
      </c>
      <c r="F414" s="6">
        <f ca="1">IFERROR(__xludf.dummyfunction("GOOGLEFINANCE(""NSE:""&amp;A99, ""closeyest"")"),8170.95)</f>
        <v>8170.95</v>
      </c>
      <c r="G414" s="6">
        <f ca="1">IFERROR(__xludf.dummyfunction("GOOGLEFINANCE(""NSE:""&amp;A99, ""volume"")"),73969)</f>
        <v>73969</v>
      </c>
      <c r="H414" s="6" t="b">
        <f t="shared" ca="1" si="12"/>
        <v>1</v>
      </c>
      <c r="I414" s="6" t="b">
        <f t="shared" ca="1" si="13"/>
        <v>0</v>
      </c>
      <c r="J414" s="7">
        <f ca="1">IFERROR(__xludf.dummyfunction("GOOGLEFINANCE(""NSE:""&amp;A99, ""changepct"")"),3.38)</f>
        <v>3.38</v>
      </c>
    </row>
    <row r="415" spans="1:10" ht="13.8">
      <c r="A415" s="5" t="s">
        <v>419</v>
      </c>
      <c r="B415" s="6">
        <f ca="1">IFERROR(__xludf.dummyfunction("GOOGLEFINANCE(""NSE:""&amp;A169, ""price"")"),173.1)</f>
        <v>173.1</v>
      </c>
      <c r="C415" s="6">
        <f ca="1">IFERROR(__xludf.dummyfunction("GOOGLEFINANCE(""NSE:""&amp;A169, ""priceopen"")"),173.95)</f>
        <v>173.95</v>
      </c>
      <c r="D415" s="6">
        <f ca="1">IFERROR(__xludf.dummyfunction("GOOGLEFINANCE(""NSE:""&amp;A169, ""high"")"),175.15)</f>
        <v>175.15</v>
      </c>
      <c r="E415" s="6">
        <f ca="1">IFERROR(__xludf.dummyfunction("GOOGLEFINANCE(""NSE:""&amp;A169, ""low"")"),168.9)</f>
        <v>168.9</v>
      </c>
      <c r="F415" s="6">
        <f ca="1">IFERROR(__xludf.dummyfunction("GOOGLEFINANCE(""NSE:""&amp;A169, ""closeyest"")"),169.95)</f>
        <v>169.95</v>
      </c>
      <c r="G415" s="6">
        <f ca="1">IFERROR(__xludf.dummyfunction("GOOGLEFINANCE(""NSE:""&amp;A169, ""volume"")"),72765)</f>
        <v>72765</v>
      </c>
      <c r="H415" s="6" t="b">
        <f t="shared" ca="1" si="12"/>
        <v>0</v>
      </c>
      <c r="I415" s="6" t="b">
        <f t="shared" ca="1" si="13"/>
        <v>0</v>
      </c>
      <c r="J415" s="7">
        <f ca="1">IFERROR(__xludf.dummyfunction("GOOGLEFINANCE(""NSE:""&amp;A169, ""changepct"")"),1.85)</f>
        <v>1.85</v>
      </c>
    </row>
    <row r="416" spans="1:10" ht="13.8">
      <c r="A416" s="5" t="s">
        <v>420</v>
      </c>
      <c r="B416" s="6">
        <f ca="1">IFERROR(__xludf.dummyfunction("GOOGLEFINANCE(""NSE:""&amp;A208, ""price"")"),577.95)</f>
        <v>577.95000000000005</v>
      </c>
      <c r="C416" s="6">
        <f ca="1">IFERROR(__xludf.dummyfunction("GOOGLEFINANCE(""NSE:""&amp;A208, ""priceopen"")"),579)</f>
        <v>579</v>
      </c>
      <c r="D416" s="6">
        <f ca="1">IFERROR(__xludf.dummyfunction("GOOGLEFINANCE(""NSE:""&amp;A208, ""high"")"),588.15)</f>
        <v>588.15</v>
      </c>
      <c r="E416" s="6">
        <f ca="1">IFERROR(__xludf.dummyfunction("GOOGLEFINANCE(""NSE:""&amp;A208, ""low"")"),571)</f>
        <v>571</v>
      </c>
      <c r="F416" s="6">
        <f ca="1">IFERROR(__xludf.dummyfunction("GOOGLEFINANCE(""NSE:""&amp;A208, ""closeyest"")"),570.3)</f>
        <v>570.29999999999995</v>
      </c>
      <c r="G416" s="6">
        <f ca="1">IFERROR(__xludf.dummyfunction("GOOGLEFINANCE(""NSE:""&amp;A208, ""volume"")"),71776)</f>
        <v>71776</v>
      </c>
      <c r="H416" s="6" t="b">
        <f t="shared" ca="1" si="12"/>
        <v>0</v>
      </c>
      <c r="I416" s="6" t="b">
        <f t="shared" ca="1" si="13"/>
        <v>0</v>
      </c>
      <c r="J416" s="7">
        <f ca="1">IFERROR(__xludf.dummyfunction("GOOGLEFINANCE(""NSE:""&amp;A208, ""changepct"")"),1.34)</f>
        <v>1.34</v>
      </c>
    </row>
    <row r="417" spans="1:10" ht="13.8">
      <c r="A417" s="5" t="s">
        <v>421</v>
      </c>
      <c r="B417" s="6">
        <f ca="1">IFERROR(__xludf.dummyfunction("GOOGLEFINANCE(""NSE:""&amp;A412, ""price"")"),3060)</f>
        <v>3060</v>
      </c>
      <c r="C417" s="6">
        <f ca="1">IFERROR(__xludf.dummyfunction("GOOGLEFINANCE(""NSE:""&amp;A412, ""priceopen"")"),3088)</f>
        <v>3088</v>
      </c>
      <c r="D417" s="6">
        <f ca="1">IFERROR(__xludf.dummyfunction("GOOGLEFINANCE(""NSE:""&amp;A412, ""high"")"),3111.35)</f>
        <v>3111.35</v>
      </c>
      <c r="E417" s="6">
        <f ca="1">IFERROR(__xludf.dummyfunction("GOOGLEFINANCE(""NSE:""&amp;A412, ""low"")"),3020.15)</f>
        <v>3020.15</v>
      </c>
      <c r="F417" s="6">
        <f ca="1">IFERROR(__xludf.dummyfunction("GOOGLEFINANCE(""NSE:""&amp;A412, ""closeyest"")"),3085.15)</f>
        <v>3085.15</v>
      </c>
      <c r="G417" s="6">
        <f ca="1">IFERROR(__xludf.dummyfunction("GOOGLEFINANCE(""NSE:""&amp;A412, ""volume"")"),71193)</f>
        <v>71193</v>
      </c>
      <c r="H417" s="6" t="b">
        <f t="shared" ca="1" si="12"/>
        <v>0</v>
      </c>
      <c r="I417" s="6" t="b">
        <f t="shared" ca="1" si="13"/>
        <v>0</v>
      </c>
      <c r="J417" s="7">
        <f ca="1">IFERROR(__xludf.dummyfunction("GOOGLEFINANCE(""NSE:""&amp;A412, ""changepct"")"),-0.82)</f>
        <v>-0.82</v>
      </c>
    </row>
    <row r="418" spans="1:10" ht="13.8">
      <c r="A418" s="5" t="s">
        <v>422</v>
      </c>
      <c r="B418" s="6">
        <f ca="1">IFERROR(__xludf.dummyfunction("GOOGLEFINANCE(""NSE:""&amp;A157, ""price"")"),370)</f>
        <v>370</v>
      </c>
      <c r="C418" s="6">
        <f ca="1">IFERROR(__xludf.dummyfunction("GOOGLEFINANCE(""NSE:""&amp;A157, ""priceopen"")"),383.5)</f>
        <v>383.5</v>
      </c>
      <c r="D418" s="6">
        <f ca="1">IFERROR(__xludf.dummyfunction("GOOGLEFINANCE(""NSE:""&amp;A157, ""high"")"),383.5)</f>
        <v>383.5</v>
      </c>
      <c r="E418" s="6">
        <f ca="1">IFERROR(__xludf.dummyfunction("GOOGLEFINANCE(""NSE:""&amp;A157, ""low"")"),366.3)</f>
        <v>366.3</v>
      </c>
      <c r="F418" s="6">
        <f ca="1">IFERROR(__xludf.dummyfunction("GOOGLEFINANCE(""NSE:""&amp;A157, ""closeyest"")"),362.8)</f>
        <v>362.8</v>
      </c>
      <c r="G418" s="6">
        <f ca="1">IFERROR(__xludf.dummyfunction("GOOGLEFINANCE(""NSE:""&amp;A157, ""volume"")"),69520)</f>
        <v>69520</v>
      </c>
      <c r="H418" s="6" t="b">
        <f t="shared" ca="1" si="12"/>
        <v>0</v>
      </c>
      <c r="I418" s="6" t="b">
        <f t="shared" ca="1" si="13"/>
        <v>1</v>
      </c>
      <c r="J418" s="7">
        <f ca="1">IFERROR(__xludf.dummyfunction("GOOGLEFINANCE(""NSE:""&amp;A157, ""changepct"")"),1.98)</f>
        <v>1.98</v>
      </c>
    </row>
    <row r="419" spans="1:10" ht="13.8">
      <c r="A419" s="5" t="s">
        <v>423</v>
      </c>
      <c r="B419" s="6">
        <f ca="1">IFERROR(__xludf.dummyfunction("GOOGLEFINANCE(""NSE:""&amp;A456, ""price"")"),1469)</f>
        <v>1469</v>
      </c>
      <c r="C419" s="6">
        <f ca="1">IFERROR(__xludf.dummyfunction("GOOGLEFINANCE(""NSE:""&amp;A456, ""priceopen"")"),1490)</f>
        <v>1490</v>
      </c>
      <c r="D419" s="6">
        <f ca="1">IFERROR(__xludf.dummyfunction("GOOGLEFINANCE(""NSE:""&amp;A456, ""high"")"),1509.95)</f>
        <v>1509.95</v>
      </c>
      <c r="E419" s="6">
        <f ca="1">IFERROR(__xludf.dummyfunction("GOOGLEFINANCE(""NSE:""&amp;A456, ""low"")"),1458.2)</f>
        <v>1458.2</v>
      </c>
      <c r="F419" s="6">
        <f ca="1">IFERROR(__xludf.dummyfunction("GOOGLEFINANCE(""NSE:""&amp;A456, ""closeyest"")"),1488.7)</f>
        <v>1488.7</v>
      </c>
      <c r="G419" s="6">
        <f ca="1">IFERROR(__xludf.dummyfunction("GOOGLEFINANCE(""NSE:""&amp;A456, ""volume"")"),67712)</f>
        <v>67712</v>
      </c>
      <c r="H419" s="6" t="b">
        <f t="shared" ca="1" si="12"/>
        <v>0</v>
      </c>
      <c r="I419" s="6" t="b">
        <f t="shared" ca="1" si="13"/>
        <v>0</v>
      </c>
      <c r="J419" s="7">
        <f ca="1">IFERROR(__xludf.dummyfunction("GOOGLEFINANCE(""NSE:""&amp;A456, ""changepct"")"),-1.32)</f>
        <v>-1.32</v>
      </c>
    </row>
    <row r="420" spans="1:10" ht="13.8">
      <c r="A420" s="5" t="s">
        <v>424</v>
      </c>
      <c r="B420" s="6">
        <f ca="1">IFERROR(__xludf.dummyfunction("GOOGLEFINANCE(""NSE:""&amp;A486, ""price"")"),1288)</f>
        <v>1288</v>
      </c>
      <c r="C420" s="6">
        <f ca="1">IFERROR(__xludf.dummyfunction("GOOGLEFINANCE(""NSE:""&amp;A486, ""priceopen"")"),1343.9)</f>
        <v>1343.9</v>
      </c>
      <c r="D420" s="6">
        <f ca="1">IFERROR(__xludf.dummyfunction("GOOGLEFINANCE(""NSE:""&amp;A486, ""high"")"),1343.9)</f>
        <v>1343.9</v>
      </c>
      <c r="E420" s="6">
        <f ca="1">IFERROR(__xludf.dummyfunction("GOOGLEFINANCE(""NSE:""&amp;A486, ""low"")"),1286)</f>
        <v>1286</v>
      </c>
      <c r="F420" s="6">
        <f ca="1">IFERROR(__xludf.dummyfunction("GOOGLEFINANCE(""NSE:""&amp;A486, ""closeyest"")"),1325.7)</f>
        <v>1325.7</v>
      </c>
      <c r="G420" s="6">
        <f ca="1">IFERROR(__xludf.dummyfunction("GOOGLEFINANCE(""NSE:""&amp;A486, ""volume"")"),65822)</f>
        <v>65822</v>
      </c>
      <c r="H420" s="6" t="b">
        <f t="shared" ca="1" si="12"/>
        <v>0</v>
      </c>
      <c r="I420" s="6" t="b">
        <f t="shared" ca="1" si="13"/>
        <v>1</v>
      </c>
      <c r="J420" s="7">
        <f ca="1">IFERROR(__xludf.dummyfunction("GOOGLEFINANCE(""NSE:""&amp;A486, ""changepct"")"),-2.84)</f>
        <v>-2.84</v>
      </c>
    </row>
    <row r="421" spans="1:10" ht="13.8">
      <c r="A421" s="5" t="s">
        <v>425</v>
      </c>
      <c r="B421" s="6">
        <f ca="1">IFERROR(__xludf.dummyfunction("GOOGLEFINANCE(""NSE:""&amp;A398, ""price"")"),973.5)</f>
        <v>973.5</v>
      </c>
      <c r="C421" s="6">
        <f ca="1">IFERROR(__xludf.dummyfunction("GOOGLEFINANCE(""NSE:""&amp;A398, ""priceopen"")"),986.95)</f>
        <v>986.95</v>
      </c>
      <c r="D421" s="6">
        <f ca="1">IFERROR(__xludf.dummyfunction("GOOGLEFINANCE(""NSE:""&amp;A398, ""high"")"),986.95)</f>
        <v>986.95</v>
      </c>
      <c r="E421" s="6">
        <f ca="1">IFERROR(__xludf.dummyfunction("GOOGLEFINANCE(""NSE:""&amp;A398, ""low"")"),969.05)</f>
        <v>969.05</v>
      </c>
      <c r="F421" s="6">
        <f ca="1">IFERROR(__xludf.dummyfunction("GOOGLEFINANCE(""NSE:""&amp;A398, ""closeyest"")"),979.9)</f>
        <v>979.9</v>
      </c>
      <c r="G421" s="6">
        <f ca="1">IFERROR(__xludf.dummyfunction("GOOGLEFINANCE(""NSE:""&amp;A398, ""volume"")"),65705)</f>
        <v>65705</v>
      </c>
      <c r="H421" s="6" t="b">
        <f t="shared" ca="1" si="12"/>
        <v>0</v>
      </c>
      <c r="I421" s="6" t="b">
        <f t="shared" ca="1" si="13"/>
        <v>1</v>
      </c>
      <c r="J421" s="7">
        <f ca="1">IFERROR(__xludf.dummyfunction("GOOGLEFINANCE(""NSE:""&amp;A398, ""changepct"")"),-0.65)</f>
        <v>-0.65</v>
      </c>
    </row>
    <row r="422" spans="1:10" ht="13.8">
      <c r="A422" s="5" t="s">
        <v>426</v>
      </c>
      <c r="B422" s="6">
        <f ca="1">IFERROR(__xludf.dummyfunction("GOOGLEFINANCE(""NSE:""&amp;A69, ""price"")"),2553)</f>
        <v>2553</v>
      </c>
      <c r="C422" s="6">
        <f ca="1">IFERROR(__xludf.dummyfunction("GOOGLEFINANCE(""NSE:""&amp;A69, ""priceopen"")"),2496.5)</f>
        <v>2496.5</v>
      </c>
      <c r="D422" s="6">
        <f ca="1">IFERROR(__xludf.dummyfunction("GOOGLEFINANCE(""NSE:""&amp;A69, ""high"")"),2553)</f>
        <v>2553</v>
      </c>
      <c r="E422" s="6">
        <f ca="1">IFERROR(__xludf.dummyfunction("GOOGLEFINANCE(""NSE:""&amp;A69, ""low"")"),2444.2)</f>
        <v>2444.1999999999998</v>
      </c>
      <c r="F422" s="6">
        <f ca="1">IFERROR(__xludf.dummyfunction("GOOGLEFINANCE(""NSE:""&amp;A69, ""closeyest"")"),2444.2)</f>
        <v>2444.1999999999998</v>
      </c>
      <c r="G422" s="6">
        <f ca="1">IFERROR(__xludf.dummyfunction("GOOGLEFINANCE(""NSE:""&amp;A69, ""volume"")"),65036)</f>
        <v>65036</v>
      </c>
      <c r="H422" s="6" t="b">
        <f t="shared" ca="1" si="12"/>
        <v>0</v>
      </c>
      <c r="I422" s="6" t="b">
        <f t="shared" ca="1" si="13"/>
        <v>0</v>
      </c>
      <c r="J422" s="7">
        <f ca="1">IFERROR(__xludf.dummyfunction("GOOGLEFINANCE(""NSE:""&amp;A69, ""changepct"")"),4.45)</f>
        <v>4.45</v>
      </c>
    </row>
    <row r="423" spans="1:10" ht="13.8">
      <c r="A423" s="5" t="s">
        <v>427</v>
      </c>
      <c r="B423" s="6">
        <f ca="1">IFERROR(__xludf.dummyfunction("GOOGLEFINANCE(""NSE:""&amp;A413, ""price"")"),16650)</f>
        <v>16650</v>
      </c>
      <c r="C423" s="6">
        <f ca="1">IFERROR(__xludf.dummyfunction("GOOGLEFINANCE(""NSE:""&amp;A413, ""priceopen"")"),16789.95)</f>
        <v>16789.95</v>
      </c>
      <c r="D423" s="6">
        <f ca="1">IFERROR(__xludf.dummyfunction("GOOGLEFINANCE(""NSE:""&amp;A413, ""high"")"),16859.95)</f>
        <v>16859.95</v>
      </c>
      <c r="E423" s="6">
        <f ca="1">IFERROR(__xludf.dummyfunction("GOOGLEFINANCE(""NSE:""&amp;A413, ""low"")"),16640)</f>
        <v>16640</v>
      </c>
      <c r="F423" s="6">
        <f ca="1">IFERROR(__xludf.dummyfunction("GOOGLEFINANCE(""NSE:""&amp;A413, ""closeyest"")"),16788.6)</f>
        <v>16788.599999999999</v>
      </c>
      <c r="G423" s="6">
        <f ca="1">IFERROR(__xludf.dummyfunction("GOOGLEFINANCE(""NSE:""&amp;A413, ""volume"")"),64149)</f>
        <v>64149</v>
      </c>
      <c r="H423" s="6" t="b">
        <f t="shared" ca="1" si="12"/>
        <v>0</v>
      </c>
      <c r="I423" s="6" t="b">
        <f t="shared" ca="1" si="13"/>
        <v>0</v>
      </c>
      <c r="J423" s="7">
        <f ca="1">IFERROR(__xludf.dummyfunction("GOOGLEFINANCE(""NSE:""&amp;A413, ""changepct"")"),-0.83)</f>
        <v>-0.83</v>
      </c>
    </row>
    <row r="424" spans="1:10" ht="13.8">
      <c r="A424" s="5" t="s">
        <v>428</v>
      </c>
      <c r="B424" s="6">
        <f ca="1">IFERROR(__xludf.dummyfunction("GOOGLEFINANCE(""NSE:""&amp;A95, ""price"")"),1000)</f>
        <v>1000</v>
      </c>
      <c r="C424" s="6">
        <f ca="1">IFERROR(__xludf.dummyfunction("GOOGLEFINANCE(""NSE:""&amp;A95, ""priceopen"")"),994.95)</f>
        <v>994.95</v>
      </c>
      <c r="D424" s="6">
        <f ca="1">IFERROR(__xludf.dummyfunction("GOOGLEFINANCE(""NSE:""&amp;A95, ""high"")"),1045.55)</f>
        <v>1045.55</v>
      </c>
      <c r="E424" s="6">
        <f ca="1">IFERROR(__xludf.dummyfunction("GOOGLEFINANCE(""NSE:""&amp;A95, ""low"")"),984.05)</f>
        <v>984.05</v>
      </c>
      <c r="F424" s="6">
        <f ca="1">IFERROR(__xludf.dummyfunction("GOOGLEFINANCE(""NSE:""&amp;A95, ""closeyest"")"),966.55)</f>
        <v>966.55</v>
      </c>
      <c r="G424" s="6">
        <f ca="1">IFERROR(__xludf.dummyfunction("GOOGLEFINANCE(""NSE:""&amp;A95, ""volume"")"),62621)</f>
        <v>62621</v>
      </c>
      <c r="H424" s="6" t="b">
        <f t="shared" ca="1" si="12"/>
        <v>0</v>
      </c>
      <c r="I424" s="6" t="b">
        <f t="shared" ca="1" si="13"/>
        <v>0</v>
      </c>
      <c r="J424" s="7">
        <f ca="1">IFERROR(__xludf.dummyfunction("GOOGLEFINANCE(""NSE:""&amp;A95, ""changepct"")"),3.46)</f>
        <v>3.46</v>
      </c>
    </row>
    <row r="425" spans="1:10" ht="13.8">
      <c r="A425" s="5" t="s">
        <v>429</v>
      </c>
      <c r="B425" s="6">
        <f ca="1">IFERROR(__xludf.dummyfunction("GOOGLEFINANCE(""NSE:""&amp;A482, ""price"")"),1648)</f>
        <v>1648</v>
      </c>
      <c r="C425" s="6">
        <f ca="1">IFERROR(__xludf.dummyfunction("GOOGLEFINANCE(""NSE:""&amp;A482, ""priceopen"")"),1694.95)</f>
        <v>1694.95</v>
      </c>
      <c r="D425" s="6">
        <f ca="1">IFERROR(__xludf.dummyfunction("GOOGLEFINANCE(""NSE:""&amp;A482, ""high"")"),1712)</f>
        <v>1712</v>
      </c>
      <c r="E425" s="6">
        <f ca="1">IFERROR(__xludf.dummyfunction("GOOGLEFINANCE(""NSE:""&amp;A482, ""low"")"),1627.55)</f>
        <v>1627.55</v>
      </c>
      <c r="F425" s="6">
        <f ca="1">IFERROR(__xludf.dummyfunction("GOOGLEFINANCE(""NSE:""&amp;A482, ""closeyest"")"),1691.85)</f>
        <v>1691.85</v>
      </c>
      <c r="G425" s="6">
        <f ca="1">IFERROR(__xludf.dummyfunction("GOOGLEFINANCE(""NSE:""&amp;A482, ""volume"")"),62216)</f>
        <v>62216</v>
      </c>
      <c r="H425" s="6" t="b">
        <f t="shared" ca="1" si="12"/>
        <v>0</v>
      </c>
      <c r="I425" s="6" t="b">
        <f t="shared" ca="1" si="13"/>
        <v>0</v>
      </c>
      <c r="J425" s="7">
        <f ca="1">IFERROR(__xludf.dummyfunction("GOOGLEFINANCE(""NSE:""&amp;A482, ""changepct"")"),-2.59)</f>
        <v>-2.59</v>
      </c>
    </row>
    <row r="426" spans="1:10" ht="13.8">
      <c r="A426" s="5" t="s">
        <v>430</v>
      </c>
      <c r="B426" s="6">
        <f ca="1">IFERROR(__xludf.dummyfunction("GOOGLEFINANCE(""NSE:""&amp;A330, ""price"")"),1048.45)</f>
        <v>1048.45</v>
      </c>
      <c r="C426" s="6">
        <f ca="1">IFERROR(__xludf.dummyfunction("GOOGLEFINANCE(""NSE:""&amp;A330, ""priceopen"")"),1050)</f>
        <v>1050</v>
      </c>
      <c r="D426" s="6">
        <f ca="1">IFERROR(__xludf.dummyfunction("GOOGLEFINANCE(""NSE:""&amp;A330, ""high"")"),1062.85)</f>
        <v>1062.8499999999999</v>
      </c>
      <c r="E426" s="6">
        <f ca="1">IFERROR(__xludf.dummyfunction("GOOGLEFINANCE(""NSE:""&amp;A330, ""low"")"),1035.6)</f>
        <v>1035.5999999999999</v>
      </c>
      <c r="F426" s="6">
        <f ca="1">IFERROR(__xludf.dummyfunction("GOOGLEFINANCE(""NSE:""&amp;A330, ""closeyest"")"),1048.95)</f>
        <v>1048.95</v>
      </c>
      <c r="G426" s="6">
        <f ca="1">IFERROR(__xludf.dummyfunction("GOOGLEFINANCE(""NSE:""&amp;A330, ""volume"")"),59484)</f>
        <v>59484</v>
      </c>
      <c r="H426" s="6" t="b">
        <f t="shared" ca="1" si="12"/>
        <v>0</v>
      </c>
      <c r="I426" s="6" t="b">
        <f t="shared" ca="1" si="13"/>
        <v>0</v>
      </c>
      <c r="J426" s="7">
        <f ca="1">IFERROR(__xludf.dummyfunction("GOOGLEFINANCE(""NSE:""&amp;A330, ""changepct"")"),-0.05)</f>
        <v>-0.05</v>
      </c>
    </row>
    <row r="427" spans="1:10" ht="13.8">
      <c r="A427" s="5" t="s">
        <v>431</v>
      </c>
      <c r="B427" s="6">
        <f ca="1">IFERROR(__xludf.dummyfunction("GOOGLEFINANCE(""NSE:""&amp;A130, ""price"")"),193.05)</f>
        <v>193.05</v>
      </c>
      <c r="C427" s="6">
        <f ca="1">IFERROR(__xludf.dummyfunction("GOOGLEFINANCE(""NSE:""&amp;A130, ""priceopen"")"),191.5)</f>
        <v>191.5</v>
      </c>
      <c r="D427" s="6">
        <f ca="1">IFERROR(__xludf.dummyfunction("GOOGLEFINANCE(""NSE:""&amp;A130, ""high"")"),194)</f>
        <v>194</v>
      </c>
      <c r="E427" s="6">
        <f ca="1">IFERROR(__xludf.dummyfunction("GOOGLEFINANCE(""NSE:""&amp;A130, ""low"")"),189.4)</f>
        <v>189.4</v>
      </c>
      <c r="F427" s="6">
        <f ca="1">IFERROR(__xludf.dummyfunction("GOOGLEFINANCE(""NSE:""&amp;A130, ""closeyest"")"),188.4)</f>
        <v>188.4</v>
      </c>
      <c r="G427" s="6">
        <f ca="1">IFERROR(__xludf.dummyfunction("GOOGLEFINANCE(""NSE:""&amp;A130, ""volume"")"),57225)</f>
        <v>57225</v>
      </c>
      <c r="H427" s="6" t="b">
        <f t="shared" ca="1" si="12"/>
        <v>0</v>
      </c>
      <c r="I427" s="6" t="b">
        <f t="shared" ca="1" si="13"/>
        <v>0</v>
      </c>
      <c r="J427" s="7">
        <f ca="1">IFERROR(__xludf.dummyfunction("GOOGLEFINANCE(""NSE:""&amp;A130, ""changepct"")"),2.47)</f>
        <v>2.4700000000000002</v>
      </c>
    </row>
    <row r="428" spans="1:10" ht="13.8">
      <c r="A428" s="5" t="s">
        <v>432</v>
      </c>
      <c r="B428" s="6">
        <f ca="1">IFERROR(__xludf.dummyfunction("GOOGLEFINANCE(""NSE:""&amp;A113, ""price"")"),1215)</f>
        <v>1215</v>
      </c>
      <c r="C428" s="6">
        <f ca="1">IFERROR(__xludf.dummyfunction("GOOGLEFINANCE(""NSE:""&amp;A113, ""priceopen"")"),1188.9)</f>
        <v>1188.9000000000001</v>
      </c>
      <c r="D428" s="6">
        <f ca="1">IFERROR(__xludf.dummyfunction("GOOGLEFINANCE(""NSE:""&amp;A113, ""high"")"),1230)</f>
        <v>1230</v>
      </c>
      <c r="E428" s="6">
        <f ca="1">IFERROR(__xludf.dummyfunction("GOOGLEFINANCE(""NSE:""&amp;A113, ""low"")"),1178.85)</f>
        <v>1178.8499999999999</v>
      </c>
      <c r="F428" s="6">
        <f ca="1">IFERROR(__xludf.dummyfunction("GOOGLEFINANCE(""NSE:""&amp;A113, ""closeyest"")"),1179.15)</f>
        <v>1179.1500000000001</v>
      </c>
      <c r="G428" s="6">
        <f ca="1">IFERROR(__xludf.dummyfunction("GOOGLEFINANCE(""NSE:""&amp;A113, ""volume"")"),55307)</f>
        <v>55307</v>
      </c>
      <c r="H428" s="6" t="b">
        <f t="shared" ca="1" si="12"/>
        <v>0</v>
      </c>
      <c r="I428" s="6" t="b">
        <f t="shared" ca="1" si="13"/>
        <v>0</v>
      </c>
      <c r="J428" s="7">
        <f ca="1">IFERROR(__xludf.dummyfunction("GOOGLEFINANCE(""NSE:""&amp;A113, ""changepct"")"),3.04)</f>
        <v>3.04</v>
      </c>
    </row>
    <row r="429" spans="1:10" ht="13.8">
      <c r="A429" s="5" t="s">
        <v>433</v>
      </c>
      <c r="B429" s="6">
        <f ca="1">IFERROR(__xludf.dummyfunction("GOOGLEFINANCE(""NSE:""&amp;A231, ""price"")"),666.2)</f>
        <v>666.2</v>
      </c>
      <c r="C429" s="6">
        <f ca="1">IFERROR(__xludf.dummyfunction("GOOGLEFINANCE(""NSE:""&amp;A231, ""priceopen"")"),659.4)</f>
        <v>659.4</v>
      </c>
      <c r="D429" s="6">
        <f ca="1">IFERROR(__xludf.dummyfunction("GOOGLEFINANCE(""NSE:""&amp;A231, ""high"")"),680.6)</f>
        <v>680.6</v>
      </c>
      <c r="E429" s="6">
        <f ca="1">IFERROR(__xludf.dummyfunction("GOOGLEFINANCE(""NSE:""&amp;A231, ""low"")"),659.4)</f>
        <v>659.4</v>
      </c>
      <c r="F429" s="6">
        <f ca="1">IFERROR(__xludf.dummyfunction("GOOGLEFINANCE(""NSE:""&amp;A231, ""closeyest"")"),659.4)</f>
        <v>659.4</v>
      </c>
      <c r="G429" s="6">
        <f ca="1">IFERROR(__xludf.dummyfunction("GOOGLEFINANCE(""NSE:""&amp;A231, ""volume"")"),53449)</f>
        <v>53449</v>
      </c>
      <c r="H429" s="6" t="b">
        <f t="shared" ca="1" si="12"/>
        <v>1</v>
      </c>
      <c r="I429" s="6" t="b">
        <f t="shared" ca="1" si="13"/>
        <v>0</v>
      </c>
      <c r="J429" s="7">
        <f ca="1">IFERROR(__xludf.dummyfunction("GOOGLEFINANCE(""NSE:""&amp;A231, ""changepct"")"),1.03)</f>
        <v>1.03</v>
      </c>
    </row>
    <row r="430" spans="1:10" ht="13.8">
      <c r="A430" s="5" t="s">
        <v>434</v>
      </c>
      <c r="B430" s="6">
        <f ca="1">IFERROR(__xludf.dummyfunction("GOOGLEFINANCE(""NSE:""&amp;A52, ""price"")"),16995)</f>
        <v>16995</v>
      </c>
      <c r="C430" s="6">
        <f ca="1">IFERROR(__xludf.dummyfunction("GOOGLEFINANCE(""NSE:""&amp;A52, ""priceopen"")"),17198)</f>
        <v>17198</v>
      </c>
      <c r="D430" s="6">
        <f ca="1">IFERROR(__xludf.dummyfunction("GOOGLEFINANCE(""NSE:""&amp;A52, ""high"")"),17350)</f>
        <v>17350</v>
      </c>
      <c r="E430" s="6">
        <f ca="1">IFERROR(__xludf.dummyfunction("GOOGLEFINANCE(""NSE:""&amp;A52, ""low"")"),16900)</f>
        <v>16900</v>
      </c>
      <c r="F430" s="6">
        <f ca="1">IFERROR(__xludf.dummyfunction("GOOGLEFINANCE(""NSE:""&amp;A52, ""closeyest"")"),16199)</f>
        <v>16199</v>
      </c>
      <c r="G430" s="6">
        <f ca="1">IFERROR(__xludf.dummyfunction("GOOGLEFINANCE(""NSE:""&amp;A52, ""volume"")"),52762)</f>
        <v>52762</v>
      </c>
      <c r="H430" s="6" t="b">
        <f t="shared" ca="1" si="12"/>
        <v>0</v>
      </c>
      <c r="I430" s="6" t="b">
        <f t="shared" ca="1" si="13"/>
        <v>0</v>
      </c>
      <c r="J430" s="7">
        <f ca="1">IFERROR(__xludf.dummyfunction("GOOGLEFINANCE(""NSE:""&amp;A52, ""changepct"")"),4.91)</f>
        <v>4.91</v>
      </c>
    </row>
    <row r="431" spans="1:10" ht="13.8">
      <c r="A431" s="5" t="s">
        <v>435</v>
      </c>
      <c r="B431" s="6">
        <f ca="1">IFERROR(__xludf.dummyfunction("GOOGLEFINANCE(""NSE:""&amp;A476, ""price"")"),1567)</f>
        <v>1567</v>
      </c>
      <c r="C431" s="6">
        <f ca="1">IFERROR(__xludf.dummyfunction("GOOGLEFINANCE(""NSE:""&amp;A476, ""priceopen"")"),1614)</f>
        <v>1614</v>
      </c>
      <c r="D431" s="6">
        <f ca="1">IFERROR(__xludf.dummyfunction("GOOGLEFINANCE(""NSE:""&amp;A476, ""high"")"),1614)</f>
        <v>1614</v>
      </c>
      <c r="E431" s="6">
        <f ca="1">IFERROR(__xludf.dummyfunction("GOOGLEFINANCE(""NSE:""&amp;A476, ""low"")"),1550)</f>
        <v>1550</v>
      </c>
      <c r="F431" s="6">
        <f ca="1">IFERROR(__xludf.dummyfunction("GOOGLEFINANCE(""NSE:""&amp;A476, ""closeyest"")"),1600.45)</f>
        <v>1600.45</v>
      </c>
      <c r="G431" s="6">
        <f ca="1">IFERROR(__xludf.dummyfunction("GOOGLEFINANCE(""NSE:""&amp;A476, ""volume"")"),50450)</f>
        <v>50450</v>
      </c>
      <c r="H431" s="6" t="b">
        <f t="shared" ca="1" si="12"/>
        <v>0</v>
      </c>
      <c r="I431" s="6" t="b">
        <f t="shared" ca="1" si="13"/>
        <v>1</v>
      </c>
      <c r="J431" s="7">
        <f ca="1">IFERROR(__xludf.dummyfunction("GOOGLEFINANCE(""NSE:""&amp;A476, ""changepct"")"),-2.09)</f>
        <v>-2.09</v>
      </c>
    </row>
    <row r="432" spans="1:10" ht="13.8">
      <c r="A432" s="5" t="s">
        <v>436</v>
      </c>
      <c r="B432" s="6">
        <f ca="1">IFERROR(__xludf.dummyfunction("GOOGLEFINANCE(""NSE:""&amp;A77, ""price"")"),5364)</f>
        <v>5364</v>
      </c>
      <c r="C432" s="6">
        <f ca="1">IFERROR(__xludf.dummyfunction("GOOGLEFINANCE(""NSE:""&amp;A77, ""priceopen"")"),5170)</f>
        <v>5170</v>
      </c>
      <c r="D432" s="6">
        <f ca="1">IFERROR(__xludf.dummyfunction("GOOGLEFINANCE(""NSE:""&amp;A77, ""high"")"),5370)</f>
        <v>5370</v>
      </c>
      <c r="E432" s="6">
        <f ca="1">IFERROR(__xludf.dummyfunction("GOOGLEFINANCE(""NSE:""&amp;A77, ""low"")"),5110.2)</f>
        <v>5110.2</v>
      </c>
      <c r="F432" s="6">
        <f ca="1">IFERROR(__xludf.dummyfunction("GOOGLEFINANCE(""NSE:""&amp;A77, ""closeyest"")"),5152.55)</f>
        <v>5152.55</v>
      </c>
      <c r="G432" s="6">
        <f ca="1">IFERROR(__xludf.dummyfunction("GOOGLEFINANCE(""NSE:""&amp;A77, ""volume"")"),48889)</f>
        <v>48889</v>
      </c>
      <c r="H432" s="6" t="b">
        <f t="shared" ca="1" si="12"/>
        <v>0</v>
      </c>
      <c r="I432" s="6" t="b">
        <f t="shared" ca="1" si="13"/>
        <v>0</v>
      </c>
      <c r="J432" s="7">
        <f ca="1">IFERROR(__xludf.dummyfunction("GOOGLEFINANCE(""NSE:""&amp;A77, ""changepct"")"),4.1)</f>
        <v>4.0999999999999996</v>
      </c>
    </row>
    <row r="433" spans="1:10" ht="13.8">
      <c r="A433" s="5" t="s">
        <v>437</v>
      </c>
      <c r="B433" s="6">
        <f ca="1">IFERROR(__xludf.dummyfunction("GOOGLEFINANCE(""NSE:""&amp;A392, ""price"")"),208.6)</f>
        <v>208.6</v>
      </c>
      <c r="C433" s="6">
        <f ca="1">IFERROR(__xludf.dummyfunction("GOOGLEFINANCE(""NSE:""&amp;A392, ""priceopen"")"),214)</f>
        <v>214</v>
      </c>
      <c r="D433" s="6">
        <f ca="1">IFERROR(__xludf.dummyfunction("GOOGLEFINANCE(""NSE:""&amp;A392, ""high"")"),215.65)</f>
        <v>215.65</v>
      </c>
      <c r="E433" s="6">
        <f ca="1">IFERROR(__xludf.dummyfunction("GOOGLEFINANCE(""NSE:""&amp;A392, ""low"")"),208)</f>
        <v>208</v>
      </c>
      <c r="F433" s="6">
        <f ca="1">IFERROR(__xludf.dummyfunction("GOOGLEFINANCE(""NSE:""&amp;A392, ""closeyest"")"),209.9)</f>
        <v>209.9</v>
      </c>
      <c r="G433" s="6">
        <f ca="1">IFERROR(__xludf.dummyfunction("GOOGLEFINANCE(""NSE:""&amp;A392, ""volume"")"),47654)</f>
        <v>47654</v>
      </c>
      <c r="H433" s="6" t="b">
        <f t="shared" ca="1" si="12"/>
        <v>0</v>
      </c>
      <c r="I433" s="6" t="b">
        <f t="shared" ca="1" si="13"/>
        <v>0</v>
      </c>
      <c r="J433" s="7">
        <f ca="1">IFERROR(__xludf.dummyfunction("GOOGLEFINANCE(""NSE:""&amp;A392, ""changepct"")"),-0.62)</f>
        <v>-0.62</v>
      </c>
    </row>
    <row r="434" spans="1:10" ht="13.8">
      <c r="A434" s="5" t="s">
        <v>438</v>
      </c>
      <c r="B434" s="6">
        <f ca="1">IFERROR(__xludf.dummyfunction("GOOGLEFINANCE(""NSE:""&amp;A257, ""price"")"),965.05)</f>
        <v>965.05</v>
      </c>
      <c r="C434" s="6">
        <f ca="1">IFERROR(__xludf.dummyfunction("GOOGLEFINANCE(""NSE:""&amp;A257, ""priceopen"")"),966.95)</f>
        <v>966.95</v>
      </c>
      <c r="D434" s="6">
        <f ca="1">IFERROR(__xludf.dummyfunction("GOOGLEFINANCE(""NSE:""&amp;A257, ""high"")"),999)</f>
        <v>999</v>
      </c>
      <c r="E434" s="6">
        <f ca="1">IFERROR(__xludf.dummyfunction("GOOGLEFINANCE(""NSE:""&amp;A257, ""low"")"),960)</f>
        <v>960</v>
      </c>
      <c r="F434" s="6">
        <f ca="1">IFERROR(__xludf.dummyfunction("GOOGLEFINANCE(""NSE:""&amp;A257, ""closeyest"")"),958.4)</f>
        <v>958.4</v>
      </c>
      <c r="G434" s="6">
        <f ca="1">IFERROR(__xludf.dummyfunction("GOOGLEFINANCE(""NSE:""&amp;A257, ""volume"")"),47267)</f>
        <v>47267</v>
      </c>
      <c r="H434" s="6" t="b">
        <f t="shared" ca="1" si="12"/>
        <v>0</v>
      </c>
      <c r="I434" s="6" t="b">
        <f t="shared" ca="1" si="13"/>
        <v>0</v>
      </c>
      <c r="J434" s="7">
        <f ca="1">IFERROR(__xludf.dummyfunction("GOOGLEFINANCE(""NSE:""&amp;A257, ""changepct"")"),0.69)</f>
        <v>0.69</v>
      </c>
    </row>
    <row r="435" spans="1:10" ht="13.8">
      <c r="A435" s="5" t="s">
        <v>439</v>
      </c>
      <c r="B435" s="6">
        <f ca="1">IFERROR(__xludf.dummyfunction("GOOGLEFINANCE(""NSE:""&amp;A489, ""price"")"),1377.5)</f>
        <v>1377.5</v>
      </c>
      <c r="C435" s="6">
        <f ca="1">IFERROR(__xludf.dummyfunction("GOOGLEFINANCE(""NSE:""&amp;A489, ""priceopen"")"),1421)</f>
        <v>1421</v>
      </c>
      <c r="D435" s="6">
        <f ca="1">IFERROR(__xludf.dummyfunction("GOOGLEFINANCE(""NSE:""&amp;A489, ""high"")"),1421)</f>
        <v>1421</v>
      </c>
      <c r="E435" s="6">
        <f ca="1">IFERROR(__xludf.dummyfunction("GOOGLEFINANCE(""NSE:""&amp;A489, ""low"")"),1363.5)</f>
        <v>1363.5</v>
      </c>
      <c r="F435" s="6">
        <f ca="1">IFERROR(__xludf.dummyfunction("GOOGLEFINANCE(""NSE:""&amp;A489, ""closeyest"")"),1419.7)</f>
        <v>1419.7</v>
      </c>
      <c r="G435" s="6">
        <f ca="1">IFERROR(__xludf.dummyfunction("GOOGLEFINANCE(""NSE:""&amp;A489, ""volume"")"),46917)</f>
        <v>46917</v>
      </c>
      <c r="H435" s="6" t="b">
        <f t="shared" ca="1" si="12"/>
        <v>0</v>
      </c>
      <c r="I435" s="6" t="b">
        <f t="shared" ca="1" si="13"/>
        <v>1</v>
      </c>
      <c r="J435" s="7">
        <f ca="1">IFERROR(__xludf.dummyfunction("GOOGLEFINANCE(""NSE:""&amp;A489, ""changepct"")"),-2.97)</f>
        <v>-2.97</v>
      </c>
    </row>
    <row r="436" spans="1:10" ht="13.8">
      <c r="A436" s="5" t="s">
        <v>440</v>
      </c>
      <c r="B436" s="6">
        <f ca="1">IFERROR(__xludf.dummyfunction("GOOGLEFINANCE(""NSE:""&amp;A477, ""price"")"),2120.9)</f>
        <v>2120.9</v>
      </c>
      <c r="C436" s="6">
        <f ca="1">IFERROR(__xludf.dummyfunction("GOOGLEFINANCE(""NSE:""&amp;A477, ""priceopen"")"),2168)</f>
        <v>2168</v>
      </c>
      <c r="D436" s="6">
        <f ca="1">IFERROR(__xludf.dummyfunction("GOOGLEFINANCE(""NSE:""&amp;A477, ""high"")"),2198.8)</f>
        <v>2198.8000000000002</v>
      </c>
      <c r="E436" s="6">
        <f ca="1">IFERROR(__xludf.dummyfunction("GOOGLEFINANCE(""NSE:""&amp;A477, ""low"")"),2069.85)</f>
        <v>2069.85</v>
      </c>
      <c r="F436" s="6">
        <f ca="1">IFERROR(__xludf.dummyfunction("GOOGLEFINANCE(""NSE:""&amp;A477, ""closeyest"")"),2167.1)</f>
        <v>2167.1</v>
      </c>
      <c r="G436" s="6">
        <f ca="1">IFERROR(__xludf.dummyfunction("GOOGLEFINANCE(""NSE:""&amp;A477, ""volume"")"),46595)</f>
        <v>46595</v>
      </c>
      <c r="H436" s="6" t="b">
        <f t="shared" ca="1" si="12"/>
        <v>0</v>
      </c>
      <c r="I436" s="6" t="b">
        <f t="shared" ca="1" si="13"/>
        <v>0</v>
      </c>
      <c r="J436" s="7">
        <f ca="1">IFERROR(__xludf.dummyfunction("GOOGLEFINANCE(""NSE:""&amp;A477, ""changepct"")"),-2.13)</f>
        <v>-2.13</v>
      </c>
    </row>
    <row r="437" spans="1:10" ht="13.8">
      <c r="A437" s="5" t="s">
        <v>441</v>
      </c>
      <c r="B437" s="6">
        <f ca="1">IFERROR(__xludf.dummyfunction("GOOGLEFINANCE(""NSE:""&amp;A464, ""price"")"),6040)</f>
        <v>6040</v>
      </c>
      <c r="C437" s="6">
        <f ca="1">IFERROR(__xludf.dummyfunction("GOOGLEFINANCE(""NSE:""&amp;A464, ""priceopen"")"),6248)</f>
        <v>6248</v>
      </c>
      <c r="D437" s="6">
        <f ca="1">IFERROR(__xludf.dummyfunction("GOOGLEFINANCE(""NSE:""&amp;A464, ""high"")"),6250)</f>
        <v>6250</v>
      </c>
      <c r="E437" s="6">
        <f ca="1">IFERROR(__xludf.dummyfunction("GOOGLEFINANCE(""NSE:""&amp;A464, ""low"")"),6022)</f>
        <v>6022</v>
      </c>
      <c r="F437" s="6">
        <f ca="1">IFERROR(__xludf.dummyfunction("GOOGLEFINANCE(""NSE:""&amp;A464, ""closeyest"")"),6137.85)</f>
        <v>6137.85</v>
      </c>
      <c r="G437" s="6">
        <f ca="1">IFERROR(__xludf.dummyfunction("GOOGLEFINANCE(""NSE:""&amp;A464, ""volume"")"),46418)</f>
        <v>46418</v>
      </c>
      <c r="H437" s="6" t="b">
        <f t="shared" ca="1" si="12"/>
        <v>0</v>
      </c>
      <c r="I437" s="6" t="b">
        <f t="shared" ca="1" si="13"/>
        <v>0</v>
      </c>
      <c r="J437" s="7">
        <f ca="1">IFERROR(__xludf.dummyfunction("GOOGLEFINANCE(""NSE:""&amp;A464, ""changepct"")"),-1.59)</f>
        <v>-1.59</v>
      </c>
    </row>
    <row r="438" spans="1:10" ht="13.8">
      <c r="A438" s="5" t="s">
        <v>442</v>
      </c>
      <c r="B438" s="6">
        <f ca="1">IFERROR(__xludf.dummyfunction("GOOGLEFINANCE(""NSE:""&amp;A314, ""price"")"),626.1)</f>
        <v>626.1</v>
      </c>
      <c r="C438" s="6">
        <f ca="1">IFERROR(__xludf.dummyfunction("GOOGLEFINANCE(""NSE:""&amp;A314, ""priceopen"")"),625.7)</f>
        <v>625.70000000000005</v>
      </c>
      <c r="D438" s="6">
        <f ca="1">IFERROR(__xludf.dummyfunction("GOOGLEFINANCE(""NSE:""&amp;A314, ""high"")"),637)</f>
        <v>637</v>
      </c>
      <c r="E438" s="6">
        <f ca="1">IFERROR(__xludf.dummyfunction("GOOGLEFINANCE(""NSE:""&amp;A314, ""low"")"),620)</f>
        <v>620</v>
      </c>
      <c r="F438" s="6">
        <f ca="1">IFERROR(__xludf.dummyfunction("GOOGLEFINANCE(""NSE:""&amp;A314, ""closeyest"")"),625.7)</f>
        <v>625.70000000000005</v>
      </c>
      <c r="G438" s="6">
        <f ca="1">IFERROR(__xludf.dummyfunction("GOOGLEFINANCE(""NSE:""&amp;A314, ""volume"")"),46278)</f>
        <v>46278</v>
      </c>
      <c r="H438" s="6" t="b">
        <f t="shared" ca="1" si="12"/>
        <v>0</v>
      </c>
      <c r="I438" s="6" t="b">
        <f t="shared" ca="1" si="13"/>
        <v>0</v>
      </c>
      <c r="J438" s="7">
        <f ca="1">IFERROR(__xludf.dummyfunction("GOOGLEFINANCE(""NSE:""&amp;A314, ""changepct"")"),0.06)</f>
        <v>0.06</v>
      </c>
    </row>
    <row r="439" spans="1:10" ht="13.8">
      <c r="A439" s="5" t="s">
        <v>443</v>
      </c>
      <c r="B439" s="6">
        <f ca="1">IFERROR(__xludf.dummyfunction("GOOGLEFINANCE(""NSE:""&amp;A346, ""price"")"),13628.95)</f>
        <v>13628.95</v>
      </c>
      <c r="C439" s="6">
        <f ca="1">IFERROR(__xludf.dummyfunction("GOOGLEFINANCE(""NSE:""&amp;A346, ""priceopen"")"),13655)</f>
        <v>13655</v>
      </c>
      <c r="D439" s="6">
        <f ca="1">IFERROR(__xludf.dummyfunction("GOOGLEFINANCE(""NSE:""&amp;A346, ""high"")"),13889.8)</f>
        <v>13889.8</v>
      </c>
      <c r="E439" s="6">
        <f ca="1">IFERROR(__xludf.dummyfunction("GOOGLEFINANCE(""NSE:""&amp;A346, ""low"")"),13503.5)</f>
        <v>13503.5</v>
      </c>
      <c r="F439" s="6">
        <f ca="1">IFERROR(__xludf.dummyfunction("GOOGLEFINANCE(""NSE:""&amp;A346, ""closeyest"")"),13657.65)</f>
        <v>13657.65</v>
      </c>
      <c r="G439" s="6">
        <f ca="1">IFERROR(__xludf.dummyfunction("GOOGLEFINANCE(""NSE:""&amp;A346, ""volume"")"),44968)</f>
        <v>44968</v>
      </c>
      <c r="H439" s="6" t="b">
        <f t="shared" ca="1" si="12"/>
        <v>0</v>
      </c>
      <c r="I439" s="6" t="b">
        <f t="shared" ca="1" si="13"/>
        <v>0</v>
      </c>
      <c r="J439" s="7">
        <f ca="1">IFERROR(__xludf.dummyfunction("GOOGLEFINANCE(""NSE:""&amp;A346, ""changepct"")"),-0.21)</f>
        <v>-0.21</v>
      </c>
    </row>
    <row r="440" spans="1:10" ht="13.8">
      <c r="A440" s="5" t="s">
        <v>444</v>
      </c>
      <c r="B440" s="6">
        <f ca="1">IFERROR(__xludf.dummyfunction("GOOGLEFINANCE(""NSE:""&amp;A419, ""price"")"),1338)</f>
        <v>1338</v>
      </c>
      <c r="C440" s="6">
        <f ca="1">IFERROR(__xludf.dummyfunction("GOOGLEFINANCE(""NSE:""&amp;A419, ""priceopen"")"),1367)</f>
        <v>1367</v>
      </c>
      <c r="D440" s="6">
        <f ca="1">IFERROR(__xludf.dummyfunction("GOOGLEFINANCE(""NSE:""&amp;A419, ""high"")"),1367)</f>
        <v>1367</v>
      </c>
      <c r="E440" s="6">
        <f ca="1">IFERROR(__xludf.dummyfunction("GOOGLEFINANCE(""NSE:""&amp;A419, ""low"")"),1336)</f>
        <v>1336</v>
      </c>
      <c r="F440" s="6">
        <f ca="1">IFERROR(__xludf.dummyfunction("GOOGLEFINANCE(""NSE:""&amp;A419, ""closeyest"")"),1349.9)</f>
        <v>1349.9</v>
      </c>
      <c r="G440" s="6">
        <f ca="1">IFERROR(__xludf.dummyfunction("GOOGLEFINANCE(""NSE:""&amp;A419, ""volume"")"),44468)</f>
        <v>44468</v>
      </c>
      <c r="H440" s="6" t="b">
        <f t="shared" ca="1" si="12"/>
        <v>0</v>
      </c>
      <c r="I440" s="6" t="b">
        <f t="shared" ca="1" si="13"/>
        <v>1</v>
      </c>
      <c r="J440" s="7">
        <f ca="1">IFERROR(__xludf.dummyfunction("GOOGLEFINANCE(""NSE:""&amp;A419, ""changepct"")"),-0.88)</f>
        <v>-0.88</v>
      </c>
    </row>
    <row r="441" spans="1:10" ht="13.8">
      <c r="A441" s="5" t="s">
        <v>445</v>
      </c>
      <c r="B441" s="6">
        <f ca="1">IFERROR(__xludf.dummyfunction("GOOGLEFINANCE(""NSE:""&amp;A338, ""price"")"),629)</f>
        <v>629</v>
      </c>
      <c r="C441" s="6">
        <f ca="1">IFERROR(__xludf.dummyfunction("GOOGLEFINANCE(""NSE:""&amp;A338, ""priceopen"")"),640)</f>
        <v>640</v>
      </c>
      <c r="D441" s="6">
        <f ca="1">IFERROR(__xludf.dummyfunction("GOOGLEFINANCE(""NSE:""&amp;A338, ""high"")"),657.4)</f>
        <v>657.4</v>
      </c>
      <c r="E441" s="6">
        <f ca="1">IFERROR(__xludf.dummyfunction("GOOGLEFINANCE(""NSE:""&amp;A338, ""low"")"),629)</f>
        <v>629</v>
      </c>
      <c r="F441" s="6">
        <f ca="1">IFERROR(__xludf.dummyfunction("GOOGLEFINANCE(""NSE:""&amp;A338, ""closeyest"")"),629.9)</f>
        <v>629.9</v>
      </c>
      <c r="G441" s="6">
        <f ca="1">IFERROR(__xludf.dummyfunction("GOOGLEFINANCE(""NSE:""&amp;A338, ""volume"")"),42929)</f>
        <v>42929</v>
      </c>
      <c r="H441" s="6" t="b">
        <f t="shared" ca="1" si="12"/>
        <v>0</v>
      </c>
      <c r="I441" s="6" t="b">
        <f t="shared" ca="1" si="13"/>
        <v>0</v>
      </c>
      <c r="J441" s="7">
        <f ca="1">IFERROR(__xludf.dummyfunction("GOOGLEFINANCE(""NSE:""&amp;A338, ""changepct"")"),-0.14)</f>
        <v>-0.14000000000000001</v>
      </c>
    </row>
    <row r="442" spans="1:10" ht="13.8">
      <c r="A442" s="5" t="s">
        <v>446</v>
      </c>
      <c r="B442" s="6">
        <f ca="1">IFERROR(__xludf.dummyfunction("GOOGLEFINANCE(""NSE:""&amp;A369, ""price"")"),599.65)</f>
        <v>599.65</v>
      </c>
      <c r="C442" s="6">
        <f ca="1">IFERROR(__xludf.dummyfunction("GOOGLEFINANCE(""NSE:""&amp;A369, ""priceopen"")"),600.5)</f>
        <v>600.5</v>
      </c>
      <c r="D442" s="6">
        <f ca="1">IFERROR(__xludf.dummyfunction("GOOGLEFINANCE(""NSE:""&amp;A369, ""high"")"),609.7)</f>
        <v>609.70000000000005</v>
      </c>
      <c r="E442" s="6">
        <f ca="1">IFERROR(__xludf.dummyfunction("GOOGLEFINANCE(""NSE:""&amp;A369, ""low"")"),596.15)</f>
        <v>596.15</v>
      </c>
      <c r="F442" s="6">
        <f ca="1">IFERROR(__xludf.dummyfunction("GOOGLEFINANCE(""NSE:""&amp;A369, ""closeyest"")"),602)</f>
        <v>602</v>
      </c>
      <c r="G442" s="6">
        <f ca="1">IFERROR(__xludf.dummyfunction("GOOGLEFINANCE(""NSE:""&amp;A369, ""volume"")"),42713)</f>
        <v>42713</v>
      </c>
      <c r="H442" s="6" t="b">
        <f t="shared" ca="1" si="12"/>
        <v>0</v>
      </c>
      <c r="I442" s="6" t="b">
        <f t="shared" ca="1" si="13"/>
        <v>0</v>
      </c>
      <c r="J442" s="7">
        <f ca="1">IFERROR(__xludf.dummyfunction("GOOGLEFINANCE(""NSE:""&amp;A369, ""changepct"")"),-0.39)</f>
        <v>-0.39</v>
      </c>
    </row>
    <row r="443" spans="1:10" ht="13.8">
      <c r="A443" s="5" t="s">
        <v>447</v>
      </c>
      <c r="B443" s="6">
        <f ca="1">IFERROR(__xludf.dummyfunction("GOOGLEFINANCE(""NSE:""&amp;A245, ""price"")"),1715)</f>
        <v>1715</v>
      </c>
      <c r="C443" s="6">
        <f ca="1">IFERROR(__xludf.dummyfunction("GOOGLEFINANCE(""NSE:""&amp;A245, ""priceopen"")"),1710)</f>
        <v>1710</v>
      </c>
      <c r="D443" s="6">
        <f ca="1">IFERROR(__xludf.dummyfunction("GOOGLEFINANCE(""NSE:""&amp;A245, ""high"")"),1734.3)</f>
        <v>1734.3</v>
      </c>
      <c r="E443" s="6">
        <f ca="1">IFERROR(__xludf.dummyfunction("GOOGLEFINANCE(""NSE:""&amp;A245, ""low"")"),1705.35)</f>
        <v>1705.35</v>
      </c>
      <c r="F443" s="6">
        <f ca="1">IFERROR(__xludf.dummyfunction("GOOGLEFINANCE(""NSE:""&amp;A245, ""closeyest"")"),1700.3)</f>
        <v>1700.3</v>
      </c>
      <c r="G443" s="6">
        <f ca="1">IFERROR(__xludf.dummyfunction("GOOGLEFINANCE(""NSE:""&amp;A245, ""volume"")"),42652)</f>
        <v>42652</v>
      </c>
      <c r="H443" s="6" t="b">
        <f t="shared" ca="1" si="12"/>
        <v>0</v>
      </c>
      <c r="I443" s="6" t="b">
        <f t="shared" ca="1" si="13"/>
        <v>0</v>
      </c>
      <c r="J443" s="7">
        <f ca="1">IFERROR(__xludf.dummyfunction("GOOGLEFINANCE(""NSE:""&amp;A245, ""changepct"")"),0.86)</f>
        <v>0.86</v>
      </c>
    </row>
    <row r="444" spans="1:10" ht="13.8">
      <c r="A444" s="5" t="s">
        <v>448</v>
      </c>
      <c r="B444" s="6">
        <f ca="1">IFERROR(__xludf.dummyfunction("GOOGLEFINANCE(""NSE:""&amp;A195, ""price"")"),2974)</f>
        <v>2974</v>
      </c>
      <c r="C444" s="6">
        <f ca="1">IFERROR(__xludf.dummyfunction("GOOGLEFINANCE(""NSE:""&amp;A195, ""priceopen"")"),2950)</f>
        <v>2950</v>
      </c>
      <c r="D444" s="6">
        <f ca="1">IFERROR(__xludf.dummyfunction("GOOGLEFINANCE(""NSE:""&amp;A195, ""high"")"),3010)</f>
        <v>3010</v>
      </c>
      <c r="E444" s="6">
        <f ca="1">IFERROR(__xludf.dummyfunction("GOOGLEFINANCE(""NSE:""&amp;A195, ""low"")"),2942.15)</f>
        <v>2942.15</v>
      </c>
      <c r="F444" s="6">
        <f ca="1">IFERROR(__xludf.dummyfunction("GOOGLEFINANCE(""NSE:""&amp;A195, ""closeyest"")"),2929.7)</f>
        <v>2929.7</v>
      </c>
      <c r="G444" s="6">
        <f ca="1">IFERROR(__xludf.dummyfunction("GOOGLEFINANCE(""NSE:""&amp;A195, ""volume"")"),41916)</f>
        <v>41916</v>
      </c>
      <c r="H444" s="6" t="b">
        <f t="shared" ca="1" si="12"/>
        <v>0</v>
      </c>
      <c r="I444" s="6" t="b">
        <f t="shared" ca="1" si="13"/>
        <v>0</v>
      </c>
      <c r="J444" s="7">
        <f ca="1">IFERROR(__xludf.dummyfunction("GOOGLEFINANCE(""NSE:""&amp;A195, ""changepct"")"),1.51)</f>
        <v>1.51</v>
      </c>
    </row>
    <row r="445" spans="1:10" ht="13.8">
      <c r="A445" s="5" t="s">
        <v>449</v>
      </c>
      <c r="B445" s="6">
        <f ca="1">IFERROR(__xludf.dummyfunction("GOOGLEFINANCE(""NSE:""&amp;A491, ""price"")"),4510)</f>
        <v>4510</v>
      </c>
      <c r="C445" s="6">
        <f ca="1">IFERROR(__xludf.dummyfunction("GOOGLEFINANCE(""NSE:""&amp;A491, ""priceopen"")"),4745)</f>
        <v>4745</v>
      </c>
      <c r="D445" s="6">
        <f ca="1">IFERROR(__xludf.dummyfunction("GOOGLEFINANCE(""NSE:""&amp;A491, ""high"")"),4860.05)</f>
        <v>4860.05</v>
      </c>
      <c r="E445" s="6">
        <f ca="1">IFERROR(__xludf.dummyfunction("GOOGLEFINANCE(""NSE:""&amp;A491, ""low"")"),4476)</f>
        <v>4476</v>
      </c>
      <c r="F445" s="6">
        <f ca="1">IFERROR(__xludf.dummyfunction("GOOGLEFINANCE(""NSE:""&amp;A491, ""closeyest"")"),4664.45)</f>
        <v>4664.45</v>
      </c>
      <c r="G445" s="6">
        <f ca="1">IFERROR(__xludf.dummyfunction("GOOGLEFINANCE(""NSE:""&amp;A491, ""volume"")"),41759)</f>
        <v>41759</v>
      </c>
      <c r="H445" s="6" t="b">
        <f t="shared" ca="1" si="12"/>
        <v>0</v>
      </c>
      <c r="I445" s="6" t="b">
        <f t="shared" ca="1" si="13"/>
        <v>0</v>
      </c>
      <c r="J445" s="7">
        <f ca="1">IFERROR(__xludf.dummyfunction("GOOGLEFINANCE(""NSE:""&amp;A491, ""changepct"")"),-3.31)</f>
        <v>-3.31</v>
      </c>
    </row>
    <row r="446" spans="1:10" ht="13.8">
      <c r="A446" s="5" t="s">
        <v>450</v>
      </c>
      <c r="B446" s="6">
        <f ca="1">IFERROR(__xludf.dummyfunction("GOOGLEFINANCE(""NSE:""&amp;A210, ""price"")"),1722)</f>
        <v>1722</v>
      </c>
      <c r="C446" s="6">
        <f ca="1">IFERROR(__xludf.dummyfunction("GOOGLEFINANCE(""NSE:""&amp;A210, ""priceopen"")"),1729.9)</f>
        <v>1729.9</v>
      </c>
      <c r="D446" s="6">
        <f ca="1">IFERROR(__xludf.dummyfunction("GOOGLEFINANCE(""NSE:""&amp;A210, ""high"")"),1770)</f>
        <v>1770</v>
      </c>
      <c r="E446" s="6">
        <f ca="1">IFERROR(__xludf.dummyfunction("GOOGLEFINANCE(""NSE:""&amp;A210, ""low"")"),1700)</f>
        <v>1700</v>
      </c>
      <c r="F446" s="6">
        <f ca="1">IFERROR(__xludf.dummyfunction("GOOGLEFINANCE(""NSE:""&amp;A210, ""closeyest"")"),1699.5)</f>
        <v>1699.5</v>
      </c>
      <c r="G446" s="6">
        <f ca="1">IFERROR(__xludf.dummyfunction("GOOGLEFINANCE(""NSE:""&amp;A210, ""volume"")"),38723)</f>
        <v>38723</v>
      </c>
      <c r="H446" s="6" t="b">
        <f t="shared" ca="1" si="12"/>
        <v>0</v>
      </c>
      <c r="I446" s="6" t="b">
        <f t="shared" ca="1" si="13"/>
        <v>0</v>
      </c>
      <c r="J446" s="7">
        <f ca="1">IFERROR(__xludf.dummyfunction("GOOGLEFINANCE(""NSE:""&amp;A210, ""changepct"")"),1.32)</f>
        <v>1.32</v>
      </c>
    </row>
    <row r="447" spans="1:10" ht="13.8">
      <c r="A447" s="5" t="s">
        <v>451</v>
      </c>
      <c r="B447" s="6">
        <f ca="1">IFERROR(__xludf.dummyfunction("GOOGLEFINANCE(""NSE:""&amp;A453, ""price"")"),1248)</f>
        <v>1248</v>
      </c>
      <c r="C447" s="6">
        <f ca="1">IFERROR(__xludf.dummyfunction("GOOGLEFINANCE(""NSE:""&amp;A453, ""priceopen"")"),1270)</f>
        <v>1270</v>
      </c>
      <c r="D447" s="6">
        <f ca="1">IFERROR(__xludf.dummyfunction("GOOGLEFINANCE(""NSE:""&amp;A453, ""high"")"),1275.2)</f>
        <v>1275.2</v>
      </c>
      <c r="E447" s="6">
        <f ca="1">IFERROR(__xludf.dummyfunction("GOOGLEFINANCE(""NSE:""&amp;A453, ""low"")"),1245.2)</f>
        <v>1245.2</v>
      </c>
      <c r="F447" s="6">
        <f ca="1">IFERROR(__xludf.dummyfunction("GOOGLEFINANCE(""NSE:""&amp;A453, ""closeyest"")"),1264.2)</f>
        <v>1264.2</v>
      </c>
      <c r="G447" s="6">
        <f ca="1">IFERROR(__xludf.dummyfunction("GOOGLEFINANCE(""NSE:""&amp;A453, ""volume"")"),37857)</f>
        <v>37857</v>
      </c>
      <c r="H447" s="6" t="b">
        <f t="shared" ca="1" si="12"/>
        <v>0</v>
      </c>
      <c r="I447" s="6" t="b">
        <f t="shared" ca="1" si="13"/>
        <v>0</v>
      </c>
      <c r="J447" s="7">
        <f ca="1">IFERROR(__xludf.dummyfunction("GOOGLEFINANCE(""NSE:""&amp;A453, ""changepct"")"),-1.28)</f>
        <v>-1.28</v>
      </c>
    </row>
    <row r="448" spans="1:10" ht="13.8">
      <c r="A448" s="5" t="s">
        <v>452</v>
      </c>
      <c r="B448" s="6">
        <f ca="1">IFERROR(__xludf.dummyfunction("GOOGLEFINANCE(""NSE:""&amp;A336, ""price"")"),649)</f>
        <v>649</v>
      </c>
      <c r="C448" s="6">
        <f ca="1">IFERROR(__xludf.dummyfunction("GOOGLEFINANCE(""NSE:""&amp;A336, ""priceopen"")"),662)</f>
        <v>662</v>
      </c>
      <c r="D448" s="6">
        <f ca="1">IFERROR(__xludf.dummyfunction("GOOGLEFINANCE(""NSE:""&amp;A336, ""high"")"),662)</f>
        <v>662</v>
      </c>
      <c r="E448" s="6">
        <f ca="1">IFERROR(__xludf.dummyfunction("GOOGLEFINANCE(""NSE:""&amp;A336, ""low"")"),641)</f>
        <v>641</v>
      </c>
      <c r="F448" s="6">
        <f ca="1">IFERROR(__xludf.dummyfunction("GOOGLEFINANCE(""NSE:""&amp;A336, ""closeyest"")"),649.7)</f>
        <v>649.70000000000005</v>
      </c>
      <c r="G448" s="6">
        <f ca="1">IFERROR(__xludf.dummyfunction("GOOGLEFINANCE(""NSE:""&amp;A336, ""volume"")"),37638)</f>
        <v>37638</v>
      </c>
      <c r="H448" s="6" t="b">
        <f t="shared" ca="1" si="12"/>
        <v>0</v>
      </c>
      <c r="I448" s="6" t="b">
        <f t="shared" ca="1" si="13"/>
        <v>1</v>
      </c>
      <c r="J448" s="7">
        <f ca="1">IFERROR(__xludf.dummyfunction("GOOGLEFINANCE(""NSE:""&amp;A336, ""changepct"")"),-0.11)</f>
        <v>-0.11</v>
      </c>
    </row>
    <row r="449" spans="1:10" ht="13.8">
      <c r="A449" s="5" t="s">
        <v>453</v>
      </c>
      <c r="B449" s="6">
        <f ca="1">IFERROR(__xludf.dummyfunction("GOOGLEFINANCE(""NSE:""&amp;A323, ""price"")"),664)</f>
        <v>664</v>
      </c>
      <c r="C449" s="6">
        <f ca="1">IFERROR(__xludf.dummyfunction("GOOGLEFINANCE(""NSE:""&amp;A323, ""priceopen"")"),669)</f>
        <v>669</v>
      </c>
      <c r="D449" s="6">
        <f ca="1">IFERROR(__xludf.dummyfunction("GOOGLEFINANCE(""NSE:""&amp;A323, ""high"")"),699)</f>
        <v>699</v>
      </c>
      <c r="E449" s="6">
        <f ca="1">IFERROR(__xludf.dummyfunction("GOOGLEFINANCE(""NSE:""&amp;A323, ""low"")"),659.65)</f>
        <v>659.65</v>
      </c>
      <c r="F449" s="6">
        <f ca="1">IFERROR(__xludf.dummyfunction("GOOGLEFINANCE(""NSE:""&amp;A323, ""closeyest"")"),664.05)</f>
        <v>664.05</v>
      </c>
      <c r="G449" s="6">
        <f ca="1">IFERROR(__xludf.dummyfunction("GOOGLEFINANCE(""NSE:""&amp;A323, ""volume"")"),37115)</f>
        <v>37115</v>
      </c>
      <c r="H449" s="6" t="b">
        <f t="shared" ref="H449:H501" ca="1" si="14">C449=E449</f>
        <v>0</v>
      </c>
      <c r="I449" s="6" t="b">
        <f t="shared" ref="I449:I501" ca="1" si="15">D449=C449</f>
        <v>0</v>
      </c>
      <c r="J449" s="7">
        <f ca="1">IFERROR(__xludf.dummyfunction("GOOGLEFINANCE(""NSE:""&amp;A323, ""changepct"")"),-0.01)</f>
        <v>-0.01</v>
      </c>
    </row>
    <row r="450" spans="1:10" ht="13.8">
      <c r="A450" s="5" t="s">
        <v>454</v>
      </c>
      <c r="B450" s="6">
        <f ca="1">IFERROR(__xludf.dummyfunction("GOOGLEFINANCE(""NSE:""&amp;A454, ""price"")"),18765)</f>
        <v>18765</v>
      </c>
      <c r="C450" s="6">
        <f ca="1">IFERROR(__xludf.dummyfunction("GOOGLEFINANCE(""NSE:""&amp;A454, ""priceopen"")"),19130)</f>
        <v>19130</v>
      </c>
      <c r="D450" s="6">
        <f ca="1">IFERROR(__xludf.dummyfunction("GOOGLEFINANCE(""NSE:""&amp;A454, ""high"")"),19190)</f>
        <v>19190</v>
      </c>
      <c r="E450" s="6">
        <f ca="1">IFERROR(__xludf.dummyfunction("GOOGLEFINANCE(""NSE:""&amp;A454, ""low"")"),18710)</f>
        <v>18710</v>
      </c>
      <c r="F450" s="6">
        <f ca="1">IFERROR(__xludf.dummyfunction("GOOGLEFINANCE(""NSE:""&amp;A454, ""closeyest"")"),19011.85)</f>
        <v>19011.849999999999</v>
      </c>
      <c r="G450" s="6">
        <f ca="1">IFERROR(__xludf.dummyfunction("GOOGLEFINANCE(""NSE:""&amp;A454, ""volume"")"),36590)</f>
        <v>36590</v>
      </c>
      <c r="H450" s="6" t="b">
        <f t="shared" ca="1" si="14"/>
        <v>0</v>
      </c>
      <c r="I450" s="6" t="b">
        <f t="shared" ca="1" si="15"/>
        <v>0</v>
      </c>
      <c r="J450" s="7">
        <f ca="1">IFERROR(__xludf.dummyfunction("GOOGLEFINANCE(""NSE:""&amp;A454, ""changepct"")"),-1.3)</f>
        <v>-1.3</v>
      </c>
    </row>
    <row r="451" spans="1:10" ht="13.8">
      <c r="A451" s="5" t="s">
        <v>455</v>
      </c>
      <c r="B451" s="6">
        <f ca="1">IFERROR(__xludf.dummyfunction("GOOGLEFINANCE(""NSE:""&amp;A290, ""price"")"),451)</f>
        <v>451</v>
      </c>
      <c r="C451" s="6">
        <f ca="1">IFERROR(__xludf.dummyfunction("GOOGLEFINANCE(""NSE:""&amp;A290, ""priceopen"")"),455)</f>
        <v>455</v>
      </c>
      <c r="D451" s="6">
        <f ca="1">IFERROR(__xludf.dummyfunction("GOOGLEFINANCE(""NSE:""&amp;A290, ""high"")"),460.85)</f>
        <v>460.85</v>
      </c>
      <c r="E451" s="6">
        <f ca="1">IFERROR(__xludf.dummyfunction("GOOGLEFINANCE(""NSE:""&amp;A290, ""low"")"),450.05)</f>
        <v>450.05</v>
      </c>
      <c r="F451" s="6">
        <f ca="1">IFERROR(__xludf.dummyfunction("GOOGLEFINANCE(""NSE:""&amp;A290, ""closeyest"")"),449.65)</f>
        <v>449.65</v>
      </c>
      <c r="G451" s="6">
        <f ca="1">IFERROR(__xludf.dummyfunction("GOOGLEFINANCE(""NSE:""&amp;A290, ""volume"")"),36546)</f>
        <v>36546</v>
      </c>
      <c r="H451" s="6" t="b">
        <f t="shared" ca="1" si="14"/>
        <v>0</v>
      </c>
      <c r="I451" s="6" t="b">
        <f t="shared" ca="1" si="15"/>
        <v>0</v>
      </c>
      <c r="J451" s="7">
        <f ca="1">IFERROR(__xludf.dummyfunction("GOOGLEFINANCE(""NSE:""&amp;A290, ""changepct"")"),0.3)</f>
        <v>0.3</v>
      </c>
    </row>
    <row r="452" spans="1:10" ht="13.8">
      <c r="A452" s="5" t="s">
        <v>456</v>
      </c>
      <c r="B452" s="6">
        <f ca="1">IFERROR(__xludf.dummyfunction("GOOGLEFINANCE(""NSE:""&amp;A366, ""price"")"),172)</f>
        <v>172</v>
      </c>
      <c r="C452" s="6">
        <f ca="1">IFERROR(__xludf.dummyfunction("GOOGLEFINANCE(""NSE:""&amp;A366, ""priceopen"")"),171.2)</f>
        <v>171.2</v>
      </c>
      <c r="D452" s="6">
        <f ca="1">IFERROR(__xludf.dummyfunction("GOOGLEFINANCE(""NSE:""&amp;A366, ""high"")"),173)</f>
        <v>173</v>
      </c>
      <c r="E452" s="6">
        <f ca="1">IFERROR(__xludf.dummyfunction("GOOGLEFINANCE(""NSE:""&amp;A366, ""low"")"),170.25)</f>
        <v>170.25</v>
      </c>
      <c r="F452" s="6">
        <f ca="1">IFERROR(__xludf.dummyfunction("GOOGLEFINANCE(""NSE:""&amp;A366, ""closeyest"")"),172.65)</f>
        <v>172.65</v>
      </c>
      <c r="G452" s="6">
        <f ca="1">IFERROR(__xludf.dummyfunction("GOOGLEFINANCE(""NSE:""&amp;A366, ""volume"")"),34532)</f>
        <v>34532</v>
      </c>
      <c r="H452" s="6" t="b">
        <f t="shared" ca="1" si="14"/>
        <v>0</v>
      </c>
      <c r="I452" s="6" t="b">
        <f t="shared" ca="1" si="15"/>
        <v>0</v>
      </c>
      <c r="J452" s="7">
        <f ca="1">IFERROR(__xludf.dummyfunction("GOOGLEFINANCE(""NSE:""&amp;A366, ""changepct"")"),-0.38)</f>
        <v>-0.38</v>
      </c>
    </row>
    <row r="453" spans="1:10" ht="13.8">
      <c r="A453" s="5" t="s">
        <v>457</v>
      </c>
      <c r="B453" s="6">
        <f ca="1">IFERROR(__xludf.dummyfunction("GOOGLEFINANCE(""NSE:""&amp;A235, ""price"")"),777)</f>
        <v>777</v>
      </c>
      <c r="C453" s="6">
        <f ca="1">IFERROR(__xludf.dummyfunction("GOOGLEFINANCE(""NSE:""&amp;A235, ""priceopen"")"),778.8)</f>
        <v>778.8</v>
      </c>
      <c r="D453" s="6">
        <f ca="1">IFERROR(__xludf.dummyfunction("GOOGLEFINANCE(""NSE:""&amp;A235, ""high"")"),790)</f>
        <v>790</v>
      </c>
      <c r="E453" s="6">
        <f ca="1">IFERROR(__xludf.dummyfunction("GOOGLEFINANCE(""NSE:""&amp;A235, ""low"")"),772.4)</f>
        <v>772.4</v>
      </c>
      <c r="F453" s="6">
        <f ca="1">IFERROR(__xludf.dummyfunction("GOOGLEFINANCE(""NSE:""&amp;A235, ""closeyest"")"),769.4)</f>
        <v>769.4</v>
      </c>
      <c r="G453" s="6">
        <f ca="1">IFERROR(__xludf.dummyfunction("GOOGLEFINANCE(""NSE:""&amp;A235, ""volume"")"),33880)</f>
        <v>33880</v>
      </c>
      <c r="H453" s="6" t="b">
        <f t="shared" ca="1" si="14"/>
        <v>0</v>
      </c>
      <c r="I453" s="6" t="b">
        <f t="shared" ca="1" si="15"/>
        <v>0</v>
      </c>
      <c r="J453" s="7">
        <f ca="1">IFERROR(__xludf.dummyfunction("GOOGLEFINANCE(""NSE:""&amp;A235, ""changepct"")"),0.99)</f>
        <v>0.99</v>
      </c>
    </row>
    <row r="454" spans="1:10" ht="13.8">
      <c r="A454" s="5" t="s">
        <v>458</v>
      </c>
      <c r="B454" s="6">
        <f ca="1">IFERROR(__xludf.dummyfunction("GOOGLEFINANCE(""NSE:""&amp;A288, ""price"")"),2709.95)</f>
        <v>2709.95</v>
      </c>
      <c r="C454" s="6">
        <f ca="1">IFERROR(__xludf.dummyfunction("GOOGLEFINANCE(""NSE:""&amp;A288, ""priceopen"")"),2733)</f>
        <v>2733</v>
      </c>
      <c r="D454" s="6">
        <f ca="1">IFERROR(__xludf.dummyfunction("GOOGLEFINANCE(""NSE:""&amp;A288, ""high"")"),2762.95)</f>
        <v>2762.95</v>
      </c>
      <c r="E454" s="6">
        <f ca="1">IFERROR(__xludf.dummyfunction("GOOGLEFINANCE(""NSE:""&amp;A288, ""low"")"),2700)</f>
        <v>2700</v>
      </c>
      <c r="F454" s="6">
        <f ca="1">IFERROR(__xludf.dummyfunction("GOOGLEFINANCE(""NSE:""&amp;A288, ""closeyest"")"),2701.05)</f>
        <v>2701.05</v>
      </c>
      <c r="G454" s="6">
        <f ca="1">IFERROR(__xludf.dummyfunction("GOOGLEFINANCE(""NSE:""&amp;A288, ""volume"")"),33610)</f>
        <v>33610</v>
      </c>
      <c r="H454" s="6" t="b">
        <f t="shared" ca="1" si="14"/>
        <v>0</v>
      </c>
      <c r="I454" s="6" t="b">
        <f t="shared" ca="1" si="15"/>
        <v>0</v>
      </c>
      <c r="J454" s="7">
        <f ca="1">IFERROR(__xludf.dummyfunction("GOOGLEFINANCE(""NSE:""&amp;A288, ""changepct"")"),0.33)</f>
        <v>0.33</v>
      </c>
    </row>
    <row r="455" spans="1:10" ht="13.8">
      <c r="A455" s="5" t="s">
        <v>459</v>
      </c>
      <c r="B455" s="6">
        <f ca="1">IFERROR(__xludf.dummyfunction("GOOGLEFINANCE(""NSE:""&amp;A449, ""price"")"),2066)</f>
        <v>2066</v>
      </c>
      <c r="C455" s="6">
        <f ca="1">IFERROR(__xludf.dummyfunction("GOOGLEFINANCE(""NSE:""&amp;A449, ""priceopen"")"),2091.5)</f>
        <v>2091.5</v>
      </c>
      <c r="D455" s="6">
        <f ca="1">IFERROR(__xludf.dummyfunction("GOOGLEFINANCE(""NSE:""&amp;A449, ""high"")"),2116.15)</f>
        <v>2116.15</v>
      </c>
      <c r="E455" s="6">
        <f ca="1">IFERROR(__xludf.dummyfunction("GOOGLEFINANCE(""NSE:""&amp;A449, ""low"")"),2060)</f>
        <v>2060</v>
      </c>
      <c r="F455" s="6">
        <f ca="1">IFERROR(__xludf.dummyfunction("GOOGLEFINANCE(""NSE:""&amp;A449, ""closeyest"")"),2091.5)</f>
        <v>2091.5</v>
      </c>
      <c r="G455" s="6">
        <f ca="1">IFERROR(__xludf.dummyfunction("GOOGLEFINANCE(""NSE:""&amp;A449, ""volume"")"),33414)</f>
        <v>33414</v>
      </c>
      <c r="H455" s="6" t="b">
        <f t="shared" ca="1" si="14"/>
        <v>0</v>
      </c>
      <c r="I455" s="6" t="b">
        <f t="shared" ca="1" si="15"/>
        <v>0</v>
      </c>
      <c r="J455" s="7">
        <f ca="1">IFERROR(__xludf.dummyfunction("GOOGLEFINANCE(""NSE:""&amp;A449, ""changepct"")"),-1.22)</f>
        <v>-1.22</v>
      </c>
    </row>
    <row r="456" spans="1:10" ht="13.8">
      <c r="A456" s="5" t="s">
        <v>460</v>
      </c>
      <c r="B456" s="6">
        <f ca="1">IFERROR(__xludf.dummyfunction("GOOGLEFINANCE(""NSE:""&amp;A224, ""price"")"),689)</f>
        <v>689</v>
      </c>
      <c r="C456" s="6">
        <f ca="1">IFERROR(__xludf.dummyfunction("GOOGLEFINANCE(""NSE:""&amp;A224, ""priceopen"")"),682.1)</f>
        <v>682.1</v>
      </c>
      <c r="D456" s="6">
        <f ca="1">IFERROR(__xludf.dummyfunction("GOOGLEFINANCE(""NSE:""&amp;A224, ""high"")"),704.95)</f>
        <v>704.95</v>
      </c>
      <c r="E456" s="6">
        <f ca="1">IFERROR(__xludf.dummyfunction("GOOGLEFINANCE(""NSE:""&amp;A224, ""low"")"),679.55)</f>
        <v>679.55</v>
      </c>
      <c r="F456" s="6">
        <f ca="1">IFERROR(__xludf.dummyfunction("GOOGLEFINANCE(""NSE:""&amp;A224, ""closeyest"")"),681.55)</f>
        <v>681.55</v>
      </c>
      <c r="G456" s="6">
        <f ca="1">IFERROR(__xludf.dummyfunction("GOOGLEFINANCE(""NSE:""&amp;A224, ""volume"")"),33290)</f>
        <v>33290</v>
      </c>
      <c r="H456" s="6" t="b">
        <f t="shared" ca="1" si="14"/>
        <v>0</v>
      </c>
      <c r="I456" s="6" t="b">
        <f t="shared" ca="1" si="15"/>
        <v>0</v>
      </c>
      <c r="J456" s="7">
        <f ca="1">IFERROR(__xludf.dummyfunction("GOOGLEFINANCE(""NSE:""&amp;A224, ""changepct"")"),1.09)</f>
        <v>1.0900000000000001</v>
      </c>
    </row>
    <row r="457" spans="1:10" ht="13.8">
      <c r="A457" s="5" t="s">
        <v>461</v>
      </c>
      <c r="B457" s="6">
        <f ca="1">IFERROR(__xludf.dummyfunction("GOOGLEFINANCE(""NSE:""&amp;A244, ""price"")"),1745)</f>
        <v>1745</v>
      </c>
      <c r="C457" s="6">
        <f ca="1">IFERROR(__xludf.dummyfunction("GOOGLEFINANCE(""NSE:""&amp;A244, ""priceopen"")"),1748.5)</f>
        <v>1748.5</v>
      </c>
      <c r="D457" s="6">
        <f ca="1">IFERROR(__xludf.dummyfunction("GOOGLEFINANCE(""NSE:""&amp;A244, ""high"")"),1765)</f>
        <v>1765</v>
      </c>
      <c r="E457" s="6">
        <f ca="1">IFERROR(__xludf.dummyfunction("GOOGLEFINANCE(""NSE:""&amp;A244, ""low"")"),1735.55)</f>
        <v>1735.55</v>
      </c>
      <c r="F457" s="6">
        <f ca="1">IFERROR(__xludf.dummyfunction("GOOGLEFINANCE(""NSE:""&amp;A244, ""closeyest"")"),1730.2)</f>
        <v>1730.2</v>
      </c>
      <c r="G457" s="6">
        <f ca="1">IFERROR(__xludf.dummyfunction("GOOGLEFINANCE(""NSE:""&amp;A244, ""volume"")"),33239)</f>
        <v>33239</v>
      </c>
      <c r="H457" s="6" t="b">
        <f t="shared" ca="1" si="14"/>
        <v>0</v>
      </c>
      <c r="I457" s="6" t="b">
        <f t="shared" ca="1" si="15"/>
        <v>0</v>
      </c>
      <c r="J457" s="7">
        <f ca="1">IFERROR(__xludf.dummyfunction("GOOGLEFINANCE(""NSE:""&amp;A244, ""changepct"")"),0.86)</f>
        <v>0.86</v>
      </c>
    </row>
    <row r="458" spans="1:10" ht="13.8">
      <c r="A458" s="5" t="s">
        <v>462</v>
      </c>
      <c r="B458" s="6">
        <f ca="1">IFERROR(__xludf.dummyfunction("GOOGLEFINANCE(""NSE:""&amp;A402, ""price"")"),1302)</f>
        <v>1302</v>
      </c>
      <c r="C458" s="6">
        <f ca="1">IFERROR(__xludf.dummyfunction("GOOGLEFINANCE(""NSE:""&amp;A402, ""priceopen"")"),1334)</f>
        <v>1334</v>
      </c>
      <c r="D458" s="6">
        <f ca="1">IFERROR(__xludf.dummyfunction("GOOGLEFINANCE(""NSE:""&amp;A402, ""high"")"),1334)</f>
        <v>1334</v>
      </c>
      <c r="E458" s="6">
        <f ca="1">IFERROR(__xludf.dummyfunction("GOOGLEFINANCE(""NSE:""&amp;A402, ""low"")"),1290.1)</f>
        <v>1290.0999999999999</v>
      </c>
      <c r="F458" s="6">
        <f ca="1">IFERROR(__xludf.dummyfunction("GOOGLEFINANCE(""NSE:""&amp;A402, ""closeyest"")"),1311.4)</f>
        <v>1311.4</v>
      </c>
      <c r="G458" s="6">
        <f ca="1">IFERROR(__xludf.dummyfunction("GOOGLEFINANCE(""NSE:""&amp;A402, ""volume"")"),32316)</f>
        <v>32316</v>
      </c>
      <c r="H458" s="6" t="b">
        <f t="shared" ca="1" si="14"/>
        <v>0</v>
      </c>
      <c r="I458" s="6" t="b">
        <f t="shared" ca="1" si="15"/>
        <v>1</v>
      </c>
      <c r="J458" s="7">
        <f ca="1">IFERROR(__xludf.dummyfunction("GOOGLEFINANCE(""NSE:""&amp;A402, ""changepct"")"),-0.72)</f>
        <v>-0.72</v>
      </c>
    </row>
    <row r="459" spans="1:10" ht="13.8">
      <c r="A459" s="5" t="s">
        <v>463</v>
      </c>
      <c r="B459" s="6">
        <f ca="1">IFERROR(__xludf.dummyfunction("GOOGLEFINANCE(""NSE:""&amp;A11, ""price"")"),11170)</f>
        <v>11170</v>
      </c>
      <c r="C459" s="6">
        <f ca="1">IFERROR(__xludf.dummyfunction("GOOGLEFINANCE(""NSE:""&amp;A11, ""priceopen"")"),10103)</f>
        <v>10103</v>
      </c>
      <c r="D459" s="6">
        <f ca="1">IFERROR(__xludf.dummyfunction("GOOGLEFINANCE(""NSE:""&amp;A11, ""high"")"),11199)</f>
        <v>11199</v>
      </c>
      <c r="E459" s="6">
        <f ca="1">IFERROR(__xludf.dummyfunction("GOOGLEFINANCE(""NSE:""&amp;A11, ""low"")"),10100)</f>
        <v>10100</v>
      </c>
      <c r="F459" s="6">
        <f ca="1">IFERROR(__xludf.dummyfunction("GOOGLEFINANCE(""NSE:""&amp;A11, ""closeyest"")"),10026.7)</f>
        <v>10026.700000000001</v>
      </c>
      <c r="G459" s="6">
        <f ca="1">IFERROR(__xludf.dummyfunction("GOOGLEFINANCE(""NSE:""&amp;A11, ""volume"")"),30965)</f>
        <v>30965</v>
      </c>
      <c r="H459" s="6" t="b">
        <f t="shared" ca="1" si="14"/>
        <v>0</v>
      </c>
      <c r="I459" s="6" t="b">
        <f t="shared" ca="1" si="15"/>
        <v>0</v>
      </c>
      <c r="J459" s="7">
        <f ca="1">IFERROR(__xludf.dummyfunction("GOOGLEFINANCE(""NSE:""&amp;A11, ""changepct"")"),11.4)</f>
        <v>11.4</v>
      </c>
    </row>
    <row r="460" spans="1:10" ht="13.8">
      <c r="A460" s="5" t="s">
        <v>464</v>
      </c>
      <c r="B460" s="6">
        <f ca="1">IFERROR(__xludf.dummyfunction("GOOGLEFINANCE(""NSE:""&amp;A80, ""price"")"),350)</f>
        <v>350</v>
      </c>
      <c r="C460" s="6">
        <f ca="1">IFERROR(__xludf.dummyfunction("GOOGLEFINANCE(""NSE:""&amp;A80, ""priceopen"")"),336)</f>
        <v>336</v>
      </c>
      <c r="D460" s="6">
        <f ca="1">IFERROR(__xludf.dummyfunction("GOOGLEFINANCE(""NSE:""&amp;A80, ""high"")"),350)</f>
        <v>350</v>
      </c>
      <c r="E460" s="6">
        <f ca="1">IFERROR(__xludf.dummyfunction("GOOGLEFINANCE(""NSE:""&amp;A80, ""low"")"),336)</f>
        <v>336</v>
      </c>
      <c r="F460" s="6">
        <f ca="1">IFERROR(__xludf.dummyfunction("GOOGLEFINANCE(""NSE:""&amp;A80, ""closeyest"")"),336.4)</f>
        <v>336.4</v>
      </c>
      <c r="G460" s="6">
        <f ca="1">IFERROR(__xludf.dummyfunction("GOOGLEFINANCE(""NSE:""&amp;A80, ""volume"")"),28393)</f>
        <v>28393</v>
      </c>
      <c r="H460" s="6" t="b">
        <f t="shared" ca="1" si="14"/>
        <v>1</v>
      </c>
      <c r="I460" s="6" t="b">
        <f t="shared" ca="1" si="15"/>
        <v>0</v>
      </c>
      <c r="J460" s="7">
        <f ca="1">IFERROR(__xludf.dummyfunction("GOOGLEFINANCE(""NSE:""&amp;A80, ""changepct"")"),4.04)</f>
        <v>4.04</v>
      </c>
    </row>
    <row r="461" spans="1:10" ht="13.8">
      <c r="A461" s="5" t="s">
        <v>465</v>
      </c>
      <c r="B461" s="6">
        <f ca="1">IFERROR(__xludf.dummyfunction("GOOGLEFINANCE(""NSE:""&amp;A337, ""price"")"),167.5)</f>
        <v>167.5</v>
      </c>
      <c r="C461" s="6">
        <f ca="1">IFERROR(__xludf.dummyfunction("GOOGLEFINANCE(""NSE:""&amp;A337, ""priceopen"")"),168)</f>
        <v>168</v>
      </c>
      <c r="D461" s="6">
        <f ca="1">IFERROR(__xludf.dummyfunction("GOOGLEFINANCE(""NSE:""&amp;A337, ""high"")"),172.35)</f>
        <v>172.35</v>
      </c>
      <c r="E461" s="6">
        <f ca="1">IFERROR(__xludf.dummyfunction("GOOGLEFINANCE(""NSE:""&amp;A337, ""low"")"),166.9)</f>
        <v>166.9</v>
      </c>
      <c r="F461" s="6">
        <f ca="1">IFERROR(__xludf.dummyfunction("GOOGLEFINANCE(""NSE:""&amp;A337, ""closeyest"")"),167.7)</f>
        <v>167.7</v>
      </c>
      <c r="G461" s="6">
        <f ca="1">IFERROR(__xludf.dummyfunction("GOOGLEFINANCE(""NSE:""&amp;A337, ""volume"")"),26872)</f>
        <v>26872</v>
      </c>
      <c r="H461" s="6" t="b">
        <f t="shared" ca="1" si="14"/>
        <v>0</v>
      </c>
      <c r="I461" s="6" t="b">
        <f t="shared" ca="1" si="15"/>
        <v>0</v>
      </c>
      <c r="J461" s="7">
        <f ca="1">IFERROR(__xludf.dummyfunction("GOOGLEFINANCE(""NSE:""&amp;A337, ""changepct"")"),-0.12)</f>
        <v>-0.12</v>
      </c>
    </row>
    <row r="462" spans="1:10" ht="13.8">
      <c r="A462" s="5" t="s">
        <v>466</v>
      </c>
      <c r="B462" s="6">
        <f ca="1">IFERROR(__xludf.dummyfunction("GOOGLEFINANCE(""NSE:""&amp;A264, ""price"")"),2075)</f>
        <v>2075</v>
      </c>
      <c r="C462" s="6">
        <f ca="1">IFERROR(__xludf.dummyfunction("GOOGLEFINANCE(""NSE:""&amp;A264, ""priceopen"")"),2084.95)</f>
        <v>2084.9499999999998</v>
      </c>
      <c r="D462" s="6">
        <f ca="1">IFERROR(__xludf.dummyfunction("GOOGLEFINANCE(""NSE:""&amp;A264, ""high"")"),2095)</f>
        <v>2095</v>
      </c>
      <c r="E462" s="6">
        <f ca="1">IFERROR(__xludf.dummyfunction("GOOGLEFINANCE(""NSE:""&amp;A264, ""low"")"),2063.1)</f>
        <v>2063.1</v>
      </c>
      <c r="F462" s="6">
        <f ca="1">IFERROR(__xludf.dummyfunction("GOOGLEFINANCE(""NSE:""&amp;A264, ""closeyest"")"),2063.1)</f>
        <v>2063.1</v>
      </c>
      <c r="G462" s="6">
        <f ca="1">IFERROR(__xludf.dummyfunction("GOOGLEFINANCE(""NSE:""&amp;A264, ""volume"")"),26460)</f>
        <v>26460</v>
      </c>
      <c r="H462" s="6" t="b">
        <f t="shared" ca="1" si="14"/>
        <v>0</v>
      </c>
      <c r="I462" s="6" t="b">
        <f t="shared" ca="1" si="15"/>
        <v>0</v>
      </c>
      <c r="J462" s="7">
        <f ca="1">IFERROR(__xludf.dummyfunction("GOOGLEFINANCE(""NSE:""&amp;A264, ""changepct"")"),0.58)</f>
        <v>0.57999999999999996</v>
      </c>
    </row>
    <row r="463" spans="1:10" ht="13.8">
      <c r="A463" s="5" t="s">
        <v>467</v>
      </c>
      <c r="B463" s="6">
        <f ca="1">IFERROR(__xludf.dummyfunction("GOOGLEFINANCE(""NSE:""&amp;A144, ""price"")"),1247.9)</f>
        <v>1247.9000000000001</v>
      </c>
      <c r="C463" s="6">
        <f ca="1">IFERROR(__xludf.dummyfunction("GOOGLEFINANCE(""NSE:""&amp;A144, ""priceopen"")"),1226.85)</f>
        <v>1226.8499999999999</v>
      </c>
      <c r="D463" s="6">
        <f ca="1">IFERROR(__xludf.dummyfunction("GOOGLEFINANCE(""NSE:""&amp;A144, ""high"")"),1265)</f>
        <v>1265</v>
      </c>
      <c r="E463" s="6">
        <f ca="1">IFERROR(__xludf.dummyfunction("GOOGLEFINANCE(""NSE:""&amp;A144, ""low"")"),1196)</f>
        <v>1196</v>
      </c>
      <c r="F463" s="6">
        <f ca="1">IFERROR(__xludf.dummyfunction("GOOGLEFINANCE(""NSE:""&amp;A144, ""closeyest"")"),1220.75)</f>
        <v>1220.75</v>
      </c>
      <c r="G463" s="6">
        <f ca="1">IFERROR(__xludf.dummyfunction("GOOGLEFINANCE(""NSE:""&amp;A144, ""volume"")"),25400)</f>
        <v>25400</v>
      </c>
      <c r="H463" s="6" t="b">
        <f t="shared" ca="1" si="14"/>
        <v>0</v>
      </c>
      <c r="I463" s="6" t="b">
        <f t="shared" ca="1" si="15"/>
        <v>0</v>
      </c>
      <c r="J463" s="7">
        <f ca="1">IFERROR(__xludf.dummyfunction("GOOGLEFINANCE(""NSE:""&amp;A144, ""changepct"")"),2.22)</f>
        <v>2.2200000000000002</v>
      </c>
    </row>
    <row r="464" spans="1:10" ht="13.8">
      <c r="A464" s="5" t="s">
        <v>468</v>
      </c>
      <c r="B464" s="6">
        <f ca="1">IFERROR(__xludf.dummyfunction("GOOGLEFINANCE(""NSE:""&amp;A353, ""price"")"),1691)</f>
        <v>1691</v>
      </c>
      <c r="C464" s="6">
        <f ca="1">IFERROR(__xludf.dummyfunction("GOOGLEFINANCE(""NSE:""&amp;A353, ""priceopen"")"),1718)</f>
        <v>1718</v>
      </c>
      <c r="D464" s="6">
        <f ca="1">IFERROR(__xludf.dummyfunction("GOOGLEFINANCE(""NSE:""&amp;A353, ""high"")"),1721)</f>
        <v>1721</v>
      </c>
      <c r="E464" s="6">
        <f ca="1">IFERROR(__xludf.dummyfunction("GOOGLEFINANCE(""NSE:""&amp;A353, ""low"")"),1670)</f>
        <v>1670</v>
      </c>
      <c r="F464" s="6">
        <f ca="1">IFERROR(__xludf.dummyfunction("GOOGLEFINANCE(""NSE:""&amp;A353, ""closeyest"")"),1695.45)</f>
        <v>1695.45</v>
      </c>
      <c r="G464" s="6">
        <f ca="1">IFERROR(__xludf.dummyfunction("GOOGLEFINANCE(""NSE:""&amp;A353, ""volume"")"),24715)</f>
        <v>24715</v>
      </c>
      <c r="H464" s="6" t="b">
        <f t="shared" ca="1" si="14"/>
        <v>0</v>
      </c>
      <c r="I464" s="6" t="b">
        <f t="shared" ca="1" si="15"/>
        <v>0</v>
      </c>
      <c r="J464" s="7">
        <f ca="1">IFERROR(__xludf.dummyfunction("GOOGLEFINANCE(""NSE:""&amp;A353, ""changepct"")"),-0.26)</f>
        <v>-0.26</v>
      </c>
    </row>
    <row r="465" spans="1:10" ht="13.8">
      <c r="A465" s="5" t="s">
        <v>469</v>
      </c>
      <c r="B465" s="6">
        <f ca="1">IFERROR(__xludf.dummyfunction("GOOGLEFINANCE(""NSE:""&amp;A386, ""price"")"),227.8)</f>
        <v>227.8</v>
      </c>
      <c r="C465" s="6">
        <f ca="1">IFERROR(__xludf.dummyfunction("GOOGLEFINANCE(""NSE:""&amp;A386, ""priceopen"")"),231)</f>
        <v>231</v>
      </c>
      <c r="D465" s="6">
        <f ca="1">IFERROR(__xludf.dummyfunction("GOOGLEFINANCE(""NSE:""&amp;A386, ""high"")"),235.75)</f>
        <v>235.75</v>
      </c>
      <c r="E465" s="6">
        <f ca="1">IFERROR(__xludf.dummyfunction("GOOGLEFINANCE(""NSE:""&amp;A386, ""low"")"),226.25)</f>
        <v>226.25</v>
      </c>
      <c r="F465" s="6">
        <f ca="1">IFERROR(__xludf.dummyfunction("GOOGLEFINANCE(""NSE:""&amp;A386, ""closeyest"")"),229.05)</f>
        <v>229.05</v>
      </c>
      <c r="G465" s="6">
        <f ca="1">IFERROR(__xludf.dummyfunction("GOOGLEFINANCE(""NSE:""&amp;A386, ""volume"")"),24449)</f>
        <v>24449</v>
      </c>
      <c r="H465" s="6" t="b">
        <f t="shared" ca="1" si="14"/>
        <v>0</v>
      </c>
      <c r="I465" s="6" t="b">
        <f t="shared" ca="1" si="15"/>
        <v>0</v>
      </c>
      <c r="J465" s="7">
        <f ca="1">IFERROR(__xludf.dummyfunction("GOOGLEFINANCE(""NSE:""&amp;A386, ""changepct"")"),-0.55)</f>
        <v>-0.55000000000000004</v>
      </c>
    </row>
    <row r="466" spans="1:10" ht="13.8">
      <c r="A466" s="5" t="s">
        <v>470</v>
      </c>
      <c r="B466" s="6">
        <f ca="1">IFERROR(__xludf.dummyfunction("GOOGLEFINANCE(""NSE:""&amp;A189, ""price"")"),1482.3)</f>
        <v>1482.3</v>
      </c>
      <c r="C466" s="6">
        <f ca="1">IFERROR(__xludf.dummyfunction("GOOGLEFINANCE(""NSE:""&amp;A189, ""priceopen"")"),1470)</f>
        <v>1470</v>
      </c>
      <c r="D466" s="6">
        <f ca="1">IFERROR(__xludf.dummyfunction("GOOGLEFINANCE(""NSE:""&amp;A189, ""high"")"),1487.95)</f>
        <v>1487.95</v>
      </c>
      <c r="E466" s="6">
        <f ca="1">IFERROR(__xludf.dummyfunction("GOOGLEFINANCE(""NSE:""&amp;A189, ""low"")"),1465)</f>
        <v>1465</v>
      </c>
      <c r="F466" s="6">
        <f ca="1">IFERROR(__xludf.dummyfunction("GOOGLEFINANCE(""NSE:""&amp;A189, ""closeyest"")"),1459.1)</f>
        <v>1459.1</v>
      </c>
      <c r="G466" s="6">
        <f ca="1">IFERROR(__xludf.dummyfunction("GOOGLEFINANCE(""NSE:""&amp;A189, ""volume"")"),23397)</f>
        <v>23397</v>
      </c>
      <c r="H466" s="6" t="b">
        <f t="shared" ca="1" si="14"/>
        <v>0</v>
      </c>
      <c r="I466" s="6" t="b">
        <f t="shared" ca="1" si="15"/>
        <v>0</v>
      </c>
      <c r="J466" s="7">
        <f ca="1">IFERROR(__xludf.dummyfunction("GOOGLEFINANCE(""NSE:""&amp;A189, ""changepct"")"),1.59)</f>
        <v>1.59</v>
      </c>
    </row>
    <row r="467" spans="1:10" ht="13.8">
      <c r="A467" s="5" t="s">
        <v>471</v>
      </c>
      <c r="B467" s="6">
        <f ca="1">IFERROR(__xludf.dummyfunction("GOOGLEFINANCE(""NSE:""&amp;A327, ""price"")"),7000.05)</f>
        <v>7000.05</v>
      </c>
      <c r="C467" s="6">
        <f ca="1">IFERROR(__xludf.dummyfunction("GOOGLEFINANCE(""NSE:""&amp;A327, ""priceopen"")"),7018)</f>
        <v>7018</v>
      </c>
      <c r="D467" s="6">
        <f ca="1">IFERROR(__xludf.dummyfunction("GOOGLEFINANCE(""NSE:""&amp;A327, ""high"")"),7020.05)</f>
        <v>7020.05</v>
      </c>
      <c r="E467" s="6">
        <f ca="1">IFERROR(__xludf.dummyfunction("GOOGLEFINANCE(""NSE:""&amp;A327, ""low"")"),7000.05)</f>
        <v>7000.05</v>
      </c>
      <c r="F467" s="6">
        <f ca="1">IFERROR(__xludf.dummyfunction("GOOGLEFINANCE(""NSE:""&amp;A327, ""closeyest"")"),7002.15)</f>
        <v>7002.15</v>
      </c>
      <c r="G467" s="6">
        <f ca="1">IFERROR(__xludf.dummyfunction("GOOGLEFINANCE(""NSE:""&amp;A327, ""volume"")"),22607)</f>
        <v>22607</v>
      </c>
      <c r="H467" s="6" t="b">
        <f t="shared" ca="1" si="14"/>
        <v>0</v>
      </c>
      <c r="I467" s="6" t="b">
        <f t="shared" ca="1" si="15"/>
        <v>0</v>
      </c>
      <c r="J467" s="7">
        <f ca="1">IFERROR(__xludf.dummyfunction("GOOGLEFINANCE(""NSE:""&amp;A327, ""changepct"")"),-0.03)</f>
        <v>-0.03</v>
      </c>
    </row>
    <row r="468" spans="1:10" ht="13.8">
      <c r="A468" s="5" t="s">
        <v>472</v>
      </c>
      <c r="B468" s="6">
        <f ca="1">IFERROR(__xludf.dummyfunction("GOOGLEFINANCE(""NSE:""&amp;A150, ""price"")"),492.8)</f>
        <v>492.8</v>
      </c>
      <c r="C468" s="6">
        <f ca="1">IFERROR(__xludf.dummyfunction("GOOGLEFINANCE(""NSE:""&amp;A150, ""priceopen"")"),484.8)</f>
        <v>484.8</v>
      </c>
      <c r="D468" s="6">
        <f ca="1">IFERROR(__xludf.dummyfunction("GOOGLEFINANCE(""NSE:""&amp;A150, ""high"")"),497.35)</f>
        <v>497.35</v>
      </c>
      <c r="E468" s="6">
        <f ca="1">IFERROR(__xludf.dummyfunction("GOOGLEFINANCE(""NSE:""&amp;A150, ""low"")"),484)</f>
        <v>484</v>
      </c>
      <c r="F468" s="6">
        <f ca="1">IFERROR(__xludf.dummyfunction("GOOGLEFINANCE(""NSE:""&amp;A150, ""closeyest"")"),482.55)</f>
        <v>482.55</v>
      </c>
      <c r="G468" s="6">
        <f ca="1">IFERROR(__xludf.dummyfunction("GOOGLEFINANCE(""NSE:""&amp;A150, ""volume"")"),20932)</f>
        <v>20932</v>
      </c>
      <c r="H468" s="6" t="b">
        <f t="shared" ca="1" si="14"/>
        <v>0</v>
      </c>
      <c r="I468" s="6" t="b">
        <f t="shared" ca="1" si="15"/>
        <v>0</v>
      </c>
      <c r="J468" s="7">
        <f ca="1">IFERROR(__xludf.dummyfunction("GOOGLEFINANCE(""NSE:""&amp;A150, ""changepct"")"),2.12)</f>
        <v>2.12</v>
      </c>
    </row>
    <row r="469" spans="1:10" ht="13.8">
      <c r="A469" s="5" t="s">
        <v>473</v>
      </c>
      <c r="B469" s="6">
        <f ca="1">IFERROR(__xludf.dummyfunction("GOOGLEFINANCE(""NSE:""&amp;A455, ""price"")"),1890)</f>
        <v>1890</v>
      </c>
      <c r="C469" s="6">
        <f ca="1">IFERROR(__xludf.dummyfunction("GOOGLEFINANCE(""NSE:""&amp;A455, ""priceopen"")"),1920)</f>
        <v>1920</v>
      </c>
      <c r="D469" s="6">
        <f ca="1">IFERROR(__xludf.dummyfunction("GOOGLEFINANCE(""NSE:""&amp;A455, ""high"")"),1959)</f>
        <v>1959</v>
      </c>
      <c r="E469" s="6">
        <f ca="1">IFERROR(__xludf.dummyfunction("GOOGLEFINANCE(""NSE:""&amp;A455, ""low"")"),1856)</f>
        <v>1856</v>
      </c>
      <c r="F469" s="6">
        <f ca="1">IFERROR(__xludf.dummyfunction("GOOGLEFINANCE(""NSE:""&amp;A455, ""closeyest"")"),1915.3)</f>
        <v>1915.3</v>
      </c>
      <c r="G469" s="6">
        <f ca="1">IFERROR(__xludf.dummyfunction("GOOGLEFINANCE(""NSE:""&amp;A455, ""volume"")"),20199)</f>
        <v>20199</v>
      </c>
      <c r="H469" s="6" t="b">
        <f t="shared" ca="1" si="14"/>
        <v>0</v>
      </c>
      <c r="I469" s="6" t="b">
        <f t="shared" ca="1" si="15"/>
        <v>0</v>
      </c>
      <c r="J469" s="7">
        <f ca="1">IFERROR(__xludf.dummyfunction("GOOGLEFINANCE(""NSE:""&amp;A455, ""changepct"")"),-1.32)</f>
        <v>-1.32</v>
      </c>
    </row>
    <row r="470" spans="1:10" ht="13.8">
      <c r="A470" s="5" t="s">
        <v>474</v>
      </c>
      <c r="B470" s="6">
        <f ca="1">IFERROR(__xludf.dummyfunction("GOOGLEFINANCE(""NSE:""&amp;A151, ""price"")"),525)</f>
        <v>525</v>
      </c>
      <c r="C470" s="6">
        <f ca="1">IFERROR(__xludf.dummyfunction("GOOGLEFINANCE(""NSE:""&amp;A151, ""priceopen"")"),520)</f>
        <v>520</v>
      </c>
      <c r="D470" s="6">
        <f ca="1">IFERROR(__xludf.dummyfunction("GOOGLEFINANCE(""NSE:""&amp;A151, ""high"")"),526)</f>
        <v>526</v>
      </c>
      <c r="E470" s="6">
        <f ca="1">IFERROR(__xludf.dummyfunction("GOOGLEFINANCE(""NSE:""&amp;A151, ""low"")"),511.85)</f>
        <v>511.85</v>
      </c>
      <c r="F470" s="6">
        <f ca="1">IFERROR(__xludf.dummyfunction("GOOGLEFINANCE(""NSE:""&amp;A151, ""closeyest"")"),514.1)</f>
        <v>514.1</v>
      </c>
      <c r="G470" s="6">
        <f ca="1">IFERROR(__xludf.dummyfunction("GOOGLEFINANCE(""NSE:""&amp;A151, ""volume"")"),19474)</f>
        <v>19474</v>
      </c>
      <c r="H470" s="6" t="b">
        <f t="shared" ca="1" si="14"/>
        <v>0</v>
      </c>
      <c r="I470" s="6" t="b">
        <f t="shared" ca="1" si="15"/>
        <v>0</v>
      </c>
      <c r="J470" s="7">
        <f ca="1">IFERROR(__xludf.dummyfunction("GOOGLEFINANCE(""NSE:""&amp;A151, ""changepct"")"),2.12)</f>
        <v>2.12</v>
      </c>
    </row>
    <row r="471" spans="1:10" ht="13.8">
      <c r="A471" s="5" t="s">
        <v>475</v>
      </c>
      <c r="B471" s="6">
        <f ca="1">IFERROR(__xludf.dummyfunction("GOOGLEFINANCE(""NSE:""&amp;A368, ""price"")"),204.45)</f>
        <v>204.45</v>
      </c>
      <c r="C471" s="6">
        <f ca="1">IFERROR(__xludf.dummyfunction("GOOGLEFINANCE(""NSE:""&amp;A368, ""priceopen"")"),205.65)</f>
        <v>205.65</v>
      </c>
      <c r="D471" s="6">
        <f ca="1">IFERROR(__xludf.dummyfunction("GOOGLEFINANCE(""NSE:""&amp;A368, ""high"")"),209.75)</f>
        <v>209.75</v>
      </c>
      <c r="E471" s="6">
        <f ca="1">IFERROR(__xludf.dummyfunction("GOOGLEFINANCE(""NSE:""&amp;A368, ""low"")"),202.7)</f>
        <v>202.7</v>
      </c>
      <c r="F471" s="6">
        <f ca="1">IFERROR(__xludf.dummyfunction("GOOGLEFINANCE(""NSE:""&amp;A368, ""closeyest"")"),205.25)</f>
        <v>205.25</v>
      </c>
      <c r="G471" s="6">
        <f ca="1">IFERROR(__xludf.dummyfunction("GOOGLEFINANCE(""NSE:""&amp;A368, ""volume"")"),18819)</f>
        <v>18819</v>
      </c>
      <c r="H471" s="6" t="b">
        <f t="shared" ca="1" si="14"/>
        <v>0</v>
      </c>
      <c r="I471" s="6" t="b">
        <f t="shared" ca="1" si="15"/>
        <v>0</v>
      </c>
      <c r="J471" s="7">
        <f ca="1">IFERROR(__xludf.dummyfunction("GOOGLEFINANCE(""NSE:""&amp;A368, ""changepct"")"),-0.39)</f>
        <v>-0.39</v>
      </c>
    </row>
    <row r="472" spans="1:10" ht="13.8">
      <c r="A472" s="5" t="s">
        <v>476</v>
      </c>
      <c r="B472" s="6">
        <f ca="1">IFERROR(__xludf.dummyfunction("GOOGLEFINANCE(""NSE:""&amp;A168, ""price"")"),500)</f>
        <v>500</v>
      </c>
      <c r="C472" s="6">
        <f ca="1">IFERROR(__xludf.dummyfunction("GOOGLEFINANCE(""NSE:""&amp;A168, ""priceopen"")"),491)</f>
        <v>491</v>
      </c>
      <c r="D472" s="6">
        <f ca="1">IFERROR(__xludf.dummyfunction("GOOGLEFINANCE(""NSE:""&amp;A168, ""high"")"),500)</f>
        <v>500</v>
      </c>
      <c r="E472" s="6">
        <f ca="1">IFERROR(__xludf.dummyfunction("GOOGLEFINANCE(""NSE:""&amp;A168, ""low"")"),489.15)</f>
        <v>489.15</v>
      </c>
      <c r="F472" s="6">
        <f ca="1">IFERROR(__xludf.dummyfunction("GOOGLEFINANCE(""NSE:""&amp;A168, ""closeyest"")"),490.85)</f>
        <v>490.85</v>
      </c>
      <c r="G472" s="6">
        <f ca="1">IFERROR(__xludf.dummyfunction("GOOGLEFINANCE(""NSE:""&amp;A168, ""volume"")"),18568)</f>
        <v>18568</v>
      </c>
      <c r="H472" s="6" t="b">
        <f t="shared" ca="1" si="14"/>
        <v>0</v>
      </c>
      <c r="I472" s="6" t="b">
        <f t="shared" ca="1" si="15"/>
        <v>0</v>
      </c>
      <c r="J472" s="7">
        <f ca="1">IFERROR(__xludf.dummyfunction("GOOGLEFINANCE(""NSE:""&amp;A168, ""changepct"")"),1.86)</f>
        <v>1.86</v>
      </c>
    </row>
    <row r="473" spans="1:10" ht="13.8">
      <c r="A473" s="5" t="s">
        <v>477</v>
      </c>
      <c r="B473" s="6">
        <f ca="1">IFERROR(__xludf.dummyfunction("GOOGLEFINANCE(""NSE:""&amp;A348, ""price"")"),846.7)</f>
        <v>846.7</v>
      </c>
      <c r="C473" s="6">
        <f ca="1">IFERROR(__xludf.dummyfunction("GOOGLEFINANCE(""NSE:""&amp;A348, ""priceopen"")"),848.5)</f>
        <v>848.5</v>
      </c>
      <c r="D473" s="6">
        <f ca="1">IFERROR(__xludf.dummyfunction("GOOGLEFINANCE(""NSE:""&amp;A348, ""high"")"),855.95)</f>
        <v>855.95</v>
      </c>
      <c r="E473" s="6">
        <f ca="1">IFERROR(__xludf.dummyfunction("GOOGLEFINANCE(""NSE:""&amp;A348, ""low"")"),840)</f>
        <v>840</v>
      </c>
      <c r="F473" s="6">
        <f ca="1">IFERROR(__xludf.dummyfunction("GOOGLEFINANCE(""NSE:""&amp;A348, ""closeyest"")"),848.5)</f>
        <v>848.5</v>
      </c>
      <c r="G473" s="6">
        <f ca="1">IFERROR(__xludf.dummyfunction("GOOGLEFINANCE(""NSE:""&amp;A348, ""volume"")"),17672)</f>
        <v>17672</v>
      </c>
      <c r="H473" s="6" t="b">
        <f t="shared" ca="1" si="14"/>
        <v>0</v>
      </c>
      <c r="I473" s="6" t="b">
        <f t="shared" ca="1" si="15"/>
        <v>0</v>
      </c>
      <c r="J473" s="7">
        <f ca="1">IFERROR(__xludf.dummyfunction("GOOGLEFINANCE(""NSE:""&amp;A348, ""changepct"")"),-0.21)</f>
        <v>-0.21</v>
      </c>
    </row>
    <row r="474" spans="1:10" ht="13.8">
      <c r="A474" s="5" t="s">
        <v>478</v>
      </c>
      <c r="B474" s="6">
        <f ca="1">IFERROR(__xludf.dummyfunction("GOOGLEFINANCE(""NSE:""&amp;A447, ""price"")"),624.15)</f>
        <v>624.15</v>
      </c>
      <c r="C474" s="6">
        <f ca="1">IFERROR(__xludf.dummyfunction("GOOGLEFINANCE(""NSE:""&amp;A447, ""priceopen"")"),633)</f>
        <v>633</v>
      </c>
      <c r="D474" s="6">
        <f ca="1">IFERROR(__xludf.dummyfunction("GOOGLEFINANCE(""NSE:""&amp;A447, ""high"")"),644)</f>
        <v>644</v>
      </c>
      <c r="E474" s="6">
        <f ca="1">IFERROR(__xludf.dummyfunction("GOOGLEFINANCE(""NSE:""&amp;A447, ""low"")"),620)</f>
        <v>620</v>
      </c>
      <c r="F474" s="6">
        <f ca="1">IFERROR(__xludf.dummyfunction("GOOGLEFINANCE(""NSE:""&amp;A447, ""closeyest"")"),631.8)</f>
        <v>631.79999999999995</v>
      </c>
      <c r="G474" s="6">
        <f ca="1">IFERROR(__xludf.dummyfunction("GOOGLEFINANCE(""NSE:""&amp;A447, ""volume"")"),17502)</f>
        <v>17502</v>
      </c>
      <c r="H474" s="6" t="b">
        <f t="shared" ca="1" si="14"/>
        <v>0</v>
      </c>
      <c r="I474" s="6" t="b">
        <f t="shared" ca="1" si="15"/>
        <v>0</v>
      </c>
      <c r="J474" s="7">
        <f ca="1">IFERROR(__xludf.dummyfunction("GOOGLEFINANCE(""NSE:""&amp;A447, ""changepct"")"),-1.21)</f>
        <v>-1.21</v>
      </c>
    </row>
    <row r="475" spans="1:10" ht="13.8">
      <c r="A475" s="5" t="s">
        <v>479</v>
      </c>
      <c r="B475" s="6">
        <f ca="1">IFERROR(__xludf.dummyfunction("GOOGLEFINANCE(""NSE:""&amp;A408, ""price"")"),3465)</f>
        <v>3465</v>
      </c>
      <c r="C475" s="6">
        <f ca="1">IFERROR(__xludf.dummyfunction("GOOGLEFINANCE(""NSE:""&amp;A408, ""priceopen"")"),3496.1)</f>
        <v>3496.1</v>
      </c>
      <c r="D475" s="6">
        <f ca="1">IFERROR(__xludf.dummyfunction("GOOGLEFINANCE(""NSE:""&amp;A408, ""high"")"),3521.55)</f>
        <v>3521.55</v>
      </c>
      <c r="E475" s="6">
        <f ca="1">IFERROR(__xludf.dummyfunction("GOOGLEFINANCE(""NSE:""&amp;A408, ""low"")"),3450.45)</f>
        <v>3450.45</v>
      </c>
      <c r="F475" s="6">
        <f ca="1">IFERROR(__xludf.dummyfunction("GOOGLEFINANCE(""NSE:""&amp;A408, ""closeyest"")"),3491.6)</f>
        <v>3491.6</v>
      </c>
      <c r="G475" s="6">
        <f ca="1">IFERROR(__xludf.dummyfunction("GOOGLEFINANCE(""NSE:""&amp;A408, ""volume"")"),17438)</f>
        <v>17438</v>
      </c>
      <c r="H475" s="6" t="b">
        <f t="shared" ca="1" si="14"/>
        <v>0</v>
      </c>
      <c r="I475" s="6" t="b">
        <f t="shared" ca="1" si="15"/>
        <v>0</v>
      </c>
      <c r="J475" s="7">
        <f ca="1">IFERROR(__xludf.dummyfunction("GOOGLEFINANCE(""NSE:""&amp;A408, ""changepct"")"),-0.76)</f>
        <v>-0.76</v>
      </c>
    </row>
    <row r="476" spans="1:10" ht="13.8">
      <c r="A476" s="5" t="s">
        <v>480</v>
      </c>
      <c r="B476" s="6">
        <f ca="1">IFERROR(__xludf.dummyfunction("GOOGLEFINANCE(""NSE:""&amp;A339, ""price"")"),750)</f>
        <v>750</v>
      </c>
      <c r="C476" s="6">
        <f ca="1">IFERROR(__xludf.dummyfunction("GOOGLEFINANCE(""NSE:""&amp;A339, ""priceopen"")"),755)</f>
        <v>755</v>
      </c>
      <c r="D476" s="6">
        <f ca="1">IFERROR(__xludf.dummyfunction("GOOGLEFINANCE(""NSE:""&amp;A339, ""high"")"),758.6)</f>
        <v>758.6</v>
      </c>
      <c r="E476" s="6">
        <f ca="1">IFERROR(__xludf.dummyfunction("GOOGLEFINANCE(""NSE:""&amp;A339, ""low"")"),748.1)</f>
        <v>748.1</v>
      </c>
      <c r="F476" s="6">
        <f ca="1">IFERROR(__xludf.dummyfunction("GOOGLEFINANCE(""NSE:""&amp;A339, ""closeyest"")"),751.2)</f>
        <v>751.2</v>
      </c>
      <c r="G476" s="6">
        <f ca="1">IFERROR(__xludf.dummyfunction("GOOGLEFINANCE(""NSE:""&amp;A339, ""volume"")"),17347)</f>
        <v>17347</v>
      </c>
      <c r="H476" s="6" t="b">
        <f t="shared" ca="1" si="14"/>
        <v>0</v>
      </c>
      <c r="I476" s="6" t="b">
        <f t="shared" ca="1" si="15"/>
        <v>0</v>
      </c>
      <c r="J476" s="7">
        <f ca="1">IFERROR(__xludf.dummyfunction("GOOGLEFINANCE(""NSE:""&amp;A339, ""changepct"")"),-0.16)</f>
        <v>-0.16</v>
      </c>
    </row>
    <row r="477" spans="1:10" ht="13.8">
      <c r="A477" s="5" t="s">
        <v>481</v>
      </c>
      <c r="B477" s="6">
        <f ca="1">IFERROR(__xludf.dummyfunction("GOOGLEFINANCE(""NSE:""&amp;A319, ""price"")"),247.95)</f>
        <v>247.95</v>
      </c>
      <c r="C477" s="6">
        <f ca="1">IFERROR(__xludf.dummyfunction("GOOGLEFINANCE(""NSE:""&amp;A319, ""priceopen"")"),247.95)</f>
        <v>247.95</v>
      </c>
      <c r="D477" s="6">
        <f ca="1">IFERROR(__xludf.dummyfunction("GOOGLEFINANCE(""NSE:""&amp;A319, ""high"")"),260)</f>
        <v>260</v>
      </c>
      <c r="E477" s="6">
        <f ca="1">IFERROR(__xludf.dummyfunction("GOOGLEFINANCE(""NSE:""&amp;A319, ""low"")"),242.25)</f>
        <v>242.25</v>
      </c>
      <c r="F477" s="6">
        <f ca="1">IFERROR(__xludf.dummyfunction("GOOGLEFINANCE(""NSE:""&amp;A319, ""closeyest"")"),247.95)</f>
        <v>247.95</v>
      </c>
      <c r="G477" s="6">
        <f ca="1">IFERROR(__xludf.dummyfunction("GOOGLEFINANCE(""NSE:""&amp;A319, ""volume"")"),16532)</f>
        <v>16532</v>
      </c>
      <c r="H477" s="6" t="b">
        <f t="shared" ca="1" si="14"/>
        <v>0</v>
      </c>
      <c r="I477" s="6" t="b">
        <f t="shared" ca="1" si="15"/>
        <v>0</v>
      </c>
      <c r="J477" s="7">
        <f ca="1">IFERROR(__xludf.dummyfunction("GOOGLEFINANCE(""NSE:""&amp;A319, ""changepct"")"),0)</f>
        <v>0</v>
      </c>
    </row>
    <row r="478" spans="1:10" ht="13.8">
      <c r="A478" s="5" t="s">
        <v>482</v>
      </c>
      <c r="B478" s="6">
        <f ca="1">IFERROR(__xludf.dummyfunction("GOOGLEFINANCE(""NSE:""&amp;A457, ""price"")"),2293)</f>
        <v>2293</v>
      </c>
      <c r="C478" s="6">
        <f ca="1">IFERROR(__xludf.dummyfunction("GOOGLEFINANCE(""NSE:""&amp;A457, ""priceopen"")"),2330)</f>
        <v>2330</v>
      </c>
      <c r="D478" s="6">
        <f ca="1">IFERROR(__xludf.dummyfunction("GOOGLEFINANCE(""NSE:""&amp;A457, ""high"")"),2350.05)</f>
        <v>2350.0500000000002</v>
      </c>
      <c r="E478" s="6">
        <f ca="1">IFERROR(__xludf.dummyfunction("GOOGLEFINANCE(""NSE:""&amp;A457, ""low"")"),2272)</f>
        <v>2272</v>
      </c>
      <c r="F478" s="6">
        <f ca="1">IFERROR(__xludf.dummyfunction("GOOGLEFINANCE(""NSE:""&amp;A457, ""closeyest"")"),2326.7)</f>
        <v>2326.6999999999998</v>
      </c>
      <c r="G478" s="6">
        <f ca="1">IFERROR(__xludf.dummyfunction("GOOGLEFINANCE(""NSE:""&amp;A457, ""volume"")"),16381)</f>
        <v>16381</v>
      </c>
      <c r="H478" s="6" t="b">
        <f t="shared" ca="1" si="14"/>
        <v>0</v>
      </c>
      <c r="I478" s="6" t="b">
        <f t="shared" ca="1" si="15"/>
        <v>0</v>
      </c>
      <c r="J478" s="7">
        <f ca="1">IFERROR(__xludf.dummyfunction("GOOGLEFINANCE(""NSE:""&amp;A457, ""changepct"")"),-1.45)</f>
        <v>-1.45</v>
      </c>
    </row>
    <row r="479" spans="1:10" ht="13.8">
      <c r="A479" s="5" t="s">
        <v>483</v>
      </c>
      <c r="B479" s="6">
        <f ca="1">IFERROR(__xludf.dummyfunction("GOOGLEFINANCE(""NSE:""&amp;A302, ""price"")"),1772)</f>
        <v>1772</v>
      </c>
      <c r="C479" s="6">
        <f ca="1">IFERROR(__xludf.dummyfunction("GOOGLEFINANCE(""NSE:""&amp;A302, ""priceopen"")"),1794.75)</f>
        <v>1794.75</v>
      </c>
      <c r="D479" s="6">
        <f ca="1">IFERROR(__xludf.dummyfunction("GOOGLEFINANCE(""NSE:""&amp;A302, ""high"")"),1820)</f>
        <v>1820</v>
      </c>
      <c r="E479" s="6">
        <f ca="1">IFERROR(__xludf.dummyfunction("GOOGLEFINANCE(""NSE:""&amp;A302, ""low"")"),1760)</f>
        <v>1760</v>
      </c>
      <c r="F479" s="6">
        <f ca="1">IFERROR(__xludf.dummyfunction("GOOGLEFINANCE(""NSE:""&amp;A302, ""closeyest"")"),1769.35)</f>
        <v>1769.35</v>
      </c>
      <c r="G479" s="6">
        <f ca="1">IFERROR(__xludf.dummyfunction("GOOGLEFINANCE(""NSE:""&amp;A302, ""volume"")"),14923)</f>
        <v>14923</v>
      </c>
      <c r="H479" s="6" t="b">
        <f t="shared" ca="1" si="14"/>
        <v>0</v>
      </c>
      <c r="I479" s="6" t="b">
        <f t="shared" ca="1" si="15"/>
        <v>0</v>
      </c>
      <c r="J479" s="7">
        <f ca="1">IFERROR(__xludf.dummyfunction("GOOGLEFINANCE(""NSE:""&amp;A302, ""changepct"")"),0.15)</f>
        <v>0.15</v>
      </c>
    </row>
    <row r="480" spans="1:10" ht="13.8">
      <c r="A480" s="5" t="s">
        <v>484</v>
      </c>
      <c r="B480" s="6">
        <f ca="1">IFERROR(__xludf.dummyfunction("GOOGLEFINANCE(""NSE:""&amp;A440, ""price"")"),1101)</f>
        <v>1101</v>
      </c>
      <c r="C480" s="6">
        <f ca="1">IFERROR(__xludf.dummyfunction("GOOGLEFINANCE(""NSE:""&amp;A440, ""priceopen"")"),1139.85)</f>
        <v>1139.8499999999999</v>
      </c>
      <c r="D480" s="6">
        <f ca="1">IFERROR(__xludf.dummyfunction("GOOGLEFINANCE(""NSE:""&amp;A440, ""high"")"),1153.55)</f>
        <v>1153.55</v>
      </c>
      <c r="E480" s="6">
        <f ca="1">IFERROR(__xludf.dummyfunction("GOOGLEFINANCE(""NSE:""&amp;A440, ""low"")"),1095)</f>
        <v>1095</v>
      </c>
      <c r="F480" s="6">
        <f ca="1">IFERROR(__xludf.dummyfunction("GOOGLEFINANCE(""NSE:""&amp;A440, ""closeyest"")"),1113.9)</f>
        <v>1113.9000000000001</v>
      </c>
      <c r="G480" s="6">
        <f ca="1">IFERROR(__xludf.dummyfunction("GOOGLEFINANCE(""NSE:""&amp;A440, ""volume"")"),14781)</f>
        <v>14781</v>
      </c>
      <c r="H480" s="6" t="b">
        <f t="shared" ca="1" si="14"/>
        <v>0</v>
      </c>
      <c r="I480" s="6" t="b">
        <f t="shared" ca="1" si="15"/>
        <v>0</v>
      </c>
      <c r="J480" s="7">
        <f ca="1">IFERROR(__xludf.dummyfunction("GOOGLEFINANCE(""NSE:""&amp;A440, ""changepct"")"),-1.16)</f>
        <v>-1.1599999999999999</v>
      </c>
    </row>
    <row r="481" spans="1:10" ht="13.8">
      <c r="A481" s="5" t="s">
        <v>485</v>
      </c>
      <c r="B481" s="6">
        <f ca="1">IFERROR(__xludf.dummyfunction("GOOGLEFINANCE(""NSE:""&amp;A379, ""price"")"),1658)</f>
        <v>1658</v>
      </c>
      <c r="C481" s="6">
        <f ca="1">IFERROR(__xludf.dummyfunction("GOOGLEFINANCE(""NSE:""&amp;A379, ""priceopen"")"),1688.1)</f>
        <v>1688.1</v>
      </c>
      <c r="D481" s="6">
        <f ca="1">IFERROR(__xludf.dummyfunction("GOOGLEFINANCE(""NSE:""&amp;A379, ""high"")"),1688.1)</f>
        <v>1688.1</v>
      </c>
      <c r="E481" s="6">
        <f ca="1">IFERROR(__xludf.dummyfunction("GOOGLEFINANCE(""NSE:""&amp;A379, ""low"")"),1651.3)</f>
        <v>1651.3</v>
      </c>
      <c r="F481" s="6">
        <f ca="1">IFERROR(__xludf.dummyfunction("GOOGLEFINANCE(""NSE:""&amp;A379, ""closeyest"")"),1666.3)</f>
        <v>1666.3</v>
      </c>
      <c r="G481" s="6">
        <f ca="1">IFERROR(__xludf.dummyfunction("GOOGLEFINANCE(""NSE:""&amp;A379, ""volume"")"),14549)</f>
        <v>14549</v>
      </c>
      <c r="H481" s="6" t="b">
        <f t="shared" ca="1" si="14"/>
        <v>0</v>
      </c>
      <c r="I481" s="6" t="b">
        <f t="shared" ca="1" si="15"/>
        <v>1</v>
      </c>
      <c r="J481" s="7">
        <f ca="1">IFERROR(__xludf.dummyfunction("GOOGLEFINANCE(""NSE:""&amp;A379, ""changepct"")"),-0.5)</f>
        <v>-0.5</v>
      </c>
    </row>
    <row r="482" spans="1:10" ht="13.8">
      <c r="A482" s="5" t="s">
        <v>486</v>
      </c>
      <c r="B482" s="6">
        <f ca="1">IFERROR(__xludf.dummyfunction("GOOGLEFINANCE(""NSE:""&amp;A324, ""price"")"),710)</f>
        <v>710</v>
      </c>
      <c r="C482" s="6">
        <f ca="1">IFERROR(__xludf.dummyfunction("GOOGLEFINANCE(""NSE:""&amp;A324, ""priceopen"")"),715.1)</f>
        <v>715.1</v>
      </c>
      <c r="D482" s="6">
        <f ca="1">IFERROR(__xludf.dummyfunction("GOOGLEFINANCE(""NSE:""&amp;A324, ""high"")"),719)</f>
        <v>719</v>
      </c>
      <c r="E482" s="6">
        <f ca="1">IFERROR(__xludf.dummyfunction("GOOGLEFINANCE(""NSE:""&amp;A324, ""low"")"),700)</f>
        <v>700</v>
      </c>
      <c r="F482" s="6">
        <f ca="1">IFERROR(__xludf.dummyfunction("GOOGLEFINANCE(""NSE:""&amp;A324, ""closeyest"")"),710.05)</f>
        <v>710.05</v>
      </c>
      <c r="G482" s="6">
        <f ca="1">IFERROR(__xludf.dummyfunction("GOOGLEFINANCE(""NSE:""&amp;A324, ""volume"")"),14475)</f>
        <v>14475</v>
      </c>
      <c r="H482" s="6" t="b">
        <f t="shared" ca="1" si="14"/>
        <v>0</v>
      </c>
      <c r="I482" s="6" t="b">
        <f t="shared" ca="1" si="15"/>
        <v>0</v>
      </c>
      <c r="J482" s="7">
        <f ca="1">IFERROR(__xludf.dummyfunction("GOOGLEFINANCE(""NSE:""&amp;A324, ""changepct"")"),-0.01)</f>
        <v>-0.01</v>
      </c>
    </row>
    <row r="483" spans="1:10" ht="13.8">
      <c r="A483" s="5" t="s">
        <v>487</v>
      </c>
      <c r="B483" s="6">
        <f ca="1">IFERROR(__xludf.dummyfunction("GOOGLEFINANCE(""NSE:""&amp;A388, ""price"")"),1987)</f>
        <v>1987</v>
      </c>
      <c r="C483" s="6">
        <f ca="1">IFERROR(__xludf.dummyfunction("GOOGLEFINANCE(""NSE:""&amp;A388, ""priceopen"")"),2019.9)</f>
        <v>2019.9</v>
      </c>
      <c r="D483" s="6">
        <f ca="1">IFERROR(__xludf.dummyfunction("GOOGLEFINANCE(""NSE:""&amp;A388, ""high"")"),2019.9)</f>
        <v>2019.9</v>
      </c>
      <c r="E483" s="6">
        <f ca="1">IFERROR(__xludf.dummyfunction("GOOGLEFINANCE(""NSE:""&amp;A388, ""low"")"),1976.05)</f>
        <v>1976.05</v>
      </c>
      <c r="F483" s="6">
        <f ca="1">IFERROR(__xludf.dummyfunction("GOOGLEFINANCE(""NSE:""&amp;A388, ""closeyest"")"),1998.65)</f>
        <v>1998.65</v>
      </c>
      <c r="G483" s="6">
        <f ca="1">IFERROR(__xludf.dummyfunction("GOOGLEFINANCE(""NSE:""&amp;A388, ""volume"")"),14106)</f>
        <v>14106</v>
      </c>
      <c r="H483" s="6" t="b">
        <f t="shared" ca="1" si="14"/>
        <v>0</v>
      </c>
      <c r="I483" s="6" t="b">
        <f t="shared" ca="1" si="15"/>
        <v>1</v>
      </c>
      <c r="J483" s="7">
        <f ca="1">IFERROR(__xludf.dummyfunction("GOOGLEFINANCE(""NSE:""&amp;A388, ""changepct"")"),-0.58)</f>
        <v>-0.57999999999999996</v>
      </c>
    </row>
    <row r="484" spans="1:10" ht="13.8">
      <c r="A484" s="5" t="s">
        <v>488</v>
      </c>
      <c r="B484" s="6">
        <f ca="1">IFERROR(__xludf.dummyfunction("GOOGLEFINANCE(""NSE:""&amp;A494, ""price"")"),5350)</f>
        <v>5350</v>
      </c>
      <c r="C484" s="6">
        <f ca="1">IFERROR(__xludf.dummyfunction("GOOGLEFINANCE(""NSE:""&amp;A494, ""priceopen"")"),5656.95)</f>
        <v>5656.95</v>
      </c>
      <c r="D484" s="6">
        <f ca="1">IFERROR(__xludf.dummyfunction("GOOGLEFINANCE(""NSE:""&amp;A494, ""high"")"),5665)</f>
        <v>5665</v>
      </c>
      <c r="E484" s="6">
        <f ca="1">IFERROR(__xludf.dummyfunction("GOOGLEFINANCE(""NSE:""&amp;A494, ""low"")"),5321)</f>
        <v>5321</v>
      </c>
      <c r="F484" s="6">
        <f ca="1">IFERROR(__xludf.dummyfunction("GOOGLEFINANCE(""NSE:""&amp;A494, ""closeyest"")"),5548.65)</f>
        <v>5548.65</v>
      </c>
      <c r="G484" s="6">
        <f ca="1">IFERROR(__xludf.dummyfunction("GOOGLEFINANCE(""NSE:""&amp;A494, ""volume"")"),12982)</f>
        <v>12982</v>
      </c>
      <c r="H484" s="6" t="b">
        <f t="shared" ca="1" si="14"/>
        <v>0</v>
      </c>
      <c r="I484" s="6" t="b">
        <f t="shared" ca="1" si="15"/>
        <v>0</v>
      </c>
      <c r="J484" s="7">
        <f ca="1">IFERROR(__xludf.dummyfunction("GOOGLEFINANCE(""NSE:""&amp;A494, ""changepct"")"),-3.58)</f>
        <v>-3.58</v>
      </c>
    </row>
    <row r="485" spans="1:10" ht="13.8">
      <c r="A485" s="5" t="s">
        <v>489</v>
      </c>
      <c r="B485" s="6">
        <f ca="1">IFERROR(__xludf.dummyfunction("GOOGLEFINANCE(""NSE:""&amp;A406, ""price"")"),1051)</f>
        <v>1051</v>
      </c>
      <c r="C485" s="6">
        <f ca="1">IFERROR(__xludf.dummyfunction("GOOGLEFINANCE(""NSE:""&amp;A406, ""priceopen"")"),1078)</f>
        <v>1078</v>
      </c>
      <c r="D485" s="6">
        <f ca="1">IFERROR(__xludf.dummyfunction("GOOGLEFINANCE(""NSE:""&amp;A406, ""high"")"),1097.15)</f>
        <v>1097.1500000000001</v>
      </c>
      <c r="E485" s="6">
        <f ca="1">IFERROR(__xludf.dummyfunction("GOOGLEFINANCE(""NSE:""&amp;A406, ""low"")"),1036.15)</f>
        <v>1036.1500000000001</v>
      </c>
      <c r="F485" s="6">
        <f ca="1">IFERROR(__xludf.dummyfunction("GOOGLEFINANCE(""NSE:""&amp;A406, ""closeyest"")"),1059.1)</f>
        <v>1059.0999999999999</v>
      </c>
      <c r="G485" s="6">
        <f ca="1">IFERROR(__xludf.dummyfunction("GOOGLEFINANCE(""NSE:""&amp;A406, ""volume"")"),12623)</f>
        <v>12623</v>
      </c>
      <c r="H485" s="6" t="b">
        <f t="shared" ca="1" si="14"/>
        <v>0</v>
      </c>
      <c r="I485" s="6" t="b">
        <f t="shared" ca="1" si="15"/>
        <v>0</v>
      </c>
      <c r="J485" s="7">
        <f ca="1">IFERROR(__xludf.dummyfunction("GOOGLEFINANCE(""NSE:""&amp;A406, ""changepct"")"),-0.76)</f>
        <v>-0.76</v>
      </c>
    </row>
    <row r="486" spans="1:10" ht="13.8">
      <c r="A486" s="5" t="s">
        <v>490</v>
      </c>
      <c r="B486" s="6">
        <f ca="1">IFERROR(__xludf.dummyfunction("GOOGLEFINANCE(""NSE:""&amp;A400, ""price"")"),3100)</f>
        <v>3100</v>
      </c>
      <c r="C486" s="6">
        <f ca="1">IFERROR(__xludf.dummyfunction("GOOGLEFINANCE(""NSE:""&amp;A400, ""priceopen"")"),3150)</f>
        <v>3150</v>
      </c>
      <c r="D486" s="6">
        <f ca="1">IFERROR(__xludf.dummyfunction("GOOGLEFINANCE(""NSE:""&amp;A400, ""high"")"),3182.45)</f>
        <v>3182.45</v>
      </c>
      <c r="E486" s="6">
        <f ca="1">IFERROR(__xludf.dummyfunction("GOOGLEFINANCE(""NSE:""&amp;A400, ""low"")"),3075.3)</f>
        <v>3075.3</v>
      </c>
      <c r="F486" s="6">
        <f ca="1">IFERROR(__xludf.dummyfunction("GOOGLEFINANCE(""NSE:""&amp;A400, ""closeyest"")"),3121.7)</f>
        <v>3121.7</v>
      </c>
      <c r="G486" s="6">
        <f ca="1">IFERROR(__xludf.dummyfunction("GOOGLEFINANCE(""NSE:""&amp;A400, ""volume"")"),11788)</f>
        <v>11788</v>
      </c>
      <c r="H486" s="6" t="b">
        <f t="shared" ca="1" si="14"/>
        <v>0</v>
      </c>
      <c r="I486" s="6" t="b">
        <f t="shared" ca="1" si="15"/>
        <v>0</v>
      </c>
      <c r="J486" s="7">
        <f ca="1">IFERROR(__xludf.dummyfunction("GOOGLEFINANCE(""NSE:""&amp;A400, ""changepct"")"),-0.7)</f>
        <v>-0.7</v>
      </c>
    </row>
    <row r="487" spans="1:10" ht="13.8">
      <c r="A487" s="5" t="s">
        <v>491</v>
      </c>
      <c r="B487" s="6">
        <f ca="1">IFERROR(__xludf.dummyfunction("GOOGLEFINANCE(""NSE:""&amp;A155, ""price"")"),3614.7)</f>
        <v>3614.7</v>
      </c>
      <c r="C487" s="6">
        <f ca="1">IFERROR(__xludf.dummyfunction("GOOGLEFINANCE(""NSE:""&amp;A155, ""priceopen"")"),3542)</f>
        <v>3542</v>
      </c>
      <c r="D487" s="6">
        <f ca="1">IFERROR(__xludf.dummyfunction("GOOGLEFINANCE(""NSE:""&amp;A155, ""high"")"),3615.05)</f>
        <v>3615.05</v>
      </c>
      <c r="E487" s="6">
        <f ca="1">IFERROR(__xludf.dummyfunction("GOOGLEFINANCE(""NSE:""&amp;A155, ""low"")"),3521)</f>
        <v>3521</v>
      </c>
      <c r="F487" s="6">
        <f ca="1">IFERROR(__xludf.dummyfunction("GOOGLEFINANCE(""NSE:""&amp;A155, ""closeyest"")"),3543.85)</f>
        <v>3543.85</v>
      </c>
      <c r="G487" s="6">
        <f ca="1">IFERROR(__xludf.dummyfunction("GOOGLEFINANCE(""NSE:""&amp;A155, ""volume"")"),11303)</f>
        <v>11303</v>
      </c>
      <c r="H487" s="6" t="b">
        <f t="shared" ca="1" si="14"/>
        <v>0</v>
      </c>
      <c r="I487" s="6" t="b">
        <f t="shared" ca="1" si="15"/>
        <v>0</v>
      </c>
      <c r="J487" s="7">
        <f ca="1">IFERROR(__xludf.dummyfunction("GOOGLEFINANCE(""NSE:""&amp;A155, ""changepct"")"),2)</f>
        <v>2</v>
      </c>
    </row>
    <row r="488" spans="1:10" ht="13.8">
      <c r="A488" s="5" t="s">
        <v>492</v>
      </c>
      <c r="B488" s="6">
        <f ca="1">IFERROR(__xludf.dummyfunction("GOOGLEFINANCE(""NSE:""&amp;A460, ""price"")"),337)</f>
        <v>337</v>
      </c>
      <c r="C488" s="6">
        <f ca="1">IFERROR(__xludf.dummyfunction("GOOGLEFINANCE(""NSE:""&amp;A460, ""priceopen"")"),342.55)</f>
        <v>342.55</v>
      </c>
      <c r="D488" s="6">
        <f ca="1">IFERROR(__xludf.dummyfunction("GOOGLEFINANCE(""NSE:""&amp;A460, ""high"")"),342.6)</f>
        <v>342.6</v>
      </c>
      <c r="E488" s="6">
        <f ca="1">IFERROR(__xludf.dummyfunction("GOOGLEFINANCE(""NSE:""&amp;A460, ""low"")"),335)</f>
        <v>335</v>
      </c>
      <c r="F488" s="6">
        <f ca="1">IFERROR(__xludf.dummyfunction("GOOGLEFINANCE(""NSE:""&amp;A460, ""closeyest"")"),342.1)</f>
        <v>342.1</v>
      </c>
      <c r="G488" s="6">
        <f ca="1">IFERROR(__xludf.dummyfunction("GOOGLEFINANCE(""NSE:""&amp;A460, ""volume"")"),11136)</f>
        <v>11136</v>
      </c>
      <c r="H488" s="6" t="b">
        <f t="shared" ca="1" si="14"/>
        <v>0</v>
      </c>
      <c r="I488" s="6" t="b">
        <f t="shared" ca="1" si="15"/>
        <v>0</v>
      </c>
      <c r="J488" s="7">
        <f ca="1">IFERROR(__xludf.dummyfunction("GOOGLEFINANCE(""NSE:""&amp;A460, ""changepct"")"),-1.49)</f>
        <v>-1.49</v>
      </c>
    </row>
    <row r="489" spans="1:10" ht="13.8">
      <c r="A489" s="5" t="s">
        <v>493</v>
      </c>
      <c r="B489" s="6">
        <f ca="1">IFERROR(__xludf.dummyfunction("GOOGLEFINANCE(""NSE:""&amp;A158, ""price"")"),31624)</f>
        <v>31624</v>
      </c>
      <c r="C489" s="6">
        <f ca="1">IFERROR(__xludf.dummyfunction("GOOGLEFINANCE(""NSE:""&amp;A158, ""priceopen"")"),32000)</f>
        <v>32000</v>
      </c>
      <c r="D489" s="6">
        <f ca="1">IFERROR(__xludf.dummyfunction("GOOGLEFINANCE(""NSE:""&amp;A158, ""high"")"),32238.95)</f>
        <v>32238.95</v>
      </c>
      <c r="E489" s="6">
        <f ca="1">IFERROR(__xludf.dummyfunction("GOOGLEFINANCE(""NSE:""&amp;A158, ""low"")"),31400)</f>
        <v>31400</v>
      </c>
      <c r="F489" s="6">
        <f ca="1">IFERROR(__xludf.dummyfunction("GOOGLEFINANCE(""NSE:""&amp;A158, ""closeyest"")"),31013.5)</f>
        <v>31013.5</v>
      </c>
      <c r="G489" s="6">
        <f ca="1">IFERROR(__xludf.dummyfunction("GOOGLEFINANCE(""NSE:""&amp;A158, ""volume"")"),10647)</f>
        <v>10647</v>
      </c>
      <c r="H489" s="6" t="b">
        <f t="shared" ca="1" si="14"/>
        <v>0</v>
      </c>
      <c r="I489" s="6" t="b">
        <f t="shared" ca="1" si="15"/>
        <v>0</v>
      </c>
      <c r="J489" s="7">
        <f ca="1">IFERROR(__xludf.dummyfunction("GOOGLEFINANCE(""NSE:""&amp;A158, ""changepct"")"),1.97)</f>
        <v>1.97</v>
      </c>
    </row>
    <row r="490" spans="1:10" ht="13.8">
      <c r="A490" s="5" t="s">
        <v>494</v>
      </c>
      <c r="B490" s="6">
        <f ca="1">IFERROR(__xludf.dummyfunction("GOOGLEFINANCE(""NSE:""&amp;A448, ""price"")"),61940)</f>
        <v>61940</v>
      </c>
      <c r="C490" s="6">
        <f ca="1">IFERROR(__xludf.dummyfunction("GOOGLEFINANCE(""NSE:""&amp;A448, ""priceopen"")"),62798)</f>
        <v>62798</v>
      </c>
      <c r="D490" s="6">
        <f ca="1">IFERROR(__xludf.dummyfunction("GOOGLEFINANCE(""NSE:""&amp;A448, ""high"")"),63550)</f>
        <v>63550</v>
      </c>
      <c r="E490" s="6">
        <f ca="1">IFERROR(__xludf.dummyfunction("GOOGLEFINANCE(""NSE:""&amp;A448, ""low"")"),61700)</f>
        <v>61700</v>
      </c>
      <c r="F490" s="6">
        <f ca="1">IFERROR(__xludf.dummyfunction("GOOGLEFINANCE(""NSE:""&amp;A448, ""closeyest"")"),62702.8)</f>
        <v>62702.8</v>
      </c>
      <c r="G490" s="6">
        <f ca="1">IFERROR(__xludf.dummyfunction("GOOGLEFINANCE(""NSE:""&amp;A448, ""volume"")"),9740)</f>
        <v>9740</v>
      </c>
      <c r="H490" s="6" t="b">
        <f t="shared" ca="1" si="14"/>
        <v>0</v>
      </c>
      <c r="I490" s="6" t="b">
        <f t="shared" ca="1" si="15"/>
        <v>0</v>
      </c>
      <c r="J490" s="7">
        <f ca="1">IFERROR(__xludf.dummyfunction("GOOGLEFINANCE(""NSE:""&amp;A448, ""changepct"")"),-1.22)</f>
        <v>-1.22</v>
      </c>
    </row>
    <row r="491" spans="1:10" ht="13.8">
      <c r="A491" s="5" t="s">
        <v>495</v>
      </c>
      <c r="B491" s="6">
        <f ca="1">IFERROR(__xludf.dummyfunction("GOOGLEFINANCE(""NSE:""&amp;A280, ""price"")"),4981)</f>
        <v>4981</v>
      </c>
      <c r="C491" s="6">
        <f ca="1">IFERROR(__xludf.dummyfunction("GOOGLEFINANCE(""NSE:""&amp;A280, ""priceopen"")"),5000)</f>
        <v>5000</v>
      </c>
      <c r="D491" s="6">
        <f ca="1">IFERROR(__xludf.dummyfunction("GOOGLEFINANCE(""NSE:""&amp;A280, ""high"")"),5000)</f>
        <v>5000</v>
      </c>
      <c r="E491" s="6">
        <f ca="1">IFERROR(__xludf.dummyfunction("GOOGLEFINANCE(""NSE:""&amp;A280, ""low"")"),4941)</f>
        <v>4941</v>
      </c>
      <c r="F491" s="6">
        <f ca="1">IFERROR(__xludf.dummyfunction("GOOGLEFINANCE(""NSE:""&amp;A280, ""closeyest"")"),4962.35)</f>
        <v>4962.3500000000004</v>
      </c>
      <c r="G491" s="6">
        <f ca="1">IFERROR(__xludf.dummyfunction("GOOGLEFINANCE(""NSE:""&amp;A280, ""volume"")"),9595)</f>
        <v>9595</v>
      </c>
      <c r="H491" s="6" t="b">
        <f t="shared" ca="1" si="14"/>
        <v>0</v>
      </c>
      <c r="I491" s="6" t="b">
        <f t="shared" ca="1" si="15"/>
        <v>1</v>
      </c>
      <c r="J491" s="7">
        <f ca="1">IFERROR(__xludf.dummyfunction("GOOGLEFINANCE(""NSE:""&amp;A280, ""changepct"")"),0.38)</f>
        <v>0.38</v>
      </c>
    </row>
    <row r="492" spans="1:10" ht="13.8">
      <c r="A492" s="5" t="s">
        <v>496</v>
      </c>
      <c r="B492" s="6">
        <f ca="1">IFERROR(__xludf.dummyfunction("GOOGLEFINANCE(""NSE:""&amp;A434, ""price"")"),1015.1)</f>
        <v>1015.1</v>
      </c>
      <c r="C492" s="6">
        <f ca="1">IFERROR(__xludf.dummyfunction("GOOGLEFINANCE(""NSE:""&amp;A434, ""priceopen"")"),1015)</f>
        <v>1015</v>
      </c>
      <c r="D492" s="6">
        <f ca="1">IFERROR(__xludf.dummyfunction("GOOGLEFINANCE(""NSE:""&amp;A434, ""high"")"),1038.35)</f>
        <v>1038.3499999999999</v>
      </c>
      <c r="E492" s="6">
        <f ca="1">IFERROR(__xludf.dummyfunction("GOOGLEFINANCE(""NSE:""&amp;A434, ""low"")"),1015)</f>
        <v>1015</v>
      </c>
      <c r="F492" s="6">
        <f ca="1">IFERROR(__xludf.dummyfunction("GOOGLEFINANCE(""NSE:""&amp;A434, ""closeyest"")"),1026.3)</f>
        <v>1026.3</v>
      </c>
      <c r="G492" s="6">
        <f ca="1">IFERROR(__xludf.dummyfunction("GOOGLEFINANCE(""NSE:""&amp;A434, ""volume"")"),9348)</f>
        <v>9348</v>
      </c>
      <c r="H492" s="6" t="b">
        <f t="shared" ca="1" si="14"/>
        <v>1</v>
      </c>
      <c r="I492" s="6" t="b">
        <f t="shared" ca="1" si="15"/>
        <v>0</v>
      </c>
      <c r="J492" s="7">
        <f ca="1">IFERROR(__xludf.dummyfunction("GOOGLEFINANCE(""NSE:""&amp;A434, ""changepct"")"),-1.09)</f>
        <v>-1.0900000000000001</v>
      </c>
    </row>
    <row r="493" spans="1:10" ht="13.8">
      <c r="A493" s="5" t="s">
        <v>497</v>
      </c>
      <c r="B493" s="6">
        <f ca="1">IFERROR(__xludf.dummyfunction("GOOGLEFINANCE(""NSE:""&amp;A106, ""price"")"),22165.2)</f>
        <v>22165.200000000001</v>
      </c>
      <c r="C493" s="6">
        <f ca="1">IFERROR(__xludf.dummyfunction("GOOGLEFINANCE(""NSE:""&amp;A106, ""priceopen"")"),21608.65)</f>
        <v>21608.65</v>
      </c>
      <c r="D493" s="6">
        <f ca="1">IFERROR(__xludf.dummyfunction("GOOGLEFINANCE(""NSE:""&amp;A106, ""high"")"),22500)</f>
        <v>22500</v>
      </c>
      <c r="E493" s="6">
        <f ca="1">IFERROR(__xludf.dummyfunction("GOOGLEFINANCE(""NSE:""&amp;A106, ""low"")"),21600)</f>
        <v>21600</v>
      </c>
      <c r="F493" s="6">
        <f ca="1">IFERROR(__xludf.dummyfunction("GOOGLEFINANCE(""NSE:""&amp;A106, ""closeyest"")"),21478.65)</f>
        <v>21478.65</v>
      </c>
      <c r="G493" s="6">
        <f ca="1">IFERROR(__xludf.dummyfunction("GOOGLEFINANCE(""NSE:""&amp;A106, ""volume"")"),8818)</f>
        <v>8818</v>
      </c>
      <c r="H493" s="6" t="b">
        <f t="shared" ca="1" si="14"/>
        <v>0</v>
      </c>
      <c r="I493" s="6" t="b">
        <f t="shared" ca="1" si="15"/>
        <v>0</v>
      </c>
      <c r="J493" s="7">
        <f ca="1">IFERROR(__xludf.dummyfunction("GOOGLEFINANCE(""NSE:""&amp;A106, ""changepct"")"),3.2)</f>
        <v>3.2</v>
      </c>
    </row>
    <row r="494" spans="1:10" ht="13.8">
      <c r="A494" s="5" t="s">
        <v>498</v>
      </c>
      <c r="B494" s="6">
        <f ca="1">IFERROR(__xludf.dummyfunction("GOOGLEFINANCE(""NSE:""&amp;A452, ""price"")"),452.75)</f>
        <v>452.75</v>
      </c>
      <c r="C494" s="6">
        <f ca="1">IFERROR(__xludf.dummyfunction("GOOGLEFINANCE(""NSE:""&amp;A452, ""priceopen"")"),460)</f>
        <v>460</v>
      </c>
      <c r="D494" s="6">
        <f ca="1">IFERROR(__xludf.dummyfunction("GOOGLEFINANCE(""NSE:""&amp;A452, ""high"")"),468.55)</f>
        <v>468.55</v>
      </c>
      <c r="E494" s="6">
        <f ca="1">IFERROR(__xludf.dummyfunction("GOOGLEFINANCE(""NSE:""&amp;A452, ""low"")"),450)</f>
        <v>450</v>
      </c>
      <c r="F494" s="6">
        <f ca="1">IFERROR(__xludf.dummyfunction("GOOGLEFINANCE(""NSE:""&amp;A452, ""closeyest"")"),458.55)</f>
        <v>458.55</v>
      </c>
      <c r="G494" s="6">
        <f ca="1">IFERROR(__xludf.dummyfunction("GOOGLEFINANCE(""NSE:""&amp;A452, ""volume"")"),7844)</f>
        <v>7844</v>
      </c>
      <c r="H494" s="6" t="b">
        <f t="shared" ca="1" si="14"/>
        <v>0</v>
      </c>
      <c r="I494" s="6" t="b">
        <f t="shared" ca="1" si="15"/>
        <v>0</v>
      </c>
      <c r="J494" s="7">
        <f ca="1">IFERROR(__xludf.dummyfunction("GOOGLEFINANCE(""NSE:""&amp;A452, ""changepct"")"),-1.26)</f>
        <v>-1.26</v>
      </c>
    </row>
    <row r="495" spans="1:10" ht="13.8">
      <c r="A495" s="5" t="s">
        <v>499</v>
      </c>
      <c r="B495" s="6">
        <f ca="1">IFERROR(__xludf.dummyfunction("GOOGLEFINANCE(""NSE:""&amp;A404, ""price"")"),3300)</f>
        <v>3300</v>
      </c>
      <c r="C495" s="6">
        <f ca="1">IFERROR(__xludf.dummyfunction("GOOGLEFINANCE(""NSE:""&amp;A404, ""priceopen"")"),3324.95)</f>
        <v>3324.95</v>
      </c>
      <c r="D495" s="6">
        <f ca="1">IFERROR(__xludf.dummyfunction("GOOGLEFINANCE(""NSE:""&amp;A404, ""high"")"),3399.95)</f>
        <v>3399.95</v>
      </c>
      <c r="E495" s="6">
        <f ca="1">IFERROR(__xludf.dummyfunction("GOOGLEFINANCE(""NSE:""&amp;A404, ""low"")"),3260.1)</f>
        <v>3260.1</v>
      </c>
      <c r="F495" s="6">
        <f ca="1">IFERROR(__xludf.dummyfunction("GOOGLEFINANCE(""NSE:""&amp;A404, ""closeyest"")"),3324.95)</f>
        <v>3324.95</v>
      </c>
      <c r="G495" s="6">
        <f ca="1">IFERROR(__xludf.dummyfunction("GOOGLEFINANCE(""NSE:""&amp;A404, ""volume"")"),5948)</f>
        <v>5948</v>
      </c>
      <c r="H495" s="6" t="b">
        <f t="shared" ca="1" si="14"/>
        <v>0</v>
      </c>
      <c r="I495" s="6" t="b">
        <f t="shared" ca="1" si="15"/>
        <v>0</v>
      </c>
      <c r="J495" s="7">
        <f ca="1">IFERROR(__xludf.dummyfunction("GOOGLEFINANCE(""NSE:""&amp;A404, ""changepct"")"),-0.75)</f>
        <v>-0.75</v>
      </c>
    </row>
    <row r="496" spans="1:10" ht="13.8">
      <c r="A496" s="5" t="s">
        <v>500</v>
      </c>
      <c r="B496" s="6">
        <f ca="1">IFERROR(__xludf.dummyfunction("GOOGLEFINANCE(""NSE:""&amp;A220, ""price"")"),2300)</f>
        <v>2300</v>
      </c>
      <c r="C496" s="6">
        <f ca="1">IFERROR(__xludf.dummyfunction("GOOGLEFINANCE(""NSE:""&amp;A220, ""priceopen"")"),2282.9)</f>
        <v>2282.9</v>
      </c>
      <c r="D496" s="6">
        <f ca="1">IFERROR(__xludf.dummyfunction("GOOGLEFINANCE(""NSE:""&amp;A220, ""high"")"),2310)</f>
        <v>2310</v>
      </c>
      <c r="E496" s="6">
        <f ca="1">IFERROR(__xludf.dummyfunction("GOOGLEFINANCE(""NSE:""&amp;A220, ""low"")"),2275)</f>
        <v>2275</v>
      </c>
      <c r="F496" s="6">
        <f ca="1">IFERROR(__xludf.dummyfunction("GOOGLEFINANCE(""NSE:""&amp;A220, ""closeyest"")"),2274.3)</f>
        <v>2274.3000000000002</v>
      </c>
      <c r="G496" s="6">
        <f ca="1">IFERROR(__xludf.dummyfunction("GOOGLEFINANCE(""NSE:""&amp;A220, ""volume"")"),4812)</f>
        <v>4812</v>
      </c>
      <c r="H496" s="6" t="b">
        <f t="shared" ca="1" si="14"/>
        <v>0</v>
      </c>
      <c r="I496" s="6" t="b">
        <f t="shared" ca="1" si="15"/>
        <v>0</v>
      </c>
      <c r="J496" s="7">
        <f ca="1">IFERROR(__xludf.dummyfunction("GOOGLEFINANCE(""NSE:""&amp;A220, ""changepct"")"),1.13)</f>
        <v>1.1299999999999999</v>
      </c>
    </row>
    <row r="497" spans="1:10" ht="13.8">
      <c r="A497" s="5" t="s">
        <v>501</v>
      </c>
      <c r="B497" s="6">
        <f ca="1">IFERROR(__xludf.dummyfunction("GOOGLEFINANCE(""NSE:""&amp;A139, ""price"")"),12265)</f>
        <v>12265</v>
      </c>
      <c r="C497" s="6">
        <f ca="1">IFERROR(__xludf.dummyfunction("GOOGLEFINANCE(""NSE:""&amp;A139, ""priceopen"")"),11983.6)</f>
        <v>11983.6</v>
      </c>
      <c r="D497" s="6">
        <f ca="1">IFERROR(__xludf.dummyfunction("GOOGLEFINANCE(""NSE:""&amp;A139, ""high"")"),12586.95)</f>
        <v>12586.95</v>
      </c>
      <c r="E497" s="6">
        <f ca="1">IFERROR(__xludf.dummyfunction("GOOGLEFINANCE(""NSE:""&amp;A139, ""low"")"),11983.6)</f>
        <v>11983.6</v>
      </c>
      <c r="F497" s="6">
        <f ca="1">IFERROR(__xludf.dummyfunction("GOOGLEFINANCE(""NSE:""&amp;A139, ""closeyest"")"),11983.65)</f>
        <v>11983.65</v>
      </c>
      <c r="G497" s="6">
        <f ca="1">IFERROR(__xludf.dummyfunction("GOOGLEFINANCE(""NSE:""&amp;A139, ""volume"")"),3234)</f>
        <v>3234</v>
      </c>
      <c r="H497" s="6" t="b">
        <f t="shared" ca="1" si="14"/>
        <v>1</v>
      </c>
      <c r="I497" s="6" t="b">
        <f t="shared" ca="1" si="15"/>
        <v>0</v>
      </c>
      <c r="J497" s="7">
        <f ca="1">IFERROR(__xludf.dummyfunction("GOOGLEFINANCE(""NSE:""&amp;A139, ""changepct"")"),2.35)</f>
        <v>2.35</v>
      </c>
    </row>
    <row r="498" spans="1:10" ht="13.8">
      <c r="A498" s="5" t="s">
        <v>502</v>
      </c>
      <c r="B498" s="6">
        <f ca="1">IFERROR(__xludf.dummyfunction("GOOGLEFINANCE(""NSE:""&amp;A357, ""price"")"),10280)</f>
        <v>10280</v>
      </c>
      <c r="C498" s="6">
        <f ca="1">IFERROR(__xludf.dummyfunction("GOOGLEFINANCE(""NSE:""&amp;A357, ""priceopen"")"),10301)</f>
        <v>10301</v>
      </c>
      <c r="D498" s="6">
        <f ca="1">IFERROR(__xludf.dummyfunction("GOOGLEFINANCE(""NSE:""&amp;A357, ""high"")"),10380)</f>
        <v>10380</v>
      </c>
      <c r="E498" s="6">
        <f ca="1">IFERROR(__xludf.dummyfunction("GOOGLEFINANCE(""NSE:""&amp;A357, ""low"")"),10175)</f>
        <v>10175</v>
      </c>
      <c r="F498" s="6">
        <f ca="1">IFERROR(__xludf.dummyfunction("GOOGLEFINANCE(""NSE:""&amp;A357, ""closeyest"")"),10311.4)</f>
        <v>10311.4</v>
      </c>
      <c r="G498" s="6">
        <f ca="1">IFERROR(__xludf.dummyfunction("GOOGLEFINANCE(""NSE:""&amp;A357, ""volume"")"),3070)</f>
        <v>3070</v>
      </c>
      <c r="H498" s="6" t="b">
        <f t="shared" ca="1" si="14"/>
        <v>0</v>
      </c>
      <c r="I498" s="6" t="b">
        <f t="shared" ca="1" si="15"/>
        <v>0</v>
      </c>
      <c r="J498" s="7">
        <f ca="1">IFERROR(__xludf.dummyfunction("GOOGLEFINANCE(""NSE:""&amp;A357, ""changepct"")"),-0.3)</f>
        <v>-0.3</v>
      </c>
    </row>
    <row r="499" spans="1:10" ht="13.8">
      <c r="A499" s="5" t="s">
        <v>503</v>
      </c>
      <c r="B499" s="6">
        <f ca="1">IFERROR(__xludf.dummyfunction("GOOGLEFINANCE(""NSE:""&amp;A343, ""price"")"),2550)</f>
        <v>2550</v>
      </c>
      <c r="C499" s="6">
        <f ca="1">IFERROR(__xludf.dummyfunction("GOOGLEFINANCE(""NSE:""&amp;A343, ""priceopen"")"),2565.95)</f>
        <v>2565.9499999999998</v>
      </c>
      <c r="D499" s="6">
        <f ca="1">IFERROR(__xludf.dummyfunction("GOOGLEFINANCE(""NSE:""&amp;A343, ""high"")"),2596.7)</f>
        <v>2596.6999999999998</v>
      </c>
      <c r="E499" s="6">
        <f ca="1">IFERROR(__xludf.dummyfunction("GOOGLEFINANCE(""NSE:""&amp;A343, ""low"")"),2544.3)</f>
        <v>2544.3000000000002</v>
      </c>
      <c r="F499" s="6">
        <f ca="1">IFERROR(__xludf.dummyfunction("GOOGLEFINANCE(""NSE:""&amp;A343, ""closeyest"")"),2554.5)</f>
        <v>2554.5</v>
      </c>
      <c r="G499" s="6">
        <f ca="1">IFERROR(__xludf.dummyfunction("GOOGLEFINANCE(""NSE:""&amp;A343, ""volume"")"),3010)</f>
        <v>3010</v>
      </c>
      <c r="H499" s="6" t="b">
        <f t="shared" ca="1" si="14"/>
        <v>0</v>
      </c>
      <c r="I499" s="6" t="b">
        <f t="shared" ca="1" si="15"/>
        <v>0</v>
      </c>
      <c r="J499" s="7">
        <f ca="1">IFERROR(__xludf.dummyfunction("GOOGLEFINANCE(""NSE:""&amp;A343, ""changepct"")"),-0.18)</f>
        <v>-0.18</v>
      </c>
    </row>
    <row r="500" spans="1:10" ht="13.8">
      <c r="A500" s="5" t="s">
        <v>504</v>
      </c>
      <c r="B500" s="6">
        <f ca="1">IFERROR(__xludf.dummyfunction("GOOGLEFINANCE(""NSE:""&amp;A148, ""price"")"),1370)</f>
        <v>1370</v>
      </c>
      <c r="C500" s="6">
        <f ca="1">IFERROR(__xludf.dummyfunction("GOOGLEFINANCE(""NSE:""&amp;A148, ""priceopen"")"),1334)</f>
        <v>1334</v>
      </c>
      <c r="D500" s="6">
        <f ca="1">IFERROR(__xludf.dummyfunction("GOOGLEFINANCE(""NSE:""&amp;A148, ""high"")"),1384)</f>
        <v>1384</v>
      </c>
      <c r="E500" s="6">
        <f ca="1">IFERROR(__xludf.dummyfunction("GOOGLEFINANCE(""NSE:""&amp;A148, ""low"")"),1331.8)</f>
        <v>1331.8</v>
      </c>
      <c r="F500" s="6">
        <f ca="1">IFERROR(__xludf.dummyfunction("GOOGLEFINANCE(""NSE:""&amp;A148, ""closeyest"")"),1341.4)</f>
        <v>1341.4</v>
      </c>
      <c r="G500" s="6">
        <f ca="1">IFERROR(__xludf.dummyfunction("GOOGLEFINANCE(""NSE:""&amp;A148, ""volume"")"),2652)</f>
        <v>2652</v>
      </c>
      <c r="H500" s="6" t="b">
        <f t="shared" ca="1" si="14"/>
        <v>0</v>
      </c>
      <c r="I500" s="6" t="b">
        <f t="shared" ca="1" si="15"/>
        <v>0</v>
      </c>
      <c r="J500" s="7">
        <f ca="1">IFERROR(__xludf.dummyfunction("GOOGLEFINANCE(""NSE:""&amp;A148, ""changepct"")"),2.13)</f>
        <v>2.13</v>
      </c>
    </row>
    <row r="501" spans="1:10" ht="13.8">
      <c r="A501" s="5" t="s">
        <v>505</v>
      </c>
      <c r="B501" s="6">
        <f ca="1">IFERROR(__xludf.dummyfunction("GOOGLEFINANCE(""NSE:""&amp;A185, ""price"")"),905.25)</f>
        <v>905.25</v>
      </c>
      <c r="C501" s="6">
        <f ca="1">IFERROR(__xludf.dummyfunction("GOOGLEFINANCE(""NSE:""&amp;A185, ""priceopen"")"),898.95)</f>
        <v>898.95</v>
      </c>
      <c r="D501" s="6">
        <f ca="1">IFERROR(__xludf.dummyfunction("GOOGLEFINANCE(""NSE:""&amp;A185, ""high"")"),913.05)</f>
        <v>913.05</v>
      </c>
      <c r="E501" s="6">
        <f ca="1">IFERROR(__xludf.dummyfunction("GOOGLEFINANCE(""NSE:""&amp;A185, ""low"")"),893.6)</f>
        <v>893.6</v>
      </c>
      <c r="F501" s="6">
        <f ca="1">IFERROR(__xludf.dummyfunction("GOOGLEFINANCE(""NSE:""&amp;A185, ""closeyest"")"),890.75)</f>
        <v>890.75</v>
      </c>
      <c r="G501" s="6">
        <f ca="1">IFERROR(__xludf.dummyfunction("GOOGLEFINANCE(""NSE:""&amp;A185, ""volume"")"),2364)</f>
        <v>2364</v>
      </c>
      <c r="H501" s="6" t="b">
        <f t="shared" ca="1" si="14"/>
        <v>0</v>
      </c>
      <c r="I501" s="6" t="b">
        <f t="shared" ca="1" si="15"/>
        <v>0</v>
      </c>
      <c r="J501" s="7">
        <f ca="1">IFERROR(__xludf.dummyfunction("GOOGLEFINANCE(""NSE:""&amp;A185, ""changepct"")"),1.63)</f>
        <v>1.63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varun</cp:lastModifiedBy>
  <cp:revision>1</cp:revision>
  <dcterms:modified xsi:type="dcterms:W3CDTF">2021-01-20T20:30:18Z</dcterms:modified>
  <dc:language>en-IN</dc:language>
</cp:coreProperties>
</file>