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sofija\"/>
    </mc:Choice>
  </mc:AlternateContent>
  <bookViews>
    <workbookView xWindow="0" yWindow="0" windowWidth="12120" windowHeight="8190"/>
  </bookViews>
  <sheets>
    <sheet name="1 T 26-11-2009" sheetId="13" r:id="rId1"/>
    <sheet name="2 T 12-1-2010" sheetId="14" r:id="rId2"/>
    <sheet name="3 T 25-2-2010" sheetId="15" r:id="rId3"/>
    <sheet name="List3" sheetId="16" r:id="rId4"/>
  </sheets>
  <calcPr calcId="152511"/>
</workbook>
</file>

<file path=xl/calcChain.xml><?xml version="1.0" encoding="utf-8"?>
<calcChain xmlns="http://schemas.openxmlformats.org/spreadsheetml/2006/main">
  <c r="C2" i="13" l="1"/>
  <c r="D2" i="13"/>
  <c r="C3" i="13"/>
  <c r="D3" i="13"/>
  <c r="C4" i="13"/>
  <c r="D4" i="13"/>
  <c r="C5" i="13"/>
  <c r="D5" i="13"/>
  <c r="C6" i="13"/>
  <c r="D6" i="13"/>
  <c r="C7" i="13"/>
  <c r="D7" i="13"/>
  <c r="B27" i="13" s="1"/>
  <c r="C8" i="13"/>
  <c r="D8" i="13"/>
  <c r="C9" i="13"/>
  <c r="D9" i="13"/>
  <c r="C10" i="13"/>
  <c r="D10" i="13"/>
  <c r="C11" i="13"/>
  <c r="D11" i="13"/>
  <c r="B28" i="13" s="1"/>
  <c r="C12" i="13"/>
  <c r="D12" i="13"/>
  <c r="C13" i="13"/>
  <c r="D13" i="13"/>
  <c r="C14" i="13"/>
  <c r="D14" i="13"/>
  <c r="C15" i="13"/>
  <c r="D15" i="13"/>
  <c r="B29" i="13" s="1"/>
  <c r="C16" i="13"/>
  <c r="D16" i="13"/>
  <c r="C17" i="13"/>
  <c r="D17" i="13"/>
  <c r="C2" i="14"/>
  <c r="D2" i="14"/>
  <c r="E2" i="14"/>
  <c r="F2" i="14"/>
  <c r="C38" i="13" s="1"/>
  <c r="G2" i="14"/>
  <c r="H2" i="14"/>
  <c r="I2" i="14"/>
  <c r="J2" i="14"/>
  <c r="C62" i="13" s="1"/>
  <c r="K2" i="14"/>
  <c r="L2" i="14"/>
  <c r="M2" i="14"/>
  <c r="N2" i="14"/>
  <c r="C87" i="13" s="1"/>
  <c r="O2" i="14"/>
  <c r="P2" i="14"/>
  <c r="Q2" i="14"/>
  <c r="S2" i="14"/>
  <c r="T2" i="14"/>
  <c r="U2" i="14"/>
  <c r="C3" i="14"/>
  <c r="D3" i="14"/>
  <c r="C26" i="13" s="1"/>
  <c r="E3" i="14"/>
  <c r="G3" i="14"/>
  <c r="L3" i="14"/>
  <c r="O3" i="14"/>
  <c r="C93" i="13" s="1"/>
  <c r="R3" i="14"/>
  <c r="C4" i="14"/>
  <c r="D4" i="14"/>
  <c r="E4" i="14"/>
  <c r="C32" i="13" s="1"/>
  <c r="F4" i="14"/>
  <c r="G4" i="14"/>
  <c r="H4" i="14"/>
  <c r="I4" i="14"/>
  <c r="C56" i="13" s="1"/>
  <c r="J4" i="14"/>
  <c r="K4" i="14"/>
  <c r="L4" i="14"/>
  <c r="M4" i="14"/>
  <c r="N4" i="14"/>
  <c r="O4" i="14"/>
  <c r="P4" i="14"/>
  <c r="Q4" i="14"/>
  <c r="C112" i="13" s="1"/>
  <c r="T4" i="14"/>
  <c r="U4" i="14"/>
  <c r="C5" i="14"/>
  <c r="D5" i="14"/>
  <c r="E5" i="14"/>
  <c r="F5" i="14"/>
  <c r="G5" i="14"/>
  <c r="H5" i="14"/>
  <c r="C50" i="13" s="1"/>
  <c r="I5" i="14"/>
  <c r="J5" i="14"/>
  <c r="K5" i="14"/>
  <c r="L5" i="14"/>
  <c r="M5" i="14"/>
  <c r="N5" i="14"/>
  <c r="O5" i="14"/>
  <c r="P5" i="14"/>
  <c r="Q5" i="14"/>
  <c r="C6" i="14"/>
  <c r="D6" i="14"/>
  <c r="E6" i="14"/>
  <c r="F6" i="14"/>
  <c r="G6" i="14"/>
  <c r="H6" i="14"/>
  <c r="I6" i="14"/>
  <c r="J6" i="14"/>
  <c r="K6" i="14"/>
  <c r="L6" i="14"/>
  <c r="M6" i="14"/>
  <c r="C82" i="13" s="1"/>
  <c r="N6" i="14"/>
  <c r="O6" i="14"/>
  <c r="P6" i="14"/>
  <c r="Q6" i="14"/>
  <c r="C113" i="13" s="1"/>
  <c r="T6" i="14"/>
  <c r="U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C101" i="13" s="1"/>
  <c r="Q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T8" i="14"/>
  <c r="U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S9" i="14"/>
  <c r="T9" i="14"/>
  <c r="U9" i="14"/>
  <c r="C10" i="14"/>
  <c r="D10" i="14"/>
  <c r="E10" i="14"/>
  <c r="F10" i="14"/>
  <c r="C40" i="13" s="1"/>
  <c r="G10" i="14"/>
  <c r="H10" i="14"/>
  <c r="I10" i="14"/>
  <c r="J10" i="14"/>
  <c r="C64" i="13" s="1"/>
  <c r="K10" i="14"/>
  <c r="L10" i="14"/>
  <c r="M10" i="14"/>
  <c r="N10" i="14"/>
  <c r="C89" i="13" s="1"/>
  <c r="O10" i="14"/>
  <c r="P10" i="14"/>
  <c r="Q10" i="14"/>
  <c r="S10" i="14"/>
  <c r="C76" i="13" s="1"/>
  <c r="T10" i="14"/>
  <c r="U10" i="14"/>
  <c r="C11" i="14"/>
  <c r="D11" i="14"/>
  <c r="C28" i="13" s="1"/>
  <c r="E11" i="14"/>
  <c r="F11" i="14"/>
  <c r="G11" i="14"/>
  <c r="H11" i="14"/>
  <c r="C52" i="13" s="1"/>
  <c r="I11" i="14"/>
  <c r="J11" i="14"/>
  <c r="K11" i="14"/>
  <c r="L11" i="14"/>
  <c r="C127" i="13" s="1"/>
  <c r="M11" i="14"/>
  <c r="N11" i="14"/>
  <c r="O11" i="14"/>
  <c r="P11" i="14"/>
  <c r="C102" i="13" s="1"/>
  <c r="Q11" i="14"/>
  <c r="T11" i="14"/>
  <c r="U11" i="14"/>
  <c r="C12" i="14"/>
  <c r="G22" i="13" s="1"/>
  <c r="D12" i="14"/>
  <c r="E12" i="14"/>
  <c r="F12" i="14"/>
  <c r="G12" i="14"/>
  <c r="H12" i="14"/>
  <c r="I12" i="14"/>
  <c r="J12" i="14"/>
  <c r="K12" i="14"/>
  <c r="C70" i="13" s="1"/>
  <c r="L12" i="14"/>
  <c r="M12" i="14"/>
  <c r="N12" i="14"/>
  <c r="O12" i="14"/>
  <c r="C95" i="13" s="1"/>
  <c r="P12" i="14"/>
  <c r="Q12" i="14"/>
  <c r="T12" i="14"/>
  <c r="U12" i="14"/>
  <c r="C140" i="13" s="1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S13" i="14"/>
  <c r="T13" i="14"/>
  <c r="U13" i="14"/>
  <c r="C14" i="14"/>
  <c r="D14" i="14"/>
  <c r="C29" i="13" s="1"/>
  <c r="E14" i="14"/>
  <c r="F14" i="14"/>
  <c r="G14" i="14"/>
  <c r="H14" i="14"/>
  <c r="C53" i="13" s="1"/>
  <c r="I14" i="14"/>
  <c r="J14" i="14"/>
  <c r="K14" i="14"/>
  <c r="L14" i="14"/>
  <c r="C128" i="13" s="1"/>
  <c r="M14" i="14"/>
  <c r="N14" i="14"/>
  <c r="O14" i="14"/>
  <c r="P14" i="14"/>
  <c r="C103" i="13" s="1"/>
  <c r="Q14" i="14"/>
  <c r="S14" i="14"/>
  <c r="T14" i="14"/>
  <c r="U14" i="14"/>
  <c r="C141" i="13" s="1"/>
  <c r="C15" i="14"/>
  <c r="D15" i="14"/>
  <c r="E15" i="14"/>
  <c r="F15" i="14"/>
  <c r="C41" i="13" s="1"/>
  <c r="G15" i="14"/>
  <c r="H15" i="14"/>
  <c r="I15" i="14"/>
  <c r="J15" i="14"/>
  <c r="C65" i="13" s="1"/>
  <c r="K15" i="14"/>
  <c r="L15" i="14"/>
  <c r="M15" i="14"/>
  <c r="N15" i="14"/>
  <c r="O15" i="14"/>
  <c r="P15" i="14"/>
  <c r="Q15" i="14"/>
  <c r="R15" i="14"/>
  <c r="C148" i="13" s="1"/>
  <c r="T15" i="14"/>
  <c r="U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S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S17" i="14"/>
  <c r="T17" i="14"/>
  <c r="U17" i="14"/>
  <c r="I47" i="13"/>
  <c r="I34" i="13"/>
  <c r="H34" i="13"/>
  <c r="G34" i="13"/>
  <c r="I32" i="13"/>
  <c r="H32" i="13"/>
  <c r="G32" i="13"/>
  <c r="G23" i="13"/>
  <c r="G21" i="13"/>
  <c r="F23" i="13"/>
  <c r="F22" i="13"/>
  <c r="F21" i="13"/>
  <c r="G20" i="13"/>
  <c r="F20" i="13"/>
  <c r="D148" i="13"/>
  <c r="D147" i="13"/>
  <c r="D146" i="13"/>
  <c r="D145" i="13"/>
  <c r="C147" i="13"/>
  <c r="C146" i="13"/>
  <c r="B148" i="13"/>
  <c r="B147" i="13"/>
  <c r="B146" i="13"/>
  <c r="B140" i="13"/>
  <c r="U17" i="15"/>
  <c r="U16" i="15"/>
  <c r="U15" i="15"/>
  <c r="D141" i="13" s="1"/>
  <c r="U13" i="15"/>
  <c r="U12" i="15"/>
  <c r="U10" i="15"/>
  <c r="D140" i="13" s="1"/>
  <c r="U9" i="15"/>
  <c r="U8" i="15"/>
  <c r="U7" i="15"/>
  <c r="U6" i="15"/>
  <c r="D139" i="13" s="1"/>
  <c r="U5" i="15"/>
  <c r="U3" i="15"/>
  <c r="D138" i="13" s="1"/>
  <c r="C139" i="13"/>
  <c r="C138" i="13"/>
  <c r="B141" i="13"/>
  <c r="B139" i="13"/>
  <c r="B138" i="13"/>
  <c r="T17" i="15"/>
  <c r="T16" i="15"/>
  <c r="T15" i="15"/>
  <c r="D135" i="13"/>
  <c r="T13" i="15"/>
  <c r="T12" i="15"/>
  <c r="T10" i="15"/>
  <c r="D134" i="13"/>
  <c r="T9" i="15"/>
  <c r="T8" i="15"/>
  <c r="T7" i="15"/>
  <c r="T6" i="15"/>
  <c r="D133" i="13" s="1"/>
  <c r="T5" i="15"/>
  <c r="T3" i="15"/>
  <c r="D132" i="13"/>
  <c r="C135" i="13"/>
  <c r="C134" i="13"/>
  <c r="C133" i="13"/>
  <c r="C132" i="13"/>
  <c r="B135" i="13"/>
  <c r="B134" i="13"/>
  <c r="B133" i="13"/>
  <c r="B132" i="13"/>
  <c r="D77" i="13"/>
  <c r="S13" i="15"/>
  <c r="S12" i="15"/>
  <c r="S10" i="15"/>
  <c r="D76" i="13" s="1"/>
  <c r="S9" i="15"/>
  <c r="D75" i="13"/>
  <c r="S5" i="15"/>
  <c r="S4" i="15"/>
  <c r="S3" i="15"/>
  <c r="S2" i="15"/>
  <c r="D74" i="13"/>
  <c r="C77" i="13"/>
  <c r="C75" i="13"/>
  <c r="C74" i="13"/>
  <c r="B77" i="13"/>
  <c r="B76" i="13"/>
  <c r="B75" i="13"/>
  <c r="B74" i="13"/>
  <c r="C145" i="13"/>
  <c r="B145" i="13"/>
  <c r="Q17" i="15"/>
  <c r="Q16" i="15"/>
  <c r="Q15" i="15"/>
  <c r="Q14" i="15"/>
  <c r="D115" i="13"/>
  <c r="Q13" i="15"/>
  <c r="Q12" i="15"/>
  <c r="Q11" i="15"/>
  <c r="Q10" i="15"/>
  <c r="D114" i="13" s="1"/>
  <c r="Q9" i="15"/>
  <c r="Q7" i="15"/>
  <c r="Q6" i="15"/>
  <c r="D113" i="13" s="1"/>
  <c r="Q5" i="15"/>
  <c r="Q4" i="15"/>
  <c r="Q3" i="15"/>
  <c r="Q2" i="15"/>
  <c r="D112" i="13" s="1"/>
  <c r="B115" i="13"/>
  <c r="B114" i="13"/>
  <c r="M17" i="15"/>
  <c r="M16" i="15"/>
  <c r="M15" i="15"/>
  <c r="M14" i="15"/>
  <c r="D84" i="13" s="1"/>
  <c r="M13" i="15"/>
  <c r="M12" i="15"/>
  <c r="M11" i="15"/>
  <c r="D83" i="13" s="1"/>
  <c r="M10" i="15"/>
  <c r="M9" i="15"/>
  <c r="M7" i="15"/>
  <c r="D82" i="13" s="1"/>
  <c r="M6" i="15"/>
  <c r="M5" i="15"/>
  <c r="M4" i="15"/>
  <c r="M3" i="15"/>
  <c r="M2" i="15"/>
  <c r="D81" i="13"/>
  <c r="C84" i="13"/>
  <c r="C83" i="13"/>
  <c r="C81" i="13"/>
  <c r="B84" i="13"/>
  <c r="B83" i="13"/>
  <c r="B82" i="13"/>
  <c r="B81" i="13"/>
  <c r="N17" i="15"/>
  <c r="N16" i="15"/>
  <c r="N15" i="15"/>
  <c r="N14" i="15"/>
  <c r="D90" i="13" s="1"/>
  <c r="N13" i="15"/>
  <c r="N12" i="15"/>
  <c r="N11" i="15"/>
  <c r="N10" i="15"/>
  <c r="D89" i="13" s="1"/>
  <c r="N9" i="15"/>
  <c r="N7" i="15"/>
  <c r="N6" i="15"/>
  <c r="D88" i="13" s="1"/>
  <c r="N5" i="15"/>
  <c r="N4" i="15"/>
  <c r="N3" i="15"/>
  <c r="N2" i="15"/>
  <c r="D87" i="13" s="1"/>
  <c r="C90" i="13"/>
  <c r="C88" i="13"/>
  <c r="B88" i="13"/>
  <c r="B90" i="13"/>
  <c r="B89" i="13"/>
  <c r="B87" i="13"/>
  <c r="L2" i="15"/>
  <c r="D125" i="13" s="1"/>
  <c r="L17" i="15"/>
  <c r="L16" i="15"/>
  <c r="L15" i="15"/>
  <c r="L14" i="15"/>
  <c r="D128" i="13" s="1"/>
  <c r="L13" i="15"/>
  <c r="L12" i="15"/>
  <c r="L11" i="15"/>
  <c r="D127" i="13" s="1"/>
  <c r="L10" i="15"/>
  <c r="L9" i="15"/>
  <c r="D126" i="13" s="1"/>
  <c r="L8" i="15"/>
  <c r="L7" i="15"/>
  <c r="L6" i="15"/>
  <c r="L5" i="15"/>
  <c r="L4" i="15"/>
  <c r="L3" i="15"/>
  <c r="C125" i="13"/>
  <c r="B125" i="13"/>
  <c r="B126" i="13"/>
  <c r="B127" i="13"/>
  <c r="B128" i="13"/>
  <c r="O11" i="15"/>
  <c r="C17" i="15"/>
  <c r="C16" i="15"/>
  <c r="C15" i="15"/>
  <c r="C14" i="15"/>
  <c r="H23" i="13" s="1"/>
  <c r="C13" i="15"/>
  <c r="C12" i="15"/>
  <c r="C11" i="15"/>
  <c r="C10" i="15"/>
  <c r="H22" i="13" s="1"/>
  <c r="C9" i="15"/>
  <c r="C8" i="15"/>
  <c r="C7" i="15"/>
  <c r="D21" i="13" s="1"/>
  <c r="C6" i="15"/>
  <c r="H21" i="13" s="1"/>
  <c r="C5" i="15"/>
  <c r="C4" i="15"/>
  <c r="C3" i="15"/>
  <c r="H20" i="13" s="1"/>
  <c r="C2" i="15"/>
  <c r="D20" i="13" s="1"/>
  <c r="Q8" i="15"/>
  <c r="C115" i="13"/>
  <c r="C114" i="13"/>
  <c r="B112" i="13"/>
  <c r="B113" i="13"/>
  <c r="B20" i="13"/>
  <c r="C20" i="13"/>
  <c r="B21" i="13"/>
  <c r="C21" i="13"/>
  <c r="B22" i="13"/>
  <c r="D22" i="13"/>
  <c r="B23" i="13"/>
  <c r="C23" i="13"/>
  <c r="B26" i="13"/>
  <c r="D2" i="15"/>
  <c r="D3" i="15"/>
  <c r="D4" i="15"/>
  <c r="D26" i="13" s="1"/>
  <c r="D5" i="15"/>
  <c r="C27" i="13"/>
  <c r="D6" i="15"/>
  <c r="E27" i="13" s="1"/>
  <c r="D7" i="15"/>
  <c r="D8" i="15"/>
  <c r="D9" i="15"/>
  <c r="D27" i="13" s="1"/>
  <c r="D10" i="15"/>
  <c r="E28" i="13" s="1"/>
  <c r="D11" i="15"/>
  <c r="D12" i="15"/>
  <c r="D13" i="15"/>
  <c r="D28" i="13"/>
  <c r="D14" i="15"/>
  <c r="E29" i="13" s="1"/>
  <c r="D15" i="15"/>
  <c r="D29" i="13" s="1"/>
  <c r="D16" i="15"/>
  <c r="D17" i="15"/>
  <c r="B32" i="13"/>
  <c r="E2" i="15"/>
  <c r="E3" i="15"/>
  <c r="E4" i="15"/>
  <c r="D32" i="13" s="1"/>
  <c r="E5" i="15"/>
  <c r="B33" i="13"/>
  <c r="C33" i="13"/>
  <c r="E6" i="15"/>
  <c r="E7" i="15"/>
  <c r="E8" i="15"/>
  <c r="E9" i="15"/>
  <c r="D33" i="13" s="1"/>
  <c r="B34" i="13"/>
  <c r="C34" i="13"/>
  <c r="E10" i="15"/>
  <c r="E11" i="15"/>
  <c r="E12" i="15"/>
  <c r="E13" i="15"/>
  <c r="D34" i="13"/>
  <c r="B35" i="13"/>
  <c r="C35" i="13"/>
  <c r="E14" i="15"/>
  <c r="E15" i="15"/>
  <c r="D35" i="13" s="1"/>
  <c r="E16" i="15"/>
  <c r="E17" i="15"/>
  <c r="B38" i="13"/>
  <c r="F2" i="15"/>
  <c r="F3" i="15"/>
  <c r="D38" i="13" s="1"/>
  <c r="F4" i="15"/>
  <c r="F5" i="15"/>
  <c r="B39" i="13"/>
  <c r="C39" i="13"/>
  <c r="F6" i="15"/>
  <c r="F7" i="15"/>
  <c r="F8" i="15"/>
  <c r="F9" i="15"/>
  <c r="D39" i="13" s="1"/>
  <c r="B40" i="13"/>
  <c r="F10" i="15"/>
  <c r="F11" i="15"/>
  <c r="F12" i="15"/>
  <c r="F13" i="15"/>
  <c r="D40" i="13"/>
  <c r="B41" i="13"/>
  <c r="F14" i="15"/>
  <c r="F15" i="15"/>
  <c r="D41" i="13" s="1"/>
  <c r="F16" i="15"/>
  <c r="F17" i="15"/>
  <c r="B44" i="13"/>
  <c r="B45" i="13"/>
  <c r="B46" i="13"/>
  <c r="B47" i="13"/>
  <c r="B50" i="13"/>
  <c r="H2" i="15"/>
  <c r="H3" i="15"/>
  <c r="D50" i="13" s="1"/>
  <c r="H4" i="15"/>
  <c r="H5" i="15"/>
  <c r="B51" i="13"/>
  <c r="C51" i="13"/>
  <c r="H6" i="15"/>
  <c r="H7" i="15"/>
  <c r="H8" i="15"/>
  <c r="H9" i="15"/>
  <c r="D51" i="13" s="1"/>
  <c r="B52" i="13"/>
  <c r="H10" i="15"/>
  <c r="H11" i="15"/>
  <c r="H12" i="15"/>
  <c r="H13" i="15"/>
  <c r="D52" i="13"/>
  <c r="B53" i="13"/>
  <c r="H14" i="15"/>
  <c r="H15" i="15"/>
  <c r="D53" i="13" s="1"/>
  <c r="H16" i="15"/>
  <c r="H17" i="15"/>
  <c r="B56" i="13"/>
  <c r="I2" i="15"/>
  <c r="I3" i="15"/>
  <c r="D56" i="13" s="1"/>
  <c r="I4" i="15"/>
  <c r="I5" i="15"/>
  <c r="B57" i="13"/>
  <c r="C57" i="13"/>
  <c r="I6" i="15"/>
  <c r="I7" i="15"/>
  <c r="I8" i="15"/>
  <c r="I9" i="15"/>
  <c r="D57" i="13" s="1"/>
  <c r="B58" i="13"/>
  <c r="C58" i="13"/>
  <c r="I10" i="15"/>
  <c r="I11" i="15"/>
  <c r="I12" i="15"/>
  <c r="I13" i="15"/>
  <c r="D58" i="13"/>
  <c r="B59" i="13"/>
  <c r="C59" i="13"/>
  <c r="I14" i="15"/>
  <c r="I15" i="15"/>
  <c r="D59" i="13" s="1"/>
  <c r="I16" i="15"/>
  <c r="I17" i="15"/>
  <c r="B62" i="13"/>
  <c r="J2" i="15"/>
  <c r="J3" i="15"/>
  <c r="J4" i="15"/>
  <c r="D62" i="13" s="1"/>
  <c r="J5" i="15"/>
  <c r="B63" i="13"/>
  <c r="C63" i="13"/>
  <c r="J6" i="15"/>
  <c r="J7" i="15"/>
  <c r="J8" i="15"/>
  <c r="J9" i="15"/>
  <c r="D63" i="13" s="1"/>
  <c r="B64" i="13"/>
  <c r="J10" i="15"/>
  <c r="J11" i="15"/>
  <c r="J12" i="15"/>
  <c r="J13" i="15"/>
  <c r="D64" i="13"/>
  <c r="B65" i="13"/>
  <c r="J14" i="15"/>
  <c r="J15" i="15"/>
  <c r="D65" i="13" s="1"/>
  <c r="J16" i="15"/>
  <c r="J17" i="15"/>
  <c r="B68" i="13"/>
  <c r="C68" i="13"/>
  <c r="K2" i="15"/>
  <c r="K3" i="15"/>
  <c r="K4" i="15"/>
  <c r="D68" i="13" s="1"/>
  <c r="K5" i="15"/>
  <c r="B69" i="13"/>
  <c r="C69" i="13"/>
  <c r="K6" i="15"/>
  <c r="K7" i="15"/>
  <c r="K8" i="15"/>
  <c r="K9" i="15"/>
  <c r="D69" i="13" s="1"/>
  <c r="B70" i="13"/>
  <c r="K10" i="15"/>
  <c r="K11" i="15"/>
  <c r="K12" i="15"/>
  <c r="K13" i="15"/>
  <c r="D70" i="13"/>
  <c r="B71" i="13"/>
  <c r="C71" i="13"/>
  <c r="K14" i="15"/>
  <c r="K15" i="15"/>
  <c r="D71" i="13" s="1"/>
  <c r="K16" i="15"/>
  <c r="K17" i="15"/>
  <c r="C126" i="13"/>
  <c r="M8" i="15"/>
  <c r="N8" i="15"/>
  <c r="B93" i="13"/>
  <c r="O2" i="15"/>
  <c r="O3" i="15"/>
  <c r="O4" i="15"/>
  <c r="D93" i="13" s="1"/>
  <c r="O5" i="15"/>
  <c r="B94" i="13"/>
  <c r="C94" i="13"/>
  <c r="O6" i="15"/>
  <c r="O7" i="15"/>
  <c r="O8" i="15"/>
  <c r="O9" i="15"/>
  <c r="D94" i="13" s="1"/>
  <c r="B95" i="13"/>
  <c r="O10" i="15"/>
  <c r="D95" i="13" s="1"/>
  <c r="O12" i="15"/>
  <c r="O13" i="15"/>
  <c r="B96" i="13"/>
  <c r="C96" i="13"/>
  <c r="O14" i="15"/>
  <c r="O15" i="15"/>
  <c r="O16" i="15"/>
  <c r="D96" i="13" s="1"/>
  <c r="O17" i="15"/>
  <c r="B100" i="13"/>
  <c r="C100" i="13"/>
  <c r="P2" i="15"/>
  <c r="P3" i="15"/>
  <c r="P4" i="15"/>
  <c r="P5" i="15"/>
  <c r="D100" i="13" s="1"/>
  <c r="B101" i="13"/>
  <c r="P6" i="15"/>
  <c r="P7" i="15"/>
  <c r="P8" i="15"/>
  <c r="P9" i="15"/>
  <c r="D101" i="13"/>
  <c r="B102" i="13"/>
  <c r="P10" i="15"/>
  <c r="P11" i="15"/>
  <c r="D102" i="13" s="1"/>
  <c r="P12" i="15"/>
  <c r="P13" i="15"/>
  <c r="B103" i="13"/>
  <c r="P14" i="15"/>
  <c r="P15" i="15"/>
  <c r="P16" i="15"/>
  <c r="D103" i="13" s="1"/>
  <c r="P17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D23" i="13" l="1"/>
  <c r="C22" i="13"/>
  <c r="E26" i="13"/>
</calcChain>
</file>

<file path=xl/sharedStrings.xml><?xml version="1.0" encoding="utf-8"?>
<sst xmlns="http://schemas.openxmlformats.org/spreadsheetml/2006/main" count="177" uniqueCount="46">
  <si>
    <t>Gnojenje</t>
  </si>
  <si>
    <t>ponovitev</t>
  </si>
  <si>
    <t>% ukoreninjenja</t>
  </si>
  <si>
    <t>% preživelih</t>
  </si>
  <si>
    <t>% kalus</t>
  </si>
  <si>
    <t>% korenine in kalus</t>
  </si>
  <si>
    <t>% propadlih po ukoreninjenju</t>
  </si>
  <si>
    <t>% akrobazalno ukoreninjenje</t>
  </si>
  <si>
    <t>% bazalno ukoreninjenje</t>
  </si>
  <si>
    <t>Povprečno število glavnih korenin</t>
  </si>
  <si>
    <t>Povprečna dolžina koreninskega šopa (cm)</t>
  </si>
  <si>
    <t>Povprečna prirast glavnega poganjka (cm)</t>
  </si>
  <si>
    <t>Povprečna prirast stranskih poganjkov (cm)</t>
  </si>
  <si>
    <t>Število stranskih poganjkov</t>
  </si>
  <si>
    <t>(%) s kalusom samo razred 2</t>
  </si>
  <si>
    <t>(% odgnanih)</t>
  </si>
  <si>
    <t>kontrola</t>
  </si>
  <si>
    <t>NPK 16-9-12 (0,2 g N)</t>
  </si>
  <si>
    <t>NPK 11-11-18 (0,2 g N)</t>
  </si>
  <si>
    <t>NPK 11-11-18 (0,4 g N)</t>
  </si>
  <si>
    <t>% kalus (samo 2)</t>
  </si>
  <si>
    <t>% odgnanih</t>
  </si>
  <si>
    <t>% ulončenih potaknjencev</t>
  </si>
  <si>
    <t>Povprečna dolžina prirasta</t>
  </si>
  <si>
    <t>% Preživelih ulončenih potaknjencev po prezimitvi</t>
  </si>
  <si>
    <t>Ocenjevanje preživelosti potaknjencev glede na termin bonitiranja</t>
  </si>
  <si>
    <t>Povprečna  skupna prirast stranskih poganjkov (cm)</t>
  </si>
  <si>
    <t>Delez prezivelih razred 1</t>
  </si>
  <si>
    <t>Delez korenin brez kalusa (5 in 6)</t>
  </si>
  <si>
    <t>Povp dol pos str pog</t>
  </si>
  <si>
    <t>Delez potaknjencev s stranskimi pog</t>
  </si>
  <si>
    <t>Povprečna dolžina posameznega str poganjka</t>
  </si>
  <si>
    <t>Delež potaknjencev razvili stranske poganjke</t>
  </si>
  <si>
    <r>
      <t>26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Nov.</t>
    </r>
  </si>
  <si>
    <r>
      <t>12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Jan.</t>
    </r>
  </si>
  <si>
    <r>
      <t>25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Feb.</t>
    </r>
  </si>
  <si>
    <t>Control</t>
  </si>
  <si>
    <t>Average</t>
  </si>
  <si>
    <t>Standard error</t>
  </si>
  <si>
    <t>16-9-12 (0.2 g N)</t>
  </si>
  <si>
    <t>11-11-18 (0.2 g N)</t>
  </si>
  <si>
    <t>11-11-18 (0.4 g N)</t>
  </si>
  <si>
    <t>% survived</t>
  </si>
  <si>
    <t>26 November</t>
  </si>
  <si>
    <t>25 February</t>
  </si>
  <si>
    <t>12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</si>
</sst>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" x14ac:knownFonts="1">
    <font>
      <sz val="10"/>
      <name val="Arial"/>
      <family val="2"/>
      <charset val="238"/>
    </font>
    <font>
      <sz val="8"/>
      <name val="Arial"/>
      <family val="2"/>
      <charset val="238"/>
    </font>
    <font>
      <vertAlign val="super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43"/>
      </patternFill>
    </fill>
    <fill>
      <patternFill patternType="solid">
        <fgColor indexed="40"/>
        <bgColor indexed="38"/>
      </patternFill>
    </fill>
    <fill>
      <patternFill patternType="solid">
        <fgColor indexed="19"/>
        <bgColor indexed="63"/>
      </patternFill>
    </fill>
    <fill>
      <patternFill patternType="solid">
        <fgColor indexed="49"/>
        <bgColor indexed="38"/>
      </patternFill>
    </fill>
    <fill>
      <patternFill patternType="solid">
        <fgColor indexed="46"/>
        <bgColor indexed="24"/>
      </patternFill>
    </fill>
    <fill>
      <patternFill patternType="solid">
        <fgColor indexed="11"/>
        <bgColor indexed="35"/>
      </patternFill>
    </fill>
    <fill>
      <patternFill patternType="solid">
        <fgColor indexed="51"/>
        <bgColor indexed="22"/>
      </patternFill>
    </fill>
    <fill>
      <patternFill patternType="solid">
        <fgColor indexed="53"/>
        <bgColor indexed="52"/>
      </patternFill>
    </fill>
    <fill>
      <patternFill patternType="solid">
        <fgColor indexed="14"/>
        <bgColor indexed="33"/>
      </patternFill>
    </fill>
    <fill>
      <patternFill patternType="solid">
        <fgColor indexed="27"/>
        <bgColor indexed="41"/>
      </patternFill>
    </fill>
    <fill>
      <patternFill patternType="solid">
        <fgColor indexed="23"/>
        <bgColor indexed="54"/>
      </patternFill>
    </fill>
    <fill>
      <patternFill patternType="solid">
        <fgColor indexed="10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38"/>
        <bgColor indexed="49"/>
      </patternFill>
    </fill>
    <fill>
      <patternFill patternType="solid">
        <fgColor indexed="22"/>
        <bgColor indexed="5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55"/>
        <bgColor indexed="24"/>
      </patternFill>
    </fill>
    <fill>
      <patternFill patternType="solid">
        <fgColor indexed="29"/>
        <bgColor indexed="61"/>
      </patternFill>
    </fill>
    <fill>
      <patternFill patternType="solid">
        <fgColor indexed="63"/>
        <bgColor indexed="19"/>
      </patternFill>
    </fill>
    <fill>
      <patternFill patternType="solid">
        <fgColor indexed="35"/>
        <bgColor indexed="11"/>
      </patternFill>
    </fill>
    <fill>
      <patternFill patternType="solid">
        <fgColor indexed="62"/>
        <bgColor indexed="54"/>
      </patternFill>
    </fill>
    <fill>
      <patternFill patternType="solid">
        <fgColor indexed="61"/>
        <bgColor indexed="10"/>
      </patternFill>
    </fill>
    <fill>
      <patternFill patternType="solid">
        <fgColor indexed="59"/>
        <bgColor indexed="19"/>
      </patternFill>
    </fill>
    <fill>
      <patternFill patternType="solid">
        <fgColor indexed="15"/>
        <bgColor indexed="35"/>
      </patternFill>
    </fill>
    <fill>
      <patternFill patternType="solid">
        <fgColor indexed="25"/>
        <bgColor indexed="60"/>
      </patternFill>
    </fill>
    <fill>
      <patternFill patternType="solid">
        <fgColor indexed="6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6" borderId="0" xfId="0" applyFont="1" applyFill="1"/>
    <xf numFmtId="0" fontId="0" fillId="0" borderId="0" xfId="0" applyFont="1"/>
    <xf numFmtId="0" fontId="0" fillId="7" borderId="0" xfId="0" applyFill="1"/>
    <xf numFmtId="2" fontId="0" fillId="7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8" borderId="0" xfId="0" applyFill="1"/>
    <xf numFmtId="2" fontId="0" fillId="8" borderId="0" xfId="0" applyNumberFormat="1" applyFill="1"/>
    <xf numFmtId="0" fontId="0" fillId="9" borderId="0" xfId="0" applyFont="1" applyFill="1"/>
    <xf numFmtId="164" fontId="0" fillId="0" borderId="0" xfId="0" applyNumberFormat="1"/>
    <xf numFmtId="2" fontId="0" fillId="0" borderId="0" xfId="0" applyNumberFormat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0" borderId="0" xfId="0" applyFill="1"/>
    <xf numFmtId="0" fontId="0" fillId="16" borderId="0" xfId="0" applyFont="1" applyFill="1"/>
    <xf numFmtId="0" fontId="0" fillId="17" borderId="0" xfId="0" applyFont="1" applyFill="1"/>
    <xf numFmtId="0" fontId="0" fillId="18" borderId="0" xfId="0" applyFont="1" applyFill="1"/>
    <xf numFmtId="2" fontId="0" fillId="0" borderId="0" xfId="0" applyNumberFormat="1" applyFill="1"/>
    <xf numFmtId="0" fontId="0" fillId="19" borderId="1" xfId="0" applyFont="1" applyFill="1" applyBorder="1"/>
    <xf numFmtId="0" fontId="0" fillId="19" borderId="2" xfId="0" applyFill="1" applyBorder="1"/>
    <xf numFmtId="0" fontId="0" fillId="19" borderId="3" xfId="0" applyFill="1" applyBorder="1"/>
    <xf numFmtId="2" fontId="0" fillId="20" borderId="0" xfId="0" applyNumberFormat="1" applyFill="1"/>
    <xf numFmtId="2" fontId="0" fillId="21" borderId="0" xfId="0" applyNumberFormat="1" applyFill="1"/>
    <xf numFmtId="2" fontId="0" fillId="22" borderId="0" xfId="0" applyNumberFormat="1" applyFill="1"/>
    <xf numFmtId="2" fontId="0" fillId="23" borderId="0" xfId="0" applyNumberFormat="1" applyFill="1"/>
    <xf numFmtId="2" fontId="0" fillId="24" borderId="0" xfId="0" applyNumberFormat="1" applyFill="1"/>
    <xf numFmtId="2" fontId="0" fillId="25" borderId="0" xfId="0" applyNumberFormat="1" applyFill="1"/>
    <xf numFmtId="2" fontId="0" fillId="26" borderId="0" xfId="0" applyNumberFormat="1" applyFill="1"/>
    <xf numFmtId="2" fontId="0" fillId="27" borderId="0" xfId="0" applyNumberFormat="1" applyFill="1"/>
    <xf numFmtId="0" fontId="0" fillId="28" borderId="0" xfId="0" applyFill="1"/>
    <xf numFmtId="2" fontId="0" fillId="29" borderId="0" xfId="0" applyNumberFormat="1" applyFill="1"/>
    <xf numFmtId="2" fontId="0" fillId="30" borderId="0" xfId="0" applyNumberFormat="1" applyFill="1"/>
    <xf numFmtId="2" fontId="0" fillId="32" borderId="0" xfId="0" applyNumberFormat="1" applyFill="1"/>
    <xf numFmtId="2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  <xf numFmtId="2" fontId="0" fillId="36" borderId="0" xfId="0" applyNumberFormat="1" applyFill="1"/>
    <xf numFmtId="0" fontId="0" fillId="31" borderId="0" xfId="0" applyFont="1" applyFill="1"/>
    <xf numFmtId="0" fontId="0" fillId="29" borderId="0" xfId="0" applyFill="1"/>
    <xf numFmtId="0" fontId="0" fillId="30" borderId="0" xfId="0" applyFill="1"/>
    <xf numFmtId="0" fontId="0" fillId="35" borderId="0" xfId="0" applyFill="1"/>
    <xf numFmtId="0" fontId="0" fillId="33" borderId="0" xfId="0" applyFill="1"/>
    <xf numFmtId="0" fontId="0" fillId="34" borderId="0" xfId="0" applyFill="1"/>
    <xf numFmtId="0" fontId="0" fillId="36" borderId="0" xfId="0" applyFill="1"/>
    <xf numFmtId="0" fontId="0" fillId="32" borderId="0" xfId="0" applyFill="1"/>
    <xf numFmtId="0" fontId="0" fillId="0" borderId="0" xfId="0" applyFont="1" applyFill="1"/>
    <xf numFmtId="0" fontId="0" fillId="37" borderId="0" xfId="0" applyFill="1"/>
    <xf numFmtId="0" fontId="0" fillId="38" borderId="0" xfId="0" applyFont="1" applyFill="1"/>
    <xf numFmtId="49" fontId="0" fillId="0" borderId="0" xfId="0" applyNumberFormat="1"/>
    <xf numFmtId="0" fontId="0" fillId="0" borderId="0" xfId="0" applyNumberFormat="1"/>
  </cellXfs>
  <cellStyles count="1">
    <cellStyle name="Navadno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3DEB3D"/>
      <rgbColor rgb="00800000"/>
      <rgbColor rgb="00008000"/>
      <rgbColor rgb="00000080"/>
      <rgbColor rgb="00808000"/>
      <rgbColor rgb="00B80047"/>
      <rgbColor rgb="00008080"/>
      <rgbColor rgb="00CCCC00"/>
      <rgbColor rgb="00808080"/>
      <rgbColor rgb="009999FF"/>
      <rgbColor rgb="00993366"/>
      <rgbColor rgb="00FFFFCC"/>
      <rgbColor rgb="00CCFFFF"/>
      <rgbColor rgb="00660066"/>
      <rgbColor rgb="00FF3366"/>
      <rgbColor rgb="000066CC"/>
      <rgbColor rgb="00CCCCFF"/>
      <rgbColor rgb="00000080"/>
      <rgbColor rgb="00FF00FF"/>
      <rgbColor rgb="00E6FF00"/>
      <rgbColor rgb="0023FF23"/>
      <rgbColor rgb="00800080"/>
      <rgbColor rgb="00800000"/>
      <rgbColor rgb="0023B8D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CC"/>
      <rgbColor rgb="00003366"/>
      <rgbColor rgb="00339966"/>
      <rgbColor rgb="00003300"/>
      <rgbColor rgb="00666600"/>
      <rgbColor rgb="00993300"/>
      <rgbColor rgb="00DC2300"/>
      <rgbColor rgb="009966CC"/>
      <rgbColor rgb="0080801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T 26-11-2009'!$F$28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 T 26-11-2009'!$F$20:$H$20</c:f>
                <c:numCache>
                  <c:formatCode>General</c:formatCode>
                  <c:ptCount val="3"/>
                  <c:pt idx="0">
                    <c:v>31.914236925211267</c:v>
                  </c:pt>
                  <c:pt idx="1">
                    <c:v>43.03314829119352</c:v>
                  </c:pt>
                  <c:pt idx="2">
                    <c:v>10</c:v>
                  </c:pt>
                </c:numCache>
              </c:numRef>
            </c:plus>
            <c:minus>
              <c:numRef>
                <c:f>'1 T 26-11-2009'!$F$20:$H$20</c:f>
                <c:numCache>
                  <c:formatCode>General</c:formatCode>
                  <c:ptCount val="3"/>
                  <c:pt idx="0">
                    <c:v>31.914236925211267</c:v>
                  </c:pt>
                  <c:pt idx="1">
                    <c:v>43.03314829119352</c:v>
                  </c:pt>
                  <c:pt idx="2">
                    <c:v>10</c:v>
                  </c:pt>
                </c:numCache>
              </c:numRef>
            </c:minus>
          </c:errBars>
          <c:cat>
            <c:strRef>
              <c:f>'1 T 26-11-2009'!$G$27:$I$27</c:f>
              <c:strCache>
                <c:ptCount val="3"/>
                <c:pt idx="0">
                  <c:v>26 November</c:v>
                </c:pt>
                <c:pt idx="1">
                  <c:v>12 January</c:v>
                </c:pt>
                <c:pt idx="2">
                  <c:v>25 February</c:v>
                </c:pt>
              </c:strCache>
            </c:strRef>
          </c:cat>
          <c:val>
            <c:numRef>
              <c:f>'1 T 26-11-2009'!$G$28:$I$28</c:f>
              <c:numCache>
                <c:formatCode>General</c:formatCode>
                <c:ptCount val="3"/>
                <c:pt idx="0">
                  <c:v>75</c:v>
                </c:pt>
                <c:pt idx="1">
                  <c:v>50</c:v>
                </c:pt>
                <c:pt idx="2">
                  <c:v>95</c:v>
                </c:pt>
              </c:numCache>
            </c:numRef>
          </c:val>
        </c:ser>
        <c:ser>
          <c:idx val="1"/>
          <c:order val="1"/>
          <c:tx>
            <c:strRef>
              <c:f>'1 T 26-11-2009'!$F$29</c:f>
              <c:strCache>
                <c:ptCount val="1"/>
                <c:pt idx="0">
                  <c:v>16-9-12 (0.2 g N)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 T 26-11-2009'!$F$21:$H$21</c:f>
                <c:numCache>
                  <c:formatCode>General</c:formatCode>
                  <c:ptCount val="3"/>
                  <c:pt idx="0">
                    <c:v>31.914236925211267</c:v>
                  </c:pt>
                  <c:pt idx="1">
                    <c:v>16.666666666666764</c:v>
                  </c:pt>
                  <c:pt idx="2">
                    <c:v>12.5</c:v>
                  </c:pt>
                </c:numCache>
              </c:numRef>
            </c:plus>
            <c:minus>
              <c:numRef>
                <c:f>'1 T 26-11-2009'!$F$21:$H$21</c:f>
                <c:numCache>
                  <c:formatCode>General</c:formatCode>
                  <c:ptCount val="3"/>
                  <c:pt idx="0">
                    <c:v>31.914236925211267</c:v>
                  </c:pt>
                  <c:pt idx="1">
                    <c:v>16.666666666666764</c:v>
                  </c:pt>
                  <c:pt idx="2">
                    <c:v>12.5</c:v>
                  </c:pt>
                </c:numCache>
              </c:numRef>
            </c:minus>
          </c:errBars>
          <c:cat>
            <c:strRef>
              <c:f>'1 T 26-11-2009'!$G$27:$I$27</c:f>
              <c:strCache>
                <c:ptCount val="3"/>
                <c:pt idx="0">
                  <c:v>26 November</c:v>
                </c:pt>
                <c:pt idx="1">
                  <c:v>12 January</c:v>
                </c:pt>
                <c:pt idx="2">
                  <c:v>25 February</c:v>
                </c:pt>
              </c:strCache>
            </c:strRef>
          </c:cat>
          <c:val>
            <c:numRef>
              <c:f>'1 T 26-11-2009'!$G$29:$I$29</c:f>
              <c:numCache>
                <c:formatCode>General</c:formatCode>
                <c:ptCount val="3"/>
                <c:pt idx="0">
                  <c:v>75</c:v>
                </c:pt>
                <c:pt idx="1">
                  <c:v>91.67</c:v>
                </c:pt>
                <c:pt idx="2">
                  <c:v>93.75</c:v>
                </c:pt>
              </c:numCache>
            </c:numRef>
          </c:val>
        </c:ser>
        <c:ser>
          <c:idx val="2"/>
          <c:order val="2"/>
          <c:tx>
            <c:strRef>
              <c:f>'1 T 26-11-2009'!$F$30</c:f>
              <c:strCache>
                <c:ptCount val="1"/>
                <c:pt idx="0">
                  <c:v>11-11-18 (0.2 g N)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 T 26-11-2009'!$F$22:$H$22</c:f>
                <c:numCache>
                  <c:formatCode>General</c:formatCode>
                  <c:ptCount val="3"/>
                  <c:pt idx="0">
                    <c:v>19.245008972987637</c:v>
                  </c:pt>
                  <c:pt idx="1">
                    <c:v>16.666666666666764</c:v>
                  </c:pt>
                  <c:pt idx="2">
                    <c:v>16.68748699541726</c:v>
                  </c:pt>
                </c:numCache>
              </c:numRef>
            </c:plus>
            <c:minus>
              <c:numRef>
                <c:f>'1 T 26-11-2009'!$F$22:$H$22</c:f>
                <c:numCache>
                  <c:formatCode>General</c:formatCode>
                  <c:ptCount val="3"/>
                  <c:pt idx="0">
                    <c:v>19.245008972987637</c:v>
                  </c:pt>
                  <c:pt idx="1">
                    <c:v>16.666666666666764</c:v>
                  </c:pt>
                  <c:pt idx="2">
                    <c:v>16.68748699541726</c:v>
                  </c:pt>
                </c:numCache>
              </c:numRef>
            </c:minus>
          </c:errBars>
          <c:cat>
            <c:strRef>
              <c:f>'1 T 26-11-2009'!$G$27:$I$27</c:f>
              <c:strCache>
                <c:ptCount val="3"/>
                <c:pt idx="0">
                  <c:v>26 November</c:v>
                </c:pt>
                <c:pt idx="1">
                  <c:v>12 January</c:v>
                </c:pt>
                <c:pt idx="2">
                  <c:v>25 February</c:v>
                </c:pt>
              </c:strCache>
            </c:strRef>
          </c:cat>
          <c:val>
            <c:numRef>
              <c:f>'1 T 26-11-2009'!$G$30:$I$30</c:f>
              <c:numCache>
                <c:formatCode>General</c:formatCode>
                <c:ptCount val="3"/>
                <c:pt idx="0">
                  <c:v>83.33</c:v>
                </c:pt>
                <c:pt idx="1">
                  <c:v>91.67</c:v>
                </c:pt>
                <c:pt idx="2">
                  <c:v>79.58</c:v>
                </c:pt>
              </c:numCache>
            </c:numRef>
          </c:val>
        </c:ser>
        <c:ser>
          <c:idx val="3"/>
          <c:order val="3"/>
          <c:tx>
            <c:strRef>
              <c:f>'1 T 26-11-2009'!$F$31</c:f>
              <c:strCache>
                <c:ptCount val="1"/>
                <c:pt idx="0">
                  <c:v>11-11-18 (0.4 g N)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 T 26-11-2009'!$F$23:$H$23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16.666666666666764</c:v>
                  </c:pt>
                  <c:pt idx="2">
                    <c:v>19.148542155126762</c:v>
                  </c:pt>
                </c:numCache>
              </c:numRef>
            </c:plus>
            <c:minus>
              <c:numRef>
                <c:f>'1 T 26-11-2009'!$F$23:$H$23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16.666666666666764</c:v>
                  </c:pt>
                  <c:pt idx="2">
                    <c:v>19.148542155126762</c:v>
                  </c:pt>
                </c:numCache>
              </c:numRef>
            </c:minus>
          </c:errBars>
          <c:cat>
            <c:strRef>
              <c:f>'1 T 26-11-2009'!$G$27:$I$27</c:f>
              <c:strCache>
                <c:ptCount val="3"/>
                <c:pt idx="0">
                  <c:v>26 November</c:v>
                </c:pt>
                <c:pt idx="1">
                  <c:v>12 January</c:v>
                </c:pt>
                <c:pt idx="2">
                  <c:v>25 February</c:v>
                </c:pt>
              </c:strCache>
            </c:strRef>
          </c:cat>
          <c:val>
            <c:numRef>
              <c:f>'1 T 26-11-2009'!$G$31:$I$31</c:f>
              <c:numCache>
                <c:formatCode>General</c:formatCode>
                <c:ptCount val="3"/>
                <c:pt idx="0">
                  <c:v>100</c:v>
                </c:pt>
                <c:pt idx="1">
                  <c:v>91.67</c:v>
                </c:pt>
                <c:pt idx="2">
                  <c:v>85</c:v>
                </c:pt>
              </c:numCache>
            </c:numRef>
          </c:val>
        </c:ser>
        <c:ser>
          <c:idx val="4"/>
          <c:order val="4"/>
          <c:tx>
            <c:strRef>
              <c:f>'1 T 26-11-2009'!$F$32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 T 26-11-2009'!$G$34:$I$34</c:f>
                <c:numCache>
                  <c:formatCode>General</c:formatCode>
                  <c:ptCount val="3"/>
                  <c:pt idx="0">
                    <c:v>11.785113137626928</c:v>
                  </c:pt>
                  <c:pt idx="1">
                    <c:v>20.834999999999944</c:v>
                  </c:pt>
                  <c:pt idx="2">
                    <c:v>7.337499006246385</c:v>
                  </c:pt>
                </c:numCache>
              </c:numRef>
            </c:plus>
            <c:minus>
              <c:numRef>
                <c:f>'1 T 26-11-2009'!$G$34:$I$34</c:f>
                <c:numCache>
                  <c:formatCode>General</c:formatCode>
                  <c:ptCount val="3"/>
                  <c:pt idx="0">
                    <c:v>11.785113137626928</c:v>
                  </c:pt>
                  <c:pt idx="1">
                    <c:v>20.834999999999944</c:v>
                  </c:pt>
                  <c:pt idx="2">
                    <c:v>7.337499006246385</c:v>
                  </c:pt>
                </c:numCache>
              </c:numRef>
            </c:minus>
          </c:errBars>
          <c:cat>
            <c:strRef>
              <c:f>'1 T 26-11-2009'!$G$27:$I$27</c:f>
              <c:strCache>
                <c:ptCount val="3"/>
                <c:pt idx="0">
                  <c:v>26 November</c:v>
                </c:pt>
                <c:pt idx="1">
                  <c:v>12 January</c:v>
                </c:pt>
                <c:pt idx="2">
                  <c:v>25 February</c:v>
                </c:pt>
              </c:strCache>
            </c:strRef>
          </c:cat>
          <c:val>
            <c:numRef>
              <c:f>'1 T 26-11-2009'!$G$32:$I$32</c:f>
              <c:numCache>
                <c:formatCode>General</c:formatCode>
                <c:ptCount val="3"/>
                <c:pt idx="0">
                  <c:v>83.332499999999996</c:v>
                </c:pt>
                <c:pt idx="1">
                  <c:v>81.252500000000012</c:v>
                </c:pt>
                <c:pt idx="2">
                  <c:v>88.332499999999996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037296"/>
        <c:axId val="292038080"/>
      </c:barChart>
      <c:catAx>
        <c:axId val="29203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Sampling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sl-SI"/>
          </a:p>
        </c:txPr>
        <c:crossAx val="292038080"/>
        <c:crosses val="autoZero"/>
        <c:auto val="1"/>
        <c:lblAlgn val="ctr"/>
        <c:lblOffset val="100"/>
        <c:noMultiLvlLbl val="0"/>
      </c:catAx>
      <c:valAx>
        <c:axId val="29203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Cutting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sl-SI"/>
          </a:p>
        </c:txPr>
        <c:crossAx val="2920372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sl-SI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2</xdr:row>
      <xdr:rowOff>114300</xdr:rowOff>
    </xdr:from>
    <xdr:to>
      <xdr:col>11</xdr:col>
      <xdr:colOff>2152650</xdr:colOff>
      <xdr:row>24</xdr:row>
      <xdr:rowOff>57150</xdr:rowOff>
    </xdr:to>
    <xdr:graphicFrame macro="">
      <xdr:nvGraphicFramePr>
        <xdr:cNvPr id="13351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14</xdr:row>
      <xdr:rowOff>133350</xdr:rowOff>
    </xdr:from>
    <xdr:to>
      <xdr:col>10</xdr:col>
      <xdr:colOff>333375</xdr:colOff>
      <xdr:row>16</xdr:row>
      <xdr:rowOff>57150</xdr:rowOff>
    </xdr:to>
    <xdr:sp macro="" textlink="">
      <xdr:nvSpPr>
        <xdr:cNvPr id="4" name="PoljeZBesedilom 1"/>
        <xdr:cNvSpPr txBox="1"/>
      </xdr:nvSpPr>
      <xdr:spPr>
        <a:xfrm>
          <a:off x="14239875" y="2400300"/>
          <a:ext cx="257175" cy="2476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0.13557</cdr:x>
      <cdr:y>0.6027</cdr:y>
    </cdr:from>
    <cdr:to>
      <cdr:x>0.17863</cdr:x>
      <cdr:y>0.67297</cdr:y>
    </cdr:to>
    <cdr:sp macro="" textlink="">
      <cdr:nvSpPr>
        <cdr:cNvPr id="2" name="PoljeZBesedilom 1"/>
        <cdr:cNvSpPr txBox="1"/>
      </cdr:nvSpPr>
      <cdr:spPr>
        <a:xfrm xmlns:a="http://schemas.openxmlformats.org/drawingml/2006/main">
          <a:off x="809625" y="2124075"/>
          <a:ext cx="257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0.16587</cdr:x>
      <cdr:y>0.56216</cdr:y>
    </cdr:from>
    <cdr:to>
      <cdr:x>0.20893</cdr:x>
      <cdr:y>0.63243</cdr:y>
    </cdr:to>
    <cdr:sp macro="" textlink="">
      <cdr:nvSpPr>
        <cdr:cNvPr id="3" name="PoljeZBesedilom 1"/>
        <cdr:cNvSpPr txBox="1"/>
      </cdr:nvSpPr>
      <cdr:spPr>
        <a:xfrm xmlns:a="http://schemas.openxmlformats.org/drawingml/2006/main">
          <a:off x="990600" y="1981200"/>
          <a:ext cx="257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0.19617</cdr:x>
      <cdr:y>0.55676</cdr:y>
    </cdr:from>
    <cdr:to>
      <cdr:x>0.23923</cdr:x>
      <cdr:y>0.62703</cdr:y>
    </cdr:to>
    <cdr:sp macro="" textlink="">
      <cdr:nvSpPr>
        <cdr:cNvPr id="4" name="PoljeZBesedilom 1"/>
        <cdr:cNvSpPr txBox="1"/>
      </cdr:nvSpPr>
      <cdr:spPr>
        <a:xfrm xmlns:a="http://schemas.openxmlformats.org/drawingml/2006/main">
          <a:off x="1171575" y="1962150"/>
          <a:ext cx="257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0.41945</cdr:x>
      <cdr:y>0.56757</cdr:y>
    </cdr:from>
    <cdr:to>
      <cdr:x>0.46252</cdr:x>
      <cdr:y>0.63784</cdr:y>
    </cdr:to>
    <cdr:sp macro="" textlink="">
      <cdr:nvSpPr>
        <cdr:cNvPr id="5" name="PoljeZBesedilom 1"/>
        <cdr:cNvSpPr txBox="1"/>
      </cdr:nvSpPr>
      <cdr:spPr>
        <a:xfrm xmlns:a="http://schemas.openxmlformats.org/drawingml/2006/main">
          <a:off x="2505046" y="2000261"/>
          <a:ext cx="257222" cy="247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0.26635</cdr:x>
      <cdr:y>0.55946</cdr:y>
    </cdr:from>
    <cdr:to>
      <cdr:x>0.30941</cdr:x>
      <cdr:y>0.62973</cdr:y>
    </cdr:to>
    <cdr:sp macro="" textlink="">
      <cdr:nvSpPr>
        <cdr:cNvPr id="6" name="PoljeZBesedilom 1"/>
        <cdr:cNvSpPr txBox="1"/>
      </cdr:nvSpPr>
      <cdr:spPr>
        <a:xfrm xmlns:a="http://schemas.openxmlformats.org/drawingml/2006/main">
          <a:off x="1590675" y="1971675"/>
          <a:ext cx="257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0.48485</cdr:x>
      <cdr:y>0.56216</cdr:y>
    </cdr:from>
    <cdr:to>
      <cdr:x>0.52791</cdr:x>
      <cdr:y>0.63243</cdr:y>
    </cdr:to>
    <cdr:sp macro="" textlink="">
      <cdr:nvSpPr>
        <cdr:cNvPr id="7" name="PoljeZBesedilom 1"/>
        <cdr:cNvSpPr txBox="1"/>
      </cdr:nvSpPr>
      <cdr:spPr>
        <a:xfrm xmlns:a="http://schemas.openxmlformats.org/drawingml/2006/main">
          <a:off x="2895600" y="1981200"/>
          <a:ext cx="257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solidFill>
                <a:sysClr val="window" lastClr="FFFFFF"/>
              </a:solidFill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0.70654</cdr:x>
      <cdr:y>0.56216</cdr:y>
    </cdr:from>
    <cdr:to>
      <cdr:x>0.7496</cdr:x>
      <cdr:y>0.63243</cdr:y>
    </cdr:to>
    <cdr:sp macro="" textlink="">
      <cdr:nvSpPr>
        <cdr:cNvPr id="8" name="PoljeZBesedilom 1"/>
        <cdr:cNvSpPr txBox="1"/>
      </cdr:nvSpPr>
      <cdr:spPr>
        <a:xfrm xmlns:a="http://schemas.openxmlformats.org/drawingml/2006/main">
          <a:off x="4219575" y="1981200"/>
          <a:ext cx="257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solidFill>
                <a:sysClr val="window" lastClr="FFFFFF"/>
              </a:solidFill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0.35726</cdr:x>
      <cdr:y>0.57297</cdr:y>
    </cdr:from>
    <cdr:to>
      <cdr:x>0.40032</cdr:x>
      <cdr:y>0.64324</cdr:y>
    </cdr:to>
    <cdr:sp macro="" textlink="">
      <cdr:nvSpPr>
        <cdr:cNvPr id="9" name="PoljeZBesedilom 1"/>
        <cdr:cNvSpPr txBox="1"/>
      </cdr:nvSpPr>
      <cdr:spPr>
        <a:xfrm xmlns:a="http://schemas.openxmlformats.org/drawingml/2006/main">
          <a:off x="2133600" y="2019300"/>
          <a:ext cx="257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0.38437</cdr:x>
      <cdr:y>0.57297</cdr:y>
    </cdr:from>
    <cdr:to>
      <cdr:x>0.42743</cdr:x>
      <cdr:y>0.64324</cdr:y>
    </cdr:to>
    <cdr:sp macro="" textlink="">
      <cdr:nvSpPr>
        <cdr:cNvPr id="10" name="PoljeZBesedilom 1"/>
        <cdr:cNvSpPr txBox="1"/>
      </cdr:nvSpPr>
      <cdr:spPr>
        <a:xfrm xmlns:a="http://schemas.openxmlformats.org/drawingml/2006/main">
          <a:off x="2295525" y="2019300"/>
          <a:ext cx="257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0.45136</cdr:x>
      <cdr:y>0.56757</cdr:y>
    </cdr:from>
    <cdr:to>
      <cdr:x>0.49442</cdr:x>
      <cdr:y>0.63784</cdr:y>
    </cdr:to>
    <cdr:sp macro="" textlink="">
      <cdr:nvSpPr>
        <cdr:cNvPr id="11" name="PoljeZBesedilom 1"/>
        <cdr:cNvSpPr txBox="1"/>
      </cdr:nvSpPr>
      <cdr:spPr>
        <a:xfrm xmlns:a="http://schemas.openxmlformats.org/drawingml/2006/main">
          <a:off x="2695575" y="2000250"/>
          <a:ext cx="257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0.57257</cdr:x>
      <cdr:y>0.56486</cdr:y>
    </cdr:from>
    <cdr:to>
      <cdr:x>0.61563</cdr:x>
      <cdr:y>0.63514</cdr:y>
    </cdr:to>
    <cdr:sp macro="" textlink="">
      <cdr:nvSpPr>
        <cdr:cNvPr id="12" name="PoljeZBesedilom 1"/>
        <cdr:cNvSpPr txBox="1"/>
      </cdr:nvSpPr>
      <cdr:spPr>
        <a:xfrm xmlns:a="http://schemas.openxmlformats.org/drawingml/2006/main">
          <a:off x="3419475" y="1990725"/>
          <a:ext cx="257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0.60287</cdr:x>
      <cdr:y>0.56486</cdr:y>
    </cdr:from>
    <cdr:to>
      <cdr:x>0.64593</cdr:x>
      <cdr:y>0.63514</cdr:y>
    </cdr:to>
    <cdr:sp macro="" textlink="">
      <cdr:nvSpPr>
        <cdr:cNvPr id="13" name="PoljeZBesedilom 1"/>
        <cdr:cNvSpPr txBox="1"/>
      </cdr:nvSpPr>
      <cdr:spPr>
        <a:xfrm xmlns:a="http://schemas.openxmlformats.org/drawingml/2006/main">
          <a:off x="3600450" y="1990725"/>
          <a:ext cx="257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0.63796</cdr:x>
      <cdr:y>0.56486</cdr:y>
    </cdr:from>
    <cdr:to>
      <cdr:x>0.66986</cdr:x>
      <cdr:y>0.63243</cdr:y>
    </cdr:to>
    <cdr:sp macro="" textlink="">
      <cdr:nvSpPr>
        <cdr:cNvPr id="14" name="PoljeZBesedilom 1"/>
        <cdr:cNvSpPr txBox="1"/>
      </cdr:nvSpPr>
      <cdr:spPr>
        <a:xfrm xmlns:a="http://schemas.openxmlformats.org/drawingml/2006/main">
          <a:off x="3810001" y="1990725"/>
          <a:ext cx="1905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0.67145</cdr:x>
      <cdr:y>0.56486</cdr:y>
    </cdr:from>
    <cdr:to>
      <cdr:x>0.70494</cdr:x>
      <cdr:y>0.63243</cdr:y>
    </cdr:to>
    <cdr:sp macro="" textlink="">
      <cdr:nvSpPr>
        <cdr:cNvPr id="15" name="PoljeZBesedilom 1"/>
        <cdr:cNvSpPr txBox="1"/>
      </cdr:nvSpPr>
      <cdr:spPr>
        <a:xfrm xmlns:a="http://schemas.openxmlformats.org/drawingml/2006/main">
          <a:off x="4010025" y="1990725"/>
          <a:ext cx="2000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</c:userShape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tabSelected="1" topLeftCell="G10" workbookViewId="0">
      <selection activeCell="I26" sqref="I26"/>
    </sheetView>
  </sheetViews>
  <sheetFormatPr defaultRowHeight="12.75" x14ac:dyDescent="0.2"/>
  <cols>
    <col min="1" max="1" width="44.7109375" bestFit="1" customWidth="1"/>
    <col min="2" max="2" width="10.140625" customWidth="1"/>
    <col min="3" max="3" width="14.28515625" customWidth="1"/>
    <col min="4" max="5" width="10.85546875" customWidth="1"/>
    <col min="6" max="6" width="17.5703125" customWidth="1"/>
    <col min="7" max="9" width="25.140625" customWidth="1"/>
    <col min="10" max="10" width="28.5703125" customWidth="1"/>
    <col min="11" max="14" width="37.28515625" customWidth="1"/>
    <col min="15" max="15" width="26" customWidth="1"/>
    <col min="16" max="16" width="12.28515625" customWidth="1"/>
    <col min="17" max="17" width="23.140625" bestFit="1" customWidth="1"/>
    <col min="18" max="18" width="21.5703125" bestFit="1" customWidth="1"/>
    <col min="19" max="19" width="29.28515625" bestFit="1" customWidth="1"/>
    <col min="20" max="20" width="18.140625" bestFit="1" customWidth="1"/>
    <col min="21" max="21" width="32" bestFit="1" customWidth="1"/>
  </cols>
  <sheetData>
    <row r="1" spans="1:22" x14ac:dyDescent="0.2">
      <c r="A1" s="5" t="s">
        <v>0</v>
      </c>
      <c r="B1" s="5" t="s">
        <v>1</v>
      </c>
      <c r="C1" s="5" t="s">
        <v>2</v>
      </c>
      <c r="D1" s="5" t="s">
        <v>3</v>
      </c>
      <c r="E1" s="5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22"/>
    </row>
    <row r="2" spans="1:22" x14ac:dyDescent="0.2">
      <c r="A2" s="6">
        <v>1</v>
      </c>
      <c r="B2" s="6">
        <v>1</v>
      </c>
      <c r="C2" s="7">
        <f>(2/3)*100</f>
        <v>66.666666666666657</v>
      </c>
      <c r="D2" s="6">
        <f>(3/3)*100</f>
        <v>100</v>
      </c>
      <c r="E2" s="7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2"/>
      <c r="S2" s="22"/>
      <c r="T2" s="22"/>
      <c r="U2" s="22"/>
      <c r="V2" s="22"/>
    </row>
    <row r="3" spans="1:22" x14ac:dyDescent="0.2">
      <c r="A3" s="6">
        <v>1</v>
      </c>
      <c r="B3" s="6">
        <v>2</v>
      </c>
      <c r="C3" s="7">
        <f>(1/3)*100</f>
        <v>33.333333333333329</v>
      </c>
      <c r="D3" s="6">
        <f>(3/3)*100</f>
        <v>100</v>
      </c>
      <c r="E3" s="7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2"/>
      <c r="S3" s="22"/>
      <c r="T3" s="22"/>
      <c r="U3" s="22"/>
      <c r="V3" s="22"/>
    </row>
    <row r="4" spans="1:22" x14ac:dyDescent="0.2">
      <c r="A4" s="6">
        <v>1</v>
      </c>
      <c r="B4" s="6">
        <v>3</v>
      </c>
      <c r="C4" s="7">
        <f>(3/3)*100</f>
        <v>100</v>
      </c>
      <c r="D4" s="6">
        <f t="shared" ref="D4:D17" si="0">(3/3)*100</f>
        <v>100</v>
      </c>
      <c r="E4" s="7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2"/>
      <c r="S4" s="22"/>
      <c r="T4" s="22"/>
      <c r="U4" s="22"/>
      <c r="V4" s="22"/>
    </row>
    <row r="5" spans="1:22" x14ac:dyDescent="0.2">
      <c r="A5" s="6">
        <v>1</v>
      </c>
      <c r="B5" s="6">
        <v>4</v>
      </c>
      <c r="C5" s="7">
        <f>(3/3)*100</f>
        <v>100</v>
      </c>
      <c r="D5" s="6">
        <f t="shared" si="0"/>
        <v>100</v>
      </c>
      <c r="E5" s="7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2"/>
      <c r="S5" s="22"/>
      <c r="T5" s="22"/>
      <c r="U5" s="22"/>
      <c r="V5" s="22"/>
    </row>
    <row r="6" spans="1:22" x14ac:dyDescent="0.2">
      <c r="A6" s="8">
        <v>2</v>
      </c>
      <c r="B6" s="8">
        <v>1</v>
      </c>
      <c r="C6" s="9">
        <f>(3/3)*100</f>
        <v>100</v>
      </c>
      <c r="D6" s="8">
        <f t="shared" si="0"/>
        <v>100</v>
      </c>
      <c r="E6" s="9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2"/>
      <c r="S6" s="22"/>
      <c r="T6" s="22"/>
      <c r="U6" s="22"/>
      <c r="V6" s="22"/>
    </row>
    <row r="7" spans="1:22" x14ac:dyDescent="0.2">
      <c r="A7" s="8">
        <v>2</v>
      </c>
      <c r="B7" s="8">
        <v>2</v>
      </c>
      <c r="C7" s="9">
        <f>(2/3)*100</f>
        <v>66.666666666666657</v>
      </c>
      <c r="D7" s="8">
        <f t="shared" si="0"/>
        <v>100</v>
      </c>
      <c r="E7" s="9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2"/>
      <c r="S7" s="22"/>
      <c r="T7" s="22"/>
      <c r="U7" s="22"/>
      <c r="V7" s="22"/>
    </row>
    <row r="8" spans="1:22" x14ac:dyDescent="0.2">
      <c r="A8" s="8">
        <v>2</v>
      </c>
      <c r="B8" s="8">
        <v>3</v>
      </c>
      <c r="C8" s="9">
        <f>(1/3)*100</f>
        <v>33.333333333333329</v>
      </c>
      <c r="D8" s="8">
        <f t="shared" si="0"/>
        <v>100</v>
      </c>
      <c r="E8" s="9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2"/>
      <c r="S8" s="22"/>
      <c r="T8" s="22"/>
      <c r="U8" s="22"/>
      <c r="V8" s="22"/>
    </row>
    <row r="9" spans="1:22" x14ac:dyDescent="0.2">
      <c r="A9" s="8">
        <v>2</v>
      </c>
      <c r="B9" s="8">
        <v>4</v>
      </c>
      <c r="C9" s="9">
        <f>(3/3)*100</f>
        <v>100</v>
      </c>
      <c r="D9" s="8">
        <f t="shared" si="0"/>
        <v>100</v>
      </c>
      <c r="E9" s="9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2"/>
      <c r="S9" s="22"/>
      <c r="T9" s="22"/>
      <c r="U9" s="22"/>
      <c r="V9" s="22"/>
    </row>
    <row r="10" spans="1:22" x14ac:dyDescent="0.2">
      <c r="A10" s="10">
        <v>3</v>
      </c>
      <c r="B10" s="10">
        <v>1</v>
      </c>
      <c r="C10" s="11">
        <f>(3/3)*100</f>
        <v>100</v>
      </c>
      <c r="D10" s="10">
        <f t="shared" si="0"/>
        <v>100</v>
      </c>
      <c r="E10" s="11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2"/>
      <c r="S10" s="22"/>
      <c r="T10" s="22"/>
      <c r="U10" s="22"/>
      <c r="V10" s="22"/>
    </row>
    <row r="11" spans="1:22" x14ac:dyDescent="0.2">
      <c r="A11" s="10">
        <v>3</v>
      </c>
      <c r="B11" s="10">
        <v>2</v>
      </c>
      <c r="C11" s="11">
        <f>(2/3)*100</f>
        <v>66.666666666666657</v>
      </c>
      <c r="D11" s="10">
        <f t="shared" si="0"/>
        <v>100</v>
      </c>
      <c r="E11" s="11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2"/>
      <c r="S11" s="22"/>
      <c r="T11" s="22"/>
      <c r="U11" s="22"/>
      <c r="V11" s="22"/>
    </row>
    <row r="12" spans="1:22" x14ac:dyDescent="0.2">
      <c r="A12" s="10">
        <v>3</v>
      </c>
      <c r="B12" s="10">
        <v>3</v>
      </c>
      <c r="C12" s="11">
        <f>(3/3)*100</f>
        <v>100</v>
      </c>
      <c r="D12" s="10">
        <f t="shared" si="0"/>
        <v>100</v>
      </c>
      <c r="E12" s="11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2"/>
      <c r="S12" s="22"/>
      <c r="T12" s="22"/>
      <c r="U12" s="22"/>
      <c r="V12" s="22"/>
    </row>
    <row r="13" spans="1:22" x14ac:dyDescent="0.2">
      <c r="A13" s="10">
        <v>3</v>
      </c>
      <c r="B13" s="10">
        <v>4</v>
      </c>
      <c r="C13" s="11">
        <f>(2/3)*100</f>
        <v>66.666666666666657</v>
      </c>
      <c r="D13" s="10">
        <f t="shared" si="0"/>
        <v>100</v>
      </c>
      <c r="E13" s="11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2"/>
      <c r="S13" s="22"/>
      <c r="T13" s="22"/>
      <c r="U13" s="22"/>
      <c r="V13" s="22"/>
    </row>
    <row r="14" spans="1:22" x14ac:dyDescent="0.2">
      <c r="A14" s="12">
        <v>4</v>
      </c>
      <c r="B14" s="12">
        <v>1</v>
      </c>
      <c r="C14" s="13">
        <f>(3/3)*100</f>
        <v>100</v>
      </c>
      <c r="D14" s="12">
        <f t="shared" si="0"/>
        <v>100</v>
      </c>
      <c r="E14" s="13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2"/>
      <c r="S14" s="22"/>
      <c r="T14" s="22"/>
      <c r="U14" s="22"/>
      <c r="V14" s="22"/>
    </row>
    <row r="15" spans="1:22" x14ac:dyDescent="0.2">
      <c r="A15" s="12">
        <v>4</v>
      </c>
      <c r="B15" s="12">
        <v>2</v>
      </c>
      <c r="C15" s="13">
        <f>(3/3)*100</f>
        <v>100</v>
      </c>
      <c r="D15" s="12">
        <f t="shared" si="0"/>
        <v>100</v>
      </c>
      <c r="E15" s="13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2"/>
      <c r="S15" s="22"/>
      <c r="T15" s="22"/>
      <c r="U15" s="22"/>
      <c r="V15" s="22"/>
    </row>
    <row r="16" spans="1:22" x14ac:dyDescent="0.2">
      <c r="A16" s="12">
        <v>4</v>
      </c>
      <c r="B16" s="12">
        <v>3</v>
      </c>
      <c r="C16" s="13">
        <f>(3/3)*100</f>
        <v>100</v>
      </c>
      <c r="D16" s="12">
        <f t="shared" si="0"/>
        <v>100</v>
      </c>
      <c r="E16" s="13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2"/>
      <c r="S16" s="22"/>
      <c r="T16" s="22"/>
      <c r="U16" s="22"/>
      <c r="V16" s="22"/>
    </row>
    <row r="17" spans="1:22" x14ac:dyDescent="0.2">
      <c r="A17" s="12">
        <v>4</v>
      </c>
      <c r="B17" s="12">
        <v>4</v>
      </c>
      <c r="C17" s="13">
        <f>(3/3)*100</f>
        <v>100</v>
      </c>
      <c r="D17" s="12">
        <f t="shared" si="0"/>
        <v>100</v>
      </c>
      <c r="E17" s="13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2"/>
      <c r="S17" s="22"/>
      <c r="T17" s="22"/>
      <c r="U17" s="22"/>
      <c r="V17" s="22"/>
    </row>
    <row r="18" spans="1:22" x14ac:dyDescent="0.2">
      <c r="A18" s="14" t="s">
        <v>2</v>
      </c>
      <c r="L18" s="26"/>
      <c r="M18" s="26"/>
      <c r="N18" s="26"/>
      <c r="R18" s="16"/>
    </row>
    <row r="19" spans="1:22" ht="14.25" x14ac:dyDescent="0.2">
      <c r="B19" s="15" t="s">
        <v>33</v>
      </c>
      <c r="C19" s="15" t="s">
        <v>34</v>
      </c>
      <c r="D19" s="15" t="s">
        <v>35</v>
      </c>
      <c r="L19" s="26"/>
      <c r="M19" s="26"/>
      <c r="N19" s="26"/>
    </row>
    <row r="20" spans="1:22" x14ac:dyDescent="0.2">
      <c r="A20" t="s">
        <v>16</v>
      </c>
      <c r="B20" s="16">
        <f>AVERAGE(C2:C5)</f>
        <v>75</v>
      </c>
      <c r="C20" s="16">
        <f>AVERAGE('2 T 12-1-2010'!C2:C5)</f>
        <v>50</v>
      </c>
      <c r="D20" s="16">
        <f>AVERAGE('3 T 25-2-2010'!C2:C5)</f>
        <v>95</v>
      </c>
      <c r="F20" s="16">
        <f>STDEV(C2:C5)</f>
        <v>31.914236925211267</v>
      </c>
      <c r="G20" s="16">
        <f>STDEV('2 T 12-1-2010'!C2:C5)</f>
        <v>43.03314829119352</v>
      </c>
      <c r="H20" s="16">
        <f>STDEV('3 T 25-2-2010'!C2:C5)</f>
        <v>10</v>
      </c>
      <c r="L20" s="26"/>
      <c r="M20" s="26"/>
    </row>
    <row r="21" spans="1:22" x14ac:dyDescent="0.2">
      <c r="A21" t="s">
        <v>17</v>
      </c>
      <c r="B21" s="16">
        <f>AVERAGE(C6:C9)</f>
        <v>75</v>
      </c>
      <c r="C21" s="16">
        <f>AVERAGE('2 T 12-1-2010'!C6:C9)</f>
        <v>91.666666666666657</v>
      </c>
      <c r="D21" s="16">
        <f>AVERAGE('3 T 25-2-2010'!C6:C9)</f>
        <v>93.75</v>
      </c>
      <c r="F21" s="16">
        <f>STDEV(C6:C9)</f>
        <v>31.914236925211267</v>
      </c>
      <c r="G21" s="16">
        <f>STDEV('2 T 12-1-2010'!C6:C9)</f>
        <v>16.666666666666764</v>
      </c>
      <c r="H21" s="16">
        <f>STDEV('3 T 25-2-2010'!C6:C9)</f>
        <v>12.5</v>
      </c>
      <c r="L21" s="26"/>
      <c r="M21" s="26"/>
    </row>
    <row r="22" spans="1:22" x14ac:dyDescent="0.2">
      <c r="A22" t="s">
        <v>18</v>
      </c>
      <c r="B22" s="16">
        <f>AVERAGE(C10:C13)</f>
        <v>83.333333333333314</v>
      </c>
      <c r="C22" s="16">
        <f>AVERAGE('2 T 12-1-2010'!C10:C13)</f>
        <v>91.666666666666657</v>
      </c>
      <c r="D22" s="16">
        <f>AVERAGE('3 T 25-2-2010'!C10:C13)</f>
        <v>79.583333333333343</v>
      </c>
      <c r="F22" s="16">
        <f>STDEV(C10:C13)</f>
        <v>19.245008972987637</v>
      </c>
      <c r="G22" s="16">
        <f>STDEV('2 T 12-1-2010'!C10:C13)</f>
        <v>16.666666666666764</v>
      </c>
      <c r="H22" s="16">
        <f>STDEV('3 T 25-2-2010'!C10:C13)</f>
        <v>16.68748699541726</v>
      </c>
      <c r="L22" s="26"/>
    </row>
    <row r="23" spans="1:22" x14ac:dyDescent="0.2">
      <c r="A23" t="s">
        <v>19</v>
      </c>
      <c r="B23" s="16">
        <f>AVERAGE(C14:C17)</f>
        <v>100</v>
      </c>
      <c r="C23" s="16">
        <f>AVERAGE('2 T 12-1-2010'!C14:C17)</f>
        <v>91.666666666666657</v>
      </c>
      <c r="D23" s="16">
        <f>AVERAGE('3 T 25-2-2010'!C14:C17)</f>
        <v>85</v>
      </c>
      <c r="F23" s="16">
        <f>STDEV(C14:C17)</f>
        <v>0</v>
      </c>
      <c r="G23" s="16">
        <f>STDEV('2 T 12-1-2010'!C14:C17)</f>
        <v>16.666666666666764</v>
      </c>
      <c r="H23" s="16">
        <f>STDEV('3 T 25-2-2010'!C14:C17)</f>
        <v>19.148542155126762</v>
      </c>
      <c r="L23" s="26"/>
    </row>
    <row r="24" spans="1:22" x14ac:dyDescent="0.2">
      <c r="A24" s="17" t="s">
        <v>3</v>
      </c>
    </row>
    <row r="25" spans="1:22" x14ac:dyDescent="0.2">
      <c r="B25" s="15">
        <v>40143</v>
      </c>
      <c r="C25" s="15">
        <v>40190</v>
      </c>
      <c r="D25" s="15">
        <v>40234</v>
      </c>
    </row>
    <row r="26" spans="1:22" x14ac:dyDescent="0.2">
      <c r="A26" t="s">
        <v>16</v>
      </c>
      <c r="B26">
        <f>AVERAGE(D2:D5)</f>
        <v>100</v>
      </c>
      <c r="C26">
        <f>AVERAGE('2 T 12-1-2010'!D2:D5)</f>
        <v>100</v>
      </c>
      <c r="D26" s="16">
        <f>AVERAGE('3 T 25-2-2010'!D2:D5)</f>
        <v>47.222222222222214</v>
      </c>
      <c r="E26" s="16">
        <f>STDEV('3 T 25-2-2010'!D2:D5)</f>
        <v>10.63807897507046</v>
      </c>
    </row>
    <row r="27" spans="1:22" ht="14.25" x14ac:dyDescent="0.2">
      <c r="A27" t="s">
        <v>17</v>
      </c>
      <c r="B27">
        <f>AVERAGE(D6:D9)</f>
        <v>100</v>
      </c>
      <c r="C27">
        <f>AVERAGE('2 T 12-1-2010'!D6:D9)</f>
        <v>100</v>
      </c>
      <c r="D27" s="16">
        <f>AVERAGE('3 T 25-2-2010'!D6:D9)</f>
        <v>52.777777777777771</v>
      </c>
      <c r="E27" s="16">
        <f>STDEV('3 T 25-2-2010'!D6:D9)</f>
        <v>10.63807897507046</v>
      </c>
      <c r="G27" s="57" t="s">
        <v>43</v>
      </c>
      <c r="H27" s="58" t="s">
        <v>45</v>
      </c>
      <c r="I27" s="57" t="s">
        <v>44</v>
      </c>
    </row>
    <row r="28" spans="1:22" x14ac:dyDescent="0.2">
      <c r="A28" t="s">
        <v>18</v>
      </c>
      <c r="B28">
        <f>AVERAGE(D10:D13)</f>
        <v>100</v>
      </c>
      <c r="C28">
        <f>AVERAGE('2 T 12-1-2010'!D10:D13)</f>
        <v>100</v>
      </c>
      <c r="D28" s="16">
        <f>AVERAGE('3 T 25-2-2010'!D10:D13)</f>
        <v>58.333333333333329</v>
      </c>
      <c r="E28" s="16">
        <f>STDEV('3 T 25-2-2010'!D10:D13)</f>
        <v>10.638078975070432</v>
      </c>
      <c r="F28" t="s">
        <v>36</v>
      </c>
      <c r="G28">
        <v>75</v>
      </c>
      <c r="H28">
        <v>50</v>
      </c>
      <c r="I28">
        <v>95</v>
      </c>
    </row>
    <row r="29" spans="1:22" x14ac:dyDescent="0.2">
      <c r="A29" t="s">
        <v>19</v>
      </c>
      <c r="B29">
        <f>AVERAGE(D14:D17)</f>
        <v>100</v>
      </c>
      <c r="C29">
        <f>AVERAGE('2 T 12-1-2010'!D14:D17)</f>
        <v>100</v>
      </c>
      <c r="D29" s="16">
        <f>AVERAGE('3 T 25-2-2010'!D14:D17)</f>
        <v>50</v>
      </c>
      <c r="E29" s="16">
        <f>STDEV('3 T 25-2-2010'!D14:D17)</f>
        <v>19.245008972987527</v>
      </c>
      <c r="F29" t="s">
        <v>39</v>
      </c>
      <c r="G29">
        <v>75</v>
      </c>
      <c r="H29">
        <v>91.67</v>
      </c>
      <c r="I29">
        <v>93.75</v>
      </c>
    </row>
    <row r="30" spans="1:22" x14ac:dyDescent="0.2">
      <c r="A30" s="18" t="s">
        <v>4</v>
      </c>
      <c r="F30" t="s">
        <v>40</v>
      </c>
      <c r="G30">
        <v>83.33</v>
      </c>
      <c r="H30">
        <v>91.67</v>
      </c>
      <c r="I30">
        <v>79.58</v>
      </c>
    </row>
    <row r="31" spans="1:22" x14ac:dyDescent="0.2">
      <c r="B31" s="15">
        <v>40143</v>
      </c>
      <c r="C31" s="15">
        <v>40190</v>
      </c>
      <c r="D31" s="15">
        <v>40234</v>
      </c>
      <c r="F31" t="s">
        <v>41</v>
      </c>
      <c r="G31">
        <v>100</v>
      </c>
      <c r="H31">
        <v>91.67</v>
      </c>
      <c r="I31">
        <v>85</v>
      </c>
    </row>
    <row r="32" spans="1:22" x14ac:dyDescent="0.2">
      <c r="A32" t="s">
        <v>16</v>
      </c>
      <c r="B32" s="16" t="e">
        <f>AVERAGE(E2:E5)</f>
        <v>#DIV/0!</v>
      </c>
      <c r="C32" s="16">
        <f>AVERAGE('2 T 12-1-2010'!E2:E5)</f>
        <v>75</v>
      </c>
      <c r="D32" s="16">
        <f>AVERAGE('3 T 25-2-2010'!E2:E5)</f>
        <v>33.333333333333329</v>
      </c>
      <c r="F32" t="s">
        <v>37</v>
      </c>
      <c r="G32">
        <f>+AVERAGE(G28:G31)</f>
        <v>83.332499999999996</v>
      </c>
      <c r="H32">
        <f>+AVERAGE(H28:H31)</f>
        <v>81.252500000000012</v>
      </c>
      <c r="I32">
        <f>+AVERAGE(I28:I31)</f>
        <v>88.332499999999996</v>
      </c>
    </row>
    <row r="33" spans="1:9" x14ac:dyDescent="0.2">
      <c r="A33" t="s">
        <v>17</v>
      </c>
      <c r="B33" s="16" t="e">
        <f>AVERAGE(E6:E9)</f>
        <v>#DIV/0!</v>
      </c>
      <c r="C33" s="16">
        <f>AVERAGE('2 T 12-1-2010'!E6:E9)</f>
        <v>91.666666666666657</v>
      </c>
      <c r="D33" s="16">
        <f>AVERAGE('3 T 25-2-2010'!E6:E9)</f>
        <v>44.444444444444443</v>
      </c>
    </row>
    <row r="34" spans="1:9" x14ac:dyDescent="0.2">
      <c r="A34" t="s">
        <v>18</v>
      </c>
      <c r="B34" s="16" t="e">
        <f>AVERAGE(E10:E13)</f>
        <v>#DIV/0!</v>
      </c>
      <c r="C34" s="16">
        <f>AVERAGE('2 T 12-1-2010'!E10:E13)</f>
        <v>75</v>
      </c>
      <c r="D34" s="16">
        <f>AVERAGE('3 T 25-2-2010'!E10:E13)</f>
        <v>44.444444444444443</v>
      </c>
      <c r="F34" t="s">
        <v>38</v>
      </c>
      <c r="G34">
        <f>+STDEV(G28:G31)</f>
        <v>11.785113137626928</v>
      </c>
      <c r="H34">
        <f>+STDEV(H28:H31)</f>
        <v>20.834999999999944</v>
      </c>
      <c r="I34">
        <f>+STDEV(I28:I31)</f>
        <v>7.337499006246385</v>
      </c>
    </row>
    <row r="35" spans="1:9" x14ac:dyDescent="0.2">
      <c r="A35" t="s">
        <v>19</v>
      </c>
      <c r="B35" s="16" t="e">
        <f>AVERAGE(E14:E17)</f>
        <v>#DIV/0!</v>
      </c>
      <c r="C35" s="16">
        <f>AVERAGE('2 T 12-1-2010'!E14:E17)</f>
        <v>66.666666666666657</v>
      </c>
      <c r="D35" s="16">
        <f>AVERAGE('3 T 25-2-2010'!E14:E17)</f>
        <v>50</v>
      </c>
    </row>
    <row r="36" spans="1:9" x14ac:dyDescent="0.2">
      <c r="A36" s="19" t="s">
        <v>5</v>
      </c>
    </row>
    <row r="37" spans="1:9" x14ac:dyDescent="0.2">
      <c r="B37" s="15">
        <v>40143</v>
      </c>
      <c r="C37" s="15">
        <v>40190</v>
      </c>
      <c r="D37" s="15">
        <v>40234</v>
      </c>
    </row>
    <row r="38" spans="1:9" x14ac:dyDescent="0.2">
      <c r="A38" t="s">
        <v>16</v>
      </c>
      <c r="B38" s="16" t="e">
        <f>AVERAGE(F2:F5)</f>
        <v>#DIV/0!</v>
      </c>
      <c r="C38" s="16">
        <f>AVERAGE('2 T 12-1-2010'!F2:F5)</f>
        <v>58.333333333333329</v>
      </c>
      <c r="D38" s="16">
        <f>AVERAGE('3 T 25-2-2010'!F2:F5)</f>
        <v>69.166666666666657</v>
      </c>
    </row>
    <row r="39" spans="1:9" x14ac:dyDescent="0.2">
      <c r="A39" t="s">
        <v>17</v>
      </c>
      <c r="B39" s="16" t="e">
        <f>AVERAGE(F6:F9)</f>
        <v>#DIV/0!</v>
      </c>
      <c r="C39" s="16">
        <f>AVERAGE('2 T 12-1-2010'!F6:F9)</f>
        <v>91.666666666666657</v>
      </c>
      <c r="D39" s="16">
        <f>AVERAGE('3 T 25-2-2010'!F6:F9)</f>
        <v>90</v>
      </c>
      <c r="F39" t="s">
        <v>42</v>
      </c>
    </row>
    <row r="40" spans="1:9" x14ac:dyDescent="0.2">
      <c r="A40" t="s">
        <v>18</v>
      </c>
      <c r="B40" s="16" t="e">
        <f>AVERAGE(F10:F13)</f>
        <v>#DIV/0!</v>
      </c>
      <c r="C40" s="16">
        <f>AVERAGE('2 T 12-1-2010'!F10:F13)</f>
        <v>75</v>
      </c>
      <c r="D40" s="16">
        <f>AVERAGE('3 T 25-2-2010'!F10:F13)</f>
        <v>63.333333333333329</v>
      </c>
    </row>
    <row r="41" spans="1:9" x14ac:dyDescent="0.2">
      <c r="A41" t="s">
        <v>19</v>
      </c>
      <c r="B41" s="16" t="e">
        <f>AVERAGE(F14:F17)</f>
        <v>#DIV/0!</v>
      </c>
      <c r="C41" s="16">
        <f>AVERAGE('2 T 12-1-2010'!F14:F17)</f>
        <v>75</v>
      </c>
      <c r="D41" s="16">
        <f>AVERAGE('3 T 25-2-2010'!F14:F17)</f>
        <v>100</v>
      </c>
    </row>
    <row r="42" spans="1:9" ht="14.25" x14ac:dyDescent="0.2">
      <c r="A42" s="2" t="s">
        <v>6</v>
      </c>
      <c r="G42" s="15" t="s">
        <v>33</v>
      </c>
      <c r="H42" s="15" t="s">
        <v>34</v>
      </c>
      <c r="I42" s="15" t="s">
        <v>35</v>
      </c>
    </row>
    <row r="43" spans="1:9" x14ac:dyDescent="0.2">
      <c r="B43" s="15">
        <v>40143</v>
      </c>
      <c r="C43" s="15">
        <v>40190</v>
      </c>
      <c r="D43" s="15">
        <v>40234</v>
      </c>
      <c r="F43" t="s">
        <v>36</v>
      </c>
      <c r="G43">
        <v>100</v>
      </c>
      <c r="H43">
        <v>100</v>
      </c>
      <c r="I43">
        <v>47.22</v>
      </c>
    </row>
    <row r="44" spans="1:9" x14ac:dyDescent="0.2">
      <c r="A44" t="s">
        <v>16</v>
      </c>
      <c r="B44" s="16" t="e">
        <f>AVERAGE(G2:G5)</f>
        <v>#DIV/0!</v>
      </c>
      <c r="F44" t="s">
        <v>39</v>
      </c>
      <c r="G44">
        <v>100</v>
      </c>
      <c r="H44">
        <v>100</v>
      </c>
      <c r="I44">
        <v>52.78</v>
      </c>
    </row>
    <row r="45" spans="1:9" x14ac:dyDescent="0.2">
      <c r="A45" t="s">
        <v>17</v>
      </c>
      <c r="B45" s="16" t="e">
        <f>AVERAGE(G6:G9)</f>
        <v>#DIV/0!</v>
      </c>
      <c r="F45" t="s">
        <v>40</v>
      </c>
      <c r="G45">
        <v>100</v>
      </c>
      <c r="H45">
        <v>100</v>
      </c>
      <c r="I45">
        <v>58.33</v>
      </c>
    </row>
    <row r="46" spans="1:9" x14ac:dyDescent="0.2">
      <c r="A46" t="s">
        <v>18</v>
      </c>
      <c r="B46" s="16" t="e">
        <f>AVERAGE(G10:G13)</f>
        <v>#DIV/0!</v>
      </c>
      <c r="F46" t="s">
        <v>41</v>
      </c>
      <c r="G46">
        <v>100</v>
      </c>
      <c r="H46">
        <v>100</v>
      </c>
      <c r="I46">
        <v>50</v>
      </c>
    </row>
    <row r="47" spans="1:9" x14ac:dyDescent="0.2">
      <c r="A47" t="s">
        <v>19</v>
      </c>
      <c r="B47" s="16" t="e">
        <f>AVERAGE(G14:G17)</f>
        <v>#DIV/0!</v>
      </c>
      <c r="F47" t="s">
        <v>37</v>
      </c>
      <c r="G47">
        <v>100</v>
      </c>
      <c r="H47">
        <v>100</v>
      </c>
      <c r="I47">
        <f>+AVERAGE(I43:I46)</f>
        <v>52.082499999999996</v>
      </c>
    </row>
    <row r="48" spans="1:9" x14ac:dyDescent="0.2">
      <c r="A48" s="3" t="s">
        <v>7</v>
      </c>
    </row>
    <row r="49" spans="1:8" x14ac:dyDescent="0.2">
      <c r="B49" s="15">
        <v>40143</v>
      </c>
      <c r="C49" s="15">
        <v>40190</v>
      </c>
      <c r="D49" s="15">
        <v>40234</v>
      </c>
    </row>
    <row r="50" spans="1:8" x14ac:dyDescent="0.2">
      <c r="A50" t="s">
        <v>16</v>
      </c>
      <c r="B50" s="16" t="e">
        <f>AVERAGE(H2:H5)</f>
        <v>#DIV/0!</v>
      </c>
      <c r="C50" s="16">
        <f>AVERAGE('2 T 12-1-2010'!H2:H5)</f>
        <v>12.5</v>
      </c>
      <c r="D50" s="16">
        <f>AVERAGE('3 T 25-2-2010'!H2:H5)</f>
        <v>34.166666666666664</v>
      </c>
    </row>
    <row r="51" spans="1:8" x14ac:dyDescent="0.2">
      <c r="A51" t="s">
        <v>17</v>
      </c>
      <c r="B51" s="16" t="e">
        <f>AVERAGE(H6:H9)</f>
        <v>#DIV/0!</v>
      </c>
      <c r="C51" s="16">
        <f>AVERAGE('2 T 12-1-2010'!H6:H9)</f>
        <v>70.833333333333329</v>
      </c>
      <c r="D51" s="16">
        <f>AVERAGE('3 T 25-2-2010'!H6:H9)</f>
        <v>30.833333333333332</v>
      </c>
    </row>
    <row r="52" spans="1:8" x14ac:dyDescent="0.2">
      <c r="A52" t="s">
        <v>18</v>
      </c>
      <c r="B52" s="16" t="e">
        <f>AVERAGE(H10:H13)</f>
        <v>#DIV/0!</v>
      </c>
      <c r="C52" s="16">
        <f>AVERAGE('2 T 12-1-2010'!H10:H13)</f>
        <v>49.999999999999993</v>
      </c>
      <c r="D52" s="16">
        <f>AVERAGE('3 T 25-2-2010'!H10:H13)</f>
        <v>43.571428571428569</v>
      </c>
    </row>
    <row r="53" spans="1:8" x14ac:dyDescent="0.2">
      <c r="A53" t="s">
        <v>19</v>
      </c>
      <c r="B53" s="16" t="e">
        <f>AVERAGE(H14:H17)</f>
        <v>#DIV/0!</v>
      </c>
      <c r="C53" s="16">
        <f>AVERAGE('2 T 12-1-2010'!H14:H17)</f>
        <v>62.5</v>
      </c>
      <c r="D53" s="16">
        <f>AVERAGE('3 T 25-2-2010'!H14:H17)</f>
        <v>37.5</v>
      </c>
    </row>
    <row r="54" spans="1:8" x14ac:dyDescent="0.2">
      <c r="A54" s="20" t="s">
        <v>8</v>
      </c>
    </row>
    <row r="55" spans="1:8" x14ac:dyDescent="0.2">
      <c r="B55" s="15">
        <v>40143</v>
      </c>
      <c r="C55" s="15">
        <v>40190</v>
      </c>
      <c r="D55" s="15">
        <v>40234</v>
      </c>
    </row>
    <row r="56" spans="1:8" x14ac:dyDescent="0.2">
      <c r="A56" t="s">
        <v>16</v>
      </c>
      <c r="B56" s="16" t="e">
        <f>AVERAGE(I2:I5)</f>
        <v>#DIV/0!</v>
      </c>
      <c r="C56" s="16">
        <f>AVERAGE('2 T 12-1-2010'!I2:I5)</f>
        <v>62.5</v>
      </c>
      <c r="D56" s="16">
        <f>AVERAGE('3 T 25-2-2010'!I2:I5)</f>
        <v>65.833333333333329</v>
      </c>
    </row>
    <row r="57" spans="1:8" x14ac:dyDescent="0.2">
      <c r="A57" t="s">
        <v>17</v>
      </c>
      <c r="B57" s="16" t="e">
        <f>AVERAGE(I6:I9)</f>
        <v>#DIV/0!</v>
      </c>
      <c r="C57" s="16">
        <f>AVERAGE('2 T 12-1-2010'!I6:I9)</f>
        <v>29.166666666666664</v>
      </c>
      <c r="D57" s="16">
        <f>AVERAGE('3 T 25-2-2010'!I6:I9)</f>
        <v>69.166666666666657</v>
      </c>
    </row>
    <row r="58" spans="1:8" x14ac:dyDescent="0.2">
      <c r="A58" t="s">
        <v>18</v>
      </c>
      <c r="B58" s="16" t="e">
        <f>AVERAGE(I10:I13)</f>
        <v>#DIV/0!</v>
      </c>
      <c r="C58" s="16">
        <f>AVERAGE('2 T 12-1-2010'!I10:I13)</f>
        <v>50</v>
      </c>
      <c r="D58" s="16">
        <f>AVERAGE('3 T 25-2-2010'!I10:I13)</f>
        <v>56.428571428571423</v>
      </c>
    </row>
    <row r="59" spans="1:8" x14ac:dyDescent="0.2">
      <c r="A59" t="s">
        <v>19</v>
      </c>
      <c r="B59" s="16" t="e">
        <f>AVERAGE(I14:I17)</f>
        <v>#DIV/0!</v>
      </c>
      <c r="C59" s="16">
        <f>AVERAGE('2 T 12-1-2010'!I14:I17)</f>
        <v>37.5</v>
      </c>
      <c r="D59" s="16">
        <f>AVERAGE('3 T 25-2-2010'!I14:I17)</f>
        <v>62.5</v>
      </c>
    </row>
    <row r="60" spans="1:8" x14ac:dyDescent="0.2">
      <c r="A60" s="14" t="s">
        <v>9</v>
      </c>
    </row>
    <row r="61" spans="1:8" x14ac:dyDescent="0.2">
      <c r="B61" s="15">
        <v>40143</v>
      </c>
      <c r="C61" s="15">
        <v>40190</v>
      </c>
      <c r="D61" s="15">
        <v>40234</v>
      </c>
    </row>
    <row r="62" spans="1:8" x14ac:dyDescent="0.2">
      <c r="A62" t="s">
        <v>16</v>
      </c>
      <c r="B62" s="16" t="e">
        <f>AVERAGE(J2:J5)</f>
        <v>#DIV/0!</v>
      </c>
      <c r="C62" s="16">
        <f>AVERAGE('2 T 12-1-2010'!J2:J5)</f>
        <v>5.2916666666666661</v>
      </c>
      <c r="D62" s="16">
        <f>AVERAGE('3 T 25-2-2010'!J2:J5)</f>
        <v>20.266666666666666</v>
      </c>
      <c r="F62" s="16"/>
      <c r="G62" s="16"/>
      <c r="H62" s="16"/>
    </row>
    <row r="63" spans="1:8" x14ac:dyDescent="0.2">
      <c r="A63" t="s">
        <v>17</v>
      </c>
      <c r="B63" s="16" t="e">
        <f>AVERAGE(J6:J9)</f>
        <v>#DIV/0!</v>
      </c>
      <c r="C63" s="16">
        <f>AVERAGE('2 T 12-1-2010'!J6:J9)</f>
        <v>16.166666666666668</v>
      </c>
      <c r="D63" s="16">
        <f>AVERAGE('3 T 25-2-2010'!J6:J9)</f>
        <v>15.145833333333332</v>
      </c>
      <c r="F63" s="16"/>
      <c r="G63" s="16"/>
      <c r="H63" s="16"/>
    </row>
    <row r="64" spans="1:8" x14ac:dyDescent="0.2">
      <c r="A64" t="s">
        <v>18</v>
      </c>
      <c r="B64" s="16" t="e">
        <f>AVERAGE(J10:J13)</f>
        <v>#DIV/0!</v>
      </c>
      <c r="C64" s="16">
        <f>AVERAGE('2 T 12-1-2010'!J10:J13)</f>
        <v>14.416666666666668</v>
      </c>
      <c r="D64" s="16">
        <f>AVERAGE('3 T 25-2-2010'!J10:J13)</f>
        <v>19.585714285714285</v>
      </c>
      <c r="F64" s="16"/>
      <c r="G64" s="16"/>
      <c r="H64" s="16"/>
    </row>
    <row r="65" spans="1:8" x14ac:dyDescent="0.2">
      <c r="A65" t="s">
        <v>19</v>
      </c>
      <c r="B65" s="16" t="e">
        <f>AVERAGE(J14:J17)</f>
        <v>#DIV/0!</v>
      </c>
      <c r="C65" s="16">
        <f>AVERAGE('2 T 12-1-2010'!J14:J17)</f>
        <v>21.875</v>
      </c>
      <c r="D65" s="16">
        <f>AVERAGE('3 T 25-2-2010'!J14:J17)</f>
        <v>9.9375</v>
      </c>
      <c r="F65" s="16"/>
      <c r="G65" s="16"/>
      <c r="H65" s="16"/>
    </row>
    <row r="66" spans="1:8" x14ac:dyDescent="0.2">
      <c r="A66" s="4" t="s">
        <v>10</v>
      </c>
    </row>
    <row r="67" spans="1:8" x14ac:dyDescent="0.2">
      <c r="B67" s="15">
        <v>40143</v>
      </c>
      <c r="C67" s="15">
        <v>40190</v>
      </c>
      <c r="D67" s="15">
        <v>40234</v>
      </c>
    </row>
    <row r="68" spans="1:8" x14ac:dyDescent="0.2">
      <c r="A68" t="s">
        <v>16</v>
      </c>
      <c r="B68" s="16" t="e">
        <f>AVERAGE(K2:K5)</f>
        <v>#DIV/0!</v>
      </c>
      <c r="C68" s="16">
        <f>AVERAGE('2 T 12-1-2010'!K2:K5)</f>
        <v>6.6666666666666661</v>
      </c>
      <c r="D68" s="16">
        <f>AVERAGE('3 T 25-2-2010'!K2:K5)</f>
        <v>10.3125</v>
      </c>
      <c r="F68" s="16"/>
      <c r="G68" s="16"/>
      <c r="H68" s="16"/>
    </row>
    <row r="69" spans="1:8" x14ac:dyDescent="0.2">
      <c r="A69" t="s">
        <v>17</v>
      </c>
      <c r="B69" s="16" t="e">
        <f>AVERAGE(K6:K9)</f>
        <v>#DIV/0!</v>
      </c>
      <c r="C69" s="16">
        <f>AVERAGE('2 T 12-1-2010'!K6:K9)</f>
        <v>12.875</v>
      </c>
      <c r="D69" s="16">
        <f>AVERAGE('3 T 25-2-2010'!K6:K9)</f>
        <v>14.237500000000001</v>
      </c>
      <c r="F69" s="16"/>
      <c r="G69" s="16"/>
      <c r="H69" s="16"/>
    </row>
    <row r="70" spans="1:8" x14ac:dyDescent="0.2">
      <c r="A70" t="s">
        <v>18</v>
      </c>
      <c r="B70" s="16" t="e">
        <f>AVERAGE(K10:K13)</f>
        <v>#DIV/0!</v>
      </c>
      <c r="C70" s="16">
        <f>AVERAGE('2 T 12-1-2010'!K10:K13)</f>
        <v>19.041666666666668</v>
      </c>
      <c r="D70" s="16">
        <f>AVERAGE('3 T 25-2-2010'!K10:K13)</f>
        <v>14.114285714285716</v>
      </c>
      <c r="F70" s="16"/>
      <c r="G70" s="16"/>
      <c r="H70" s="16"/>
    </row>
    <row r="71" spans="1:8" x14ac:dyDescent="0.2">
      <c r="A71" t="s">
        <v>19</v>
      </c>
      <c r="B71" s="16" t="e">
        <f>AVERAGE(K14:K17)</f>
        <v>#DIV/0!</v>
      </c>
      <c r="C71" s="16">
        <f>AVERAGE('2 T 12-1-2010'!K14:K17)</f>
        <v>12.625</v>
      </c>
      <c r="D71" s="16">
        <f>AVERAGE('3 T 25-2-2010'!K14:K17)</f>
        <v>11.895833333333332</v>
      </c>
      <c r="F71" s="16"/>
      <c r="G71" s="16"/>
      <c r="H71" s="16"/>
    </row>
    <row r="72" spans="1:8" x14ac:dyDescent="0.2">
      <c r="A72" s="46" t="s">
        <v>28</v>
      </c>
    </row>
    <row r="73" spans="1:8" x14ac:dyDescent="0.2">
      <c r="A73" s="54"/>
      <c r="B73" s="15">
        <v>40143</v>
      </c>
      <c r="C73" s="15">
        <v>40190</v>
      </c>
      <c r="D73" s="15">
        <v>40234</v>
      </c>
      <c r="E73" s="15"/>
      <c r="F73" s="15"/>
      <c r="G73" s="15"/>
    </row>
    <row r="74" spans="1:8" x14ac:dyDescent="0.2">
      <c r="A74" t="s">
        <v>16</v>
      </c>
      <c r="B74" s="16" t="e">
        <f>AVERAGE(S2:S5)</f>
        <v>#DIV/0!</v>
      </c>
      <c r="C74" s="16">
        <f>AVERAGE('2 T 12-1-2010'!S2:S5)</f>
        <v>16.666666666666664</v>
      </c>
      <c r="D74" s="16">
        <f>AVERAGE('3 T 25-2-2010'!S2:S5)</f>
        <v>30.833333333333332</v>
      </c>
    </row>
    <row r="75" spans="1:8" x14ac:dyDescent="0.2">
      <c r="A75" t="s">
        <v>17</v>
      </c>
      <c r="B75" s="16" t="e">
        <f>AVERAGE(S6:S9)</f>
        <v>#DIV/0!</v>
      </c>
      <c r="C75" s="16">
        <f>AVERAGE('2 T 12-1-2010'!S6:S9)</f>
        <v>8.3333333333333321</v>
      </c>
      <c r="D75" s="16">
        <f>AVERAGE('3 T 25-2-2010'!S6:S9)</f>
        <v>10</v>
      </c>
    </row>
    <row r="76" spans="1:8" x14ac:dyDescent="0.2">
      <c r="A76" t="s">
        <v>18</v>
      </c>
      <c r="B76" s="16" t="e">
        <f>AVERAGE(S10:S13)</f>
        <v>#DIV/0!</v>
      </c>
      <c r="C76" s="16">
        <f>AVERAGE('2 T 12-1-2010'!S10:S13)</f>
        <v>24.999999999999996</v>
      </c>
      <c r="D76" s="16">
        <f>AVERAGE('3 T 25-2-2010'!S10:S13)</f>
        <v>36.666666666666664</v>
      </c>
    </row>
    <row r="77" spans="1:8" x14ac:dyDescent="0.2">
      <c r="A77" t="s">
        <v>19</v>
      </c>
      <c r="B77" s="16" t="e">
        <f>AVERAGE(S14:S17)</f>
        <v>#DIV/0!</v>
      </c>
      <c r="C77" s="16">
        <f>AVERAGE('2 T 12-1-2010'!S14:S17)</f>
        <v>24.999999999999996</v>
      </c>
      <c r="D77" s="16">
        <f>AVERAGE('3 T 25-2-2010'!S14:S17)</f>
        <v>0</v>
      </c>
    </row>
    <row r="79" spans="1:8" x14ac:dyDescent="0.2">
      <c r="A79" s="38" t="s">
        <v>26</v>
      </c>
      <c r="B79" s="16"/>
    </row>
    <row r="80" spans="1:8" x14ac:dyDescent="0.2">
      <c r="B80" s="15">
        <v>40143</v>
      </c>
      <c r="C80" s="15">
        <v>40190</v>
      </c>
      <c r="D80" s="15">
        <v>40234</v>
      </c>
    </row>
    <row r="81" spans="1:4" x14ac:dyDescent="0.2">
      <c r="A81" t="s">
        <v>16</v>
      </c>
      <c r="B81" s="16" t="e">
        <f>AVERAGE(M2:M5)</f>
        <v>#DIV/0!</v>
      </c>
      <c r="C81" s="16">
        <f>AVERAGE('2 T 12-1-2010'!M2:M5)</f>
        <v>0.79166666666666663</v>
      </c>
      <c r="D81" s="16">
        <f>AVERAGE('3 T 25-2-2010'!M2:M5)</f>
        <v>0.54166666666666674</v>
      </c>
    </row>
    <row r="82" spans="1:4" x14ac:dyDescent="0.2">
      <c r="A82" t="s">
        <v>17</v>
      </c>
      <c r="B82" s="16" t="e">
        <f>AVERAGE(M6:M9)</f>
        <v>#DIV/0!</v>
      </c>
      <c r="C82" s="16">
        <f>AVERAGE('2 T 12-1-2010'!M6:M9)</f>
        <v>6.791666666666667</v>
      </c>
      <c r="D82" s="16">
        <f>AVERAGE('3 T 25-2-2010'!M6:M9)</f>
        <v>10.354166666666668</v>
      </c>
    </row>
    <row r="83" spans="1:4" x14ac:dyDescent="0.2">
      <c r="A83" t="s">
        <v>18</v>
      </c>
      <c r="B83" s="16" t="e">
        <f>AVERAGE(M10:M13)</f>
        <v>#DIV/0!</v>
      </c>
      <c r="C83" s="16">
        <f>AVERAGE('2 T 12-1-2010'!M10:M13)</f>
        <v>12.208333333333334</v>
      </c>
      <c r="D83" s="16">
        <f>AVERAGE('3 T 25-2-2010'!M10:M13)</f>
        <v>2.4833333333333334</v>
      </c>
    </row>
    <row r="84" spans="1:4" x14ac:dyDescent="0.2">
      <c r="A84" t="s">
        <v>19</v>
      </c>
      <c r="B84" s="16" t="e">
        <f>AVERAGE(M14:M17)</f>
        <v>#DIV/0!</v>
      </c>
      <c r="C84" s="16">
        <f>AVERAGE('2 T 12-1-2010'!M14:M17)</f>
        <v>5.8333333333333339</v>
      </c>
      <c r="D84" s="16">
        <f>AVERAGE('3 T 25-2-2010'!M14:M17)</f>
        <v>17.833333333333336</v>
      </c>
    </row>
    <row r="85" spans="1:4" x14ac:dyDescent="0.2">
      <c r="A85" s="4" t="s">
        <v>13</v>
      </c>
      <c r="B85" s="16"/>
    </row>
    <row r="86" spans="1:4" x14ac:dyDescent="0.2">
      <c r="B86" s="15">
        <v>40143</v>
      </c>
      <c r="C86" s="15">
        <v>40190</v>
      </c>
      <c r="D86" s="15">
        <v>40234</v>
      </c>
    </row>
    <row r="87" spans="1:4" x14ac:dyDescent="0.2">
      <c r="A87" t="s">
        <v>16</v>
      </c>
      <c r="B87" s="16" t="e">
        <f>AVERAGE(N2:N5)</f>
        <v>#DIV/0!</v>
      </c>
      <c r="C87" s="16">
        <f>AVERAGE('2 T 12-1-2010'!N2:N5)</f>
        <v>0.33333333333333331</v>
      </c>
      <c r="D87" s="16">
        <f>AVERAGE('3 T 25-2-2010'!N2:N5)</f>
        <v>0.20833333333333331</v>
      </c>
    </row>
    <row r="88" spans="1:4" x14ac:dyDescent="0.2">
      <c r="A88" t="s">
        <v>17</v>
      </c>
      <c r="B88" s="16" t="e">
        <f>AVERAGE(N6:N9)</f>
        <v>#DIV/0!</v>
      </c>
      <c r="C88" s="16">
        <f>AVERAGE('2 T 12-1-2010'!N6:N9)</f>
        <v>1.4166666666666665</v>
      </c>
      <c r="D88" s="16">
        <f>AVERAGE('3 T 25-2-2010'!N6:N9)</f>
        <v>3.2916666666666665</v>
      </c>
    </row>
    <row r="89" spans="1:4" x14ac:dyDescent="0.2">
      <c r="A89" t="s">
        <v>18</v>
      </c>
      <c r="B89" s="16" t="e">
        <f>AVERAGE(N10:N13)</f>
        <v>#DIV/0!</v>
      </c>
      <c r="C89" s="16">
        <f>AVERAGE('2 T 12-1-2010'!N10:N13)</f>
        <v>2.791666666666667</v>
      </c>
      <c r="D89" s="16">
        <f>AVERAGE('3 T 25-2-2010'!N10:N13)</f>
        <v>1.2166666666666666</v>
      </c>
    </row>
    <row r="90" spans="1:4" x14ac:dyDescent="0.2">
      <c r="A90" t="s">
        <v>19</v>
      </c>
      <c r="B90" s="16" t="e">
        <f>AVERAGE(N14:N17)</f>
        <v>#DIV/0!</v>
      </c>
      <c r="C90" s="16">
        <f>AVERAGE('2 T 12-1-2010'!N14:N17)</f>
        <v>1.6666666666666667</v>
      </c>
      <c r="D90" s="16">
        <f>AVERAGE('3 T 25-2-2010'!N14:N17)</f>
        <v>1.9166666666666667</v>
      </c>
    </row>
    <row r="91" spans="1:4" x14ac:dyDescent="0.2">
      <c r="A91" s="18" t="s">
        <v>20</v>
      </c>
    </row>
    <row r="92" spans="1:4" x14ac:dyDescent="0.2">
      <c r="B92" s="15">
        <v>40143</v>
      </c>
      <c r="C92" s="15">
        <v>40190</v>
      </c>
      <c r="D92" s="15">
        <v>40234</v>
      </c>
    </row>
    <row r="93" spans="1:4" x14ac:dyDescent="0.2">
      <c r="A93" t="s">
        <v>16</v>
      </c>
      <c r="B93" s="16" t="e">
        <f>AVERAGE(O2:O5)</f>
        <v>#DIV/0!</v>
      </c>
      <c r="C93" s="16">
        <f>AVERAGE('2 T 12-1-2010'!O2:O5)</f>
        <v>33.333333333333329</v>
      </c>
      <c r="D93" s="16">
        <f>AVERAGE('3 T 25-2-2010'!O2:O5)</f>
        <v>5</v>
      </c>
    </row>
    <row r="94" spans="1:4" x14ac:dyDescent="0.2">
      <c r="A94" t="s">
        <v>17</v>
      </c>
      <c r="B94" s="16" t="e">
        <f>AVERAGE(O6:O9)</f>
        <v>#DIV/0!</v>
      </c>
      <c r="C94" s="16">
        <f>AVERAGE('2 T 12-1-2010'!O6:O9)</f>
        <v>8.3333333333333321</v>
      </c>
      <c r="D94" s="16">
        <f>AVERAGE('3 T 25-2-2010'!O6:O9)</f>
        <v>6.25</v>
      </c>
    </row>
    <row r="95" spans="1:4" x14ac:dyDescent="0.2">
      <c r="A95" t="s">
        <v>18</v>
      </c>
      <c r="B95" s="16" t="e">
        <f>AVERAGE(O10:O13)</f>
        <v>#DIV/0!</v>
      </c>
      <c r="C95" s="16">
        <f>AVERAGE('2 T 12-1-2010'!O10:O13)</f>
        <v>8.3333333333333321</v>
      </c>
      <c r="D95" s="16">
        <f>AVERAGE('3 T 25-2-2010'!O10:O13)</f>
        <v>20.416666666666664</v>
      </c>
    </row>
    <row r="96" spans="1:4" x14ac:dyDescent="0.2">
      <c r="A96" t="s">
        <v>19</v>
      </c>
      <c r="B96" s="16" t="e">
        <f>AVERAGE(O14:O17)</f>
        <v>#DIV/0!</v>
      </c>
      <c r="C96" s="16">
        <f>AVERAGE('2 T 12-1-2010'!O14:O17)</f>
        <v>0</v>
      </c>
      <c r="D96" s="16">
        <f>AVERAGE('3 T 25-2-2010'!O14:O17)</f>
        <v>15</v>
      </c>
    </row>
    <row r="97" spans="1:4" x14ac:dyDescent="0.2">
      <c r="A97" s="21" t="s">
        <v>21</v>
      </c>
      <c r="B97" s="15"/>
      <c r="C97" s="15"/>
      <c r="D97" s="15"/>
    </row>
    <row r="98" spans="1:4" x14ac:dyDescent="0.2">
      <c r="A98" s="22"/>
      <c r="B98" s="15"/>
      <c r="C98" s="15"/>
      <c r="D98" s="15"/>
    </row>
    <row r="99" spans="1:4" x14ac:dyDescent="0.2">
      <c r="B99" s="15">
        <v>40143</v>
      </c>
      <c r="C99" s="15">
        <v>40190</v>
      </c>
      <c r="D99" s="15">
        <v>40234</v>
      </c>
    </row>
    <row r="100" spans="1:4" x14ac:dyDescent="0.2">
      <c r="A100" t="s">
        <v>16</v>
      </c>
      <c r="B100" s="16" t="e">
        <f>AVERAGE(P2:P5)</f>
        <v>#DIV/0!</v>
      </c>
      <c r="C100" s="16">
        <f>AVERAGE('2 T 12-1-2010'!P2:P5)</f>
        <v>20.833333333333332</v>
      </c>
      <c r="D100" s="16">
        <f>AVERAGE('3 T 25-2-2010'!P2:P5)</f>
        <v>35.833333333333329</v>
      </c>
    </row>
    <row r="101" spans="1:4" x14ac:dyDescent="0.2">
      <c r="A101" t="s">
        <v>17</v>
      </c>
      <c r="B101" s="16" t="e">
        <f>AVERAGE(P6:P9)</f>
        <v>#DIV/0!</v>
      </c>
      <c r="C101" s="16">
        <f>AVERAGE('2 T 12-1-2010'!P6:P9)</f>
        <v>91.666666666666657</v>
      </c>
      <c r="D101" s="16">
        <f>AVERAGE('3 T 25-2-2010'!P6:P9)</f>
        <v>67.083333333333343</v>
      </c>
    </row>
    <row r="102" spans="1:4" x14ac:dyDescent="0.2">
      <c r="A102" t="s">
        <v>18</v>
      </c>
      <c r="B102" s="16" t="e">
        <f>AVERAGE(P10:P13)</f>
        <v>#DIV/0!</v>
      </c>
      <c r="C102" s="16">
        <f>AVERAGE('2 T 12-1-2010'!P10:P13)</f>
        <v>79.166666666666657</v>
      </c>
      <c r="D102" s="16">
        <f>AVERAGE('3 T 25-2-2010'!P10:P13)</f>
        <v>43.571428571428569</v>
      </c>
    </row>
    <row r="103" spans="1:4" x14ac:dyDescent="0.2">
      <c r="A103" t="s">
        <v>19</v>
      </c>
      <c r="B103" s="16" t="e">
        <f>AVERAGE(P14:P17)</f>
        <v>#DIV/0!</v>
      </c>
      <c r="C103" s="16">
        <f>AVERAGE('2 T 12-1-2010'!P14:P17)</f>
        <v>83.333333333333329</v>
      </c>
      <c r="D103" s="16">
        <f>AVERAGE('3 T 25-2-2010'!P14:P17)</f>
        <v>41.666666666666664</v>
      </c>
    </row>
    <row r="104" spans="1:4" x14ac:dyDescent="0.2">
      <c r="A104" s="23" t="s">
        <v>22</v>
      </c>
    </row>
    <row r="106" spans="1:4" x14ac:dyDescent="0.2">
      <c r="A106" t="s">
        <v>16</v>
      </c>
      <c r="B106" s="15">
        <v>40143</v>
      </c>
      <c r="C106" s="15">
        <v>40190</v>
      </c>
      <c r="D106" s="15">
        <v>40234</v>
      </c>
    </row>
    <row r="107" spans="1:4" x14ac:dyDescent="0.2">
      <c r="A107" t="s">
        <v>17</v>
      </c>
    </row>
    <row r="108" spans="1:4" x14ac:dyDescent="0.2">
      <c r="A108" t="s">
        <v>18</v>
      </c>
    </row>
    <row r="109" spans="1:4" x14ac:dyDescent="0.2">
      <c r="A109" t="s">
        <v>19</v>
      </c>
    </row>
    <row r="110" spans="1:4" x14ac:dyDescent="0.2">
      <c r="A110" s="24" t="s">
        <v>23</v>
      </c>
    </row>
    <row r="111" spans="1:4" x14ac:dyDescent="0.2">
      <c r="B111" s="15">
        <v>40143</v>
      </c>
      <c r="C111" s="15">
        <v>40190</v>
      </c>
      <c r="D111" s="15">
        <v>40234</v>
      </c>
    </row>
    <row r="112" spans="1:4" x14ac:dyDescent="0.2">
      <c r="A112" t="s">
        <v>16</v>
      </c>
      <c r="B112" s="16" t="e">
        <f>AVERAGE(Q2:Q5)</f>
        <v>#DIV/0!</v>
      </c>
      <c r="C112" s="16">
        <f>AVERAGE('2 T 12-1-2010'!Q2:Q5)</f>
        <v>0.79166666666666663</v>
      </c>
      <c r="D112" s="16">
        <f>AVERAGE('3 T 25-2-2010'!Q2:Q5)</f>
        <v>4.1916666666666664</v>
      </c>
    </row>
    <row r="113" spans="1:4" x14ac:dyDescent="0.2">
      <c r="A113" t="s">
        <v>17</v>
      </c>
      <c r="B113" s="16" t="e">
        <f>AVERAGE(Q6:Q9)</f>
        <v>#DIV/0!</v>
      </c>
      <c r="C113" s="16">
        <f>AVERAGE('2 T 12-1-2010'!Q6:Q9)</f>
        <v>12.458333333333332</v>
      </c>
      <c r="D113" s="16">
        <f>AVERAGE('3 T 25-2-2010'!Q6:Q9)</f>
        <v>13.854166666666668</v>
      </c>
    </row>
    <row r="114" spans="1:4" x14ac:dyDescent="0.2">
      <c r="A114" t="s">
        <v>18</v>
      </c>
      <c r="B114" s="16" t="e">
        <f>AVERAGE(Q10:Q13)</f>
        <v>#DIV/0!</v>
      </c>
      <c r="C114" s="16">
        <f>AVERAGE('2 T 12-1-2010'!Q10:Q13)</f>
        <v>21.458333333333332</v>
      </c>
      <c r="D114" s="16">
        <f>AVERAGE('3 T 25-2-2010'!Q10:Q13)</f>
        <v>8.5547619047619055</v>
      </c>
    </row>
    <row r="115" spans="1:4" x14ac:dyDescent="0.2">
      <c r="A115" t="s">
        <v>19</v>
      </c>
      <c r="B115" s="16" t="e">
        <f>AVERAGE(Q14:Q17)</f>
        <v>#DIV/0!</v>
      </c>
      <c r="C115" s="16">
        <f>AVERAGE('2 T 12-1-2010'!Q14:Q17)</f>
        <v>16.583333333333336</v>
      </c>
      <c r="D115" s="16">
        <f>AVERAGE('3 T 25-2-2010'!Q14:Q17)</f>
        <v>31.395833333333336</v>
      </c>
    </row>
    <row r="116" spans="1:4" x14ac:dyDescent="0.2">
      <c r="A116" s="25" t="s">
        <v>24</v>
      </c>
    </row>
    <row r="117" spans="1:4" x14ac:dyDescent="0.2">
      <c r="B117" s="15">
        <v>40143</v>
      </c>
      <c r="C117" s="15">
        <v>40190</v>
      </c>
      <c r="D117" s="15">
        <v>40234</v>
      </c>
    </row>
    <row r="118" spans="1:4" x14ac:dyDescent="0.2">
      <c r="A118" t="s">
        <v>16</v>
      </c>
    </row>
    <row r="119" spans="1:4" x14ac:dyDescent="0.2">
      <c r="A119" t="s">
        <v>17</v>
      </c>
    </row>
    <row r="120" spans="1:4" x14ac:dyDescent="0.2">
      <c r="A120" t="s">
        <v>18</v>
      </c>
    </row>
    <row r="121" spans="1:4" x14ac:dyDescent="0.2">
      <c r="A121" t="s">
        <v>19</v>
      </c>
    </row>
    <row r="123" spans="1:4" x14ac:dyDescent="0.2">
      <c r="A123" s="1" t="s">
        <v>11</v>
      </c>
    </row>
    <row r="124" spans="1:4" x14ac:dyDescent="0.2">
      <c r="B124" s="15">
        <v>40143</v>
      </c>
      <c r="C124" s="15">
        <v>40190</v>
      </c>
      <c r="D124" s="15">
        <v>40234</v>
      </c>
    </row>
    <row r="125" spans="1:4" x14ac:dyDescent="0.2">
      <c r="A125" t="s">
        <v>16</v>
      </c>
      <c r="B125" s="16" t="e">
        <f>AVERAGE(L2:L5)</f>
        <v>#DIV/0!</v>
      </c>
      <c r="C125" s="16">
        <f>AVERAGE('2 T 12-1-2010'!L2:L5)</f>
        <v>0</v>
      </c>
      <c r="D125" s="16">
        <f>AVERAGE('3 T 25-2-2010'!L2:L5)</f>
        <v>0.95</v>
      </c>
    </row>
    <row r="126" spans="1:4" x14ac:dyDescent="0.2">
      <c r="A126" t="s">
        <v>17</v>
      </c>
      <c r="B126" s="16" t="e">
        <f>AVERAGE(L6:L9)</f>
        <v>#DIV/0!</v>
      </c>
      <c r="C126" s="16">
        <f>AVERAGE('2 T 12-1-2010'!L6:L9)</f>
        <v>3.0416666666666665</v>
      </c>
      <c r="D126" s="16">
        <f>AVERAGE('3 T 25-2-2010'!L6:L9)</f>
        <v>0.67500000000000004</v>
      </c>
    </row>
    <row r="127" spans="1:4" x14ac:dyDescent="0.2">
      <c r="A127" t="s">
        <v>18</v>
      </c>
      <c r="B127" s="16" t="e">
        <f>AVERAGE(L10:L13)</f>
        <v>#DIV/0!</v>
      </c>
      <c r="C127" s="16">
        <f>AVERAGE('2 T 12-1-2010'!L10:L13)</f>
        <v>4.0833333333333339</v>
      </c>
      <c r="D127" s="16">
        <f>AVERAGE('3 T 25-2-2010'!L10:L13)</f>
        <v>1.638095238095238</v>
      </c>
    </row>
    <row r="128" spans="1:4" x14ac:dyDescent="0.2">
      <c r="A128" t="s">
        <v>19</v>
      </c>
      <c r="B128" s="16" t="e">
        <f>AVERAGE(L14:L17)</f>
        <v>#DIV/0!</v>
      </c>
      <c r="C128" s="16">
        <f>AVERAGE('2 T 12-1-2010'!L14:L17)</f>
        <v>3.0416666666666665</v>
      </c>
      <c r="D128" s="16">
        <f>AVERAGE('3 T 25-2-2010'!L14:L17)</f>
        <v>4.5416666666666661</v>
      </c>
    </row>
    <row r="130" spans="1:4" x14ac:dyDescent="0.2">
      <c r="A130" s="47" t="s">
        <v>31</v>
      </c>
    </row>
    <row r="131" spans="1:4" x14ac:dyDescent="0.2">
      <c r="B131" s="15">
        <v>40143</v>
      </c>
      <c r="C131" s="15">
        <v>40190</v>
      </c>
      <c r="D131" s="15">
        <v>40234</v>
      </c>
    </row>
    <row r="132" spans="1:4" x14ac:dyDescent="0.2">
      <c r="A132" t="s">
        <v>16</v>
      </c>
      <c r="B132" s="16" t="e">
        <f>AVERAGE(T2:T5)</f>
        <v>#DIV/0!</v>
      </c>
      <c r="C132" s="16">
        <f>AVERAGE('2 T 12-1-2010'!T2:T5)</f>
        <v>1.125</v>
      </c>
      <c r="D132" s="16">
        <f>AVERAGE('3 T 25-2-2010'!T2:T5)</f>
        <v>1.5</v>
      </c>
    </row>
    <row r="133" spans="1:4" x14ac:dyDescent="0.2">
      <c r="A133" t="s">
        <v>17</v>
      </c>
      <c r="B133" s="16" t="e">
        <f>AVERAGE(T6:T9)</f>
        <v>#DIV/0!</v>
      </c>
      <c r="C133" s="16">
        <f>AVERAGE('2 T 12-1-2010'!T6:T9)</f>
        <v>2.125</v>
      </c>
      <c r="D133" s="16">
        <f>AVERAGE('3 T 25-2-2010'!T6:T9)</f>
        <v>5.4786931818181817</v>
      </c>
    </row>
    <row r="134" spans="1:4" x14ac:dyDescent="0.2">
      <c r="A134" t="s">
        <v>18</v>
      </c>
      <c r="B134" s="16" t="e">
        <f>AVERAGE(T10:T13)</f>
        <v>#DIV/0!</v>
      </c>
      <c r="C134" s="16">
        <f>AVERAGE('2 T 12-1-2010'!T10:T13)</f>
        <v>6.4131944444444446</v>
      </c>
      <c r="D134" s="16">
        <f>AVERAGE('3 T 25-2-2010'!T10:T13)</f>
        <v>1.6</v>
      </c>
    </row>
    <row r="135" spans="1:4" x14ac:dyDescent="0.2">
      <c r="A135" t="s">
        <v>19</v>
      </c>
      <c r="B135" s="16" t="e">
        <f>AVERAGE(T14:T17)</f>
        <v>#DIV/0!</v>
      </c>
      <c r="C135" s="16">
        <f>AVERAGE('2 T 12-1-2010'!T14:T17)</f>
        <v>2.6428571428571428</v>
      </c>
      <c r="D135" s="16">
        <f>AVERAGE('3 T 25-2-2010'!T14:T17)</f>
        <v>5.9749999999999996</v>
      </c>
    </row>
    <row r="136" spans="1:4" x14ac:dyDescent="0.2">
      <c r="A136" s="55" t="s">
        <v>32</v>
      </c>
    </row>
    <row r="137" spans="1:4" x14ac:dyDescent="0.2">
      <c r="B137" s="15">
        <v>40143</v>
      </c>
      <c r="C137" s="15">
        <v>40190</v>
      </c>
      <c r="D137" s="15">
        <v>40234</v>
      </c>
    </row>
    <row r="138" spans="1:4" x14ac:dyDescent="0.2">
      <c r="A138" t="s">
        <v>16</v>
      </c>
      <c r="B138" s="16" t="e">
        <f>AVERAGE(U2:U5)</f>
        <v>#DIV/0!</v>
      </c>
      <c r="C138" s="16">
        <f>AVERAGE('2 T 12-1-2010'!U2:U5)</f>
        <v>20.833333333333332</v>
      </c>
      <c r="D138" s="16">
        <f>AVERAGE('3 T 25-2-2010'!U2:U5)</f>
        <v>14.583333333333332</v>
      </c>
    </row>
    <row r="139" spans="1:4" x14ac:dyDescent="0.2">
      <c r="A139" t="s">
        <v>17</v>
      </c>
      <c r="B139" s="16" t="e">
        <f>AVERAGE(U6:U9)</f>
        <v>#DIV/0!</v>
      </c>
      <c r="C139" s="16">
        <f>AVERAGE('2 T 12-1-2010'!U6:U9)</f>
        <v>37.5</v>
      </c>
      <c r="D139" s="16">
        <f>AVERAGE('3 T 25-2-2010'!U6:U9)</f>
        <v>48.75</v>
      </c>
    </row>
    <row r="140" spans="1:4" x14ac:dyDescent="0.2">
      <c r="A140" t="s">
        <v>18</v>
      </c>
      <c r="B140" s="16" t="e">
        <f>AVERAGE(U10:U13)</f>
        <v>#DIV/0!</v>
      </c>
      <c r="C140" s="16">
        <f>AVERAGE('2 T 12-1-2010'!U10:U13)</f>
        <v>54.166666666666657</v>
      </c>
      <c r="D140" s="16">
        <f>AVERAGE('3 T 25-2-2010'!U10:U13)</f>
        <v>35</v>
      </c>
    </row>
    <row r="141" spans="1:4" x14ac:dyDescent="0.2">
      <c r="A141" t="s">
        <v>19</v>
      </c>
      <c r="B141" s="16" t="e">
        <f>AVERAGE(U14:U17)</f>
        <v>#DIV/0!</v>
      </c>
      <c r="C141" s="16">
        <f>AVERAGE('2 T 12-1-2010'!U14:U17)</f>
        <v>37.5</v>
      </c>
      <c r="D141" s="16">
        <f>AVERAGE('3 T 25-2-2010'!U14:U17)</f>
        <v>37.5</v>
      </c>
    </row>
    <row r="143" spans="1:4" x14ac:dyDescent="0.2">
      <c r="A143" s="56" t="s">
        <v>27</v>
      </c>
    </row>
    <row r="144" spans="1:4" x14ac:dyDescent="0.2">
      <c r="B144" s="15">
        <v>40143</v>
      </c>
      <c r="C144" s="15">
        <v>40190</v>
      </c>
      <c r="D144" s="15">
        <v>40234</v>
      </c>
    </row>
    <row r="145" spans="1:4" x14ac:dyDescent="0.2">
      <c r="A145" t="s">
        <v>16</v>
      </c>
      <c r="B145" s="16" t="e">
        <f>AVERAGE(R2:R5)</f>
        <v>#DIV/0!</v>
      </c>
      <c r="C145" s="16">
        <f>AVERAGE('2 T 12-1-2010'!R2:R5)</f>
        <v>8.3333333333333321</v>
      </c>
      <c r="D145" s="16">
        <f>AVERAGE('3 T 25-2-2010'!R2:R5)</f>
        <v>0</v>
      </c>
    </row>
    <row r="146" spans="1:4" x14ac:dyDescent="0.2">
      <c r="A146" t="s">
        <v>17</v>
      </c>
      <c r="B146" s="16" t="e">
        <f>AVERAGE(R6:R9)</f>
        <v>#DIV/0!</v>
      </c>
      <c r="C146" s="16">
        <f>AVERAGE('2 T 12-1-2010'!R6:R9)</f>
        <v>0</v>
      </c>
      <c r="D146" s="16">
        <f>AVERAGE('3 T 25-2-2010'!R6:R9)</f>
        <v>0</v>
      </c>
    </row>
    <row r="147" spans="1:4" x14ac:dyDescent="0.2">
      <c r="A147" t="s">
        <v>18</v>
      </c>
      <c r="B147" s="16" t="e">
        <f>AVERAGE(R10:R13)</f>
        <v>#DIV/0!</v>
      </c>
      <c r="C147" s="16">
        <f>AVERAGE('2 T 12-1-2010'!R10:R13)</f>
        <v>0</v>
      </c>
      <c r="D147" s="16">
        <f>AVERAGE('3 T 25-2-2010'!R10:R13)</f>
        <v>0</v>
      </c>
    </row>
    <row r="148" spans="1:4" x14ac:dyDescent="0.2">
      <c r="A148" t="s">
        <v>19</v>
      </c>
      <c r="B148" s="16" t="e">
        <f>AVERAGE(R14:R17)</f>
        <v>#DIV/0!</v>
      </c>
      <c r="C148" s="16">
        <f>AVERAGE('2 T 12-1-2010'!R14:R17)</f>
        <v>8.3333333333333321</v>
      </c>
      <c r="D148" s="16">
        <f>AVERAGE('3 T 25-2-2010'!R14:R17)</f>
        <v>0</v>
      </c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27" sqref="C27"/>
    </sheetView>
  </sheetViews>
  <sheetFormatPr defaultRowHeight="12.75" x14ac:dyDescent="0.2"/>
  <cols>
    <col min="1" max="1" width="8.28515625" customWidth="1"/>
    <col min="2" max="2" width="8.42578125" customWidth="1"/>
    <col min="3" max="3" width="14.28515625" customWidth="1"/>
    <col min="4" max="4" width="10.85546875" customWidth="1"/>
    <col min="5" max="5" width="7.7109375" customWidth="1"/>
    <col min="6" max="6" width="17.5703125" customWidth="1"/>
    <col min="7" max="8" width="25.140625" customWidth="1"/>
    <col min="9" max="9" width="21.5703125" customWidth="1"/>
    <col min="10" max="10" width="28.5703125" customWidth="1"/>
    <col min="11" max="11" width="37.28515625" customWidth="1"/>
    <col min="12" max="12" width="36.140625" customWidth="1"/>
    <col min="13" max="13" width="37.28515625" customWidth="1"/>
    <col min="14" max="14" width="23.7109375" customWidth="1"/>
    <col min="15" max="15" width="26" customWidth="1"/>
    <col min="16" max="16" width="12.28515625" customWidth="1"/>
    <col min="17" max="17" width="23.140625" bestFit="1" customWidth="1"/>
    <col min="18" max="18" width="21.5703125" bestFit="1" customWidth="1"/>
    <col min="19" max="19" width="29.28515625" bestFit="1" customWidth="1"/>
    <col min="20" max="20" width="18.140625" bestFit="1" customWidth="1"/>
    <col min="21" max="21" width="32" bestFit="1" customWidth="1"/>
  </cols>
  <sheetData>
    <row r="1" spans="1:2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23</v>
      </c>
      <c r="R1" s="5" t="s">
        <v>27</v>
      </c>
      <c r="S1" s="5" t="s">
        <v>28</v>
      </c>
      <c r="T1" s="5" t="s">
        <v>29</v>
      </c>
      <c r="U1" s="5" t="s">
        <v>30</v>
      </c>
    </row>
    <row r="2" spans="1:21" x14ac:dyDescent="0.2">
      <c r="A2" s="6">
        <v>1</v>
      </c>
      <c r="B2" s="6">
        <v>1</v>
      </c>
      <c r="C2" s="7">
        <f>(3/3)*100</f>
        <v>100</v>
      </c>
      <c r="D2" s="6">
        <f>(3/3)*100</f>
        <v>100</v>
      </c>
      <c r="E2" s="7">
        <f>(1/3)*100</f>
        <v>33.333333333333329</v>
      </c>
      <c r="F2" s="7">
        <f>(1/3)*100</f>
        <v>33.333333333333329</v>
      </c>
      <c r="G2" s="7">
        <f>(0/3)*100</f>
        <v>0</v>
      </c>
      <c r="H2" s="7">
        <f>(0/3)*100</f>
        <v>0</v>
      </c>
      <c r="I2" s="7">
        <f>(3/3)*100</f>
        <v>100</v>
      </c>
      <c r="J2" s="7">
        <f>(2+26+16)/3</f>
        <v>14.666666666666666</v>
      </c>
      <c r="K2" s="7">
        <f>(12+18+5)/3</f>
        <v>11.666666666666666</v>
      </c>
      <c r="L2" s="7">
        <f>(0+0+0)/3</f>
        <v>0</v>
      </c>
      <c r="M2" s="7">
        <f>(2/3)</f>
        <v>0.66666666666666663</v>
      </c>
      <c r="N2" s="7">
        <f>(1/3)</f>
        <v>0.33333333333333331</v>
      </c>
      <c r="O2" s="34">
        <f>(0/3)*100</f>
        <v>0</v>
      </c>
      <c r="P2" s="34">
        <f>(1/3)*100</f>
        <v>33.333333333333329</v>
      </c>
      <c r="Q2" s="39">
        <f>(2/3)</f>
        <v>0.66666666666666663</v>
      </c>
      <c r="R2" s="47">
        <v>0</v>
      </c>
      <c r="S2" s="47">
        <f>(2/3)*100</f>
        <v>66.666666666666657</v>
      </c>
      <c r="T2" s="47">
        <f>2/1</f>
        <v>2</v>
      </c>
      <c r="U2" s="47">
        <f>(1/3)*100</f>
        <v>33.333333333333329</v>
      </c>
    </row>
    <row r="3" spans="1:21" x14ac:dyDescent="0.2">
      <c r="A3" s="6">
        <v>1</v>
      </c>
      <c r="B3" s="6">
        <v>2</v>
      </c>
      <c r="C3" s="7">
        <f>(0/3)*100</f>
        <v>0</v>
      </c>
      <c r="D3" s="6">
        <f>(3/3)*100</f>
        <v>100</v>
      </c>
      <c r="E3" s="7">
        <f>(2/3)*100</f>
        <v>66.666666666666657</v>
      </c>
      <c r="F3" s="7">
        <v>0</v>
      </c>
      <c r="G3" s="7">
        <f t="shared" ref="G3:G17" si="0">(0/3)*100</f>
        <v>0</v>
      </c>
      <c r="H3" s="7">
        <v>0</v>
      </c>
      <c r="I3" s="7">
        <v>0</v>
      </c>
      <c r="J3" s="7">
        <v>0</v>
      </c>
      <c r="K3" s="7">
        <v>0</v>
      </c>
      <c r="L3" s="7">
        <f>0</f>
        <v>0</v>
      </c>
      <c r="M3" s="7">
        <v>0</v>
      </c>
      <c r="N3" s="7">
        <v>0</v>
      </c>
      <c r="O3" s="34">
        <f>(2/3)*100</f>
        <v>66.666666666666657</v>
      </c>
      <c r="P3" s="34">
        <v>0</v>
      </c>
      <c r="Q3" s="39">
        <v>0</v>
      </c>
      <c r="R3" s="47">
        <f>(1/3)*100</f>
        <v>33.333333333333329</v>
      </c>
      <c r="S3" s="47">
        <v>0</v>
      </c>
      <c r="T3" s="47">
        <v>0</v>
      </c>
      <c r="U3" s="47">
        <v>0</v>
      </c>
    </row>
    <row r="4" spans="1:21" x14ac:dyDescent="0.2">
      <c r="A4" s="6">
        <v>1</v>
      </c>
      <c r="B4" s="6">
        <v>3</v>
      </c>
      <c r="C4" s="7">
        <f>(2/3)*100</f>
        <v>66.666666666666657</v>
      </c>
      <c r="D4" s="6">
        <f t="shared" ref="D4:D17" si="1">(3/3)*100</f>
        <v>100</v>
      </c>
      <c r="E4" s="7">
        <f>(3/3)*100</f>
        <v>100</v>
      </c>
      <c r="F4" s="7">
        <f>(2/2)*100</f>
        <v>100</v>
      </c>
      <c r="G4" s="7">
        <f t="shared" si="0"/>
        <v>0</v>
      </c>
      <c r="H4" s="7">
        <f>(1/2)*100</f>
        <v>50</v>
      </c>
      <c r="I4" s="7">
        <f>(1/2)*100</f>
        <v>50</v>
      </c>
      <c r="J4" s="7">
        <f>(4+2)/2</f>
        <v>3</v>
      </c>
      <c r="K4" s="7">
        <f>(2+24)/2</f>
        <v>13</v>
      </c>
      <c r="L4" s="7">
        <f>(0+0)/2</f>
        <v>0</v>
      </c>
      <c r="M4" s="7">
        <f>(5/2)</f>
        <v>2.5</v>
      </c>
      <c r="N4" s="7">
        <f>(2/2)</f>
        <v>1</v>
      </c>
      <c r="O4" s="34">
        <f>(1/3)*100</f>
        <v>33.333333333333329</v>
      </c>
      <c r="P4" s="34">
        <f>(1/2)*100</f>
        <v>50</v>
      </c>
      <c r="Q4" s="39">
        <f>(5/2)</f>
        <v>2.5</v>
      </c>
      <c r="R4" s="47">
        <v>0</v>
      </c>
      <c r="S4" s="47">
        <v>0</v>
      </c>
      <c r="T4" s="47">
        <f>5/2</f>
        <v>2.5</v>
      </c>
      <c r="U4" s="47">
        <f>(1/2)*100</f>
        <v>50</v>
      </c>
    </row>
    <row r="5" spans="1:21" x14ac:dyDescent="0.2">
      <c r="A5" s="6">
        <v>1</v>
      </c>
      <c r="B5" s="6">
        <v>4</v>
      </c>
      <c r="C5" s="7">
        <f>(1/3)*100</f>
        <v>33.333333333333329</v>
      </c>
      <c r="D5" s="6">
        <f t="shared" si="1"/>
        <v>100</v>
      </c>
      <c r="E5" s="7">
        <f>(3/3)*100</f>
        <v>100</v>
      </c>
      <c r="F5" s="7">
        <f>(2/2)*100</f>
        <v>100</v>
      </c>
      <c r="G5" s="7">
        <f t="shared" si="0"/>
        <v>0</v>
      </c>
      <c r="H5" s="7">
        <f>(0/2)*100</f>
        <v>0</v>
      </c>
      <c r="I5" s="7">
        <f>(2/2)*100</f>
        <v>100</v>
      </c>
      <c r="J5" s="7">
        <f>(1+6)/2</f>
        <v>3.5</v>
      </c>
      <c r="K5" s="7">
        <f>(1+3)/2</f>
        <v>2</v>
      </c>
      <c r="L5" s="7">
        <f>(0+0)/2</f>
        <v>0</v>
      </c>
      <c r="M5" s="7">
        <f>0/2</f>
        <v>0</v>
      </c>
      <c r="N5" s="7">
        <f>0/2</f>
        <v>0</v>
      </c>
      <c r="O5" s="34">
        <f>(1/3)*100</f>
        <v>33.333333333333329</v>
      </c>
      <c r="P5" s="34">
        <f>(0/2)*100</f>
        <v>0</v>
      </c>
      <c r="Q5" s="39">
        <f>0/2</f>
        <v>0</v>
      </c>
      <c r="R5" s="47">
        <v>0</v>
      </c>
      <c r="S5" s="47">
        <v>0</v>
      </c>
      <c r="T5" s="47">
        <v>0</v>
      </c>
      <c r="U5" s="47">
        <v>0</v>
      </c>
    </row>
    <row r="6" spans="1:21" x14ac:dyDescent="0.2">
      <c r="A6" s="8">
        <v>2</v>
      </c>
      <c r="B6" s="8">
        <v>1</v>
      </c>
      <c r="C6" s="9">
        <f>(3/3)*100</f>
        <v>100</v>
      </c>
      <c r="D6" s="8">
        <f t="shared" si="1"/>
        <v>100</v>
      </c>
      <c r="E6" s="9">
        <f>(3/3)*100</f>
        <v>100</v>
      </c>
      <c r="F6" s="9">
        <f>(3/3)*100</f>
        <v>100</v>
      </c>
      <c r="G6" s="9">
        <f t="shared" si="0"/>
        <v>0</v>
      </c>
      <c r="H6" s="9">
        <f>(3/3)*100</f>
        <v>100</v>
      </c>
      <c r="I6" s="9">
        <f>(0/3)*100</f>
        <v>0</v>
      </c>
      <c r="J6" s="9">
        <f>(4+28+8)/3</f>
        <v>13.333333333333334</v>
      </c>
      <c r="K6" s="9">
        <f>(8+22+7)/3</f>
        <v>12.333333333333334</v>
      </c>
      <c r="L6" s="9">
        <f>(3+4+2)/3</f>
        <v>3</v>
      </c>
      <c r="M6" s="9">
        <f>(9/3)</f>
        <v>3</v>
      </c>
      <c r="N6" s="9">
        <f>(3/3)</f>
        <v>1</v>
      </c>
      <c r="O6" s="9">
        <f>(0/3)*100</f>
        <v>0</v>
      </c>
      <c r="P6" s="35">
        <f>(3/3)*100</f>
        <v>100</v>
      </c>
      <c r="Q6" s="42">
        <f>(3+4+2+9/3)</f>
        <v>12</v>
      </c>
      <c r="R6" s="50">
        <v>0</v>
      </c>
      <c r="S6" s="50">
        <v>0</v>
      </c>
      <c r="T6" s="50">
        <f>9/3</f>
        <v>3</v>
      </c>
      <c r="U6" s="50">
        <f>(1/3)*100</f>
        <v>33.333333333333329</v>
      </c>
    </row>
    <row r="7" spans="1:21" x14ac:dyDescent="0.2">
      <c r="A7" s="8">
        <v>2</v>
      </c>
      <c r="B7" s="8">
        <v>2</v>
      </c>
      <c r="C7" s="9">
        <f>(3/3)*100</f>
        <v>100</v>
      </c>
      <c r="D7" s="8">
        <f t="shared" si="1"/>
        <v>100</v>
      </c>
      <c r="E7" s="9">
        <f>(3/3)*100</f>
        <v>100</v>
      </c>
      <c r="F7" s="9">
        <f>(3/3)*100</f>
        <v>100</v>
      </c>
      <c r="G7" s="9">
        <f t="shared" si="0"/>
        <v>0</v>
      </c>
      <c r="H7" s="9">
        <f>(2/3)*100</f>
        <v>66.666666666666657</v>
      </c>
      <c r="I7" s="9">
        <f>(1/3)*100</f>
        <v>33.333333333333329</v>
      </c>
      <c r="J7" s="9">
        <f>(3+11+7)/3</f>
        <v>7</v>
      </c>
      <c r="K7" s="9">
        <f>(8+16+6)/3</f>
        <v>10</v>
      </c>
      <c r="L7" s="9">
        <f>(2+2+0/3)</f>
        <v>4</v>
      </c>
      <c r="M7" s="9">
        <f>0/3</f>
        <v>0</v>
      </c>
      <c r="N7" s="9">
        <f>0/3</f>
        <v>0</v>
      </c>
      <c r="O7" s="9">
        <f>(0/3)*100</f>
        <v>0</v>
      </c>
      <c r="P7" s="35">
        <f>(2/3)*100</f>
        <v>66.666666666666657</v>
      </c>
      <c r="Q7" s="42">
        <f>(2+2/3)</f>
        <v>2.6666666666666665</v>
      </c>
      <c r="R7" s="50">
        <v>0</v>
      </c>
      <c r="S7" s="50">
        <v>0</v>
      </c>
      <c r="T7" s="50">
        <v>0</v>
      </c>
      <c r="U7" s="50">
        <v>0</v>
      </c>
    </row>
    <row r="8" spans="1:21" x14ac:dyDescent="0.2">
      <c r="A8" s="8">
        <v>2</v>
      </c>
      <c r="B8" s="8">
        <v>3</v>
      </c>
      <c r="C8" s="9">
        <f>(2/3)*100</f>
        <v>66.666666666666657</v>
      </c>
      <c r="D8" s="8">
        <f t="shared" si="1"/>
        <v>100</v>
      </c>
      <c r="E8" s="9">
        <f>(3/3)*100</f>
        <v>100</v>
      </c>
      <c r="F8" s="9">
        <f>(2/2)*100</f>
        <v>100</v>
      </c>
      <c r="G8" s="9">
        <f t="shared" si="0"/>
        <v>0</v>
      </c>
      <c r="H8" s="9">
        <f>(1/2)*100</f>
        <v>50</v>
      </c>
      <c r="I8" s="9">
        <f>(1/2)*100</f>
        <v>50</v>
      </c>
      <c r="J8" s="9">
        <f>(26+4/2)</f>
        <v>28</v>
      </c>
      <c r="K8" s="9">
        <f>(24+3)/2</f>
        <v>13.5</v>
      </c>
      <c r="L8" s="9">
        <f>(2+1/2)</f>
        <v>2.5</v>
      </c>
      <c r="M8" s="9">
        <f>(7/2)</f>
        <v>3.5</v>
      </c>
      <c r="N8" s="9">
        <f>(4/2)</f>
        <v>2</v>
      </c>
      <c r="O8" s="9">
        <f>(1/3)*100</f>
        <v>33.333333333333329</v>
      </c>
      <c r="P8" s="35">
        <f>(2/2)*100</f>
        <v>100</v>
      </c>
      <c r="Q8" s="42">
        <f>(2+1+7/2)</f>
        <v>6.5</v>
      </c>
      <c r="R8" s="50">
        <v>0</v>
      </c>
      <c r="S8" s="50">
        <v>0</v>
      </c>
      <c r="T8" s="50">
        <f>7/4</f>
        <v>1.75</v>
      </c>
      <c r="U8" s="50">
        <f>(1/2)*100</f>
        <v>50</v>
      </c>
    </row>
    <row r="9" spans="1:21" x14ac:dyDescent="0.2">
      <c r="A9" s="8">
        <v>2</v>
      </c>
      <c r="B9" s="8">
        <v>4</v>
      </c>
      <c r="C9" s="9">
        <f>(3/3)*100</f>
        <v>100</v>
      </c>
      <c r="D9" s="8">
        <f t="shared" si="1"/>
        <v>100</v>
      </c>
      <c r="E9" s="9">
        <f>(2/3)*100</f>
        <v>66.666666666666657</v>
      </c>
      <c r="F9" s="9">
        <f>(2/3)*100</f>
        <v>66.666666666666657</v>
      </c>
      <c r="G9" s="9">
        <f t="shared" si="0"/>
        <v>0</v>
      </c>
      <c r="H9" s="9">
        <f>(2/3)*100</f>
        <v>66.666666666666657</v>
      </c>
      <c r="I9" s="9">
        <f>(1/3)*100</f>
        <v>33.333333333333329</v>
      </c>
      <c r="J9" s="9">
        <f>(26+2+21)/3</f>
        <v>16.333333333333332</v>
      </c>
      <c r="K9" s="9">
        <f>(17+10+20)/3</f>
        <v>15.666666666666666</v>
      </c>
      <c r="L9" s="9">
        <f>(3+2+3)/3</f>
        <v>2.6666666666666665</v>
      </c>
      <c r="M9" s="9">
        <f>(16+14/3)</f>
        <v>20.666666666666668</v>
      </c>
      <c r="N9" s="9">
        <f>(4+4)/3</f>
        <v>2.6666666666666665</v>
      </c>
      <c r="O9" s="9">
        <f>(0/3)*100</f>
        <v>0</v>
      </c>
      <c r="P9" s="35">
        <f>(3/3)*100</f>
        <v>100</v>
      </c>
      <c r="Q9" s="42">
        <f>(3+2+3+16+14/3)</f>
        <v>28.666666666666668</v>
      </c>
      <c r="R9" s="50">
        <v>0</v>
      </c>
      <c r="S9" s="50">
        <f>(1/3)*100</f>
        <v>33.333333333333329</v>
      </c>
      <c r="T9" s="50">
        <f>(16+14)/8</f>
        <v>3.75</v>
      </c>
      <c r="U9" s="50">
        <f>(2/3)*100</f>
        <v>66.666666666666657</v>
      </c>
    </row>
    <row r="10" spans="1:21" x14ac:dyDescent="0.2">
      <c r="A10" s="10">
        <v>3</v>
      </c>
      <c r="B10" s="10">
        <v>1</v>
      </c>
      <c r="C10" s="11">
        <f>(3/3)*100</f>
        <v>100</v>
      </c>
      <c r="D10" s="10">
        <f t="shared" si="1"/>
        <v>100</v>
      </c>
      <c r="E10" s="11">
        <f>(1/3)*100</f>
        <v>33.333333333333329</v>
      </c>
      <c r="F10" s="11">
        <f>(1/3)*100</f>
        <v>33.333333333333329</v>
      </c>
      <c r="G10" s="11">
        <f t="shared" si="0"/>
        <v>0</v>
      </c>
      <c r="H10" s="11">
        <f>(2/3)*100</f>
        <v>66.666666666666657</v>
      </c>
      <c r="I10" s="11">
        <f>(1/3)*100</f>
        <v>33.333333333333329</v>
      </c>
      <c r="J10" s="11">
        <f>(26+28+13)/3</f>
        <v>22.333333333333332</v>
      </c>
      <c r="K10" s="11">
        <f>(18+19+25)/3</f>
        <v>20.666666666666668</v>
      </c>
      <c r="L10" s="11">
        <f>(2+3+2)/3</f>
        <v>2.3333333333333335</v>
      </c>
      <c r="M10" s="11">
        <f>(20+23/3)</f>
        <v>27.666666666666668</v>
      </c>
      <c r="N10" s="11">
        <f>(4+5/3)</f>
        <v>5.666666666666667</v>
      </c>
      <c r="O10" s="11">
        <f>(0/3)*100</f>
        <v>0</v>
      </c>
      <c r="P10" s="36">
        <f>(3/3)*100</f>
        <v>100</v>
      </c>
      <c r="Q10" s="43">
        <f>(2+3+2+20+23/3)</f>
        <v>34.666666666666664</v>
      </c>
      <c r="R10" s="51">
        <v>0</v>
      </c>
      <c r="S10" s="51">
        <f>(2/3)*100</f>
        <v>66.666666666666657</v>
      </c>
      <c r="T10" s="51">
        <f>(20+23)/9</f>
        <v>4.7777777777777777</v>
      </c>
      <c r="U10" s="51">
        <f>(2/3)*100</f>
        <v>66.666666666666657</v>
      </c>
    </row>
    <row r="11" spans="1:21" x14ac:dyDescent="0.2">
      <c r="A11" s="10">
        <v>3</v>
      </c>
      <c r="B11" s="10">
        <v>2</v>
      </c>
      <c r="C11" s="11">
        <f>(3/3)*100</f>
        <v>100</v>
      </c>
      <c r="D11" s="10">
        <f t="shared" si="1"/>
        <v>100</v>
      </c>
      <c r="E11" s="11">
        <f>(3/3)*100</f>
        <v>100</v>
      </c>
      <c r="F11" s="11">
        <f>(3/3)*100</f>
        <v>100</v>
      </c>
      <c r="G11" s="11">
        <f t="shared" si="0"/>
        <v>0</v>
      </c>
      <c r="H11" s="11">
        <f>(2/3)*100</f>
        <v>66.666666666666657</v>
      </c>
      <c r="I11" s="11">
        <f>(1/3)*100</f>
        <v>33.333333333333329</v>
      </c>
      <c r="J11" s="11">
        <f>(29+3+12)/3</f>
        <v>14.666666666666666</v>
      </c>
      <c r="K11" s="11">
        <f>(32+1+24)/3</f>
        <v>19</v>
      </c>
      <c r="L11" s="11">
        <f>(4+2+0/3)</f>
        <v>6</v>
      </c>
      <c r="M11" s="11">
        <f>(7+24/3)</f>
        <v>15</v>
      </c>
      <c r="N11" s="11">
        <f>(3+5/3)</f>
        <v>4.666666666666667</v>
      </c>
      <c r="O11" s="11">
        <f>(0/3)*100</f>
        <v>0</v>
      </c>
      <c r="P11" s="36">
        <f>(2/3)*100</f>
        <v>66.666666666666657</v>
      </c>
      <c r="Q11" s="43">
        <f>(4+2+7+24/3)</f>
        <v>21</v>
      </c>
      <c r="R11" s="51">
        <v>0</v>
      </c>
      <c r="S11" s="51">
        <v>0</v>
      </c>
      <c r="T11" s="51">
        <f>(7+24)/8</f>
        <v>3.875</v>
      </c>
      <c r="U11" s="51">
        <f>(2/3)*100</f>
        <v>66.666666666666657</v>
      </c>
    </row>
    <row r="12" spans="1:21" x14ac:dyDescent="0.2">
      <c r="A12" s="10">
        <v>3</v>
      </c>
      <c r="B12" s="10">
        <v>3</v>
      </c>
      <c r="C12" s="11">
        <f>(2/3)*100</f>
        <v>66.666666666666657</v>
      </c>
      <c r="D12" s="10">
        <f t="shared" si="1"/>
        <v>100</v>
      </c>
      <c r="E12" s="11">
        <f>(3/3)*100</f>
        <v>100</v>
      </c>
      <c r="F12" s="11">
        <f>(2/2)*100</f>
        <v>100</v>
      </c>
      <c r="G12" s="11">
        <f t="shared" si="0"/>
        <v>0</v>
      </c>
      <c r="H12" s="11">
        <f>(0/2)*100</f>
        <v>0</v>
      </c>
      <c r="I12" s="11">
        <f>(2/2)*100</f>
        <v>100</v>
      </c>
      <c r="J12" s="11">
        <f>(3+5)/2</f>
        <v>4</v>
      </c>
      <c r="K12" s="11">
        <f>(15+10)/2</f>
        <v>12.5</v>
      </c>
      <c r="L12" s="11">
        <f>0/2</f>
        <v>0</v>
      </c>
      <c r="M12" s="11">
        <f>(3/2)</f>
        <v>1.5</v>
      </c>
      <c r="N12" s="11">
        <f>(1/2)</f>
        <v>0.5</v>
      </c>
      <c r="O12" s="11">
        <f>(1/3)*100</f>
        <v>33.333333333333329</v>
      </c>
      <c r="P12" s="36">
        <f>(1/2)*100</f>
        <v>50</v>
      </c>
      <c r="Q12" s="43">
        <f>(3/2)</f>
        <v>1.5</v>
      </c>
      <c r="R12" s="51">
        <v>0</v>
      </c>
      <c r="S12" s="51">
        <v>0</v>
      </c>
      <c r="T12" s="51">
        <f>3/1</f>
        <v>3</v>
      </c>
      <c r="U12" s="51">
        <f>(1/2)*100</f>
        <v>50</v>
      </c>
    </row>
    <row r="13" spans="1:21" x14ac:dyDescent="0.2">
      <c r="A13" s="10">
        <v>3</v>
      </c>
      <c r="B13" s="10">
        <v>4</v>
      </c>
      <c r="C13" s="11">
        <f>(3/3)*100</f>
        <v>100</v>
      </c>
      <c r="D13" s="10">
        <f t="shared" si="1"/>
        <v>100</v>
      </c>
      <c r="E13" s="11">
        <f>(2/3)*100</f>
        <v>66.666666666666657</v>
      </c>
      <c r="F13" s="11">
        <f>(2/3)*100</f>
        <v>66.666666666666657</v>
      </c>
      <c r="G13" s="11">
        <f t="shared" si="0"/>
        <v>0</v>
      </c>
      <c r="H13" s="11">
        <f>(2/3)*100</f>
        <v>66.666666666666657</v>
      </c>
      <c r="I13" s="11">
        <f>(1/3)*100</f>
        <v>33.333333333333329</v>
      </c>
      <c r="J13" s="11">
        <f>(12+15+23)/3</f>
        <v>16.666666666666668</v>
      </c>
      <c r="K13" s="11">
        <f>(21+23+28)/3</f>
        <v>24</v>
      </c>
      <c r="L13" s="11">
        <f>(15+4+5)/3</f>
        <v>8</v>
      </c>
      <c r="M13" s="11">
        <f>(14/3)</f>
        <v>4.666666666666667</v>
      </c>
      <c r="N13" s="11">
        <f>(1/3)</f>
        <v>0.33333333333333331</v>
      </c>
      <c r="O13" s="11">
        <f>(0/3)*100</f>
        <v>0</v>
      </c>
      <c r="P13" s="36">
        <f>(3/3)*100</f>
        <v>100</v>
      </c>
      <c r="Q13" s="43">
        <f>(15+4+5+14/3)</f>
        <v>28.666666666666668</v>
      </c>
      <c r="R13" s="51">
        <v>0</v>
      </c>
      <c r="S13" s="51">
        <f>(1/3)*100</f>
        <v>33.333333333333329</v>
      </c>
      <c r="T13" s="51">
        <f>14/1</f>
        <v>14</v>
      </c>
      <c r="U13" s="51">
        <f>(1/3)*100</f>
        <v>33.333333333333329</v>
      </c>
    </row>
    <row r="14" spans="1:21" x14ac:dyDescent="0.2">
      <c r="A14" s="12">
        <v>4</v>
      </c>
      <c r="B14" s="12">
        <v>1</v>
      </c>
      <c r="C14" s="13">
        <f>(3/3)*100</f>
        <v>100</v>
      </c>
      <c r="D14" s="12">
        <f t="shared" si="1"/>
        <v>100</v>
      </c>
      <c r="E14" s="13">
        <f>(2/3)*100</f>
        <v>66.666666666666657</v>
      </c>
      <c r="F14" s="13">
        <f>(2/3)*100</f>
        <v>66.666666666666657</v>
      </c>
      <c r="G14" s="13">
        <f t="shared" si="0"/>
        <v>0</v>
      </c>
      <c r="H14" s="13">
        <f>(3/3)*100</f>
        <v>100</v>
      </c>
      <c r="I14" s="13">
        <f>(0/3)*100</f>
        <v>0</v>
      </c>
      <c r="J14" s="13">
        <f>(21+38+28)/3</f>
        <v>29</v>
      </c>
      <c r="K14" s="13">
        <f>(15+14+19)/3</f>
        <v>16</v>
      </c>
      <c r="L14" s="13">
        <f>(3+4+2)/3</f>
        <v>3</v>
      </c>
      <c r="M14" s="13">
        <f>(8+10/3)</f>
        <v>11.333333333333334</v>
      </c>
      <c r="N14" s="13">
        <f>(2+5/3)</f>
        <v>3.666666666666667</v>
      </c>
      <c r="O14" s="13">
        <f>(0/3)*100</f>
        <v>0</v>
      </c>
      <c r="P14" s="37">
        <f>(3/3)*100</f>
        <v>100</v>
      </c>
      <c r="Q14" s="44">
        <f>(8+10+3+4+2/3)</f>
        <v>25.666666666666668</v>
      </c>
      <c r="R14" s="49">
        <v>0</v>
      </c>
      <c r="S14" s="49">
        <f>(1/3)*100</f>
        <v>33.333333333333329</v>
      </c>
      <c r="T14" s="49">
        <f>(8+10)/7</f>
        <v>2.5714285714285716</v>
      </c>
      <c r="U14" s="49">
        <f>(2/3)*100</f>
        <v>66.666666666666657</v>
      </c>
    </row>
    <row r="15" spans="1:21" x14ac:dyDescent="0.2">
      <c r="A15" s="12">
        <v>4</v>
      </c>
      <c r="B15" s="12">
        <v>2</v>
      </c>
      <c r="C15" s="13">
        <f>(2/3)*100</f>
        <v>66.666666666666657</v>
      </c>
      <c r="D15" s="12">
        <f t="shared" si="1"/>
        <v>100</v>
      </c>
      <c r="E15" s="13">
        <f t="shared" ref="E15:F17" si="2">(2/3)*100</f>
        <v>66.666666666666657</v>
      </c>
      <c r="F15" s="13">
        <f>(2/2)*100</f>
        <v>100</v>
      </c>
      <c r="G15" s="13">
        <f t="shared" si="0"/>
        <v>0</v>
      </c>
      <c r="H15" s="13">
        <f>(1/2)*100</f>
        <v>50</v>
      </c>
      <c r="I15" s="13">
        <f>(1/2)*100</f>
        <v>50</v>
      </c>
      <c r="J15" s="13">
        <f>(33+2)/2</f>
        <v>17.5</v>
      </c>
      <c r="K15" s="13">
        <f>(21+2)/2</f>
        <v>11.5</v>
      </c>
      <c r="L15" s="13">
        <f>(7+2)/2</f>
        <v>4.5</v>
      </c>
      <c r="M15" s="13">
        <f>(16/2)</f>
        <v>8</v>
      </c>
      <c r="N15" s="13">
        <f>(4/2)</f>
        <v>2</v>
      </c>
      <c r="O15" s="13">
        <f>(0/3)*100</f>
        <v>0</v>
      </c>
      <c r="P15" s="37">
        <f>(2/2)*100</f>
        <v>100</v>
      </c>
      <c r="Q15" s="44">
        <f>(16+7+2/2)</f>
        <v>24</v>
      </c>
      <c r="R15" s="49">
        <f>(1/3)*100</f>
        <v>33.333333333333329</v>
      </c>
      <c r="S15" s="49">
        <v>0</v>
      </c>
      <c r="T15" s="49">
        <f>16/4</f>
        <v>4</v>
      </c>
      <c r="U15" s="49">
        <f>(1/2)*100</f>
        <v>50</v>
      </c>
    </row>
    <row r="16" spans="1:21" x14ac:dyDescent="0.2">
      <c r="A16" s="12">
        <v>4</v>
      </c>
      <c r="B16" s="12">
        <v>3</v>
      </c>
      <c r="C16" s="13">
        <f>(3/3)*100</f>
        <v>100</v>
      </c>
      <c r="D16" s="12">
        <f t="shared" si="1"/>
        <v>100</v>
      </c>
      <c r="E16" s="13">
        <f t="shared" si="2"/>
        <v>66.666666666666657</v>
      </c>
      <c r="F16" s="13">
        <f t="shared" si="2"/>
        <v>66.666666666666657</v>
      </c>
      <c r="G16" s="13">
        <f t="shared" si="0"/>
        <v>0</v>
      </c>
      <c r="H16" s="13">
        <f>(2/3)*100</f>
        <v>66.666666666666657</v>
      </c>
      <c r="I16" s="13">
        <f>(1/3)*100</f>
        <v>33.333333333333329</v>
      </c>
      <c r="J16" s="13">
        <f>(2+17+10)/3</f>
        <v>9.6666666666666661</v>
      </c>
      <c r="K16" s="13">
        <f>(3+13+17)/3</f>
        <v>11</v>
      </c>
      <c r="L16" s="13">
        <f>(5+0+0)/3</f>
        <v>1.6666666666666667</v>
      </c>
      <c r="M16" s="13">
        <f>0/3</f>
        <v>0</v>
      </c>
      <c r="N16" s="13">
        <f>0/3</f>
        <v>0</v>
      </c>
      <c r="O16" s="13">
        <f>(0/3)*100</f>
        <v>0</v>
      </c>
      <c r="P16" s="37">
        <f>(1/3)*100</f>
        <v>33.333333333333329</v>
      </c>
      <c r="Q16" s="44">
        <f>(5/3)</f>
        <v>1.6666666666666667</v>
      </c>
      <c r="R16" s="49">
        <v>0</v>
      </c>
      <c r="S16" s="49">
        <f>(1/3)*100</f>
        <v>33.333333333333329</v>
      </c>
      <c r="T16" s="49">
        <v>0</v>
      </c>
      <c r="U16" s="49">
        <v>0</v>
      </c>
    </row>
    <row r="17" spans="1:21" x14ac:dyDescent="0.2">
      <c r="A17" s="12">
        <v>4</v>
      </c>
      <c r="B17" s="12">
        <v>4</v>
      </c>
      <c r="C17" s="13">
        <f>(3/3)*100</f>
        <v>100</v>
      </c>
      <c r="D17" s="12">
        <f t="shared" si="1"/>
        <v>100</v>
      </c>
      <c r="E17" s="13">
        <f t="shared" si="2"/>
        <v>66.666666666666657</v>
      </c>
      <c r="F17" s="13">
        <f t="shared" si="2"/>
        <v>66.666666666666657</v>
      </c>
      <c r="G17" s="13">
        <f t="shared" si="0"/>
        <v>0</v>
      </c>
      <c r="H17" s="13">
        <f>(1/3)*100</f>
        <v>33.333333333333329</v>
      </c>
      <c r="I17" s="13">
        <f>(2/3)*100</f>
        <v>66.666666666666657</v>
      </c>
      <c r="J17" s="13">
        <f>(3+8+83)/3</f>
        <v>31.333333333333332</v>
      </c>
      <c r="K17" s="13">
        <f>(3+9+24)/3</f>
        <v>12</v>
      </c>
      <c r="L17" s="13">
        <f>(1+1+3/3)</f>
        <v>3</v>
      </c>
      <c r="M17" s="13">
        <f>(12/3)</f>
        <v>4</v>
      </c>
      <c r="N17" s="13">
        <f>(3/3)</f>
        <v>1</v>
      </c>
      <c r="O17" s="13">
        <f>(0/3)*100</f>
        <v>0</v>
      </c>
      <c r="P17" s="37">
        <f>(3/3)*100</f>
        <v>100</v>
      </c>
      <c r="Q17" s="44">
        <f>(12+1+1+3/3)</f>
        <v>15</v>
      </c>
      <c r="R17" s="49">
        <v>0</v>
      </c>
      <c r="S17" s="49">
        <f>(1/3)*100</f>
        <v>33.333333333333329</v>
      </c>
      <c r="T17" s="49">
        <f>12/3</f>
        <v>4</v>
      </c>
      <c r="U17" s="49">
        <f>(1/3)*100</f>
        <v>33.333333333333329</v>
      </c>
    </row>
    <row r="18" spans="1:21" x14ac:dyDescent="0.2">
      <c r="L18" s="26"/>
      <c r="M18" s="26"/>
      <c r="N18" s="26"/>
    </row>
    <row r="19" spans="1:21" x14ac:dyDescent="0.2">
      <c r="L19" s="26"/>
      <c r="M19" s="26"/>
      <c r="N19" s="26"/>
    </row>
    <row r="20" spans="1:21" x14ac:dyDescent="0.2">
      <c r="L20" s="26"/>
      <c r="M20" s="26"/>
      <c r="N20" s="26"/>
    </row>
    <row r="21" spans="1:21" x14ac:dyDescent="0.2">
      <c r="L21" s="26"/>
      <c r="M21" s="26"/>
      <c r="N21" s="26"/>
    </row>
    <row r="22" spans="1:21" x14ac:dyDescent="0.2">
      <c r="M22" s="26"/>
      <c r="N22" s="26"/>
    </row>
    <row r="23" spans="1:21" x14ac:dyDescent="0.2">
      <c r="M23" s="26"/>
      <c r="N23" s="26"/>
    </row>
    <row r="24" spans="1:21" x14ac:dyDescent="0.2">
      <c r="M24" s="26"/>
      <c r="N24" s="26"/>
    </row>
    <row r="25" spans="1:21" x14ac:dyDescent="0.2">
      <c r="M25" s="26"/>
      <c r="N25" s="26"/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D6" sqref="D6"/>
    </sheetView>
  </sheetViews>
  <sheetFormatPr defaultRowHeight="12.75" x14ac:dyDescent="0.2"/>
  <cols>
    <col min="1" max="1" width="8.28515625" customWidth="1"/>
    <col min="2" max="2" width="8.42578125" customWidth="1"/>
    <col min="3" max="3" width="14.28515625" customWidth="1"/>
    <col min="4" max="4" width="11.42578125" customWidth="1"/>
    <col min="5" max="5" width="8.28515625" customWidth="1"/>
    <col min="6" max="6" width="17.7109375" customWidth="1"/>
    <col min="7" max="8" width="25.140625" customWidth="1"/>
    <col min="9" max="9" width="21.5703125" customWidth="1"/>
    <col min="10" max="10" width="28.42578125" customWidth="1"/>
    <col min="11" max="11" width="36.7109375" customWidth="1"/>
    <col min="12" max="12" width="35.5703125" customWidth="1"/>
    <col min="13" max="13" width="36.7109375" customWidth="1"/>
    <col min="14" max="14" width="23.7109375" customWidth="1"/>
    <col min="15" max="15" width="25.85546875" customWidth="1"/>
    <col min="16" max="16" width="12.28515625" customWidth="1"/>
    <col min="17" max="17" width="23.140625" bestFit="1" customWidth="1"/>
    <col min="18" max="18" width="21.5703125" bestFit="1" customWidth="1"/>
    <col min="19" max="19" width="29.28515625" bestFit="1" customWidth="1"/>
    <col min="20" max="20" width="18.140625" bestFit="1" customWidth="1"/>
    <col min="21" max="21" width="32" bestFit="1" customWidth="1"/>
  </cols>
  <sheetData>
    <row r="1" spans="1:2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23</v>
      </c>
      <c r="R1" s="5" t="s">
        <v>27</v>
      </c>
      <c r="S1" s="5" t="s">
        <v>28</v>
      </c>
      <c r="T1" s="5" t="s">
        <v>29</v>
      </c>
      <c r="U1" s="5" t="s">
        <v>30</v>
      </c>
    </row>
    <row r="2" spans="1:21" x14ac:dyDescent="0.2">
      <c r="A2" s="6">
        <v>1</v>
      </c>
      <c r="B2" s="6">
        <v>1</v>
      </c>
      <c r="C2" s="7">
        <f>(5/5)*100</f>
        <v>100</v>
      </c>
      <c r="D2" s="7">
        <f>(5/9)*100</f>
        <v>55.555555555555557</v>
      </c>
      <c r="E2" s="7">
        <f>(3/9)*100</f>
        <v>33.333333333333329</v>
      </c>
      <c r="F2" s="7">
        <f>(3/5)*100</f>
        <v>60</v>
      </c>
      <c r="G2" s="7">
        <f>(0/3)*100</f>
        <v>0</v>
      </c>
      <c r="H2" s="7">
        <f>(1/5)*100</f>
        <v>20</v>
      </c>
      <c r="I2" s="7">
        <f>(4/5)*100</f>
        <v>80</v>
      </c>
      <c r="J2" s="7">
        <f>(3+5+8+23+78)/5</f>
        <v>23.4</v>
      </c>
      <c r="K2" s="7">
        <f>(2+8+30+3+12)/5</f>
        <v>11</v>
      </c>
      <c r="L2" s="7">
        <f>(2+4+3+0+0)/5</f>
        <v>1.8</v>
      </c>
      <c r="M2" s="7">
        <f>0/5</f>
        <v>0</v>
      </c>
      <c r="N2" s="7">
        <f>0/5</f>
        <v>0</v>
      </c>
      <c r="O2" s="7">
        <f>(0/5)*100</f>
        <v>0</v>
      </c>
      <c r="P2" s="30">
        <f>(3/5)*100</f>
        <v>60</v>
      </c>
      <c r="Q2" s="45">
        <f>(2+4+3/5)</f>
        <v>6.6</v>
      </c>
      <c r="R2" s="52">
        <v>0</v>
      </c>
      <c r="S2" s="52">
        <f>(2/5)*100</f>
        <v>40</v>
      </c>
      <c r="T2" s="52">
        <v>0</v>
      </c>
      <c r="U2" s="52">
        <v>0</v>
      </c>
    </row>
    <row r="3" spans="1:21" x14ac:dyDescent="0.2">
      <c r="A3" s="6">
        <v>1</v>
      </c>
      <c r="B3" s="6">
        <v>2</v>
      </c>
      <c r="C3" s="7">
        <f>(3/3)*100</f>
        <v>100</v>
      </c>
      <c r="D3" s="7">
        <f>(3/9)*100</f>
        <v>33.333333333333329</v>
      </c>
      <c r="E3" s="7">
        <f>(2/9)*100</f>
        <v>22.222222222222221</v>
      </c>
      <c r="F3" s="7">
        <f>(2/3)*100</f>
        <v>66.666666666666657</v>
      </c>
      <c r="G3" s="7">
        <f t="shared" ref="G3:G17" si="0">(0/3)*100</f>
        <v>0</v>
      </c>
      <c r="H3" s="7">
        <f>(2/3)*100</f>
        <v>66.666666666666657</v>
      </c>
      <c r="I3" s="7">
        <f>(1/3)*100</f>
        <v>33.333333333333329</v>
      </c>
      <c r="J3" s="7">
        <f>(2+21+9)/3</f>
        <v>10.666666666666666</v>
      </c>
      <c r="K3" s="7">
        <f>(2+6+22)/3</f>
        <v>10</v>
      </c>
      <c r="L3" s="7">
        <f>0/3</f>
        <v>0</v>
      </c>
      <c r="M3" s="7">
        <f>(5/3)</f>
        <v>1.6666666666666667</v>
      </c>
      <c r="N3" s="7">
        <f>(1/3)</f>
        <v>0.33333333333333331</v>
      </c>
      <c r="O3" s="7">
        <f>(0/3)*100</f>
        <v>0</v>
      </c>
      <c r="P3" s="30">
        <f>(1/3)*100</f>
        <v>33.333333333333329</v>
      </c>
      <c r="Q3" s="45">
        <f>(5/3)</f>
        <v>1.6666666666666667</v>
      </c>
      <c r="R3" s="52">
        <v>0</v>
      </c>
      <c r="S3" s="52">
        <f>(1/3)*100</f>
        <v>33.333333333333329</v>
      </c>
      <c r="T3" s="52">
        <f>5/1</f>
        <v>5</v>
      </c>
      <c r="U3" s="52">
        <f>(1/3)*100</f>
        <v>33.333333333333329</v>
      </c>
    </row>
    <row r="4" spans="1:21" x14ac:dyDescent="0.2">
      <c r="A4" s="6">
        <v>1</v>
      </c>
      <c r="B4" s="6">
        <v>3</v>
      </c>
      <c r="C4" s="7">
        <f>(4/4)*100</f>
        <v>100</v>
      </c>
      <c r="D4" s="7">
        <f>(4/9)*100</f>
        <v>44.444444444444443</v>
      </c>
      <c r="E4" s="7">
        <f>(3/9)*100</f>
        <v>33.333333333333329</v>
      </c>
      <c r="F4" s="7">
        <f>(3/4)*100</f>
        <v>75</v>
      </c>
      <c r="G4" s="7">
        <f t="shared" si="0"/>
        <v>0</v>
      </c>
      <c r="H4" s="7">
        <f>(1/4)*100</f>
        <v>25</v>
      </c>
      <c r="I4" s="7">
        <f>(3/4)*100</f>
        <v>75</v>
      </c>
      <c r="J4" s="7">
        <f>(3+11+31+2)/4</f>
        <v>11.75</v>
      </c>
      <c r="K4" s="7">
        <f>(10+9+11+11)/4</f>
        <v>10.25</v>
      </c>
      <c r="L4" s="7">
        <f>0/4</f>
        <v>0</v>
      </c>
      <c r="M4" s="7">
        <f>0/4</f>
        <v>0</v>
      </c>
      <c r="N4" s="7">
        <f>0/4</f>
        <v>0</v>
      </c>
      <c r="O4" s="7">
        <f>(0/4)*100</f>
        <v>0</v>
      </c>
      <c r="P4" s="30">
        <f>(0/4)*100</f>
        <v>0</v>
      </c>
      <c r="Q4" s="45">
        <f>0/4</f>
        <v>0</v>
      </c>
      <c r="R4" s="52">
        <v>0</v>
      </c>
      <c r="S4" s="52">
        <f>(1/4)*100</f>
        <v>25</v>
      </c>
      <c r="T4" s="52">
        <v>0</v>
      </c>
      <c r="U4" s="52">
        <v>0</v>
      </c>
    </row>
    <row r="5" spans="1:21" x14ac:dyDescent="0.2">
      <c r="A5" s="6">
        <v>1</v>
      </c>
      <c r="B5" s="6">
        <v>4</v>
      </c>
      <c r="C5" s="7">
        <f>(4/5)*100</f>
        <v>80</v>
      </c>
      <c r="D5" s="7">
        <f>(5/9)*100</f>
        <v>55.555555555555557</v>
      </c>
      <c r="E5" s="7">
        <f>(4/9)*100</f>
        <v>44.444444444444443</v>
      </c>
      <c r="F5" s="7">
        <f>(3/4)*100</f>
        <v>75</v>
      </c>
      <c r="G5" s="7">
        <f t="shared" si="0"/>
        <v>0</v>
      </c>
      <c r="H5" s="7">
        <f>(1/4)*100</f>
        <v>25</v>
      </c>
      <c r="I5" s="7">
        <f>(3/4)*100</f>
        <v>75</v>
      </c>
      <c r="J5" s="7">
        <f>(1+7+9+124)/4</f>
        <v>35.25</v>
      </c>
      <c r="K5" s="7">
        <f>(3+3+7+27)/4</f>
        <v>10</v>
      </c>
      <c r="L5" s="7">
        <f>(8+0+0+0)/4</f>
        <v>2</v>
      </c>
      <c r="M5" s="7">
        <f>(2/4)</f>
        <v>0.5</v>
      </c>
      <c r="N5" s="7">
        <f>(2/4)</f>
        <v>0.5</v>
      </c>
      <c r="O5" s="7">
        <f>(1/5)*100</f>
        <v>20</v>
      </c>
      <c r="P5" s="30">
        <f>(2/4)*100</f>
        <v>50</v>
      </c>
      <c r="Q5" s="45">
        <f>(8+2/4)</f>
        <v>8.5</v>
      </c>
      <c r="R5" s="52">
        <v>0</v>
      </c>
      <c r="S5" s="52">
        <f>(1/4)*100</f>
        <v>25</v>
      </c>
      <c r="T5" s="52">
        <f>2/2</f>
        <v>1</v>
      </c>
      <c r="U5" s="52">
        <f>(1/4)*100</f>
        <v>25</v>
      </c>
    </row>
    <row r="6" spans="1:21" x14ac:dyDescent="0.2">
      <c r="A6" s="8">
        <v>2</v>
      </c>
      <c r="B6" s="8">
        <v>1</v>
      </c>
      <c r="C6" s="9">
        <f>(6/6)*100</f>
        <v>100</v>
      </c>
      <c r="D6" s="9">
        <f>(6/9)*100</f>
        <v>66.666666666666657</v>
      </c>
      <c r="E6" s="9">
        <f>(6/9)*100</f>
        <v>66.666666666666657</v>
      </c>
      <c r="F6" s="9">
        <f>(6/6)*100</f>
        <v>100</v>
      </c>
      <c r="G6" s="9">
        <f t="shared" si="0"/>
        <v>0</v>
      </c>
      <c r="H6" s="9">
        <f>(0/6)*100</f>
        <v>0</v>
      </c>
      <c r="I6" s="9">
        <f>(6/6)*100</f>
        <v>100</v>
      </c>
      <c r="J6" s="9">
        <f>(6+8+5+2+10+21)/6</f>
        <v>8.6666666666666661</v>
      </c>
      <c r="K6" s="9">
        <f>(5+6+21+2+8+21)/6</f>
        <v>10.5</v>
      </c>
      <c r="L6" s="9">
        <f>(4+1+1+0+0+0)/6</f>
        <v>1</v>
      </c>
      <c r="M6" s="9">
        <f>(2+2+37/6)</f>
        <v>10.166666666666668</v>
      </c>
      <c r="N6" s="9">
        <f>(2+1+8/6)</f>
        <v>4.333333333333333</v>
      </c>
      <c r="O6" s="9">
        <f>(0/6)*100</f>
        <v>0</v>
      </c>
      <c r="P6" s="31">
        <f>(5/6)*100</f>
        <v>83.333333333333343</v>
      </c>
      <c r="Q6" s="40">
        <f>(4+1+1+2+2+37/6)</f>
        <v>16.166666666666668</v>
      </c>
      <c r="R6" s="48">
        <v>0</v>
      </c>
      <c r="S6" s="48">
        <v>0</v>
      </c>
      <c r="T6" s="48">
        <f>(2+2+37)/11</f>
        <v>3.7272727272727271</v>
      </c>
      <c r="U6" s="48">
        <f>(3/6)*100</f>
        <v>50</v>
      </c>
    </row>
    <row r="7" spans="1:21" x14ac:dyDescent="0.2">
      <c r="A7" s="8">
        <v>2</v>
      </c>
      <c r="B7" s="8">
        <v>2</v>
      </c>
      <c r="C7" s="9">
        <f>(4/4)*100</f>
        <v>100</v>
      </c>
      <c r="D7" s="9">
        <f>(4/9)*100</f>
        <v>44.444444444444443</v>
      </c>
      <c r="E7" s="9">
        <f>(4/9)*100</f>
        <v>44.444444444444443</v>
      </c>
      <c r="F7" s="9">
        <f>(4/4)*100</f>
        <v>100</v>
      </c>
      <c r="G7" s="9">
        <f t="shared" si="0"/>
        <v>0</v>
      </c>
      <c r="H7" s="9">
        <f>(2/4)*100</f>
        <v>50</v>
      </c>
      <c r="I7" s="9">
        <f>(2/4)*100</f>
        <v>50</v>
      </c>
      <c r="J7" s="9">
        <f>(1+2+52+26)/4</f>
        <v>20.25</v>
      </c>
      <c r="K7" s="9">
        <f>(3+7+22+25)/4</f>
        <v>14.25</v>
      </c>
      <c r="L7" s="9">
        <f>(2+0+0+0)/4</f>
        <v>0.5</v>
      </c>
      <c r="M7" s="9">
        <f>(15/4)</f>
        <v>3.75</v>
      </c>
      <c r="N7" s="9">
        <f>(2/4)</f>
        <v>0.5</v>
      </c>
      <c r="O7" s="9">
        <f>(0/4)*100</f>
        <v>0</v>
      </c>
      <c r="P7" s="31">
        <f>(1/4)*100</f>
        <v>25</v>
      </c>
      <c r="Q7" s="40">
        <f>(2+15/4)</f>
        <v>5.75</v>
      </c>
      <c r="R7" s="48">
        <v>0</v>
      </c>
      <c r="S7" s="48">
        <v>0</v>
      </c>
      <c r="T7" s="48">
        <f>15/2</f>
        <v>7.5</v>
      </c>
      <c r="U7" s="48">
        <f>(1/4)*100</f>
        <v>25</v>
      </c>
    </row>
    <row r="8" spans="1:21" x14ac:dyDescent="0.2">
      <c r="A8" s="8">
        <v>2</v>
      </c>
      <c r="B8" s="8">
        <v>3</v>
      </c>
      <c r="C8" s="9">
        <f>(3/4)*100</f>
        <v>75</v>
      </c>
      <c r="D8" s="9">
        <f>(4/9)*100</f>
        <v>44.444444444444443</v>
      </c>
      <c r="E8" s="9">
        <f>(4/9)*100</f>
        <v>44.444444444444443</v>
      </c>
      <c r="F8" s="9">
        <f>(3/3)*100</f>
        <v>100</v>
      </c>
      <c r="G8" s="9">
        <f t="shared" si="0"/>
        <v>0</v>
      </c>
      <c r="H8" s="9">
        <f>(1/3)*100</f>
        <v>33.333333333333329</v>
      </c>
      <c r="I8" s="9">
        <f>(2/3)*100</f>
        <v>66.666666666666657</v>
      </c>
      <c r="J8" s="9">
        <f>(3+5+9)/3</f>
        <v>5.666666666666667</v>
      </c>
      <c r="K8" s="9">
        <f>(5+28+21)/3</f>
        <v>18</v>
      </c>
      <c r="L8" s="9">
        <f>0/3</f>
        <v>0</v>
      </c>
      <c r="M8" s="9">
        <f>(2+16.5+3/3)</f>
        <v>19.5</v>
      </c>
      <c r="N8" s="9">
        <f>(2+5+1/3)</f>
        <v>7.333333333333333</v>
      </c>
      <c r="O8" s="9">
        <f>(1/4)*100</f>
        <v>25</v>
      </c>
      <c r="P8" s="31">
        <f>(3/3)*100</f>
        <v>100</v>
      </c>
      <c r="Q8" s="40">
        <f>(2+16.5+3/3)</f>
        <v>19.5</v>
      </c>
      <c r="R8" s="48">
        <v>0</v>
      </c>
      <c r="S8" s="48">
        <v>0</v>
      </c>
      <c r="T8" s="48">
        <f>(2+16.5+3)/8</f>
        <v>2.6875</v>
      </c>
      <c r="U8" s="48">
        <f>(3/3)*100</f>
        <v>100</v>
      </c>
    </row>
    <row r="9" spans="1:21" x14ac:dyDescent="0.2">
      <c r="A9" s="8">
        <v>2</v>
      </c>
      <c r="B9" s="8">
        <v>4</v>
      </c>
      <c r="C9" s="9">
        <f>(5/5)*100</f>
        <v>100</v>
      </c>
      <c r="D9" s="9">
        <f>(5/9)*100</f>
        <v>55.555555555555557</v>
      </c>
      <c r="E9" s="9">
        <f>(2/9)*100</f>
        <v>22.222222222222221</v>
      </c>
      <c r="F9" s="9">
        <f>(3/5)*100</f>
        <v>60</v>
      </c>
      <c r="G9" s="9">
        <f t="shared" si="0"/>
        <v>0</v>
      </c>
      <c r="H9" s="9">
        <f>(2/5)*100</f>
        <v>40</v>
      </c>
      <c r="I9" s="9">
        <f>(3/5)*100</f>
        <v>60</v>
      </c>
      <c r="J9" s="9">
        <f>(3+48+26+31+22)/5</f>
        <v>26</v>
      </c>
      <c r="K9" s="9">
        <f>(6+22+15+6+22)/5</f>
        <v>14.2</v>
      </c>
      <c r="L9" s="9">
        <f>(4+2+0+0+0)/5</f>
        <v>1.2</v>
      </c>
      <c r="M9" s="9">
        <f>(40)/5</f>
        <v>8</v>
      </c>
      <c r="N9" s="9">
        <f>(5/5)</f>
        <v>1</v>
      </c>
      <c r="O9" s="9">
        <f>(0/5)*100</f>
        <v>0</v>
      </c>
      <c r="P9" s="31">
        <f>(3/5)*100</f>
        <v>60</v>
      </c>
      <c r="Q9" s="40">
        <f>(4+2+40/5)</f>
        <v>14</v>
      </c>
      <c r="R9" s="48">
        <v>0</v>
      </c>
      <c r="S9" s="48">
        <f>(2/5)*100</f>
        <v>40</v>
      </c>
      <c r="T9" s="48">
        <f>40/5</f>
        <v>8</v>
      </c>
      <c r="U9" s="48">
        <f>(1/5)*100</f>
        <v>20</v>
      </c>
    </row>
    <row r="10" spans="1:21" x14ac:dyDescent="0.2">
      <c r="A10" s="10">
        <v>3</v>
      </c>
      <c r="B10" s="10">
        <v>1</v>
      </c>
      <c r="C10" s="11">
        <f>(3/4)*100</f>
        <v>75</v>
      </c>
      <c r="D10" s="11">
        <f>(4/9)*100</f>
        <v>44.444444444444443</v>
      </c>
      <c r="E10" s="11">
        <f>(3/9)*100</f>
        <v>33.333333333333329</v>
      </c>
      <c r="F10" s="11">
        <f>(2/3)*100</f>
        <v>66.666666666666657</v>
      </c>
      <c r="G10" s="11">
        <f t="shared" si="0"/>
        <v>0</v>
      </c>
      <c r="H10" s="11">
        <f>(2/3)*100</f>
        <v>66.666666666666657</v>
      </c>
      <c r="I10" s="11">
        <f>(1/3)*100</f>
        <v>33.333333333333329</v>
      </c>
      <c r="J10" s="11">
        <f>(2+56+61)/3</f>
        <v>39.666666666666664</v>
      </c>
      <c r="K10" s="11">
        <f>(3+22+20)/3</f>
        <v>15</v>
      </c>
      <c r="L10" s="11">
        <f>(7+4+0)/3</f>
        <v>3.6666666666666665</v>
      </c>
      <c r="M10" s="11">
        <f>(3+14/3)</f>
        <v>7.666666666666667</v>
      </c>
      <c r="N10" s="11">
        <f>(2+3/3)</f>
        <v>3</v>
      </c>
      <c r="O10" s="11">
        <f>(1/4)*100</f>
        <v>25</v>
      </c>
      <c r="P10" s="32">
        <f>(2/3)*100</f>
        <v>66.666666666666657</v>
      </c>
      <c r="Q10" s="43">
        <f>(7+4+3+14/3)</f>
        <v>18.666666666666668</v>
      </c>
      <c r="R10" s="51">
        <v>0</v>
      </c>
      <c r="S10" s="51">
        <f>(1/3)*100</f>
        <v>33.333333333333329</v>
      </c>
      <c r="T10" s="51">
        <f>(3+14)/5</f>
        <v>3.4</v>
      </c>
      <c r="U10" s="51">
        <f>(2/3)*100</f>
        <v>66.666666666666657</v>
      </c>
    </row>
    <row r="11" spans="1:21" x14ac:dyDescent="0.2">
      <c r="A11" s="10">
        <v>3</v>
      </c>
      <c r="B11" s="10">
        <v>2</v>
      </c>
      <c r="C11" s="11">
        <f>(7/7)*100</f>
        <v>100</v>
      </c>
      <c r="D11" s="11">
        <f>(6/9)*100</f>
        <v>66.666666666666657</v>
      </c>
      <c r="E11" s="11">
        <f>(7/9)*100</f>
        <v>77.777777777777786</v>
      </c>
      <c r="F11" s="11">
        <f>(7/7)*100</f>
        <v>100</v>
      </c>
      <c r="G11" s="11">
        <f>(1/9)*100</f>
        <v>11.111111111111111</v>
      </c>
      <c r="H11" s="11">
        <f>(1/7)*100</f>
        <v>14.285714285714285</v>
      </c>
      <c r="I11" s="11">
        <f>(6/7)*100</f>
        <v>85.714285714285708</v>
      </c>
      <c r="J11" s="11">
        <f>(1+2+5+12+2+2+12)/7</f>
        <v>5.1428571428571432</v>
      </c>
      <c r="K11" s="11">
        <f>(3+2+9+12+4+16+9)/7</f>
        <v>7.8571428571428568</v>
      </c>
      <c r="L11" s="11">
        <f>(2+0+0+0+0+0+0)/7</f>
        <v>0.2857142857142857</v>
      </c>
      <c r="M11" s="11">
        <f>0/7</f>
        <v>0</v>
      </c>
      <c r="N11" s="11">
        <f>0/7</f>
        <v>0</v>
      </c>
      <c r="O11" s="11">
        <f>(0/7)*100</f>
        <v>0</v>
      </c>
      <c r="P11" s="32">
        <f>(1/7)*100</f>
        <v>14.285714285714285</v>
      </c>
      <c r="Q11" s="43">
        <f>(2/7)</f>
        <v>0.2857142857142857</v>
      </c>
      <c r="R11" s="51">
        <v>0</v>
      </c>
      <c r="S11" s="51">
        <v>0</v>
      </c>
      <c r="T11" s="51">
        <v>0</v>
      </c>
      <c r="U11" s="51">
        <v>0</v>
      </c>
    </row>
    <row r="12" spans="1:21" x14ac:dyDescent="0.2">
      <c r="A12" s="10">
        <v>3</v>
      </c>
      <c r="B12" s="10">
        <v>3</v>
      </c>
      <c r="C12" s="11">
        <f>(3/5)*100</f>
        <v>60</v>
      </c>
      <c r="D12" s="11">
        <f>(5/9)*100</f>
        <v>55.555555555555557</v>
      </c>
      <c r="E12" s="11">
        <f>(4/9)*100</f>
        <v>44.444444444444443</v>
      </c>
      <c r="F12" s="11">
        <f>(2/3)*100</f>
        <v>66.666666666666657</v>
      </c>
      <c r="G12" s="11">
        <f t="shared" si="0"/>
        <v>0</v>
      </c>
      <c r="H12" s="11">
        <f>(1/3)*100</f>
        <v>33.333333333333329</v>
      </c>
      <c r="I12" s="11">
        <f>(2/3)*100</f>
        <v>66.666666666666657</v>
      </c>
      <c r="J12" s="11">
        <f>(3+4+21)/3</f>
        <v>9.3333333333333339</v>
      </c>
      <c r="K12" s="11">
        <f>(2+21+16)/3</f>
        <v>13</v>
      </c>
      <c r="L12" s="11">
        <f>0/3</f>
        <v>0</v>
      </c>
      <c r="M12" s="11">
        <f>(2/3)</f>
        <v>0.66666666666666663</v>
      </c>
      <c r="N12" s="11">
        <f>(2/3)</f>
        <v>0.66666666666666663</v>
      </c>
      <c r="O12" s="11">
        <f>(2/5)*100</f>
        <v>40</v>
      </c>
      <c r="P12" s="32">
        <f>(1/3)*100</f>
        <v>33.333333333333329</v>
      </c>
      <c r="Q12" s="43">
        <f>(2/3)</f>
        <v>0.66666666666666663</v>
      </c>
      <c r="R12" s="51">
        <v>0</v>
      </c>
      <c r="S12" s="51">
        <f>(1/3)*100</f>
        <v>33.333333333333329</v>
      </c>
      <c r="T12" s="51">
        <f>2/2</f>
        <v>1</v>
      </c>
      <c r="U12" s="51">
        <f>(1/3)*100</f>
        <v>33.333333333333329</v>
      </c>
    </row>
    <row r="13" spans="1:21" x14ac:dyDescent="0.2">
      <c r="A13" s="10">
        <v>3</v>
      </c>
      <c r="B13" s="10">
        <v>4</v>
      </c>
      <c r="C13" s="11">
        <f>(5/6)*100</f>
        <v>83.333333333333343</v>
      </c>
      <c r="D13" s="11">
        <f>(6/9)*100</f>
        <v>66.666666666666657</v>
      </c>
      <c r="E13" s="11">
        <f>(2/9)*100</f>
        <v>22.222222222222221</v>
      </c>
      <c r="F13" s="11">
        <f>(1/5)*100</f>
        <v>20</v>
      </c>
      <c r="G13" s="11">
        <f t="shared" si="0"/>
        <v>0</v>
      </c>
      <c r="H13" s="11">
        <f>(3/5)*100</f>
        <v>60</v>
      </c>
      <c r="I13" s="11">
        <f>(2/5)*100</f>
        <v>40</v>
      </c>
      <c r="J13" s="11">
        <f>(39+28+29+17+8)/5</f>
        <v>24.2</v>
      </c>
      <c r="K13" s="11">
        <f>(26+19+28+26+4)/5</f>
        <v>20.6</v>
      </c>
      <c r="L13" s="11">
        <f>(6+2+5+0+0)/5</f>
        <v>2.6</v>
      </c>
      <c r="M13" s="11">
        <f>(1+3/5)</f>
        <v>1.6</v>
      </c>
      <c r="N13" s="11">
        <f>(1+1/5)</f>
        <v>1.2</v>
      </c>
      <c r="O13" s="11">
        <f>(1/6)*100</f>
        <v>16.666666666666664</v>
      </c>
      <c r="P13" s="32">
        <f>(3/5)*100</f>
        <v>60</v>
      </c>
      <c r="Q13" s="43">
        <f>(6+2+5+1+3/5)</f>
        <v>14.6</v>
      </c>
      <c r="R13" s="51">
        <v>0</v>
      </c>
      <c r="S13" s="51">
        <f>(4/5)*100</f>
        <v>80</v>
      </c>
      <c r="T13" s="51">
        <f>(1+3)/2</f>
        <v>2</v>
      </c>
      <c r="U13" s="51">
        <f>(2/5)*100</f>
        <v>40</v>
      </c>
    </row>
    <row r="14" spans="1:21" x14ac:dyDescent="0.2">
      <c r="A14" s="12">
        <v>4</v>
      </c>
      <c r="B14" s="12">
        <v>1</v>
      </c>
      <c r="C14" s="13">
        <f>(3/5)*100</f>
        <v>60</v>
      </c>
      <c r="D14" s="13">
        <f>(5/9)*100</f>
        <v>55.555555555555557</v>
      </c>
      <c r="E14" s="13">
        <f>(5/9)*100</f>
        <v>55.555555555555557</v>
      </c>
      <c r="F14" s="13">
        <f>(3/3)*100</f>
        <v>100</v>
      </c>
      <c r="G14" s="13">
        <f t="shared" si="0"/>
        <v>0</v>
      </c>
      <c r="H14" s="13">
        <f>(0/3)*100</f>
        <v>0</v>
      </c>
      <c r="I14" s="13">
        <f>(3/3)*100</f>
        <v>100</v>
      </c>
      <c r="J14" s="13">
        <f>(5+1+6)/3</f>
        <v>4</v>
      </c>
      <c r="K14" s="13">
        <f>(2+5+6)/3</f>
        <v>4.333333333333333</v>
      </c>
      <c r="L14" s="13">
        <f>0/3</f>
        <v>0</v>
      </c>
      <c r="M14" s="13">
        <f>0/3</f>
        <v>0</v>
      </c>
      <c r="N14" s="13">
        <f>0/3</f>
        <v>0</v>
      </c>
      <c r="O14" s="13">
        <f>(2/5)*100</f>
        <v>40</v>
      </c>
      <c r="P14" s="33">
        <f>(0/3)*100</f>
        <v>0</v>
      </c>
      <c r="Q14" s="41">
        <f>0/3</f>
        <v>0</v>
      </c>
      <c r="R14" s="53">
        <v>0</v>
      </c>
      <c r="S14" s="53">
        <v>0</v>
      </c>
      <c r="T14" s="53">
        <v>0</v>
      </c>
      <c r="U14" s="53">
        <v>0</v>
      </c>
    </row>
    <row r="15" spans="1:21" x14ac:dyDescent="0.2">
      <c r="A15" s="12">
        <v>4</v>
      </c>
      <c r="B15" s="12">
        <v>2</v>
      </c>
      <c r="C15" s="13">
        <f>(6/6)*100</f>
        <v>100</v>
      </c>
      <c r="D15" s="13">
        <f>(6/9)*100</f>
        <v>66.666666666666657</v>
      </c>
      <c r="E15" s="13">
        <f>(6/9)*100</f>
        <v>66.666666666666657</v>
      </c>
      <c r="F15" s="13">
        <f>(6/6)*100</f>
        <v>100</v>
      </c>
      <c r="G15" s="13">
        <f t="shared" si="0"/>
        <v>0</v>
      </c>
      <c r="H15" s="13">
        <f>(0/6)*100</f>
        <v>0</v>
      </c>
      <c r="I15" s="13">
        <f>(6/6)*100</f>
        <v>100</v>
      </c>
      <c r="J15" s="13">
        <f>(5+4+3+5+1+3)/6</f>
        <v>3.5</v>
      </c>
      <c r="K15" s="13">
        <f>(18+21+17+2+5+15)/6</f>
        <v>13</v>
      </c>
      <c r="L15" s="13">
        <f>(8+5+0+0+0+0)/6</f>
        <v>2.1666666666666665</v>
      </c>
      <c r="M15" s="13">
        <f>(8+41+8/6)</f>
        <v>50.333333333333336</v>
      </c>
      <c r="N15" s="13">
        <f>(2+2+1/6)</f>
        <v>4.166666666666667</v>
      </c>
      <c r="O15" s="13">
        <f>(0/6)*100</f>
        <v>0</v>
      </c>
      <c r="P15" s="33">
        <f>(4/6)*100</f>
        <v>66.666666666666657</v>
      </c>
      <c r="Q15" s="41">
        <f>(8+5+8+41+8/6)</f>
        <v>63.333333333333336</v>
      </c>
      <c r="R15" s="53">
        <v>0</v>
      </c>
      <c r="S15" s="53">
        <v>0</v>
      </c>
      <c r="T15" s="53">
        <f>(8+41+8)/5</f>
        <v>11.4</v>
      </c>
      <c r="U15" s="53">
        <f>(3/6)*100</f>
        <v>50</v>
      </c>
    </row>
    <row r="16" spans="1:21" x14ac:dyDescent="0.2">
      <c r="A16" s="12">
        <v>4</v>
      </c>
      <c r="B16" s="12">
        <v>3</v>
      </c>
      <c r="C16" s="13">
        <f>(4/5)*100</f>
        <v>80</v>
      </c>
      <c r="D16" s="13">
        <f>(5/9)*100</f>
        <v>55.555555555555557</v>
      </c>
      <c r="E16" s="13">
        <f>(5/9)*100</f>
        <v>55.555555555555557</v>
      </c>
      <c r="F16" s="13">
        <f>(4/4)*100</f>
        <v>100</v>
      </c>
      <c r="G16" s="13">
        <f t="shared" si="0"/>
        <v>0</v>
      </c>
      <c r="H16" s="13">
        <f>(2/4)*100</f>
        <v>50</v>
      </c>
      <c r="I16" s="13">
        <f>(2/4)*100</f>
        <v>50</v>
      </c>
      <c r="J16" s="13">
        <f>(9+6+4+36)/4</f>
        <v>13.75</v>
      </c>
      <c r="K16" s="13">
        <f>(19+13+5+16)/4</f>
        <v>13.25</v>
      </c>
      <c r="L16" s="13">
        <f>(8+0+0+0)/4</f>
        <v>2</v>
      </c>
      <c r="M16" s="13">
        <f>(23+25)/4</f>
        <v>12</v>
      </c>
      <c r="N16" s="13">
        <f>(2+4)/4</f>
        <v>1.5</v>
      </c>
      <c r="O16" s="13">
        <f>(1/5)*100</f>
        <v>20</v>
      </c>
      <c r="P16" s="33">
        <f>(2/4)*100</f>
        <v>50</v>
      </c>
      <c r="Q16" s="41">
        <f>(8+23+25/4)</f>
        <v>37.25</v>
      </c>
      <c r="R16" s="53">
        <v>0</v>
      </c>
      <c r="S16" s="53">
        <v>0</v>
      </c>
      <c r="T16" s="53">
        <f>(23+25)/6</f>
        <v>8</v>
      </c>
      <c r="U16" s="53">
        <f>(2/4)*100</f>
        <v>50</v>
      </c>
    </row>
    <row r="17" spans="1:21" x14ac:dyDescent="0.2">
      <c r="A17" s="12">
        <v>4</v>
      </c>
      <c r="B17" s="12">
        <v>4</v>
      </c>
      <c r="C17" s="13">
        <f>(2/2)*100</f>
        <v>100</v>
      </c>
      <c r="D17" s="13">
        <f>(2/9)*100</f>
        <v>22.222222222222221</v>
      </c>
      <c r="E17" s="13">
        <f>(2/9)*100</f>
        <v>22.222222222222221</v>
      </c>
      <c r="F17" s="13">
        <f>(2/2)*100</f>
        <v>100</v>
      </c>
      <c r="G17" s="13">
        <f t="shared" si="0"/>
        <v>0</v>
      </c>
      <c r="H17" s="13">
        <f>(2/2)*100</f>
        <v>100</v>
      </c>
      <c r="I17" s="13">
        <f>(0/2)*100</f>
        <v>0</v>
      </c>
      <c r="J17" s="13">
        <f>(28+9)/2</f>
        <v>18.5</v>
      </c>
      <c r="K17" s="13">
        <f>(14+20)/2</f>
        <v>17</v>
      </c>
      <c r="L17" s="13">
        <f>(14+0/2)</f>
        <v>14</v>
      </c>
      <c r="M17" s="13">
        <f>(18/2)</f>
        <v>9</v>
      </c>
      <c r="N17" s="13">
        <f>(4/2)</f>
        <v>2</v>
      </c>
      <c r="O17" s="13">
        <f>(0/2)*100</f>
        <v>0</v>
      </c>
      <c r="P17" s="33">
        <f>(1/2)*100</f>
        <v>50</v>
      </c>
      <c r="Q17" s="41">
        <f>(18+14/2)</f>
        <v>25</v>
      </c>
      <c r="R17" s="53">
        <v>0</v>
      </c>
      <c r="S17" s="53">
        <v>0</v>
      </c>
      <c r="T17" s="53">
        <f>18/4</f>
        <v>4.5</v>
      </c>
      <c r="U17" s="53">
        <f>(1/2)*100</f>
        <v>50</v>
      </c>
    </row>
    <row r="18" spans="1:21" x14ac:dyDescent="0.2">
      <c r="L18" s="26"/>
      <c r="M18" s="26"/>
      <c r="N18" s="26"/>
    </row>
    <row r="19" spans="1:21" x14ac:dyDescent="0.2">
      <c r="L19" s="26"/>
      <c r="M19" s="26"/>
      <c r="N19" s="26"/>
    </row>
    <row r="20" spans="1:21" x14ac:dyDescent="0.2">
      <c r="L20" s="26"/>
      <c r="M20" s="26"/>
      <c r="N20" s="26"/>
    </row>
    <row r="21" spans="1:21" x14ac:dyDescent="0.2">
      <c r="L21" s="26"/>
      <c r="M21" s="26"/>
      <c r="N21" s="26"/>
    </row>
    <row r="22" spans="1:21" x14ac:dyDescent="0.2">
      <c r="L22" s="26"/>
      <c r="M22" s="26"/>
      <c r="N22" s="26"/>
    </row>
    <row r="23" spans="1:21" x14ac:dyDescent="0.2">
      <c r="L23" s="26"/>
      <c r="N23" s="26"/>
    </row>
    <row r="24" spans="1:21" x14ac:dyDescent="0.2">
      <c r="L24" s="26"/>
      <c r="N24" s="26"/>
    </row>
    <row r="25" spans="1:21" x14ac:dyDescent="0.2">
      <c r="L25" s="26"/>
      <c r="N25" s="26"/>
    </row>
    <row r="26" spans="1:21" x14ac:dyDescent="0.2">
      <c r="L26" s="26"/>
    </row>
    <row r="27" spans="1:21" x14ac:dyDescent="0.2">
      <c r="L27" s="26"/>
    </row>
    <row r="28" spans="1:21" x14ac:dyDescent="0.2">
      <c r="L28" s="26"/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4" sqref="A4"/>
    </sheetView>
  </sheetViews>
  <sheetFormatPr defaultRowHeight="12.75" x14ac:dyDescent="0.2"/>
  <cols>
    <col min="1" max="1" width="55.85546875" customWidth="1"/>
    <col min="2" max="2" width="10.140625" customWidth="1"/>
  </cols>
  <sheetData>
    <row r="1" spans="1:6" x14ac:dyDescent="0.2">
      <c r="A1" s="27" t="s">
        <v>25</v>
      </c>
      <c r="B1" s="28"/>
      <c r="C1" s="28"/>
      <c r="D1" s="28"/>
      <c r="E1" s="28"/>
      <c r="F1" s="29"/>
    </row>
    <row r="3" spans="1:6" x14ac:dyDescent="0.2">
      <c r="B3" s="15">
        <v>40143</v>
      </c>
      <c r="C3" s="15">
        <v>40190</v>
      </c>
      <c r="D3" s="15">
        <v>40234</v>
      </c>
    </row>
    <row r="4" spans="1:6" x14ac:dyDescent="0.2">
      <c r="A4" t="s">
        <v>16</v>
      </c>
    </row>
    <row r="5" spans="1:6" x14ac:dyDescent="0.2">
      <c r="A5" t="s">
        <v>17</v>
      </c>
    </row>
    <row r="6" spans="1:6" x14ac:dyDescent="0.2">
      <c r="A6" t="s">
        <v>18</v>
      </c>
    </row>
    <row r="7" spans="1:6" x14ac:dyDescent="0.2">
      <c r="A7" t="s">
        <v>19</v>
      </c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1 T 26-11-2009</vt:lpstr>
      <vt:lpstr>2 T 12-1-2010</vt:lpstr>
      <vt:lpstr>3 T 25-2-2010</vt:lpstr>
      <vt:lpstr>List3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Janez</cp:lastModifiedBy>
  <dcterms:created xsi:type="dcterms:W3CDTF">2010-04-20T22:04:10Z</dcterms:created>
  <dcterms:modified xsi:type="dcterms:W3CDTF">2013-10-25T21:58:27Z</dcterms:modified>
</cp:coreProperties>
</file>