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vassilis/Documents/GitHub/BAC_BCF_models/Albumin_binding_model/data/"/>
    </mc:Choice>
  </mc:AlternateContent>
  <xr:revisionPtr revIDLastSave="0" documentId="13_ncr:1_{36DCA73D-2ECD-2E47-A75C-A6EC77AD490A}" xr6:coauthVersionLast="47" xr6:coauthVersionMax="47" xr10:uidLastSave="{00000000-0000-0000-0000-000000000000}"/>
  <bookViews>
    <workbookView xWindow="1040" yWindow="740" windowWidth="28360" windowHeight="18380" xr2:uid="{00000000-000D-0000-FFFF-FFFF00000000}"/>
  </bookViews>
  <sheets>
    <sheet name="Data" sheetId="1" r:id="rId1"/>
    <sheet name="Ke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8" i="1" l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57" i="1"/>
  <c r="W156" i="1"/>
  <c r="V156" i="1" s="1"/>
  <c r="W155" i="1"/>
  <c r="V155" i="1" s="1"/>
  <c r="V130" i="1" l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H109" i="1"/>
  <c r="H108" i="1"/>
  <c r="H107" i="1"/>
  <c r="W80" i="1"/>
  <c r="V80" i="1" s="1"/>
  <c r="W79" i="1"/>
  <c r="V79" i="1" s="1"/>
  <c r="W78" i="1"/>
  <c r="V78" i="1"/>
  <c r="W77" i="1"/>
  <c r="V77" i="1" s="1"/>
  <c r="W76" i="1"/>
  <c r="V76" i="1" s="1"/>
  <c r="W75" i="1"/>
  <c r="V75" i="1" s="1"/>
  <c r="W74" i="1"/>
  <c r="V74" i="1" s="1"/>
  <c r="W73" i="1"/>
  <c r="V73" i="1" s="1"/>
  <c r="W72" i="1"/>
  <c r="V72" i="1"/>
  <c r="W71" i="1"/>
  <c r="V71" i="1" s="1"/>
  <c r="W70" i="1"/>
  <c r="V70" i="1" s="1"/>
  <c r="W69" i="1"/>
  <c r="V69" i="1" s="1"/>
  <c r="W68" i="1"/>
  <c r="V68" i="1" s="1"/>
  <c r="W67" i="1"/>
  <c r="V67" i="1" s="1"/>
  <c r="W66" i="1"/>
  <c r="V66" i="1"/>
  <c r="W65" i="1"/>
  <c r="V65" i="1" s="1"/>
  <c r="W64" i="1"/>
  <c r="V64" i="1"/>
  <c r="W63" i="1"/>
  <c r="V63" i="1"/>
  <c r="W62" i="1"/>
  <c r="V62" i="1" s="1"/>
  <c r="W61" i="1"/>
  <c r="V61" i="1" s="1"/>
  <c r="W60" i="1"/>
  <c r="V60" i="1"/>
  <c r="W59" i="1"/>
  <c r="V59" i="1"/>
  <c r="W46" i="1"/>
  <c r="V46" i="1" s="1"/>
  <c r="H46" i="1"/>
  <c r="W45" i="1"/>
  <c r="V45" i="1" s="1"/>
  <c r="H45" i="1"/>
  <c r="W44" i="1"/>
  <c r="V44" i="1"/>
  <c r="H44" i="1"/>
  <c r="Q30" i="1"/>
  <c r="Q29" i="1"/>
  <c r="Q28" i="1"/>
  <c r="Q27" i="1"/>
  <c r="Q26" i="1"/>
  <c r="Q25" i="1"/>
  <c r="Q24" i="1"/>
  <c r="Q23" i="1"/>
  <c r="J23" i="1"/>
  <c r="H23" i="1"/>
  <c r="Q22" i="1"/>
  <c r="J22" i="1"/>
  <c r="H22" i="1"/>
  <c r="Q21" i="1"/>
  <c r="J21" i="1"/>
  <c r="H21" i="1"/>
  <c r="Q20" i="1"/>
  <c r="J20" i="1"/>
  <c r="H20" i="1"/>
  <c r="Q19" i="1"/>
  <c r="J19" i="1"/>
  <c r="H19" i="1"/>
  <c r="Q18" i="1"/>
  <c r="J18" i="1"/>
  <c r="H18" i="1"/>
  <c r="Q17" i="1"/>
  <c r="J17" i="1"/>
  <c r="H17" i="1"/>
  <c r="Q16" i="1"/>
  <c r="J16" i="1"/>
  <c r="H16" i="1"/>
  <c r="Q15" i="1"/>
  <c r="J15" i="1"/>
  <c r="H15" i="1"/>
  <c r="Q14" i="1"/>
  <c r="J14" i="1"/>
  <c r="H14" i="1"/>
  <c r="Q13" i="1"/>
  <c r="J13" i="1"/>
  <c r="H13" i="1"/>
  <c r="Q12" i="1"/>
  <c r="J12" i="1"/>
  <c r="H12" i="1"/>
  <c r="Q11" i="1"/>
  <c r="J11" i="1"/>
  <c r="H11" i="1"/>
  <c r="Q10" i="1"/>
  <c r="J10" i="1"/>
  <c r="H10" i="1"/>
  <c r="K15" i="1" l="1"/>
  <c r="K23" i="1"/>
  <c r="K10" i="1"/>
  <c r="K18" i="1"/>
  <c r="K17" i="1"/>
  <c r="K11" i="1"/>
  <c r="K14" i="1"/>
  <c r="K22" i="1"/>
  <c r="K21" i="1"/>
  <c r="K13" i="1"/>
  <c r="K19" i="1"/>
  <c r="K12" i="1"/>
  <c r="K20" i="1"/>
  <c r="K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Periklis Tsiros</author>
  </authors>
  <commentList>
    <comment ref="H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Periklis Tsiros:</t>
        </r>
        <r>
          <rPr>
            <sz val="9"/>
            <color indexed="81"/>
            <rFont val="Tahoma"/>
            <family val="2"/>
          </rPr>
          <t xml:space="preserve">
need to check again</t>
        </r>
      </text>
    </comment>
  </commentList>
</comments>
</file>

<file path=xl/sharedStrings.xml><?xml version="1.0" encoding="utf-8"?>
<sst xmlns="http://schemas.openxmlformats.org/spreadsheetml/2006/main" count="1371" uniqueCount="192">
  <si>
    <t>Method</t>
  </si>
  <si>
    <t>pH</t>
  </si>
  <si>
    <t>No</t>
  </si>
  <si>
    <t>Ligand Name</t>
  </si>
  <si>
    <t>Canonical SMILES</t>
  </si>
  <si>
    <t>InChIKey</t>
  </si>
  <si>
    <t>Authors</t>
  </si>
  <si>
    <t>DOI or link to data source</t>
  </si>
  <si>
    <t>Albumin source organism</t>
  </si>
  <si>
    <t>Albumin modifications</t>
  </si>
  <si>
    <t>Ligand concentration, μM</t>
  </si>
  <si>
    <t>Ligand:Protein</t>
  </si>
  <si>
    <t>Min Ligand:Protein</t>
  </si>
  <si>
    <t>Max Ligand:Protein</t>
  </si>
  <si>
    <t>Buffer</t>
  </si>
  <si>
    <t>Buffer concentration, M</t>
  </si>
  <si>
    <t>Temperature, K</t>
  </si>
  <si>
    <t>Method details</t>
  </si>
  <si>
    <t>Model</t>
  </si>
  <si>
    <r>
      <t>K</t>
    </r>
    <r>
      <rPr>
        <vertAlign val="subscript"/>
        <sz val="11"/>
        <color indexed="8"/>
        <rFont val="Times New Roman"/>
        <family val="1"/>
        <charset val="204"/>
      </rPr>
      <t>a</t>
    </r>
    <r>
      <rPr>
        <sz val="11"/>
        <color indexed="8"/>
        <rFont val="Times New Roman"/>
        <family val="1"/>
        <charset val="204"/>
      </rPr>
      <t xml:space="preserve"> in M scale</t>
    </r>
  </si>
  <si>
    <r>
      <t>K</t>
    </r>
    <r>
      <rPr>
        <vertAlign val="subscript"/>
        <sz val="11"/>
        <color indexed="8"/>
        <rFont val="Times New Roman"/>
        <family val="1"/>
        <charset val="204"/>
      </rPr>
      <t>d</t>
    </r>
    <r>
      <rPr>
        <sz val="11"/>
        <color indexed="8"/>
        <rFont val="Times New Roman"/>
        <family val="1"/>
        <charset val="204"/>
      </rPr>
      <t xml:space="preserve"> in M scale</t>
    </r>
  </si>
  <si>
    <t>n</t>
  </si>
  <si>
    <r>
      <t>K</t>
    </r>
    <r>
      <rPr>
        <vertAlign val="subscript"/>
        <sz val="11"/>
        <color theme="1"/>
        <rFont val="Times New Roman"/>
        <family val="1"/>
        <charset val="204"/>
      </rPr>
      <t>a2</t>
    </r>
  </si>
  <si>
    <r>
      <t>K</t>
    </r>
    <r>
      <rPr>
        <vertAlign val="subscript"/>
        <sz val="11"/>
        <color theme="1"/>
        <rFont val="Times New Roman"/>
        <family val="1"/>
        <charset val="204"/>
      </rPr>
      <t>d2</t>
    </r>
  </si>
  <si>
    <r>
      <t>n</t>
    </r>
    <r>
      <rPr>
        <vertAlign val="subscript"/>
        <sz val="11"/>
        <color theme="1"/>
        <rFont val="Times New Roman"/>
        <family val="1"/>
        <charset val="204"/>
      </rPr>
      <t>2</t>
    </r>
  </si>
  <si>
    <t>n3</t>
  </si>
  <si>
    <t>Tag</t>
  </si>
  <si>
    <t>Ligand ChEMBL ID</t>
  </si>
  <si>
    <t>Assay ChEMBL ID or BindingDB Ref</t>
  </si>
  <si>
    <t>PFOA</t>
  </si>
  <si>
    <t>10.1021/es101334s</t>
  </si>
  <si>
    <t>Bos taurus</t>
  </si>
  <si>
    <t>0.04-5</t>
  </si>
  <si>
    <t>sodium phosphate</t>
  </si>
  <si>
    <t>Equilibrium dialysis</t>
  </si>
  <si>
    <t>one-class</t>
  </si>
  <si>
    <t>0.04-70</t>
  </si>
  <si>
    <t>two-class</t>
  </si>
  <si>
    <t>PFNA</t>
  </si>
  <si>
    <t>0.02-5</t>
  </si>
  <si>
    <t>0.02-120</t>
  </si>
  <si>
    <t>Homo sapiens</t>
  </si>
  <si>
    <t>0.1-4</t>
  </si>
  <si>
    <t>ammonium acetate</t>
  </si>
  <si>
    <t>nanoESI-MS</t>
  </si>
  <si>
    <t>up to 8</t>
  </si>
  <si>
    <t>PFBA</t>
  </si>
  <si>
    <t>10.1039/c9em00290a</t>
  </si>
  <si>
    <t>Hank's balanced salt solution</t>
  </si>
  <si>
    <t>PFHxA</t>
  </si>
  <si>
    <t>PFHpA</t>
  </si>
  <si>
    <t>PFDA</t>
  </si>
  <si>
    <t>PFUnDA</t>
  </si>
  <si>
    <t>HFPO-DA</t>
  </si>
  <si>
    <t>DONA</t>
  </si>
  <si>
    <t>PFBS</t>
  </si>
  <si>
    <t>PFHxS</t>
  </si>
  <si>
    <t>PFOS</t>
  </si>
  <si>
    <t>9Cl-PF3ONS</t>
  </si>
  <si>
    <t>PFECHS</t>
  </si>
  <si>
    <t>10.1016/j.chemosphere.2021.131979</t>
  </si>
  <si>
    <t>1-20</t>
  </si>
  <si>
    <t>0.1-2</t>
  </si>
  <si>
    <t>PBS</t>
  </si>
  <si>
    <t>10.1021/acs.chemrestox.3c00011</t>
  </si>
  <si>
    <t>250−1000</t>
  </si>
  <si>
    <t>12.5-50</t>
  </si>
  <si>
    <t>Isothermal Titration Calorimetry</t>
  </si>
  <si>
    <t>10.1016/j.chemosphere.2014.11.040</t>
  </si>
  <si>
    <t>0.4-20e-07</t>
  </si>
  <si>
    <t>0.2-10</t>
  </si>
  <si>
    <t>fluorescence quenching</t>
  </si>
  <si>
    <t>modified Stern–Volmer</t>
  </si>
  <si>
    <t>Han et al.2003</t>
  </si>
  <si>
    <t>10.1021/tx034005w</t>
  </si>
  <si>
    <t>Rattus norvegicus</t>
  </si>
  <si>
    <t>250-5000</t>
  </si>
  <si>
    <t>13-266</t>
  </si>
  <si>
    <t>19F NMR Titration</t>
  </si>
  <si>
    <t>100-3000</t>
  </si>
  <si>
    <t>1.8-54.5</t>
  </si>
  <si>
    <t>Microdesalting Column Separation</t>
  </si>
  <si>
    <t>10.1016/j.chemosphere.2018.01.152</t>
  </si>
  <si>
    <t>ESI-MS</t>
  </si>
  <si>
    <t>Jackson et al.2021</t>
  </si>
  <si>
    <t>10.1021/acs.est.1c01200</t>
  </si>
  <si>
    <t>50-10000</t>
  </si>
  <si>
    <t>0.04-80</t>
  </si>
  <si>
    <t>HBS</t>
  </si>
  <si>
    <t>DSF</t>
  </si>
  <si>
    <t>PFPeA</t>
  </si>
  <si>
    <t>PFDoA</t>
  </si>
  <si>
    <t>E1</t>
  </si>
  <si>
    <t>Nafion bp2</t>
  </si>
  <si>
    <t>PFO3DoDA</t>
  </si>
  <si>
    <t>3:3 FTCA</t>
  </si>
  <si>
    <t>5:3 FTCA</t>
  </si>
  <si>
    <t>6:3 FTCA</t>
  </si>
  <si>
    <t>8:3 FTCA</t>
  </si>
  <si>
    <t>4:2 FTSA</t>
  </si>
  <si>
    <t>6:2 FTSA</t>
  </si>
  <si>
    <t>Li et al. 2021</t>
  </si>
  <si>
    <t>10.3390/toxics9030063</t>
  </si>
  <si>
    <t>Langmuir isotherm</t>
  </si>
  <si>
    <t>1st order association</t>
  </si>
  <si>
    <t>PFTrDA</t>
  </si>
  <si>
    <t>PFTeDA</t>
  </si>
  <si>
    <t>PFPeS</t>
  </si>
  <si>
    <t>PFHpS</t>
  </si>
  <si>
    <t>PFNS</t>
  </si>
  <si>
    <t>PFDS</t>
  </si>
  <si>
    <t>FOSA</t>
  </si>
  <si>
    <t>MeFOSAA</t>
  </si>
  <si>
    <t>EtFOSAA</t>
  </si>
  <si>
    <t>br-PFOS</t>
  </si>
  <si>
    <t>MacManus-Spencer et al.2010</t>
  </si>
  <si>
    <t>10.1021/ac902238u</t>
  </si>
  <si>
    <t>180-5000</t>
  </si>
  <si>
    <t>6.1-169.5</t>
  </si>
  <si>
    <t> sodium phosphate </t>
  </si>
  <si>
    <t>182-1820</t>
  </si>
  <si>
    <t>6.2-61.7</t>
  </si>
  <si>
    <t>Beesoon &amp; Martin.2015</t>
  </si>
  <si>
    <t>10.1021/es505399w</t>
  </si>
  <si>
    <t>2-12</t>
  </si>
  <si>
    <t>0.33-2</t>
  </si>
  <si>
    <t>Scatchard equation</t>
  </si>
  <si>
    <t>3m-PFOS</t>
  </si>
  <si>
    <t>4m-PFOS</t>
  </si>
  <si>
    <t>5m-PFOS</t>
  </si>
  <si>
    <t>3m-PFOA</t>
  </si>
  <si>
    <t>5m-PFOA</t>
  </si>
  <si>
    <t>Gao et al.2019</t>
  </si>
  <si>
    <t>10.1021/acs.est.9b00715</t>
  </si>
  <si>
    <t>PFTrA</t>
  </si>
  <si>
    <t>Peng et al.2024</t>
  </si>
  <si>
    <t>10.3390/toxics12010043</t>
  </si>
  <si>
    <t>3-18</t>
  </si>
  <si>
    <t>double logarithmic formula</t>
  </si>
  <si>
    <t>HFPO-TA</t>
  </si>
  <si>
    <t>PFO3DA</t>
  </si>
  <si>
    <t>DFSA</t>
  </si>
  <si>
    <t>Trivial drug name or IUPAC substance name</t>
  </si>
  <si>
    <t>Equation/model/software used to calculate the binding constant</t>
  </si>
  <si>
    <t>Protein-ligand association constant (if binding to several types of sites is reported, association constant with the first-type binding site)</t>
  </si>
  <si>
    <t>Complex dissociation constant</t>
  </si>
  <si>
    <t>Average number of the binding sites (if binding to several types of sites is reported, average number of the first-type binding sites)</t>
  </si>
  <si>
    <t>ΔH, kJ/mol</t>
  </si>
  <si>
    <t>Enthalpy of binding per binding site (if binding to several types of sites is reported, for the first-type binding sites)</t>
  </si>
  <si>
    <t>Protein-ligand association constant with the second type of binding sites</t>
  </si>
  <si>
    <t>Protein-ligand complex dissociation constant (second type of binding sites)</t>
  </si>
  <si>
    <t>Average number of the second-type binding sites</t>
  </si>
  <si>
    <r>
      <t>ΔH</t>
    </r>
    <r>
      <rPr>
        <vertAlign val="subscript"/>
        <sz val="11"/>
        <color theme="1"/>
        <rFont val="Times New Roman"/>
        <family val="1"/>
        <charset val="204"/>
      </rPr>
      <t>2</t>
    </r>
  </si>
  <si>
    <t>Enthalpy of binding per second-type binding site</t>
  </si>
  <si>
    <t>Indicates whether the data are present in CHEMBL or BindingDB</t>
  </si>
  <si>
    <t>DPBS</t>
  </si>
  <si>
    <t>Dulbecco's phosphate-buffered saline</t>
  </si>
  <si>
    <t>HEPES</t>
  </si>
  <si>
    <t>4-(2-hydroxyethyl)-1-piperazineethanesulfonic acid-based buffer</t>
  </si>
  <si>
    <t>Phosphate-buffered saline</t>
  </si>
  <si>
    <t>TES</t>
  </si>
  <si>
    <t>N-[tris(hydroxymethyl)methyl]- 2-aminoethanesulfonic acid-based buffer</t>
  </si>
  <si>
    <t>Tris</t>
  </si>
  <si>
    <t>Tris(hydroxymethyl)aminomethane-based buffer</t>
  </si>
  <si>
    <t>λex</t>
  </si>
  <si>
    <t>Excitation wavelength</t>
  </si>
  <si>
    <t>Qin et al.2010</t>
  </si>
  <si>
    <t>10.1021/jf100412q</t>
  </si>
  <si>
    <t>Chen et al.2015</t>
  </si>
  <si>
    <t>0.25-7</t>
  </si>
  <si>
    <t>ultrafiltration centrifugation</t>
  </si>
  <si>
    <t>Sheng et al.2020</t>
  </si>
  <si>
    <t>10.1021/acs.chemrestox.0c00075</t>
  </si>
  <si>
    <t>1-50</t>
  </si>
  <si>
    <t>6:2 Cl-PFESA</t>
  </si>
  <si>
    <t>8:2 FTSA</t>
  </si>
  <si>
    <t>Starnes et al.2024</t>
  </si>
  <si>
    <t>10.1093/toxsci/kfae028</t>
  </si>
  <si>
    <t>Sus scrofa domesticus</t>
  </si>
  <si>
    <r>
      <t xml:space="preserve">Albumin concentration, </t>
    </r>
    <r>
      <rPr>
        <sz val="11"/>
        <color theme="1"/>
        <rFont val="Calibri"/>
        <family val="2"/>
        <scheme val="minor"/>
      </rPr>
      <t>μM</t>
    </r>
  </si>
  <si>
    <r>
      <t>K</t>
    </r>
    <r>
      <rPr>
        <vertAlign val="subscript"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in M scale</t>
    </r>
  </si>
  <si>
    <r>
      <t>K</t>
    </r>
    <r>
      <rPr>
        <vertAlign val="subscript"/>
        <sz val="11"/>
        <color indexed="8"/>
        <rFont val="Calibri"/>
        <family val="2"/>
        <scheme val="minor"/>
      </rPr>
      <t>d</t>
    </r>
    <r>
      <rPr>
        <sz val="11"/>
        <color indexed="8"/>
        <rFont val="Calibri"/>
        <family val="2"/>
        <scheme val="minor"/>
      </rPr>
      <t xml:space="preserve"> in M scale</t>
    </r>
  </si>
  <si>
    <r>
      <rPr>
        <sz val="11"/>
        <color theme="1"/>
        <rFont val="Calibri"/>
        <family val="2"/>
        <scheme val="minor"/>
      </rPr>
      <t>ΔH, kJ/mol</t>
    </r>
  </si>
  <si>
    <r>
      <t>K</t>
    </r>
    <r>
      <rPr>
        <vertAlign val="subscript"/>
        <sz val="11"/>
        <color theme="1"/>
        <rFont val="Calibri"/>
        <family val="2"/>
        <scheme val="minor"/>
      </rPr>
      <t>a2</t>
    </r>
  </si>
  <si>
    <r>
      <t>K</t>
    </r>
    <r>
      <rPr>
        <vertAlign val="subscript"/>
        <sz val="11"/>
        <color theme="1"/>
        <rFont val="Calibri"/>
        <family val="2"/>
        <scheme val="minor"/>
      </rPr>
      <t>d2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</si>
  <si>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</si>
  <si>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ΔH</t>
    </r>
    <r>
      <rPr>
        <vertAlign val="subscript"/>
        <sz val="11"/>
        <color theme="1"/>
        <rFont val="Calibri"/>
        <family val="2"/>
        <scheme val="minor"/>
      </rPr>
      <t>2</t>
    </r>
  </si>
  <si>
    <r>
      <t>K</t>
    </r>
    <r>
      <rPr>
        <vertAlign val="subscript"/>
        <sz val="11"/>
        <color theme="1"/>
        <rFont val="Calibri"/>
        <family val="2"/>
        <scheme val="minor"/>
      </rPr>
      <t>a3</t>
    </r>
  </si>
  <si>
    <r>
      <t>K</t>
    </r>
    <r>
      <rPr>
        <vertAlign val="subscript"/>
        <sz val="11"/>
        <color theme="1"/>
        <rFont val="Calibri"/>
        <family val="2"/>
        <scheme val="minor"/>
      </rPr>
      <t>d3</t>
    </r>
  </si>
  <si>
    <r>
      <rPr>
        <sz val="11"/>
        <color theme="1"/>
        <rFont val="Calibri"/>
        <family val="2"/>
        <scheme val="minor"/>
      </rPr>
      <t>ΔH3</t>
    </r>
  </si>
  <si>
    <t>PFPrS</t>
  </si>
  <si>
    <t>Bischel et al.2010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</si>
</sst>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bscript"/>
      <sz val="11"/>
      <color indexed="8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vertAlign val="subscript"/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1" fontId="1" fillId="0" borderId="0" xfId="0" applyNumberFormat="1" applyFont="1" applyAlignment="1">
      <alignment horizontal="left"/>
    </xf>
    <xf numFmtId="0" fontId="1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11" fontId="8" fillId="0" borderId="0" xfId="0" applyNumberFormat="1" applyFont="1" applyAlignment="1">
      <alignment horizontal="center"/>
    </xf>
    <xf numFmtId="0" fontId="5" fillId="0" borderId="0" xfId="1" applyAlignment="1">
      <alignment horizontal="center" vertic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21/es101334s" TargetMode="External"/><Relationship Id="rId3" Type="http://schemas.openxmlformats.org/officeDocument/2006/relationships/hyperlink" Target="https://doi.org/10.1021/es101334s" TargetMode="External"/><Relationship Id="rId7" Type="http://schemas.openxmlformats.org/officeDocument/2006/relationships/hyperlink" Target="https://doi.org/10.1021/es101334s" TargetMode="External"/><Relationship Id="rId2" Type="http://schemas.openxmlformats.org/officeDocument/2006/relationships/hyperlink" Target="https://doi.org/10.1021/es101334s" TargetMode="External"/><Relationship Id="rId1" Type="http://schemas.openxmlformats.org/officeDocument/2006/relationships/hyperlink" Target="https://doi.org/10.1021/es101334s" TargetMode="External"/><Relationship Id="rId6" Type="http://schemas.openxmlformats.org/officeDocument/2006/relationships/hyperlink" Target="https://doi.org/10.1021/es101334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doi.org/10.1021/es101334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doi.org/10.1021/es101334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84"/>
  <sheetViews>
    <sheetView tabSelected="1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U1" sqref="U1"/>
    </sheetView>
  </sheetViews>
  <sheetFormatPr baseColWidth="10" defaultColWidth="8.83203125" defaultRowHeight="15" x14ac:dyDescent="0.2"/>
  <cols>
    <col min="1" max="1" width="8.83203125" style="2"/>
    <col min="2" max="2" width="18.83203125" style="2" customWidth="1"/>
    <col min="3" max="4" width="8.83203125" style="2"/>
    <col min="5" max="5" width="19.83203125" style="2" customWidth="1"/>
    <col min="6" max="6" width="22.5" style="2" customWidth="1"/>
    <col min="7" max="7" width="23.5" style="2" customWidth="1"/>
    <col min="8" max="8" width="28" style="2" customWidth="1"/>
    <col min="9" max="9" width="23.33203125" style="2" customWidth="1"/>
    <col min="10" max="13" width="24.33203125" style="2" customWidth="1"/>
    <col min="14" max="14" width="8.83203125" style="2"/>
    <col min="15" max="15" width="18.5" style="2" customWidth="1"/>
    <col min="16" max="16" width="23.5" style="2" customWidth="1"/>
    <col min="17" max="17" width="26.5" style="2" customWidth="1"/>
    <col min="18" max="18" width="23" style="2" customWidth="1"/>
    <col min="19" max="19" width="19.83203125" style="2" customWidth="1"/>
    <col min="20" max="21" width="8.83203125" style="2"/>
    <col min="22" max="22" width="16.5" style="2" customWidth="1"/>
    <col min="23" max="23" width="15.6640625" style="2" customWidth="1"/>
    <col min="24" max="16384" width="8.83203125" style="2"/>
  </cols>
  <sheetData>
    <row r="1" spans="1:36" s="1" customFormat="1" ht="17" x14ac:dyDescent="0.25">
      <c r="A1" s="7" t="s">
        <v>2</v>
      </c>
      <c r="B1" s="7" t="s">
        <v>3</v>
      </c>
      <c r="C1" s="7" t="s">
        <v>4</v>
      </c>
      <c r="D1" s="8" t="s">
        <v>5</v>
      </c>
      <c r="E1" s="8" t="s">
        <v>6</v>
      </c>
      <c r="F1" s="7" t="s">
        <v>7</v>
      </c>
      <c r="G1" s="7" t="s">
        <v>8</v>
      </c>
      <c r="H1" s="2" t="s">
        <v>179</v>
      </c>
      <c r="I1" s="2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2" t="s">
        <v>1</v>
      </c>
      <c r="O1" s="2" t="s">
        <v>14</v>
      </c>
      <c r="P1" s="2" t="s">
        <v>15</v>
      </c>
      <c r="Q1" s="2" t="s">
        <v>16</v>
      </c>
      <c r="R1" s="2" t="s">
        <v>0</v>
      </c>
      <c r="S1" s="2" t="s">
        <v>17</v>
      </c>
      <c r="T1" s="2" t="s">
        <v>18</v>
      </c>
      <c r="U1" s="2" t="s">
        <v>126</v>
      </c>
      <c r="V1" s="7" t="s">
        <v>180</v>
      </c>
      <c r="W1" s="10" t="s">
        <v>181</v>
      </c>
      <c r="X1" s="2" t="s">
        <v>21</v>
      </c>
      <c r="Y1" s="2" t="s">
        <v>182</v>
      </c>
      <c r="Z1" s="2" t="s">
        <v>183</v>
      </c>
      <c r="AA1" s="2" t="s">
        <v>184</v>
      </c>
      <c r="AB1" s="2" t="s">
        <v>185</v>
      </c>
      <c r="AC1" s="2" t="s">
        <v>186</v>
      </c>
      <c r="AD1" s="2" t="s">
        <v>187</v>
      </c>
      <c r="AE1" s="2" t="s">
        <v>188</v>
      </c>
      <c r="AF1" s="2" t="s">
        <v>25</v>
      </c>
      <c r="AG1" s="2" t="s">
        <v>189</v>
      </c>
      <c r="AH1" s="7" t="s">
        <v>26</v>
      </c>
      <c r="AI1" s="7" t="s">
        <v>27</v>
      </c>
      <c r="AJ1" s="7" t="s">
        <v>28</v>
      </c>
    </row>
    <row r="2" spans="1:36" x14ac:dyDescent="0.2">
      <c r="B2" s="2" t="s">
        <v>29</v>
      </c>
      <c r="E2" s="2" t="s">
        <v>191</v>
      </c>
      <c r="F2" s="11" t="s">
        <v>30</v>
      </c>
      <c r="G2" s="7" t="s">
        <v>31</v>
      </c>
      <c r="H2" s="2">
        <v>1</v>
      </c>
      <c r="J2" s="12"/>
      <c r="K2" s="2" t="s">
        <v>32</v>
      </c>
      <c r="L2" s="2">
        <v>0.04</v>
      </c>
      <c r="M2" s="2">
        <v>5</v>
      </c>
      <c r="N2" s="2">
        <v>7.4</v>
      </c>
      <c r="O2" s="2" t="s">
        <v>33</v>
      </c>
      <c r="P2" s="2">
        <v>0.05</v>
      </c>
      <c r="Q2" s="2">
        <v>294</v>
      </c>
      <c r="R2" s="2" t="s">
        <v>34</v>
      </c>
      <c r="T2" s="2" t="s">
        <v>35</v>
      </c>
      <c r="U2" s="2" t="b">
        <v>0</v>
      </c>
      <c r="V2" s="13">
        <v>200000</v>
      </c>
      <c r="X2" s="2">
        <v>4.3</v>
      </c>
    </row>
    <row r="3" spans="1:36" x14ac:dyDescent="0.2">
      <c r="B3" s="2" t="s">
        <v>29</v>
      </c>
      <c r="E3" s="2" t="s">
        <v>191</v>
      </c>
      <c r="F3" s="11" t="s">
        <v>30</v>
      </c>
      <c r="G3" s="7" t="s">
        <v>31</v>
      </c>
      <c r="H3" s="2">
        <v>1</v>
      </c>
      <c r="J3" s="12"/>
      <c r="K3" s="2" t="s">
        <v>36</v>
      </c>
      <c r="L3" s="2">
        <v>0.04</v>
      </c>
      <c r="M3" s="2">
        <v>70</v>
      </c>
      <c r="N3" s="2">
        <v>7.4</v>
      </c>
      <c r="O3" s="2" t="s">
        <v>33</v>
      </c>
      <c r="P3" s="2">
        <v>0.05</v>
      </c>
      <c r="Q3" s="2">
        <v>294</v>
      </c>
      <c r="R3" s="2" t="s">
        <v>34</v>
      </c>
      <c r="T3" s="2" t="s">
        <v>37</v>
      </c>
      <c r="U3" s="2" t="b">
        <v>0</v>
      </c>
      <c r="V3" s="13">
        <v>1400000</v>
      </c>
      <c r="X3" s="2">
        <v>1.4</v>
      </c>
    </row>
    <row r="4" spans="1:36" x14ac:dyDescent="0.2">
      <c r="B4" s="2" t="s">
        <v>38</v>
      </c>
      <c r="E4" s="2" t="s">
        <v>191</v>
      </c>
      <c r="F4" s="11" t="s">
        <v>30</v>
      </c>
      <c r="G4" s="7" t="s">
        <v>31</v>
      </c>
      <c r="H4" s="2">
        <v>1</v>
      </c>
      <c r="J4" s="12"/>
      <c r="K4" s="2" t="s">
        <v>39</v>
      </c>
      <c r="L4" s="2">
        <v>0.02</v>
      </c>
      <c r="M4" s="2">
        <v>5</v>
      </c>
      <c r="N4" s="2">
        <v>7.4</v>
      </c>
      <c r="O4" s="2" t="s">
        <v>33</v>
      </c>
      <c r="P4" s="2">
        <v>0.05</v>
      </c>
      <c r="Q4" s="2">
        <v>294</v>
      </c>
      <c r="R4" s="2" t="s">
        <v>34</v>
      </c>
      <c r="T4" s="2" t="s">
        <v>35</v>
      </c>
      <c r="U4" s="2" t="b">
        <v>0</v>
      </c>
      <c r="V4" s="13">
        <v>1100000</v>
      </c>
      <c r="X4" s="2">
        <v>4.5999999999999996</v>
      </c>
    </row>
    <row r="5" spans="1:36" x14ac:dyDescent="0.2">
      <c r="B5" s="2" t="s">
        <v>38</v>
      </c>
      <c r="E5" s="2" t="s">
        <v>191</v>
      </c>
      <c r="F5" s="11" t="s">
        <v>30</v>
      </c>
      <c r="G5" s="7" t="s">
        <v>31</v>
      </c>
      <c r="H5" s="2">
        <v>1</v>
      </c>
      <c r="J5" s="12"/>
      <c r="K5" s="2" t="s">
        <v>40</v>
      </c>
      <c r="L5" s="2">
        <v>0.02</v>
      </c>
      <c r="M5" s="2">
        <v>120</v>
      </c>
      <c r="N5" s="2">
        <v>7.4</v>
      </c>
      <c r="O5" s="2" t="s">
        <v>33</v>
      </c>
      <c r="P5" s="2">
        <v>0.05</v>
      </c>
      <c r="Q5" s="2">
        <v>294</v>
      </c>
      <c r="R5" s="2" t="s">
        <v>34</v>
      </c>
      <c r="T5" s="2" t="s">
        <v>37</v>
      </c>
      <c r="U5" s="2" t="b">
        <v>0</v>
      </c>
      <c r="V5" s="13">
        <v>3300000</v>
      </c>
      <c r="X5" s="2">
        <v>2.9</v>
      </c>
    </row>
    <row r="6" spans="1:36" x14ac:dyDescent="0.2">
      <c r="B6" s="2" t="s">
        <v>38</v>
      </c>
      <c r="E6" s="2" t="s">
        <v>191</v>
      </c>
      <c r="F6" s="11" t="s">
        <v>30</v>
      </c>
      <c r="G6" s="7" t="s">
        <v>41</v>
      </c>
      <c r="H6" s="2">
        <v>500</v>
      </c>
      <c r="J6" s="12"/>
      <c r="K6" s="13">
        <v>50000</v>
      </c>
      <c r="L6" s="13">
        <v>50000</v>
      </c>
      <c r="M6" s="13">
        <v>50000</v>
      </c>
      <c r="N6" s="2">
        <v>7.4</v>
      </c>
      <c r="O6" s="2" t="s">
        <v>33</v>
      </c>
      <c r="P6" s="2">
        <v>1.05</v>
      </c>
      <c r="Q6" s="2">
        <v>295</v>
      </c>
      <c r="R6" s="2" t="s">
        <v>34</v>
      </c>
      <c r="U6" s="2" t="b">
        <v>0</v>
      </c>
      <c r="V6" s="13">
        <v>2100000</v>
      </c>
      <c r="X6" s="2">
        <v>3</v>
      </c>
    </row>
    <row r="7" spans="1:36" x14ac:dyDescent="0.2">
      <c r="B7" s="2" t="s">
        <v>29</v>
      </c>
      <c r="E7" s="2" t="s">
        <v>191</v>
      </c>
      <c r="F7" s="11" t="s">
        <v>30</v>
      </c>
      <c r="G7" s="7" t="s">
        <v>31</v>
      </c>
      <c r="H7" s="2">
        <v>0.05</v>
      </c>
      <c r="J7" s="12"/>
      <c r="K7" s="2" t="s">
        <v>42</v>
      </c>
      <c r="L7" s="2">
        <v>0.1</v>
      </c>
      <c r="M7" s="2">
        <v>4</v>
      </c>
      <c r="N7" s="2">
        <v>7</v>
      </c>
      <c r="O7" s="2" t="s">
        <v>43</v>
      </c>
      <c r="P7" s="2">
        <v>8.9999999999999993E-3</v>
      </c>
      <c r="R7" s="2" t="s">
        <v>44</v>
      </c>
      <c r="U7" s="2" t="b">
        <v>0</v>
      </c>
      <c r="V7" s="13">
        <v>130000</v>
      </c>
      <c r="X7" s="2" t="s">
        <v>45</v>
      </c>
    </row>
    <row r="8" spans="1:36" x14ac:dyDescent="0.2">
      <c r="B8" s="2" t="s">
        <v>38</v>
      </c>
      <c r="E8" s="2" t="s">
        <v>191</v>
      </c>
      <c r="F8" s="11" t="s">
        <v>30</v>
      </c>
      <c r="G8" s="7" t="s">
        <v>31</v>
      </c>
      <c r="H8" s="2">
        <v>0.05</v>
      </c>
      <c r="J8" s="12"/>
      <c r="K8" s="2" t="s">
        <v>42</v>
      </c>
      <c r="L8" s="2">
        <v>0.1</v>
      </c>
      <c r="M8" s="2">
        <v>4</v>
      </c>
      <c r="N8" s="2">
        <v>7</v>
      </c>
      <c r="O8" s="2" t="s">
        <v>43</v>
      </c>
      <c r="P8" s="2">
        <v>8.9999999999999993E-3</v>
      </c>
      <c r="R8" s="2" t="s">
        <v>44</v>
      </c>
      <c r="U8" s="2" t="b">
        <v>0</v>
      </c>
      <c r="V8" s="13">
        <v>260000</v>
      </c>
      <c r="X8" s="2" t="s">
        <v>45</v>
      </c>
    </row>
    <row r="9" spans="1:36" x14ac:dyDescent="0.2">
      <c r="B9" s="2" t="s">
        <v>38</v>
      </c>
      <c r="E9" s="2" t="s">
        <v>191</v>
      </c>
      <c r="F9" s="11" t="s">
        <v>30</v>
      </c>
      <c r="G9" s="7" t="s">
        <v>31</v>
      </c>
      <c r="H9" s="14">
        <v>1</v>
      </c>
      <c r="J9" s="12"/>
      <c r="K9" s="13">
        <v>50000</v>
      </c>
      <c r="L9" s="13">
        <v>50000</v>
      </c>
      <c r="M9" s="13">
        <v>50000</v>
      </c>
      <c r="N9" s="2">
        <v>7.4</v>
      </c>
      <c r="O9" s="2" t="s">
        <v>33</v>
      </c>
      <c r="P9" s="2">
        <v>1.05</v>
      </c>
      <c r="Q9" s="2">
        <v>295</v>
      </c>
      <c r="R9" s="2" t="s">
        <v>34</v>
      </c>
      <c r="U9" s="2" t="b">
        <v>0</v>
      </c>
      <c r="V9" s="13">
        <v>1400000</v>
      </c>
      <c r="X9" s="2">
        <v>3</v>
      </c>
    </row>
    <row r="10" spans="1:36" x14ac:dyDescent="0.2">
      <c r="B10" s="2" t="s">
        <v>46</v>
      </c>
      <c r="F10" s="2" t="s">
        <v>47</v>
      </c>
      <c r="G10" s="7" t="s">
        <v>31</v>
      </c>
      <c r="H10" s="2">
        <f>3*1000000/66430</f>
        <v>45.16031913292187</v>
      </c>
      <c r="J10" s="12">
        <f>20/214</f>
        <v>9.3457943925233641E-2</v>
      </c>
      <c r="K10" s="2">
        <f>J10/H10</f>
        <v>2.0694704049844235E-3</v>
      </c>
      <c r="L10" s="2">
        <v>2.0694704049844235E-3</v>
      </c>
      <c r="M10" s="2">
        <v>2.0694704049844235E-3</v>
      </c>
      <c r="N10" s="2">
        <v>7.4</v>
      </c>
      <c r="O10" s="2" t="s">
        <v>48</v>
      </c>
      <c r="Q10" s="2">
        <f>37+273</f>
        <v>310</v>
      </c>
      <c r="R10" s="2" t="s">
        <v>34</v>
      </c>
      <c r="U10" s="2" t="b">
        <v>0</v>
      </c>
      <c r="V10" s="13">
        <v>23000</v>
      </c>
    </row>
    <row r="11" spans="1:36" x14ac:dyDescent="0.2">
      <c r="B11" s="2" t="s">
        <v>49</v>
      </c>
      <c r="F11" s="2" t="s">
        <v>47</v>
      </c>
      <c r="G11" s="7" t="s">
        <v>31</v>
      </c>
      <c r="H11" s="2">
        <f>1*1000000/66430</f>
        <v>15.053439710973958</v>
      </c>
      <c r="J11" s="12">
        <f>20/314</f>
        <v>6.3694267515923567E-2</v>
      </c>
      <c r="K11" s="2">
        <f t="shared" ref="K11:K23" si="0">J11/H11</f>
        <v>4.2312101910828024E-3</v>
      </c>
      <c r="L11" s="2">
        <v>4.2312101910828024E-3</v>
      </c>
      <c r="M11" s="2">
        <v>4.2312101910828024E-3</v>
      </c>
      <c r="N11" s="2">
        <v>7.4</v>
      </c>
      <c r="O11" s="2" t="s">
        <v>48</v>
      </c>
      <c r="Q11" s="2">
        <f t="shared" ref="Q11:Q30" si="1">37+273</f>
        <v>310</v>
      </c>
      <c r="R11" s="2" t="s">
        <v>34</v>
      </c>
      <c r="U11" s="2" t="b">
        <v>0</v>
      </c>
      <c r="V11" s="13">
        <v>180000</v>
      </c>
    </row>
    <row r="12" spans="1:36" x14ac:dyDescent="0.2">
      <c r="B12" s="2" t="s">
        <v>50</v>
      </c>
      <c r="F12" s="2" t="s">
        <v>47</v>
      </c>
      <c r="G12" s="7" t="s">
        <v>31</v>
      </c>
      <c r="H12" s="2">
        <f>0.1*1000000/66430</f>
        <v>1.5053439710973957</v>
      </c>
      <c r="J12" s="12">
        <f>20/364</f>
        <v>5.4945054945054944E-2</v>
      </c>
      <c r="K12" s="2">
        <f t="shared" si="0"/>
        <v>3.6499999999999998E-2</v>
      </c>
      <c r="L12" s="2">
        <v>3.6499999999999998E-2</v>
      </c>
      <c r="M12" s="2">
        <v>3.6499999999999998E-2</v>
      </c>
      <c r="N12" s="2">
        <v>7.4</v>
      </c>
      <c r="O12" s="2" t="s">
        <v>48</v>
      </c>
      <c r="Q12" s="2">
        <f t="shared" si="1"/>
        <v>310</v>
      </c>
      <c r="R12" s="2" t="s">
        <v>34</v>
      </c>
      <c r="U12" s="2" t="b">
        <v>0</v>
      </c>
      <c r="V12" s="13">
        <v>720000</v>
      </c>
    </row>
    <row r="13" spans="1:36" x14ac:dyDescent="0.2">
      <c r="B13" s="2" t="s">
        <v>29</v>
      </c>
      <c r="F13" s="2" t="s">
        <v>47</v>
      </c>
      <c r="G13" s="7" t="s">
        <v>31</v>
      </c>
      <c r="H13" s="2">
        <f>0.1*1000000/66430</f>
        <v>1.5053439710973957</v>
      </c>
      <c r="J13" s="12">
        <f>20/414</f>
        <v>4.8309178743961352E-2</v>
      </c>
      <c r="K13" s="2">
        <f t="shared" si="0"/>
        <v>3.209178743961353E-2</v>
      </c>
      <c r="L13" s="2">
        <v>3.209178743961353E-2</v>
      </c>
      <c r="M13" s="2">
        <v>3.209178743961353E-2</v>
      </c>
      <c r="N13" s="2">
        <v>7.4</v>
      </c>
      <c r="O13" s="2" t="s">
        <v>48</v>
      </c>
      <c r="Q13" s="2">
        <f t="shared" si="1"/>
        <v>310</v>
      </c>
      <c r="R13" s="2" t="s">
        <v>34</v>
      </c>
      <c r="U13" s="2" t="b">
        <v>0</v>
      </c>
      <c r="V13" s="13">
        <v>1100000</v>
      </c>
    </row>
    <row r="14" spans="1:36" x14ac:dyDescent="0.2">
      <c r="B14" s="2" t="s">
        <v>38</v>
      </c>
      <c r="F14" s="2" t="s">
        <v>47</v>
      </c>
      <c r="G14" s="7" t="s">
        <v>31</v>
      </c>
      <c r="H14" s="2">
        <f>0.05*1000000/66430</f>
        <v>0.75267198554869785</v>
      </c>
      <c r="J14" s="12">
        <f>20/464</f>
        <v>4.3103448275862072E-2</v>
      </c>
      <c r="K14" s="2">
        <f t="shared" si="0"/>
        <v>5.726724137931035E-2</v>
      </c>
      <c r="L14" s="2">
        <v>5.726724137931035E-2</v>
      </c>
      <c r="M14" s="2">
        <v>5.726724137931035E-2</v>
      </c>
      <c r="N14" s="2">
        <v>7.4</v>
      </c>
      <c r="O14" s="2" t="s">
        <v>48</v>
      </c>
      <c r="Q14" s="2">
        <f t="shared" si="1"/>
        <v>310</v>
      </c>
      <c r="R14" s="2" t="s">
        <v>34</v>
      </c>
      <c r="U14" s="2" t="b">
        <v>0</v>
      </c>
      <c r="V14" s="13">
        <v>1400000</v>
      </c>
    </row>
    <row r="15" spans="1:36" x14ac:dyDescent="0.2">
      <c r="B15" s="2" t="s">
        <v>51</v>
      </c>
      <c r="F15" s="2" t="s">
        <v>47</v>
      </c>
      <c r="G15" s="7" t="s">
        <v>31</v>
      </c>
      <c r="H15" s="2">
        <f>0.05*1000000/66430</f>
        <v>0.75267198554869785</v>
      </c>
      <c r="J15" s="12">
        <f>20/514</f>
        <v>3.8910505836575876E-2</v>
      </c>
      <c r="K15" s="2">
        <f t="shared" si="0"/>
        <v>5.169649805447471E-2</v>
      </c>
      <c r="L15" s="2">
        <v>5.169649805447471E-2</v>
      </c>
      <c r="M15" s="2">
        <v>5.169649805447471E-2</v>
      </c>
      <c r="N15" s="2">
        <v>7.4</v>
      </c>
      <c r="O15" s="2" t="s">
        <v>48</v>
      </c>
      <c r="Q15" s="2">
        <f t="shared" si="1"/>
        <v>310</v>
      </c>
      <c r="R15" s="2" t="s">
        <v>34</v>
      </c>
      <c r="U15" s="2" t="b">
        <v>0</v>
      </c>
      <c r="V15" s="13">
        <v>3600000</v>
      </c>
    </row>
    <row r="16" spans="1:36" x14ac:dyDescent="0.2">
      <c r="B16" s="2" t="s">
        <v>52</v>
      </c>
      <c r="F16" s="2" t="s">
        <v>47</v>
      </c>
      <c r="G16" s="7" t="s">
        <v>31</v>
      </c>
      <c r="H16" s="2">
        <f>0.025*1000000/66430</f>
        <v>0.37633599277434893</v>
      </c>
      <c r="J16" s="12">
        <f>20/564</f>
        <v>3.5460992907801421E-2</v>
      </c>
      <c r="K16" s="2">
        <f t="shared" si="0"/>
        <v>9.4226950354609942E-2</v>
      </c>
      <c r="L16" s="2">
        <v>9.4226950354609942E-2</v>
      </c>
      <c r="M16" s="2">
        <v>9.4226950354609942E-2</v>
      </c>
      <c r="N16" s="2">
        <v>7.4</v>
      </c>
      <c r="O16" s="2" t="s">
        <v>48</v>
      </c>
      <c r="Q16" s="2">
        <f t="shared" si="1"/>
        <v>310</v>
      </c>
      <c r="R16" s="2" t="s">
        <v>34</v>
      </c>
      <c r="U16" s="2" t="b">
        <v>0</v>
      </c>
      <c r="V16" s="13">
        <v>3100000</v>
      </c>
    </row>
    <row r="17" spans="2:26" x14ac:dyDescent="0.2">
      <c r="B17" s="2" t="s">
        <v>53</v>
      </c>
      <c r="F17" s="2" t="s">
        <v>47</v>
      </c>
      <c r="G17" s="7" t="s">
        <v>31</v>
      </c>
      <c r="H17" s="2">
        <f>3*1000000/66430</f>
        <v>45.16031913292187</v>
      </c>
      <c r="J17" s="12">
        <f>20/330</f>
        <v>6.0606060606060608E-2</v>
      </c>
      <c r="K17" s="2">
        <f t="shared" si="0"/>
        <v>1.3420202020202022E-3</v>
      </c>
      <c r="L17" s="2">
        <v>1.3420202020202022E-3</v>
      </c>
      <c r="M17" s="2">
        <v>1.3420202020202022E-3</v>
      </c>
      <c r="N17" s="2">
        <v>7.4</v>
      </c>
      <c r="O17" s="2" t="s">
        <v>48</v>
      </c>
      <c r="Q17" s="2">
        <f t="shared" si="1"/>
        <v>310</v>
      </c>
      <c r="R17" s="2" t="s">
        <v>34</v>
      </c>
      <c r="U17" s="2" t="b">
        <v>0</v>
      </c>
      <c r="V17" s="13">
        <v>23000</v>
      </c>
    </row>
    <row r="18" spans="2:26" x14ac:dyDescent="0.2">
      <c r="B18" s="2" t="s">
        <v>54</v>
      </c>
      <c r="F18" s="2" t="s">
        <v>47</v>
      </c>
      <c r="G18" s="7" t="s">
        <v>31</v>
      </c>
      <c r="H18" s="2">
        <f>0.1*1000000/66430</f>
        <v>1.5053439710973957</v>
      </c>
      <c r="J18" s="12">
        <f>20/378</f>
        <v>5.2910052910052907E-2</v>
      </c>
      <c r="K18" s="2">
        <f t="shared" si="0"/>
        <v>3.5148148148148151E-2</v>
      </c>
      <c r="L18" s="2">
        <v>3.5148148148148151E-2</v>
      </c>
      <c r="M18" s="2">
        <v>3.5148148148148151E-2</v>
      </c>
      <c r="N18" s="2">
        <v>7.4</v>
      </c>
      <c r="O18" s="2" t="s">
        <v>48</v>
      </c>
      <c r="Q18" s="2">
        <f t="shared" si="1"/>
        <v>310</v>
      </c>
      <c r="R18" s="2" t="s">
        <v>34</v>
      </c>
      <c r="U18" s="2" t="b">
        <v>0</v>
      </c>
      <c r="V18" s="13">
        <v>180000</v>
      </c>
    </row>
    <row r="19" spans="2:26" x14ac:dyDescent="0.2">
      <c r="B19" s="2" t="s">
        <v>55</v>
      </c>
      <c r="F19" s="2" t="s">
        <v>47</v>
      </c>
      <c r="G19" s="7" t="s">
        <v>31</v>
      </c>
      <c r="H19" s="2">
        <f>1*1000000/66430</f>
        <v>15.053439710973958</v>
      </c>
      <c r="J19" s="12">
        <f>20/80</f>
        <v>0.25</v>
      </c>
      <c r="K19" s="2">
        <f t="shared" si="0"/>
        <v>1.6607500000000001E-2</v>
      </c>
      <c r="L19" s="2">
        <v>1.6607500000000001E-2</v>
      </c>
      <c r="M19" s="2">
        <v>1.6607500000000001E-2</v>
      </c>
      <c r="N19" s="2">
        <v>7.4</v>
      </c>
      <c r="O19" s="2" t="s">
        <v>48</v>
      </c>
      <c r="Q19" s="2">
        <f t="shared" si="1"/>
        <v>310</v>
      </c>
      <c r="R19" s="2" t="s">
        <v>34</v>
      </c>
      <c r="U19" s="2" t="b">
        <v>0</v>
      </c>
      <c r="V19" s="13">
        <v>110000</v>
      </c>
    </row>
    <row r="20" spans="2:26" x14ac:dyDescent="0.2">
      <c r="B20" s="2" t="s">
        <v>56</v>
      </c>
      <c r="F20" s="2" t="s">
        <v>47</v>
      </c>
      <c r="G20" s="7" t="s">
        <v>31</v>
      </c>
      <c r="H20" s="2">
        <f>0.05*1000000/66430</f>
        <v>0.75267198554869785</v>
      </c>
      <c r="J20" s="12">
        <f>20/400</f>
        <v>0.05</v>
      </c>
      <c r="K20" s="2">
        <f t="shared" si="0"/>
        <v>6.6430000000000003E-2</v>
      </c>
      <c r="L20" s="2">
        <v>6.6430000000000003E-2</v>
      </c>
      <c r="M20" s="2">
        <v>6.6430000000000003E-2</v>
      </c>
      <c r="N20" s="2">
        <v>7.4</v>
      </c>
      <c r="O20" s="2" t="s">
        <v>48</v>
      </c>
      <c r="Q20" s="2">
        <f t="shared" si="1"/>
        <v>310</v>
      </c>
      <c r="R20" s="2" t="s">
        <v>34</v>
      </c>
      <c r="U20" s="2" t="b">
        <v>0</v>
      </c>
      <c r="V20" s="13">
        <v>4400000</v>
      </c>
    </row>
    <row r="21" spans="2:26" x14ac:dyDescent="0.2">
      <c r="B21" s="2" t="s">
        <v>57</v>
      </c>
      <c r="F21" s="2" t="s">
        <v>47</v>
      </c>
      <c r="G21" s="7" t="s">
        <v>31</v>
      </c>
      <c r="H21" s="2">
        <f>0.025*1000000/66430</f>
        <v>0.37633599277434893</v>
      </c>
      <c r="J21" s="12">
        <f>20/500</f>
        <v>0.04</v>
      </c>
      <c r="K21" s="2">
        <f t="shared" si="0"/>
        <v>0.10628800000000001</v>
      </c>
      <c r="L21" s="2">
        <v>0.10628800000000001</v>
      </c>
      <c r="M21" s="2">
        <v>0.10628800000000001</v>
      </c>
      <c r="N21" s="2">
        <v>7.4</v>
      </c>
      <c r="O21" s="2" t="s">
        <v>48</v>
      </c>
      <c r="Q21" s="2">
        <f t="shared" si="1"/>
        <v>310</v>
      </c>
      <c r="R21" s="2" t="s">
        <v>34</v>
      </c>
      <c r="U21" s="2" t="b">
        <v>0</v>
      </c>
      <c r="V21" s="13">
        <v>3200000</v>
      </c>
    </row>
    <row r="22" spans="2:26" x14ac:dyDescent="0.2">
      <c r="B22" s="2" t="s">
        <v>58</v>
      </c>
      <c r="F22" s="2" t="s">
        <v>47</v>
      </c>
      <c r="G22" s="7" t="s">
        <v>31</v>
      </c>
      <c r="H22" s="2">
        <f>0.025*1000000/66430</f>
        <v>0.37633599277434893</v>
      </c>
      <c r="J22" s="12">
        <f>20/533</f>
        <v>3.7523452157598502E-2</v>
      </c>
      <c r="K22" s="2">
        <f t="shared" si="0"/>
        <v>9.9707317073170751E-2</v>
      </c>
      <c r="L22" s="2">
        <v>9.9707317073170751E-2</v>
      </c>
      <c r="M22" s="2">
        <v>9.9707317073170751E-2</v>
      </c>
      <c r="N22" s="2">
        <v>7.4</v>
      </c>
      <c r="O22" s="2" t="s">
        <v>48</v>
      </c>
      <c r="Q22" s="2">
        <f t="shared" si="1"/>
        <v>310</v>
      </c>
      <c r="R22" s="2" t="s">
        <v>34</v>
      </c>
      <c r="U22" s="2" t="b">
        <v>0</v>
      </c>
      <c r="V22" s="13">
        <v>6900000</v>
      </c>
    </row>
    <row r="23" spans="2:26" x14ac:dyDescent="0.2">
      <c r="B23" s="2" t="s">
        <v>59</v>
      </c>
      <c r="F23" s="2" t="s">
        <v>47</v>
      </c>
      <c r="G23" s="7" t="s">
        <v>31</v>
      </c>
      <c r="H23" s="2">
        <f>0.1*1000000/66430</f>
        <v>1.5053439710973957</v>
      </c>
      <c r="J23" s="12">
        <f>20/462</f>
        <v>4.3290043290043288E-2</v>
      </c>
      <c r="K23" s="2">
        <f t="shared" si="0"/>
        <v>2.8757575757575756E-2</v>
      </c>
      <c r="L23" s="2">
        <v>2.8757575757575756E-2</v>
      </c>
      <c r="M23" s="2">
        <v>2.8757575757575756E-2</v>
      </c>
      <c r="N23" s="2">
        <v>7.4</v>
      </c>
      <c r="O23" s="2" t="s">
        <v>48</v>
      </c>
      <c r="Q23" s="2">
        <f t="shared" si="1"/>
        <v>310</v>
      </c>
      <c r="R23" s="2" t="s">
        <v>34</v>
      </c>
      <c r="U23" s="2" t="b">
        <v>0</v>
      </c>
      <c r="V23" s="13">
        <v>2400000</v>
      </c>
    </row>
    <row r="24" spans="2:26" x14ac:dyDescent="0.2">
      <c r="B24" s="2" t="s">
        <v>29</v>
      </c>
      <c r="F24" s="2" t="s">
        <v>60</v>
      </c>
      <c r="G24" s="7" t="s">
        <v>31</v>
      </c>
      <c r="H24" s="2">
        <v>10</v>
      </c>
      <c r="J24" s="9" t="s">
        <v>61</v>
      </c>
      <c r="K24" s="9" t="s">
        <v>62</v>
      </c>
      <c r="L24" s="2">
        <v>0.1</v>
      </c>
      <c r="M24" s="2">
        <v>2</v>
      </c>
      <c r="O24" s="2" t="s">
        <v>63</v>
      </c>
      <c r="Q24" s="2">
        <f t="shared" si="1"/>
        <v>310</v>
      </c>
      <c r="R24" s="2" t="s">
        <v>34</v>
      </c>
      <c r="U24" s="2" t="b">
        <v>0</v>
      </c>
      <c r="V24" s="13">
        <v>377000</v>
      </c>
    </row>
    <row r="25" spans="2:26" x14ac:dyDescent="0.2">
      <c r="B25" s="2" t="s">
        <v>38</v>
      </c>
      <c r="F25" s="2" t="s">
        <v>60</v>
      </c>
      <c r="G25" s="7" t="s">
        <v>31</v>
      </c>
      <c r="H25" s="2">
        <v>10</v>
      </c>
      <c r="J25" s="9" t="s">
        <v>61</v>
      </c>
      <c r="K25" s="9" t="s">
        <v>62</v>
      </c>
      <c r="L25" s="2">
        <v>0.1</v>
      </c>
      <c r="M25" s="2">
        <v>2</v>
      </c>
      <c r="O25" s="2" t="s">
        <v>63</v>
      </c>
      <c r="Q25" s="2">
        <f t="shared" si="1"/>
        <v>310</v>
      </c>
      <c r="R25" s="2" t="s">
        <v>34</v>
      </c>
      <c r="U25" s="2" t="b">
        <v>0</v>
      </c>
      <c r="V25" s="13">
        <v>4410000</v>
      </c>
    </row>
    <row r="26" spans="2:26" x14ac:dyDescent="0.2">
      <c r="B26" s="2" t="s">
        <v>51</v>
      </c>
      <c r="F26" s="2" t="s">
        <v>60</v>
      </c>
      <c r="G26" s="7" t="s">
        <v>31</v>
      </c>
      <c r="H26" s="2">
        <v>10</v>
      </c>
      <c r="J26" s="9" t="s">
        <v>61</v>
      </c>
      <c r="K26" s="9" t="s">
        <v>62</v>
      </c>
      <c r="L26" s="2">
        <v>0.1</v>
      </c>
      <c r="M26" s="2">
        <v>2</v>
      </c>
      <c r="O26" s="2" t="s">
        <v>63</v>
      </c>
      <c r="Q26" s="2">
        <f t="shared" si="1"/>
        <v>310</v>
      </c>
      <c r="R26" s="2" t="s">
        <v>34</v>
      </c>
      <c r="U26" s="2" t="b">
        <v>0</v>
      </c>
      <c r="V26" s="13">
        <v>6160000</v>
      </c>
    </row>
    <row r="27" spans="2:26" x14ac:dyDescent="0.2">
      <c r="B27" s="2" t="s">
        <v>55</v>
      </c>
      <c r="F27" s="2" t="s">
        <v>60</v>
      </c>
      <c r="G27" s="7" t="s">
        <v>31</v>
      </c>
      <c r="H27" s="2">
        <v>10</v>
      </c>
      <c r="J27" s="9" t="s">
        <v>61</v>
      </c>
      <c r="K27" s="9" t="s">
        <v>62</v>
      </c>
      <c r="L27" s="2">
        <v>0.1</v>
      </c>
      <c r="M27" s="2">
        <v>2</v>
      </c>
      <c r="O27" s="2" t="s">
        <v>63</v>
      </c>
      <c r="Q27" s="2">
        <f t="shared" si="1"/>
        <v>310</v>
      </c>
      <c r="R27" s="2" t="s">
        <v>34</v>
      </c>
      <c r="U27" s="2" t="b">
        <v>0</v>
      </c>
      <c r="V27" s="13">
        <v>93000</v>
      </c>
    </row>
    <row r="28" spans="2:26" x14ac:dyDescent="0.2">
      <c r="B28" s="2" t="s">
        <v>56</v>
      </c>
      <c r="F28" s="2" t="s">
        <v>60</v>
      </c>
      <c r="G28" s="7" t="s">
        <v>31</v>
      </c>
      <c r="H28" s="2">
        <v>10</v>
      </c>
      <c r="J28" s="9" t="s">
        <v>61</v>
      </c>
      <c r="K28" s="9" t="s">
        <v>62</v>
      </c>
      <c r="L28" s="2">
        <v>0.1</v>
      </c>
      <c r="M28" s="2">
        <v>2</v>
      </c>
      <c r="O28" s="2" t="s">
        <v>63</v>
      </c>
      <c r="Q28" s="2">
        <f t="shared" si="1"/>
        <v>310</v>
      </c>
      <c r="R28" s="2" t="s">
        <v>34</v>
      </c>
      <c r="U28" s="2" t="b">
        <v>0</v>
      </c>
      <c r="V28" s="13">
        <v>648000</v>
      </c>
    </row>
    <row r="29" spans="2:26" x14ac:dyDescent="0.2">
      <c r="B29" s="2" t="s">
        <v>57</v>
      </c>
      <c r="F29" s="2" t="s">
        <v>60</v>
      </c>
      <c r="G29" s="7" t="s">
        <v>31</v>
      </c>
      <c r="H29" s="2">
        <v>10</v>
      </c>
      <c r="J29" s="9" t="s">
        <v>61</v>
      </c>
      <c r="K29" s="9" t="s">
        <v>62</v>
      </c>
      <c r="L29" s="2">
        <v>0.1</v>
      </c>
      <c r="M29" s="2">
        <v>2</v>
      </c>
      <c r="O29" s="2" t="s">
        <v>63</v>
      </c>
      <c r="Q29" s="2">
        <f t="shared" si="1"/>
        <v>310</v>
      </c>
      <c r="R29" s="2" t="s">
        <v>34</v>
      </c>
      <c r="U29" s="2" t="b">
        <v>0</v>
      </c>
      <c r="V29" s="13">
        <v>1800000</v>
      </c>
    </row>
    <row r="30" spans="2:26" x14ac:dyDescent="0.2">
      <c r="B30" s="2" t="s">
        <v>53</v>
      </c>
      <c r="F30" s="2" t="s">
        <v>60</v>
      </c>
      <c r="G30" s="7" t="s">
        <v>31</v>
      </c>
      <c r="H30" s="2">
        <v>10</v>
      </c>
      <c r="J30" s="9" t="s">
        <v>61</v>
      </c>
      <c r="K30" s="9" t="s">
        <v>62</v>
      </c>
      <c r="L30" s="2">
        <v>0.1</v>
      </c>
      <c r="M30" s="2">
        <v>2</v>
      </c>
      <c r="O30" s="2" t="s">
        <v>63</v>
      </c>
      <c r="Q30" s="2">
        <f t="shared" si="1"/>
        <v>310</v>
      </c>
      <c r="R30" s="2" t="s">
        <v>34</v>
      </c>
      <c r="U30" s="2" t="b">
        <v>0</v>
      </c>
      <c r="V30" s="13">
        <v>65000</v>
      </c>
    </row>
    <row r="31" spans="2:26" x14ac:dyDescent="0.2">
      <c r="B31" s="2" t="s">
        <v>46</v>
      </c>
      <c r="F31" s="2" t="s">
        <v>64</v>
      </c>
      <c r="G31" s="7" t="s">
        <v>41</v>
      </c>
      <c r="H31" s="2">
        <v>20</v>
      </c>
      <c r="J31" s="2" t="s">
        <v>65</v>
      </c>
      <c r="K31" s="9" t="s">
        <v>66</v>
      </c>
      <c r="L31" s="2">
        <v>12.5</v>
      </c>
      <c r="M31" s="2">
        <v>50</v>
      </c>
      <c r="Q31" s="2">
        <v>298</v>
      </c>
      <c r="R31" s="2" t="s">
        <v>67</v>
      </c>
      <c r="U31" s="2" t="b">
        <v>0</v>
      </c>
      <c r="V31" s="13">
        <v>31062</v>
      </c>
      <c r="Z31" s="2">
        <v>381</v>
      </c>
    </row>
    <row r="32" spans="2:26" x14ac:dyDescent="0.2">
      <c r="B32" s="2" t="s">
        <v>49</v>
      </c>
      <c r="F32" s="2" t="s">
        <v>64</v>
      </c>
      <c r="G32" s="7" t="s">
        <v>41</v>
      </c>
      <c r="H32" s="2">
        <v>20</v>
      </c>
      <c r="J32" s="2" t="s">
        <v>65</v>
      </c>
      <c r="K32" s="9" t="s">
        <v>66</v>
      </c>
      <c r="L32" s="2">
        <v>12.5</v>
      </c>
      <c r="M32" s="2">
        <v>50</v>
      </c>
      <c r="Q32" s="2">
        <v>298</v>
      </c>
      <c r="R32" s="2" t="s">
        <v>67</v>
      </c>
      <c r="U32" s="2" t="b">
        <v>0</v>
      </c>
      <c r="V32" s="13">
        <v>400540</v>
      </c>
      <c r="Z32" s="2">
        <v>34411</v>
      </c>
    </row>
    <row r="33" spans="2:26" x14ac:dyDescent="0.2">
      <c r="B33" s="2" t="s">
        <v>53</v>
      </c>
      <c r="F33" s="2" t="s">
        <v>64</v>
      </c>
      <c r="G33" s="7" t="s">
        <v>41</v>
      </c>
      <c r="H33" s="2">
        <v>20</v>
      </c>
      <c r="J33" s="2" t="s">
        <v>65</v>
      </c>
      <c r="K33" s="9" t="s">
        <v>66</v>
      </c>
      <c r="L33" s="2">
        <v>12.5</v>
      </c>
      <c r="M33" s="2">
        <v>50</v>
      </c>
      <c r="Q33" s="2">
        <v>298</v>
      </c>
      <c r="R33" s="2" t="s">
        <v>67</v>
      </c>
      <c r="U33" s="2" t="b">
        <v>0</v>
      </c>
      <c r="V33" s="13">
        <v>216130</v>
      </c>
      <c r="Z33" s="2">
        <v>108280</v>
      </c>
    </row>
    <row r="34" spans="2:26" x14ac:dyDescent="0.2">
      <c r="B34" s="2" t="s">
        <v>50</v>
      </c>
      <c r="F34" s="2" t="s">
        <v>64</v>
      </c>
      <c r="G34" s="7" t="s">
        <v>41</v>
      </c>
      <c r="H34" s="2">
        <v>20</v>
      </c>
      <c r="J34" s="2" t="s">
        <v>65</v>
      </c>
      <c r="K34" s="9" t="s">
        <v>66</v>
      </c>
      <c r="L34" s="2">
        <v>12.5</v>
      </c>
      <c r="M34" s="2">
        <v>50</v>
      </c>
      <c r="Q34" s="2">
        <v>298</v>
      </c>
      <c r="R34" s="2" t="s">
        <v>67</v>
      </c>
      <c r="U34" s="2" t="b">
        <v>0</v>
      </c>
      <c r="V34" s="13">
        <v>2155500</v>
      </c>
      <c r="Z34" s="2">
        <v>4</v>
      </c>
    </row>
    <row r="35" spans="2:26" x14ac:dyDescent="0.2">
      <c r="B35" s="2" t="s">
        <v>29</v>
      </c>
      <c r="F35" s="2" t="s">
        <v>64</v>
      </c>
      <c r="G35" s="7" t="s">
        <v>41</v>
      </c>
      <c r="H35" s="2">
        <v>20</v>
      </c>
      <c r="J35" s="2" t="s">
        <v>65</v>
      </c>
      <c r="K35" s="9" t="s">
        <v>66</v>
      </c>
      <c r="L35" s="2">
        <v>12.5</v>
      </c>
      <c r="M35" s="2">
        <v>50</v>
      </c>
      <c r="Q35" s="2">
        <v>298</v>
      </c>
      <c r="R35" s="2" t="s">
        <v>67</v>
      </c>
      <c r="U35" s="2" t="b">
        <v>0</v>
      </c>
      <c r="V35" s="13">
        <v>9324800</v>
      </c>
      <c r="Z35" s="2">
        <v>88572</v>
      </c>
    </row>
    <row r="36" spans="2:26" x14ac:dyDescent="0.2">
      <c r="B36" s="2" t="s">
        <v>29</v>
      </c>
      <c r="E36" s="2" t="s">
        <v>168</v>
      </c>
      <c r="F36" s="2" t="s">
        <v>68</v>
      </c>
      <c r="G36" s="7" t="s">
        <v>31</v>
      </c>
      <c r="H36" s="13">
        <v>1.9999999999999999E-7</v>
      </c>
      <c r="J36" s="2" t="s">
        <v>69</v>
      </c>
      <c r="K36" s="9" t="s">
        <v>70</v>
      </c>
      <c r="L36" s="2">
        <v>0.2</v>
      </c>
      <c r="M36" s="2">
        <v>10</v>
      </c>
      <c r="N36" s="2">
        <v>7.4</v>
      </c>
      <c r="O36" s="2" t="s">
        <v>63</v>
      </c>
      <c r="Q36" s="2">
        <v>295</v>
      </c>
      <c r="R36" s="2" t="s">
        <v>71</v>
      </c>
      <c r="S36" s="2" t="s">
        <v>72</v>
      </c>
      <c r="U36" s="2" t="b">
        <v>0</v>
      </c>
      <c r="V36" s="13">
        <v>479000</v>
      </c>
    </row>
    <row r="37" spans="2:26" x14ac:dyDescent="0.2">
      <c r="B37" s="2" t="s">
        <v>29</v>
      </c>
      <c r="E37" s="2" t="s">
        <v>168</v>
      </c>
      <c r="F37" s="2" t="s">
        <v>68</v>
      </c>
      <c r="G37" s="7" t="s">
        <v>31</v>
      </c>
      <c r="H37" s="13">
        <v>1.9999999999999999E-7</v>
      </c>
      <c r="J37" s="2" t="s">
        <v>69</v>
      </c>
      <c r="K37" s="9" t="s">
        <v>70</v>
      </c>
      <c r="L37" s="2">
        <v>0.2</v>
      </c>
      <c r="M37" s="2">
        <v>10</v>
      </c>
      <c r="N37" s="2">
        <v>7.4</v>
      </c>
      <c r="O37" s="2" t="s">
        <v>63</v>
      </c>
      <c r="Q37" s="2">
        <v>300</v>
      </c>
      <c r="R37" s="2" t="s">
        <v>71</v>
      </c>
      <c r="S37" s="2" t="s">
        <v>72</v>
      </c>
      <c r="U37" s="2" t="b">
        <v>0</v>
      </c>
      <c r="V37" s="13">
        <v>377000</v>
      </c>
    </row>
    <row r="38" spans="2:26" x14ac:dyDescent="0.2">
      <c r="B38" s="2" t="s">
        <v>29</v>
      </c>
      <c r="E38" s="2" t="s">
        <v>168</v>
      </c>
      <c r="F38" s="2" t="s">
        <v>68</v>
      </c>
      <c r="G38" s="7" t="s">
        <v>31</v>
      </c>
      <c r="H38" s="13">
        <v>1.9999999999999999E-7</v>
      </c>
      <c r="J38" s="2" t="s">
        <v>69</v>
      </c>
      <c r="K38" s="9" t="s">
        <v>70</v>
      </c>
      <c r="L38" s="2">
        <v>0.2</v>
      </c>
      <c r="M38" s="2">
        <v>10</v>
      </c>
      <c r="N38" s="2">
        <v>7.4</v>
      </c>
      <c r="O38" s="2" t="s">
        <v>63</v>
      </c>
      <c r="Q38" s="2">
        <v>305</v>
      </c>
      <c r="R38" s="2" t="s">
        <v>71</v>
      </c>
      <c r="S38" s="2" t="s">
        <v>72</v>
      </c>
      <c r="U38" s="2" t="b">
        <v>0</v>
      </c>
      <c r="V38" s="13">
        <v>287000</v>
      </c>
    </row>
    <row r="39" spans="2:26" x14ac:dyDescent="0.2">
      <c r="B39" s="2" t="s">
        <v>29</v>
      </c>
      <c r="E39" s="2" t="s">
        <v>168</v>
      </c>
      <c r="F39" s="2" t="s">
        <v>68</v>
      </c>
      <c r="G39" s="7" t="s">
        <v>31</v>
      </c>
      <c r="H39" s="13">
        <v>1.9999999999999999E-7</v>
      </c>
      <c r="J39" s="2" t="s">
        <v>69</v>
      </c>
      <c r="K39" s="9" t="s">
        <v>70</v>
      </c>
      <c r="L39" s="2">
        <v>0.2</v>
      </c>
      <c r="M39" s="2">
        <v>10</v>
      </c>
      <c r="N39" s="2">
        <v>7.4</v>
      </c>
      <c r="O39" s="2" t="s">
        <v>63</v>
      </c>
      <c r="Q39" s="2">
        <v>310</v>
      </c>
      <c r="R39" s="2" t="s">
        <v>71</v>
      </c>
      <c r="S39" s="2" t="s">
        <v>72</v>
      </c>
      <c r="U39" s="2" t="b">
        <v>0</v>
      </c>
      <c r="V39" s="13">
        <v>244000</v>
      </c>
    </row>
    <row r="40" spans="2:26" x14ac:dyDescent="0.2">
      <c r="B40" s="2" t="s">
        <v>57</v>
      </c>
      <c r="E40" s="2" t="s">
        <v>168</v>
      </c>
      <c r="F40" s="2" t="s">
        <v>68</v>
      </c>
      <c r="G40" s="7" t="s">
        <v>31</v>
      </c>
      <c r="H40" s="13">
        <v>1.9999999999999999E-7</v>
      </c>
      <c r="J40" s="2" t="s">
        <v>69</v>
      </c>
      <c r="K40" s="9" t="s">
        <v>70</v>
      </c>
      <c r="L40" s="2">
        <v>0.2</v>
      </c>
      <c r="M40" s="2">
        <v>10</v>
      </c>
      <c r="N40" s="2">
        <v>7.4</v>
      </c>
      <c r="O40" s="2" t="s">
        <v>63</v>
      </c>
      <c r="Q40" s="2">
        <v>295</v>
      </c>
      <c r="R40" s="2" t="s">
        <v>71</v>
      </c>
      <c r="S40" s="2" t="s">
        <v>72</v>
      </c>
      <c r="U40" s="2" t="b">
        <v>0</v>
      </c>
      <c r="V40" s="13">
        <v>751000</v>
      </c>
    </row>
    <row r="41" spans="2:26" x14ac:dyDescent="0.2">
      <c r="B41" s="2" t="s">
        <v>57</v>
      </c>
      <c r="E41" s="2" t="s">
        <v>168</v>
      </c>
      <c r="F41" s="2" t="s">
        <v>68</v>
      </c>
      <c r="G41" s="7" t="s">
        <v>31</v>
      </c>
      <c r="H41" s="13">
        <v>1.9999999999999999E-7</v>
      </c>
      <c r="J41" s="2" t="s">
        <v>69</v>
      </c>
      <c r="K41" s="9" t="s">
        <v>70</v>
      </c>
      <c r="L41" s="2">
        <v>0.2</v>
      </c>
      <c r="M41" s="2">
        <v>10</v>
      </c>
      <c r="N41" s="2">
        <v>7.4</v>
      </c>
      <c r="O41" s="2" t="s">
        <v>63</v>
      </c>
      <c r="Q41" s="2">
        <v>300</v>
      </c>
      <c r="R41" s="2" t="s">
        <v>71</v>
      </c>
      <c r="S41" s="2" t="s">
        <v>72</v>
      </c>
      <c r="U41" s="2" t="b">
        <v>0</v>
      </c>
      <c r="V41" s="13">
        <v>574000</v>
      </c>
    </row>
    <row r="42" spans="2:26" x14ac:dyDescent="0.2">
      <c r="B42" s="2" t="s">
        <v>57</v>
      </c>
      <c r="E42" s="2" t="s">
        <v>168</v>
      </c>
      <c r="F42" s="2" t="s">
        <v>68</v>
      </c>
      <c r="G42" s="7" t="s">
        <v>31</v>
      </c>
      <c r="H42" s="13">
        <v>1.9999999999999999E-7</v>
      </c>
      <c r="J42" s="2" t="s">
        <v>69</v>
      </c>
      <c r="K42" s="9" t="s">
        <v>70</v>
      </c>
      <c r="L42" s="2">
        <v>0.2</v>
      </c>
      <c r="M42" s="2">
        <v>10</v>
      </c>
      <c r="N42" s="2">
        <v>7.4</v>
      </c>
      <c r="O42" s="2" t="s">
        <v>63</v>
      </c>
      <c r="Q42" s="2">
        <v>305</v>
      </c>
      <c r="R42" s="2" t="s">
        <v>71</v>
      </c>
      <c r="S42" s="2" t="s">
        <v>72</v>
      </c>
      <c r="U42" s="2" t="b">
        <v>0</v>
      </c>
      <c r="V42" s="13">
        <v>419000</v>
      </c>
    </row>
    <row r="43" spans="2:26" x14ac:dyDescent="0.2">
      <c r="B43" s="2" t="s">
        <v>57</v>
      </c>
      <c r="E43" s="2" t="s">
        <v>168</v>
      </c>
      <c r="F43" s="2" t="s">
        <v>68</v>
      </c>
      <c r="G43" s="7" t="s">
        <v>31</v>
      </c>
      <c r="H43" s="13">
        <v>1.9999999999999999E-7</v>
      </c>
      <c r="J43" s="2" t="s">
        <v>69</v>
      </c>
      <c r="K43" s="9" t="s">
        <v>70</v>
      </c>
      <c r="L43" s="2">
        <v>0.2</v>
      </c>
      <c r="M43" s="2">
        <v>10</v>
      </c>
      <c r="N43" s="2">
        <v>7.4</v>
      </c>
      <c r="O43" s="2" t="s">
        <v>63</v>
      </c>
      <c r="Q43" s="2">
        <v>310</v>
      </c>
      <c r="R43" s="2" t="s">
        <v>71</v>
      </c>
      <c r="S43" s="2" t="s">
        <v>72</v>
      </c>
      <c r="U43" s="2" t="b">
        <v>0</v>
      </c>
      <c r="V43" s="13">
        <v>338000</v>
      </c>
    </row>
    <row r="44" spans="2:26" x14ac:dyDescent="0.2">
      <c r="B44" s="2" t="s">
        <v>29</v>
      </c>
      <c r="E44" s="2" t="s">
        <v>73</v>
      </c>
      <c r="F44" s="2" t="s">
        <v>74</v>
      </c>
      <c r="G44" s="7" t="s">
        <v>75</v>
      </c>
      <c r="H44" s="2">
        <f>(25+12.5)/2</f>
        <v>18.75</v>
      </c>
      <c r="J44" s="2" t="s">
        <v>76</v>
      </c>
      <c r="K44" s="9" t="s">
        <v>77</v>
      </c>
      <c r="L44" s="2">
        <v>13</v>
      </c>
      <c r="M44" s="2">
        <v>266</v>
      </c>
      <c r="O44" s="2" t="s">
        <v>63</v>
      </c>
      <c r="Q44" s="2">
        <v>296</v>
      </c>
      <c r="R44" s="2" t="s">
        <v>78</v>
      </c>
      <c r="U44" s="2" t="b">
        <v>0</v>
      </c>
      <c r="V44" s="13">
        <f>1/W44</f>
        <v>3448.2758620689656</v>
      </c>
      <c r="W44" s="2">
        <f>0.29/1000</f>
        <v>2.9E-4</v>
      </c>
    </row>
    <row r="45" spans="2:26" x14ac:dyDescent="0.2">
      <c r="B45" s="2" t="s">
        <v>29</v>
      </c>
      <c r="E45" s="2" t="s">
        <v>73</v>
      </c>
      <c r="F45" s="2" t="s">
        <v>74</v>
      </c>
      <c r="G45" s="7" t="s">
        <v>75</v>
      </c>
      <c r="H45" s="2">
        <f>(50+60)/2</f>
        <v>55</v>
      </c>
      <c r="J45" s="12" t="s">
        <v>79</v>
      </c>
      <c r="K45" s="9" t="s">
        <v>80</v>
      </c>
      <c r="L45" s="2">
        <v>1.8</v>
      </c>
      <c r="M45" s="2">
        <v>54.5</v>
      </c>
      <c r="O45" s="2" t="s">
        <v>63</v>
      </c>
      <c r="Q45" s="2">
        <v>296</v>
      </c>
      <c r="R45" s="2" t="s">
        <v>81</v>
      </c>
      <c r="U45" s="2" t="b">
        <v>0</v>
      </c>
      <c r="V45" s="13">
        <f t="shared" ref="V45:V46" si="2">1/W45</f>
        <v>2777.7777777777778</v>
      </c>
      <c r="W45" s="2">
        <f>0.36/1000</f>
        <v>3.5999999999999997E-4</v>
      </c>
      <c r="X45" s="2">
        <v>7.8</v>
      </c>
    </row>
    <row r="46" spans="2:26" x14ac:dyDescent="0.2">
      <c r="B46" s="2" t="s">
        <v>29</v>
      </c>
      <c r="E46" s="2" t="s">
        <v>73</v>
      </c>
      <c r="F46" s="2" t="s">
        <v>74</v>
      </c>
      <c r="G46" s="7" t="s">
        <v>75</v>
      </c>
      <c r="H46" s="2">
        <f>(50+60)/2</f>
        <v>55</v>
      </c>
      <c r="J46" s="12" t="s">
        <v>79</v>
      </c>
      <c r="K46" s="9" t="s">
        <v>80</v>
      </c>
      <c r="L46" s="2">
        <v>1.8</v>
      </c>
      <c r="M46" s="2">
        <v>54.5</v>
      </c>
      <c r="O46" s="2" t="s">
        <v>63</v>
      </c>
      <c r="Q46" s="2">
        <v>296</v>
      </c>
      <c r="R46" s="2" t="s">
        <v>81</v>
      </c>
      <c r="U46" s="2" t="b">
        <v>0</v>
      </c>
      <c r="V46" s="13">
        <f t="shared" si="2"/>
        <v>2631.5789473684208</v>
      </c>
      <c r="W46" s="2">
        <f>0.38/1000</f>
        <v>3.8000000000000002E-4</v>
      </c>
      <c r="X46" s="2">
        <v>7.2</v>
      </c>
    </row>
    <row r="47" spans="2:26" x14ac:dyDescent="0.2">
      <c r="B47" s="2" t="s">
        <v>29</v>
      </c>
      <c r="F47" s="2" t="s">
        <v>82</v>
      </c>
      <c r="G47" s="7" t="s">
        <v>31</v>
      </c>
      <c r="H47" s="2">
        <v>5</v>
      </c>
      <c r="J47" s="12"/>
      <c r="K47" s="2">
        <v>0.5</v>
      </c>
      <c r="L47" s="2">
        <v>0.5</v>
      </c>
      <c r="M47" s="2">
        <v>0.5</v>
      </c>
      <c r="N47" s="2">
        <v>7.4</v>
      </c>
      <c r="O47" s="2" t="s">
        <v>43</v>
      </c>
      <c r="P47" s="2">
        <v>0.01</v>
      </c>
      <c r="Q47" s="2">
        <v>310</v>
      </c>
      <c r="R47" s="2" t="s">
        <v>83</v>
      </c>
      <c r="U47" s="2" t="b">
        <v>0</v>
      </c>
      <c r="V47" s="13">
        <v>830000</v>
      </c>
    </row>
    <row r="48" spans="2:26" x14ac:dyDescent="0.2">
      <c r="B48" s="2" t="s">
        <v>57</v>
      </c>
      <c r="F48" s="2" t="s">
        <v>82</v>
      </c>
      <c r="G48" s="7" t="s">
        <v>31</v>
      </c>
      <c r="H48" s="2">
        <v>5</v>
      </c>
      <c r="J48" s="12"/>
      <c r="K48" s="2">
        <v>0.5</v>
      </c>
      <c r="L48" s="2">
        <v>0.5</v>
      </c>
      <c r="M48" s="2">
        <v>0.5</v>
      </c>
      <c r="N48" s="2">
        <v>7.4</v>
      </c>
      <c r="O48" s="2" t="s">
        <v>43</v>
      </c>
      <c r="P48" s="2">
        <v>0.01</v>
      </c>
      <c r="Q48" s="2">
        <v>310</v>
      </c>
      <c r="R48" s="2" t="s">
        <v>83</v>
      </c>
      <c r="U48" s="2" t="b">
        <v>0</v>
      </c>
      <c r="V48" s="13">
        <v>990000</v>
      </c>
    </row>
    <row r="49" spans="2:30" x14ac:dyDescent="0.2">
      <c r="B49" s="2" t="s">
        <v>29</v>
      </c>
      <c r="F49" s="2" t="s">
        <v>82</v>
      </c>
      <c r="G49" s="7" t="s">
        <v>41</v>
      </c>
      <c r="H49" s="2">
        <v>5</v>
      </c>
      <c r="J49" s="12"/>
      <c r="K49" s="2">
        <v>0.5</v>
      </c>
      <c r="L49" s="2">
        <v>0.5</v>
      </c>
      <c r="M49" s="2">
        <v>0.5</v>
      </c>
      <c r="N49" s="2">
        <v>7.4</v>
      </c>
      <c r="O49" s="2" t="s">
        <v>43</v>
      </c>
      <c r="P49" s="2">
        <v>0.01</v>
      </c>
      <c r="Q49" s="2">
        <v>310</v>
      </c>
      <c r="R49" s="2" t="s">
        <v>83</v>
      </c>
      <c r="U49" s="2" t="b">
        <v>0</v>
      </c>
      <c r="V49" s="13">
        <v>130000</v>
      </c>
    </row>
    <row r="50" spans="2:30" x14ac:dyDescent="0.2">
      <c r="B50" s="2" t="s">
        <v>57</v>
      </c>
      <c r="F50" s="2" t="s">
        <v>82</v>
      </c>
      <c r="G50" s="7" t="s">
        <v>41</v>
      </c>
      <c r="H50" s="2">
        <v>5</v>
      </c>
      <c r="J50" s="12"/>
      <c r="K50" s="2">
        <v>0.5</v>
      </c>
      <c r="L50" s="2">
        <v>0.5</v>
      </c>
      <c r="M50" s="2">
        <v>0.5</v>
      </c>
      <c r="N50" s="2">
        <v>7.4</v>
      </c>
      <c r="O50" s="2" t="s">
        <v>43</v>
      </c>
      <c r="P50" s="2">
        <v>0.01</v>
      </c>
      <c r="Q50" s="2">
        <v>310</v>
      </c>
      <c r="R50" s="2" t="s">
        <v>83</v>
      </c>
      <c r="U50" s="2" t="b">
        <v>0</v>
      </c>
      <c r="V50" s="13">
        <v>200000</v>
      </c>
    </row>
    <row r="51" spans="2:30" x14ac:dyDescent="0.2">
      <c r="B51" s="2" t="s">
        <v>29</v>
      </c>
      <c r="F51" s="2" t="s">
        <v>82</v>
      </c>
      <c r="G51" s="7" t="s">
        <v>31</v>
      </c>
      <c r="H51" s="2">
        <v>5</v>
      </c>
      <c r="J51" s="12"/>
      <c r="K51" s="2">
        <v>1</v>
      </c>
      <c r="L51" s="2">
        <v>1</v>
      </c>
      <c r="M51" s="2">
        <v>1</v>
      </c>
      <c r="N51" s="2">
        <v>7.4</v>
      </c>
      <c r="O51" s="2" t="s">
        <v>43</v>
      </c>
      <c r="P51" s="2">
        <v>0.01</v>
      </c>
      <c r="Q51" s="2">
        <v>310</v>
      </c>
      <c r="R51" s="2" t="s">
        <v>83</v>
      </c>
      <c r="U51" s="2" t="b">
        <v>0</v>
      </c>
      <c r="V51" s="13">
        <v>260000</v>
      </c>
      <c r="Z51" s="13">
        <v>150000</v>
      </c>
      <c r="AD51" s="13"/>
    </row>
    <row r="52" spans="2:30" x14ac:dyDescent="0.2">
      <c r="B52" s="2" t="s">
        <v>57</v>
      </c>
      <c r="F52" s="2" t="s">
        <v>82</v>
      </c>
      <c r="G52" s="7" t="s">
        <v>31</v>
      </c>
      <c r="H52" s="2">
        <v>5</v>
      </c>
      <c r="J52" s="12"/>
      <c r="K52" s="2">
        <v>1</v>
      </c>
      <c r="L52" s="2">
        <v>1</v>
      </c>
      <c r="M52" s="2">
        <v>1</v>
      </c>
      <c r="N52" s="2">
        <v>7.4</v>
      </c>
      <c r="O52" s="2" t="s">
        <v>43</v>
      </c>
      <c r="P52" s="2">
        <v>0.01</v>
      </c>
      <c r="Q52" s="2">
        <v>310</v>
      </c>
      <c r="R52" s="2" t="s">
        <v>83</v>
      </c>
      <c r="U52" s="2" t="b">
        <v>0</v>
      </c>
      <c r="V52" s="13">
        <v>910000</v>
      </c>
      <c r="Z52" s="13">
        <v>270000</v>
      </c>
      <c r="AD52" s="13"/>
    </row>
    <row r="53" spans="2:30" x14ac:dyDescent="0.2">
      <c r="B53" s="2" t="s">
        <v>29</v>
      </c>
      <c r="F53" s="2" t="s">
        <v>82</v>
      </c>
      <c r="G53" s="7" t="s">
        <v>41</v>
      </c>
      <c r="H53" s="2">
        <v>5</v>
      </c>
      <c r="J53" s="12"/>
      <c r="K53" s="2">
        <v>1</v>
      </c>
      <c r="L53" s="2">
        <v>1</v>
      </c>
      <c r="M53" s="2">
        <v>1</v>
      </c>
      <c r="N53" s="2">
        <v>7.4</v>
      </c>
      <c r="O53" s="2" t="s">
        <v>43</v>
      </c>
      <c r="P53" s="2">
        <v>0.01</v>
      </c>
      <c r="Q53" s="2">
        <v>310</v>
      </c>
      <c r="R53" s="2" t="s">
        <v>83</v>
      </c>
      <c r="U53" s="2" t="b">
        <v>0</v>
      </c>
      <c r="V53" s="13">
        <v>120000</v>
      </c>
      <c r="Z53" s="13">
        <v>63000</v>
      </c>
      <c r="AD53" s="13"/>
    </row>
    <row r="54" spans="2:30" x14ac:dyDescent="0.2">
      <c r="B54" s="2" t="s">
        <v>57</v>
      </c>
      <c r="F54" s="2" t="s">
        <v>82</v>
      </c>
      <c r="G54" s="7" t="s">
        <v>41</v>
      </c>
      <c r="H54" s="2">
        <v>5</v>
      </c>
      <c r="J54" s="12"/>
      <c r="K54" s="2">
        <v>1</v>
      </c>
      <c r="L54" s="2">
        <v>1</v>
      </c>
      <c r="M54" s="2">
        <v>1</v>
      </c>
      <c r="N54" s="2">
        <v>7.4</v>
      </c>
      <c r="O54" s="2" t="s">
        <v>43</v>
      </c>
      <c r="P54" s="2">
        <v>0.01</v>
      </c>
      <c r="Q54" s="2">
        <v>310</v>
      </c>
      <c r="R54" s="2" t="s">
        <v>83</v>
      </c>
      <c r="U54" s="2" t="b">
        <v>0</v>
      </c>
      <c r="V54" s="13">
        <v>140000</v>
      </c>
      <c r="Z54" s="13">
        <v>69000</v>
      </c>
      <c r="AD54" s="13"/>
    </row>
    <row r="55" spans="2:30" x14ac:dyDescent="0.2">
      <c r="B55" s="2" t="s">
        <v>29</v>
      </c>
      <c r="F55" s="2" t="s">
        <v>82</v>
      </c>
      <c r="G55" s="7" t="s">
        <v>31</v>
      </c>
      <c r="H55" s="2">
        <v>5</v>
      </c>
      <c r="J55" s="12"/>
      <c r="K55" s="2">
        <v>2</v>
      </c>
      <c r="L55" s="2">
        <v>2</v>
      </c>
      <c r="M55" s="2">
        <v>2</v>
      </c>
      <c r="N55" s="2">
        <v>7.4</v>
      </c>
      <c r="O55" s="2" t="s">
        <v>43</v>
      </c>
      <c r="P55" s="2">
        <v>0.01</v>
      </c>
      <c r="Q55" s="2">
        <v>310</v>
      </c>
      <c r="R55" s="2" t="s">
        <v>83</v>
      </c>
      <c r="U55" s="2" t="b">
        <v>0</v>
      </c>
      <c r="V55" s="13">
        <v>210000</v>
      </c>
      <c r="Z55" s="13">
        <v>110000</v>
      </c>
      <c r="AD55" s="13">
        <v>55000</v>
      </c>
    </row>
    <row r="56" spans="2:30" x14ac:dyDescent="0.2">
      <c r="B56" s="2" t="s">
        <v>57</v>
      </c>
      <c r="F56" s="2" t="s">
        <v>82</v>
      </c>
      <c r="G56" s="7" t="s">
        <v>31</v>
      </c>
      <c r="H56" s="2">
        <v>5</v>
      </c>
      <c r="J56" s="12"/>
      <c r="K56" s="2">
        <v>2</v>
      </c>
      <c r="L56" s="2">
        <v>2</v>
      </c>
      <c r="M56" s="2">
        <v>2</v>
      </c>
      <c r="N56" s="2">
        <v>7.4</v>
      </c>
      <c r="O56" s="2" t="s">
        <v>43</v>
      </c>
      <c r="P56" s="2">
        <v>0.01</v>
      </c>
      <c r="Q56" s="2">
        <v>310</v>
      </c>
      <c r="R56" s="2" t="s">
        <v>83</v>
      </c>
      <c r="U56" s="2" t="b">
        <v>0</v>
      </c>
      <c r="V56" s="13">
        <v>760000</v>
      </c>
      <c r="Z56" s="13">
        <v>240000</v>
      </c>
      <c r="AD56" s="13">
        <v>120000</v>
      </c>
    </row>
    <row r="57" spans="2:30" x14ac:dyDescent="0.2">
      <c r="B57" s="2" t="s">
        <v>29</v>
      </c>
      <c r="F57" s="2" t="s">
        <v>82</v>
      </c>
      <c r="G57" s="7" t="s">
        <v>41</v>
      </c>
      <c r="H57" s="2">
        <v>5</v>
      </c>
      <c r="J57" s="12"/>
      <c r="K57" s="2">
        <v>2</v>
      </c>
      <c r="L57" s="2">
        <v>2</v>
      </c>
      <c r="M57" s="2">
        <v>2</v>
      </c>
      <c r="N57" s="2">
        <v>7.4</v>
      </c>
      <c r="O57" s="2" t="s">
        <v>43</v>
      </c>
      <c r="P57" s="2">
        <v>0.01</v>
      </c>
      <c r="Q57" s="2">
        <v>310</v>
      </c>
      <c r="R57" s="2" t="s">
        <v>83</v>
      </c>
      <c r="U57" s="2" t="b">
        <v>0</v>
      </c>
      <c r="V57" s="13">
        <v>110000</v>
      </c>
      <c r="Z57" s="13">
        <v>61000</v>
      </c>
      <c r="AD57" s="13">
        <v>52000</v>
      </c>
    </row>
    <row r="58" spans="2:30" x14ac:dyDescent="0.2">
      <c r="B58" s="2" t="s">
        <v>57</v>
      </c>
      <c r="F58" s="2" t="s">
        <v>82</v>
      </c>
      <c r="G58" s="7" t="s">
        <v>41</v>
      </c>
      <c r="H58" s="2">
        <v>5</v>
      </c>
      <c r="J58" s="12"/>
      <c r="K58" s="2">
        <v>2</v>
      </c>
      <c r="L58" s="2">
        <v>2</v>
      </c>
      <c r="M58" s="2">
        <v>2</v>
      </c>
      <c r="N58" s="2">
        <v>7.4</v>
      </c>
      <c r="O58" s="2" t="s">
        <v>43</v>
      </c>
      <c r="P58" s="2">
        <v>0.01</v>
      </c>
      <c r="Q58" s="2">
        <v>310</v>
      </c>
      <c r="R58" s="2" t="s">
        <v>83</v>
      </c>
      <c r="U58" s="2" t="b">
        <v>0</v>
      </c>
      <c r="V58" s="13">
        <v>110000</v>
      </c>
      <c r="Z58" s="13">
        <v>76000</v>
      </c>
      <c r="AD58" s="13">
        <v>54000</v>
      </c>
    </row>
    <row r="59" spans="2:30" x14ac:dyDescent="0.2">
      <c r="B59" s="2" t="s">
        <v>46</v>
      </c>
      <c r="E59" s="2" t="s">
        <v>84</v>
      </c>
      <c r="F59" s="2" t="s">
        <v>85</v>
      </c>
      <c r="G59" s="7" t="s">
        <v>41</v>
      </c>
      <c r="H59" s="2">
        <v>125</v>
      </c>
      <c r="J59" s="12" t="s">
        <v>86</v>
      </c>
      <c r="K59" s="2" t="s">
        <v>87</v>
      </c>
      <c r="L59" s="2">
        <v>0.04</v>
      </c>
      <c r="M59" s="2">
        <v>80</v>
      </c>
      <c r="O59" s="2" t="s">
        <v>88</v>
      </c>
      <c r="R59" s="2" t="s">
        <v>89</v>
      </c>
      <c r="U59" s="2" t="b">
        <v>0</v>
      </c>
      <c r="V59" s="13">
        <f>1/W59</f>
        <v>389.10505836575879</v>
      </c>
      <c r="W59" s="2">
        <f>2.57/1000</f>
        <v>2.5699999999999998E-3</v>
      </c>
    </row>
    <row r="60" spans="2:30" x14ac:dyDescent="0.2">
      <c r="B60" s="2" t="s">
        <v>90</v>
      </c>
      <c r="E60" s="2" t="s">
        <v>84</v>
      </c>
      <c r="F60" s="2" t="s">
        <v>85</v>
      </c>
      <c r="G60" s="7" t="s">
        <v>41</v>
      </c>
      <c r="H60" s="2">
        <v>125</v>
      </c>
      <c r="J60" s="12" t="s">
        <v>86</v>
      </c>
      <c r="K60" s="2" t="s">
        <v>87</v>
      </c>
      <c r="L60" s="2">
        <v>0.04</v>
      </c>
      <c r="M60" s="2">
        <v>80</v>
      </c>
      <c r="O60" s="2" t="s">
        <v>88</v>
      </c>
      <c r="R60" s="2" t="s">
        <v>89</v>
      </c>
      <c r="U60" s="2" t="b">
        <v>0</v>
      </c>
      <c r="V60" s="13">
        <f t="shared" ref="V60:V80" si="3">1/W60</f>
        <v>476.19047619047615</v>
      </c>
      <c r="W60" s="2">
        <f>2.1/1000</f>
        <v>2.1000000000000003E-3</v>
      </c>
    </row>
    <row r="61" spans="2:30" x14ac:dyDescent="0.2">
      <c r="B61" s="2" t="s">
        <v>49</v>
      </c>
      <c r="E61" s="2" t="s">
        <v>84</v>
      </c>
      <c r="F61" s="2" t="s">
        <v>85</v>
      </c>
      <c r="G61" s="7" t="s">
        <v>41</v>
      </c>
      <c r="H61" s="2">
        <v>125</v>
      </c>
      <c r="J61" s="12" t="s">
        <v>86</v>
      </c>
      <c r="K61" s="2" t="s">
        <v>87</v>
      </c>
      <c r="L61" s="2">
        <v>0.04</v>
      </c>
      <c r="M61" s="2">
        <v>80</v>
      </c>
      <c r="O61" s="2" t="s">
        <v>88</v>
      </c>
      <c r="R61" s="2" t="s">
        <v>89</v>
      </c>
      <c r="U61" s="2" t="b">
        <v>0</v>
      </c>
      <c r="V61" s="13">
        <f t="shared" si="3"/>
        <v>609.7560975609756</v>
      </c>
      <c r="W61" s="2">
        <f>1.64/1000</f>
        <v>1.64E-3</v>
      </c>
    </row>
    <row r="62" spans="2:30" x14ac:dyDescent="0.2">
      <c r="B62" s="2" t="s">
        <v>50</v>
      </c>
      <c r="E62" s="2" t="s">
        <v>84</v>
      </c>
      <c r="F62" s="2" t="s">
        <v>85</v>
      </c>
      <c r="G62" s="7" t="s">
        <v>41</v>
      </c>
      <c r="H62" s="2">
        <v>125</v>
      </c>
      <c r="J62" s="12" t="s">
        <v>86</v>
      </c>
      <c r="K62" s="2" t="s">
        <v>87</v>
      </c>
      <c r="L62" s="2">
        <v>0.04</v>
      </c>
      <c r="M62" s="2">
        <v>80</v>
      </c>
      <c r="O62" s="2" t="s">
        <v>88</v>
      </c>
      <c r="R62" s="2" t="s">
        <v>89</v>
      </c>
      <c r="U62" s="2" t="b">
        <v>0</v>
      </c>
      <c r="V62" s="13">
        <f t="shared" si="3"/>
        <v>2272.7272727272725</v>
      </c>
      <c r="W62" s="2">
        <f>0.44/1000</f>
        <v>4.4000000000000002E-4</v>
      </c>
    </row>
    <row r="63" spans="2:30" x14ac:dyDescent="0.2">
      <c r="B63" s="2" t="s">
        <v>29</v>
      </c>
      <c r="E63" s="2" t="s">
        <v>84</v>
      </c>
      <c r="F63" s="2" t="s">
        <v>85</v>
      </c>
      <c r="G63" s="7" t="s">
        <v>41</v>
      </c>
      <c r="H63" s="2">
        <v>125</v>
      </c>
      <c r="J63" s="12" t="s">
        <v>86</v>
      </c>
      <c r="K63" s="2" t="s">
        <v>87</v>
      </c>
      <c r="L63" s="2">
        <v>0.04</v>
      </c>
      <c r="M63" s="2">
        <v>80</v>
      </c>
      <c r="O63" s="2" t="s">
        <v>88</v>
      </c>
      <c r="R63" s="2" t="s">
        <v>89</v>
      </c>
      <c r="U63" s="2" t="b">
        <v>0</v>
      </c>
      <c r="V63" s="13">
        <f t="shared" si="3"/>
        <v>1204.8192771084337</v>
      </c>
      <c r="W63" s="2">
        <f>0.83/1000</f>
        <v>8.3000000000000001E-4</v>
      </c>
    </row>
    <row r="64" spans="2:30" x14ac:dyDescent="0.2">
      <c r="B64" s="2" t="s">
        <v>38</v>
      </c>
      <c r="E64" s="2" t="s">
        <v>84</v>
      </c>
      <c r="F64" s="2" t="s">
        <v>85</v>
      </c>
      <c r="G64" s="7" t="s">
        <v>41</v>
      </c>
      <c r="H64" s="2">
        <v>125</v>
      </c>
      <c r="J64" s="12" t="s">
        <v>86</v>
      </c>
      <c r="K64" s="2" t="s">
        <v>87</v>
      </c>
      <c r="L64" s="2">
        <v>0.04</v>
      </c>
      <c r="M64" s="2">
        <v>80</v>
      </c>
      <c r="O64" s="2" t="s">
        <v>88</v>
      </c>
      <c r="R64" s="2" t="s">
        <v>89</v>
      </c>
      <c r="U64" s="2" t="b">
        <v>0</v>
      </c>
      <c r="V64" s="13">
        <f t="shared" si="3"/>
        <v>1724.1379310344828</v>
      </c>
      <c r="W64" s="2">
        <f>0.58/1000</f>
        <v>5.8E-4</v>
      </c>
    </row>
    <row r="65" spans="2:23" x14ac:dyDescent="0.2">
      <c r="B65" s="2" t="s">
        <v>51</v>
      </c>
      <c r="E65" s="2" t="s">
        <v>84</v>
      </c>
      <c r="F65" s="2" t="s">
        <v>85</v>
      </c>
      <c r="G65" s="7" t="s">
        <v>41</v>
      </c>
      <c r="H65" s="2">
        <v>125</v>
      </c>
      <c r="J65" s="12" t="s">
        <v>86</v>
      </c>
      <c r="K65" s="2" t="s">
        <v>87</v>
      </c>
      <c r="L65" s="2">
        <v>0.04</v>
      </c>
      <c r="M65" s="2">
        <v>80</v>
      </c>
      <c r="O65" s="2" t="s">
        <v>88</v>
      </c>
      <c r="R65" s="2" t="s">
        <v>89</v>
      </c>
      <c r="U65" s="2" t="b">
        <v>0</v>
      </c>
      <c r="V65" s="13">
        <f t="shared" si="3"/>
        <v>840.3361344537816</v>
      </c>
      <c r="W65" s="2">
        <f>1.19/1000</f>
        <v>1.1899999999999999E-3</v>
      </c>
    </row>
    <row r="66" spans="2:23" x14ac:dyDescent="0.2">
      <c r="B66" s="2" t="s">
        <v>52</v>
      </c>
      <c r="E66" s="2" t="s">
        <v>84</v>
      </c>
      <c r="F66" s="2" t="s">
        <v>85</v>
      </c>
      <c r="G66" s="7" t="s">
        <v>41</v>
      </c>
      <c r="H66" s="2">
        <v>125</v>
      </c>
      <c r="J66" s="12" t="s">
        <v>86</v>
      </c>
      <c r="K66" s="2" t="s">
        <v>87</v>
      </c>
      <c r="L66" s="2">
        <v>0.04</v>
      </c>
      <c r="M66" s="2">
        <v>80</v>
      </c>
      <c r="O66" s="2" t="s">
        <v>88</v>
      </c>
      <c r="R66" s="2" t="s">
        <v>89</v>
      </c>
      <c r="U66" s="2" t="b">
        <v>0</v>
      </c>
      <c r="V66" s="13">
        <f t="shared" si="3"/>
        <v>735.29411764705878</v>
      </c>
      <c r="W66" s="2">
        <f>1.36/1000</f>
        <v>1.3600000000000001E-3</v>
      </c>
    </row>
    <row r="67" spans="2:23" x14ac:dyDescent="0.2">
      <c r="B67" s="2" t="s">
        <v>91</v>
      </c>
      <c r="E67" s="2" t="s">
        <v>84</v>
      </c>
      <c r="F67" s="2" t="s">
        <v>85</v>
      </c>
      <c r="G67" s="7" t="s">
        <v>41</v>
      </c>
      <c r="H67" s="2">
        <v>125</v>
      </c>
      <c r="J67" s="12" t="s">
        <v>86</v>
      </c>
      <c r="K67" s="2" t="s">
        <v>87</v>
      </c>
      <c r="L67" s="2">
        <v>0.04</v>
      </c>
      <c r="M67" s="2">
        <v>80</v>
      </c>
      <c r="O67" s="2" t="s">
        <v>88</v>
      </c>
      <c r="R67" s="2" t="s">
        <v>89</v>
      </c>
      <c r="U67" s="2" t="b">
        <v>0</v>
      </c>
      <c r="V67" s="13">
        <f t="shared" si="3"/>
        <v>529.10052910052912</v>
      </c>
      <c r="W67" s="2">
        <f>1.89/1000</f>
        <v>1.89E-3</v>
      </c>
    </row>
    <row r="68" spans="2:23" x14ac:dyDescent="0.2">
      <c r="B68" s="2" t="s">
        <v>55</v>
      </c>
      <c r="E68" s="2" t="s">
        <v>84</v>
      </c>
      <c r="F68" s="2" t="s">
        <v>85</v>
      </c>
      <c r="G68" s="7" t="s">
        <v>41</v>
      </c>
      <c r="H68" s="2">
        <v>125</v>
      </c>
      <c r="J68" s="12" t="s">
        <v>86</v>
      </c>
      <c r="K68" s="2" t="s">
        <v>87</v>
      </c>
      <c r="L68" s="2">
        <v>0.04</v>
      </c>
      <c r="M68" s="2">
        <v>80</v>
      </c>
      <c r="O68" s="2" t="s">
        <v>88</v>
      </c>
      <c r="R68" s="2" t="s">
        <v>89</v>
      </c>
      <c r="U68" s="2" t="b">
        <v>0</v>
      </c>
      <c r="V68" s="13">
        <f t="shared" si="3"/>
        <v>606.06060606060612</v>
      </c>
      <c r="W68" s="2">
        <f>1.65/1000</f>
        <v>1.65E-3</v>
      </c>
    </row>
    <row r="69" spans="2:23" x14ac:dyDescent="0.2">
      <c r="B69" s="2" t="s">
        <v>56</v>
      </c>
      <c r="E69" s="2" t="s">
        <v>84</v>
      </c>
      <c r="F69" s="2" t="s">
        <v>85</v>
      </c>
      <c r="G69" s="7" t="s">
        <v>41</v>
      </c>
      <c r="H69" s="2">
        <v>125</v>
      </c>
      <c r="J69" s="12" t="s">
        <v>86</v>
      </c>
      <c r="K69" s="2" t="s">
        <v>87</v>
      </c>
      <c r="L69" s="2">
        <v>0.04</v>
      </c>
      <c r="M69" s="2">
        <v>80</v>
      </c>
      <c r="O69" s="2" t="s">
        <v>88</v>
      </c>
      <c r="R69" s="2" t="s">
        <v>89</v>
      </c>
      <c r="U69" s="2" t="b">
        <v>0</v>
      </c>
      <c r="V69" s="13">
        <f t="shared" si="3"/>
        <v>1408.4507042253522</v>
      </c>
      <c r="W69" s="2">
        <f>0.71/1000</f>
        <v>7.0999999999999991E-4</v>
      </c>
    </row>
    <row r="70" spans="2:23" x14ac:dyDescent="0.2">
      <c r="B70" s="2" t="s">
        <v>57</v>
      </c>
      <c r="E70" s="2" t="s">
        <v>84</v>
      </c>
      <c r="F70" s="2" t="s">
        <v>85</v>
      </c>
      <c r="G70" s="7" t="s">
        <v>41</v>
      </c>
      <c r="H70" s="2">
        <v>125</v>
      </c>
      <c r="J70" s="12" t="s">
        <v>86</v>
      </c>
      <c r="K70" s="2" t="s">
        <v>87</v>
      </c>
      <c r="L70" s="2">
        <v>0.04</v>
      </c>
      <c r="M70" s="2">
        <v>80</v>
      </c>
      <c r="O70" s="2" t="s">
        <v>88</v>
      </c>
      <c r="R70" s="2" t="s">
        <v>89</v>
      </c>
      <c r="U70" s="2" t="b">
        <v>0</v>
      </c>
      <c r="V70" s="13">
        <f t="shared" si="3"/>
        <v>1449.2753623188407</v>
      </c>
      <c r="W70" s="2">
        <f>0.69/1000</f>
        <v>6.8999999999999997E-4</v>
      </c>
    </row>
    <row r="71" spans="2:23" x14ac:dyDescent="0.2">
      <c r="B71" s="2" t="s">
        <v>92</v>
      </c>
      <c r="E71" s="2" t="s">
        <v>84</v>
      </c>
      <c r="F71" s="2" t="s">
        <v>85</v>
      </c>
      <c r="G71" s="7" t="s">
        <v>41</v>
      </c>
      <c r="H71" s="2">
        <v>125</v>
      </c>
      <c r="J71" s="12" t="s">
        <v>86</v>
      </c>
      <c r="K71" s="2" t="s">
        <v>87</v>
      </c>
      <c r="L71" s="2">
        <v>0.04</v>
      </c>
      <c r="M71" s="2">
        <v>80</v>
      </c>
      <c r="O71" s="2" t="s">
        <v>88</v>
      </c>
      <c r="R71" s="2" t="s">
        <v>89</v>
      </c>
      <c r="U71" s="2" t="b">
        <v>0</v>
      </c>
      <c r="V71" s="13">
        <f t="shared" si="3"/>
        <v>609.7560975609756</v>
      </c>
      <c r="W71" s="2">
        <f>1.64/1000</f>
        <v>1.64E-3</v>
      </c>
    </row>
    <row r="72" spans="2:23" x14ac:dyDescent="0.2">
      <c r="B72" s="2" t="s">
        <v>53</v>
      </c>
      <c r="E72" s="2" t="s">
        <v>84</v>
      </c>
      <c r="F72" s="2" t="s">
        <v>85</v>
      </c>
      <c r="G72" s="7" t="s">
        <v>41</v>
      </c>
      <c r="H72" s="2">
        <v>125</v>
      </c>
      <c r="J72" s="12" t="s">
        <v>86</v>
      </c>
      <c r="K72" s="2" t="s">
        <v>87</v>
      </c>
      <c r="L72" s="2">
        <v>0.04</v>
      </c>
      <c r="M72" s="2">
        <v>80</v>
      </c>
      <c r="O72" s="2" t="s">
        <v>88</v>
      </c>
      <c r="R72" s="2" t="s">
        <v>89</v>
      </c>
      <c r="U72" s="2" t="b">
        <v>0</v>
      </c>
      <c r="V72" s="13">
        <f t="shared" si="3"/>
        <v>625</v>
      </c>
      <c r="W72" s="2">
        <f>1.6/1000</f>
        <v>1.6000000000000001E-3</v>
      </c>
    </row>
    <row r="73" spans="2:23" x14ac:dyDescent="0.2">
      <c r="B73" s="2" t="s">
        <v>93</v>
      </c>
      <c r="E73" s="2" t="s">
        <v>84</v>
      </c>
      <c r="F73" s="2" t="s">
        <v>85</v>
      </c>
      <c r="G73" s="7" t="s">
        <v>41</v>
      </c>
      <c r="H73" s="2">
        <v>125</v>
      </c>
      <c r="J73" s="12" t="s">
        <v>86</v>
      </c>
      <c r="K73" s="2" t="s">
        <v>87</v>
      </c>
      <c r="L73" s="2">
        <v>0.04</v>
      </c>
      <c r="M73" s="2">
        <v>80</v>
      </c>
      <c r="O73" s="2" t="s">
        <v>88</v>
      </c>
      <c r="R73" s="2" t="s">
        <v>89</v>
      </c>
      <c r="U73" s="2" t="b">
        <v>0</v>
      </c>
      <c r="V73" s="13">
        <f t="shared" si="3"/>
        <v>662.25165562913901</v>
      </c>
      <c r="W73" s="2">
        <f>1.51/1000</f>
        <v>1.5100000000000001E-3</v>
      </c>
    </row>
    <row r="74" spans="2:23" x14ac:dyDescent="0.2">
      <c r="B74" s="2" t="s">
        <v>94</v>
      </c>
      <c r="E74" s="2" t="s">
        <v>84</v>
      </c>
      <c r="F74" s="2" t="s">
        <v>85</v>
      </c>
      <c r="G74" s="7" t="s">
        <v>41</v>
      </c>
      <c r="H74" s="2">
        <v>125</v>
      </c>
      <c r="J74" s="12" t="s">
        <v>86</v>
      </c>
      <c r="K74" s="2" t="s">
        <v>87</v>
      </c>
      <c r="L74" s="2">
        <v>0.04</v>
      </c>
      <c r="M74" s="2">
        <v>80</v>
      </c>
      <c r="O74" s="2" t="s">
        <v>88</v>
      </c>
      <c r="R74" s="2" t="s">
        <v>89</v>
      </c>
      <c r="U74" s="2" t="b">
        <v>0</v>
      </c>
      <c r="V74" s="13">
        <f t="shared" si="3"/>
        <v>653.59477124183002</v>
      </c>
      <c r="W74" s="2">
        <f>1.53/1000</f>
        <v>1.5300000000000001E-3</v>
      </c>
    </row>
    <row r="75" spans="2:23" x14ac:dyDescent="0.2">
      <c r="B75" s="2" t="s">
        <v>95</v>
      </c>
      <c r="E75" s="2" t="s">
        <v>84</v>
      </c>
      <c r="F75" s="2" t="s">
        <v>85</v>
      </c>
      <c r="G75" s="7" t="s">
        <v>41</v>
      </c>
      <c r="H75" s="2">
        <v>125</v>
      </c>
      <c r="J75" s="12" t="s">
        <v>86</v>
      </c>
      <c r="K75" s="2" t="s">
        <v>87</v>
      </c>
      <c r="L75" s="2">
        <v>0.04</v>
      </c>
      <c r="M75" s="2">
        <v>80</v>
      </c>
      <c r="O75" s="2" t="s">
        <v>88</v>
      </c>
      <c r="R75" s="2" t="s">
        <v>89</v>
      </c>
      <c r="U75" s="2" t="b">
        <v>0</v>
      </c>
      <c r="V75" s="13">
        <f t="shared" si="3"/>
        <v>584.79532163742692</v>
      </c>
      <c r="W75" s="2">
        <f>1.71/1000</f>
        <v>1.7099999999999999E-3</v>
      </c>
    </row>
    <row r="76" spans="2:23" x14ac:dyDescent="0.2">
      <c r="B76" s="2" t="s">
        <v>96</v>
      </c>
      <c r="E76" s="2" t="s">
        <v>84</v>
      </c>
      <c r="F76" s="2" t="s">
        <v>85</v>
      </c>
      <c r="G76" s="7" t="s">
        <v>41</v>
      </c>
      <c r="H76" s="2">
        <v>125</v>
      </c>
      <c r="J76" s="12" t="s">
        <v>86</v>
      </c>
      <c r="K76" s="2" t="s">
        <v>87</v>
      </c>
      <c r="L76" s="2">
        <v>0.04</v>
      </c>
      <c r="M76" s="2">
        <v>80</v>
      </c>
      <c r="O76" s="2" t="s">
        <v>88</v>
      </c>
      <c r="R76" s="2" t="s">
        <v>89</v>
      </c>
      <c r="U76" s="2" t="b">
        <v>0</v>
      </c>
      <c r="V76" s="13">
        <f t="shared" si="3"/>
        <v>1612.9032258064517</v>
      </c>
      <c r="W76" s="2">
        <f>0.62/1000</f>
        <v>6.2E-4</v>
      </c>
    </row>
    <row r="77" spans="2:23" x14ac:dyDescent="0.2">
      <c r="B77" s="2" t="s">
        <v>97</v>
      </c>
      <c r="E77" s="2" t="s">
        <v>84</v>
      </c>
      <c r="F77" s="2" t="s">
        <v>85</v>
      </c>
      <c r="G77" s="7" t="s">
        <v>41</v>
      </c>
      <c r="H77" s="2">
        <v>125</v>
      </c>
      <c r="J77" s="12" t="s">
        <v>86</v>
      </c>
      <c r="K77" s="2" t="s">
        <v>87</v>
      </c>
      <c r="L77" s="2">
        <v>0.04</v>
      </c>
      <c r="M77" s="2">
        <v>80</v>
      </c>
      <c r="O77" s="2" t="s">
        <v>88</v>
      </c>
      <c r="R77" s="2" t="s">
        <v>89</v>
      </c>
      <c r="U77" s="2" t="b">
        <v>0</v>
      </c>
      <c r="V77" s="13">
        <f t="shared" si="3"/>
        <v>1234.5679012345679</v>
      </c>
      <c r="W77" s="2">
        <f>0.81/1000</f>
        <v>8.1000000000000006E-4</v>
      </c>
    </row>
    <row r="78" spans="2:23" x14ac:dyDescent="0.2">
      <c r="B78" s="2" t="s">
        <v>98</v>
      </c>
      <c r="E78" s="2" t="s">
        <v>84</v>
      </c>
      <c r="F78" s="2" t="s">
        <v>85</v>
      </c>
      <c r="G78" s="7" t="s">
        <v>41</v>
      </c>
      <c r="H78" s="2">
        <v>125</v>
      </c>
      <c r="J78" s="12" t="s">
        <v>86</v>
      </c>
      <c r="K78" s="2" t="s">
        <v>87</v>
      </c>
      <c r="L78" s="2">
        <v>0.04</v>
      </c>
      <c r="M78" s="2">
        <v>80</v>
      </c>
      <c r="O78" s="2" t="s">
        <v>88</v>
      </c>
      <c r="R78" s="2" t="s">
        <v>89</v>
      </c>
      <c r="U78" s="2" t="b">
        <v>0</v>
      </c>
      <c r="V78" s="13">
        <f t="shared" si="3"/>
        <v>1030.9278350515465</v>
      </c>
      <c r="W78" s="2">
        <f>0.97/1000</f>
        <v>9.6999999999999994E-4</v>
      </c>
    </row>
    <row r="79" spans="2:23" x14ac:dyDescent="0.2">
      <c r="B79" s="2" t="s">
        <v>99</v>
      </c>
      <c r="E79" s="2" t="s">
        <v>84</v>
      </c>
      <c r="F79" s="2" t="s">
        <v>85</v>
      </c>
      <c r="G79" s="7" t="s">
        <v>41</v>
      </c>
      <c r="H79" s="2">
        <v>125</v>
      </c>
      <c r="J79" s="12" t="s">
        <v>86</v>
      </c>
      <c r="K79" s="2" t="s">
        <v>87</v>
      </c>
      <c r="L79" s="2">
        <v>0.04</v>
      </c>
      <c r="M79" s="2">
        <v>80</v>
      </c>
      <c r="O79" s="2" t="s">
        <v>88</v>
      </c>
      <c r="R79" s="2" t="s">
        <v>89</v>
      </c>
      <c r="U79" s="2" t="b">
        <v>0</v>
      </c>
      <c r="V79" s="13">
        <f t="shared" si="3"/>
        <v>934.57943925233644</v>
      </c>
      <c r="W79" s="2">
        <f>1.07/1000</f>
        <v>1.07E-3</v>
      </c>
    </row>
    <row r="80" spans="2:23" x14ac:dyDescent="0.2">
      <c r="B80" s="2" t="s">
        <v>100</v>
      </c>
      <c r="E80" s="2" t="s">
        <v>84</v>
      </c>
      <c r="F80" s="2" t="s">
        <v>85</v>
      </c>
      <c r="G80" s="7" t="s">
        <v>41</v>
      </c>
      <c r="H80" s="2">
        <v>125</v>
      </c>
      <c r="J80" s="12" t="s">
        <v>86</v>
      </c>
      <c r="K80" s="2" t="s">
        <v>87</v>
      </c>
      <c r="L80" s="2">
        <v>0.04</v>
      </c>
      <c r="M80" s="2">
        <v>80</v>
      </c>
      <c r="O80" s="2" t="s">
        <v>88</v>
      </c>
      <c r="R80" s="2" t="s">
        <v>89</v>
      </c>
      <c r="U80" s="2" t="b">
        <v>0</v>
      </c>
      <c r="V80" s="13">
        <f t="shared" si="3"/>
        <v>2702.7027027027029</v>
      </c>
      <c r="W80" s="2">
        <f>0.37/1000</f>
        <v>3.6999999999999999E-4</v>
      </c>
    </row>
    <row r="81" spans="2:22" x14ac:dyDescent="0.2">
      <c r="B81" s="2" t="s">
        <v>46</v>
      </c>
      <c r="E81" s="2" t="s">
        <v>101</v>
      </c>
      <c r="F81" s="2" t="s">
        <v>102</v>
      </c>
      <c r="G81" s="7" t="s">
        <v>41</v>
      </c>
      <c r="H81" s="2">
        <v>600</v>
      </c>
      <c r="J81" s="12"/>
      <c r="N81" s="2">
        <v>7.4</v>
      </c>
      <c r="O81" s="2" t="s">
        <v>63</v>
      </c>
      <c r="Q81" s="2">
        <v>310</v>
      </c>
      <c r="R81" s="2" t="s">
        <v>34</v>
      </c>
      <c r="S81" s="2" t="s">
        <v>103</v>
      </c>
      <c r="U81" s="2" t="b">
        <v>0</v>
      </c>
      <c r="V81" s="13">
        <v>12510.000000000018</v>
      </c>
    </row>
    <row r="82" spans="2:22" x14ac:dyDescent="0.2">
      <c r="B82" s="2" t="s">
        <v>90</v>
      </c>
      <c r="E82" s="2" t="s">
        <v>101</v>
      </c>
      <c r="F82" s="2" t="s">
        <v>102</v>
      </c>
      <c r="G82" s="7" t="s">
        <v>41</v>
      </c>
      <c r="H82" s="2">
        <v>600</v>
      </c>
      <c r="J82" s="12"/>
      <c r="N82" s="2">
        <v>7.4</v>
      </c>
      <c r="O82" s="2" t="s">
        <v>63</v>
      </c>
      <c r="Q82" s="2">
        <v>310</v>
      </c>
      <c r="R82" s="2" t="s">
        <v>34</v>
      </c>
      <c r="S82" s="2" t="s">
        <v>104</v>
      </c>
      <c r="U82" s="2" t="b">
        <v>0</v>
      </c>
      <c r="V82" s="13">
        <v>12995.967422391381</v>
      </c>
    </row>
    <row r="83" spans="2:22" x14ac:dyDescent="0.2">
      <c r="B83" s="2" t="s">
        <v>49</v>
      </c>
      <c r="E83" s="2" t="s">
        <v>101</v>
      </c>
      <c r="F83" s="2" t="s">
        <v>102</v>
      </c>
      <c r="G83" s="7" t="s">
        <v>41</v>
      </c>
      <c r="H83" s="2">
        <v>600</v>
      </c>
      <c r="J83" s="12"/>
      <c r="N83" s="2">
        <v>7.4</v>
      </c>
      <c r="O83" s="2" t="s">
        <v>63</v>
      </c>
      <c r="Q83" s="2">
        <v>310</v>
      </c>
      <c r="R83" s="2" t="s">
        <v>34</v>
      </c>
      <c r="S83" s="2" t="s">
        <v>104</v>
      </c>
      <c r="U83" s="2" t="b">
        <v>0</v>
      </c>
      <c r="V83" s="13">
        <v>39474.602672763089</v>
      </c>
    </row>
    <row r="84" spans="2:22" x14ac:dyDescent="0.2">
      <c r="B84" s="2" t="s">
        <v>50</v>
      </c>
      <c r="E84" s="2" t="s">
        <v>101</v>
      </c>
      <c r="F84" s="2" t="s">
        <v>102</v>
      </c>
      <c r="G84" s="7" t="s">
        <v>41</v>
      </c>
      <c r="H84" s="2">
        <v>600</v>
      </c>
      <c r="J84" s="12"/>
      <c r="N84" s="2">
        <v>7.4</v>
      </c>
      <c r="O84" s="2" t="s">
        <v>63</v>
      </c>
      <c r="Q84" s="2">
        <v>310</v>
      </c>
      <c r="R84" s="2" t="s">
        <v>34</v>
      </c>
      <c r="S84" s="2" t="s">
        <v>104</v>
      </c>
      <c r="U84" s="2" t="b">
        <v>0</v>
      </c>
      <c r="V84" s="13">
        <v>337044.42561202415</v>
      </c>
    </row>
    <row r="85" spans="2:22" x14ac:dyDescent="0.2">
      <c r="B85" s="2" t="s">
        <v>29</v>
      </c>
      <c r="E85" s="2" t="s">
        <v>101</v>
      </c>
      <c r="F85" s="2" t="s">
        <v>102</v>
      </c>
      <c r="G85" s="7" t="s">
        <v>41</v>
      </c>
      <c r="H85" s="2">
        <v>600</v>
      </c>
      <c r="J85" s="12"/>
      <c r="N85" s="2">
        <v>7.4</v>
      </c>
      <c r="O85" s="2" t="s">
        <v>63</v>
      </c>
      <c r="Q85" s="2">
        <v>310</v>
      </c>
      <c r="R85" s="2" t="s">
        <v>34</v>
      </c>
      <c r="S85" s="2" t="s">
        <v>104</v>
      </c>
      <c r="U85" s="2" t="b">
        <v>0</v>
      </c>
      <c r="V85" s="13">
        <v>111213.05018135966</v>
      </c>
    </row>
    <row r="86" spans="2:22" x14ac:dyDescent="0.2">
      <c r="B86" s="2" t="s">
        <v>38</v>
      </c>
      <c r="E86" s="2" t="s">
        <v>101</v>
      </c>
      <c r="F86" s="2" t="s">
        <v>102</v>
      </c>
      <c r="G86" s="7" t="s">
        <v>41</v>
      </c>
      <c r="H86" s="2">
        <v>600</v>
      </c>
      <c r="J86" s="12"/>
      <c r="N86" s="2">
        <v>7.4</v>
      </c>
      <c r="O86" s="2" t="s">
        <v>63</v>
      </c>
      <c r="Q86" s="2">
        <v>310</v>
      </c>
      <c r="R86" s="2" t="s">
        <v>34</v>
      </c>
      <c r="S86" s="2" t="s">
        <v>104</v>
      </c>
      <c r="U86" s="2" t="b">
        <v>0</v>
      </c>
      <c r="V86" s="13">
        <v>231798.18267183349</v>
      </c>
    </row>
    <row r="87" spans="2:22" x14ac:dyDescent="0.2">
      <c r="B87" s="2" t="s">
        <v>51</v>
      </c>
      <c r="E87" s="2" t="s">
        <v>101</v>
      </c>
      <c r="F87" s="2" t="s">
        <v>102</v>
      </c>
      <c r="G87" s="7" t="s">
        <v>41</v>
      </c>
      <c r="H87" s="2">
        <v>600</v>
      </c>
      <c r="J87" s="12"/>
      <c r="N87" s="2">
        <v>7.4</v>
      </c>
      <c r="O87" s="2" t="s">
        <v>63</v>
      </c>
      <c r="Q87" s="2">
        <v>310</v>
      </c>
      <c r="R87" s="2" t="s">
        <v>34</v>
      </c>
      <c r="S87" s="2" t="s">
        <v>104</v>
      </c>
      <c r="U87" s="2" t="b">
        <v>0</v>
      </c>
      <c r="V87" s="13">
        <v>84128.052607074249</v>
      </c>
    </row>
    <row r="88" spans="2:22" x14ac:dyDescent="0.2">
      <c r="B88" s="2" t="s">
        <v>52</v>
      </c>
      <c r="E88" s="2" t="s">
        <v>101</v>
      </c>
      <c r="F88" s="2" t="s">
        <v>102</v>
      </c>
      <c r="G88" s="7" t="s">
        <v>41</v>
      </c>
      <c r="H88" s="2">
        <v>600</v>
      </c>
      <c r="J88" s="12"/>
      <c r="N88" s="2">
        <v>7.4</v>
      </c>
      <c r="O88" s="2" t="s">
        <v>63</v>
      </c>
      <c r="Q88" s="2">
        <v>310</v>
      </c>
      <c r="R88" s="2" t="s">
        <v>34</v>
      </c>
      <c r="S88" s="2" t="s">
        <v>104</v>
      </c>
      <c r="U88" s="2" t="b">
        <v>0</v>
      </c>
      <c r="V88" s="13">
        <v>42201.305684997678</v>
      </c>
    </row>
    <row r="89" spans="2:22" x14ac:dyDescent="0.2">
      <c r="B89" s="2" t="s">
        <v>91</v>
      </c>
      <c r="E89" s="2" t="s">
        <v>101</v>
      </c>
      <c r="F89" s="2" t="s">
        <v>102</v>
      </c>
      <c r="G89" s="7" t="s">
        <v>41</v>
      </c>
      <c r="H89" s="2">
        <v>600</v>
      </c>
      <c r="J89" s="12"/>
      <c r="N89" s="2">
        <v>7.4</v>
      </c>
      <c r="O89" s="2" t="s">
        <v>63</v>
      </c>
      <c r="Q89" s="2">
        <v>310</v>
      </c>
      <c r="R89" s="2" t="s">
        <v>34</v>
      </c>
      <c r="S89" s="2" t="s">
        <v>104</v>
      </c>
      <c r="U89" s="2" t="b">
        <v>0</v>
      </c>
      <c r="V89" s="13">
        <v>34381.977246153408</v>
      </c>
    </row>
    <row r="90" spans="2:22" x14ac:dyDescent="0.2">
      <c r="B90" s="2" t="s">
        <v>105</v>
      </c>
      <c r="E90" s="2" t="s">
        <v>101</v>
      </c>
      <c r="F90" s="2" t="s">
        <v>102</v>
      </c>
      <c r="G90" s="7" t="s">
        <v>41</v>
      </c>
      <c r="H90" s="2">
        <v>600</v>
      </c>
      <c r="J90" s="12"/>
      <c r="N90" s="2">
        <v>7.4</v>
      </c>
      <c r="O90" s="2" t="s">
        <v>63</v>
      </c>
      <c r="Q90" s="2">
        <v>310</v>
      </c>
      <c r="R90" s="2" t="s">
        <v>34</v>
      </c>
      <c r="S90" s="2" t="s">
        <v>104</v>
      </c>
      <c r="U90" s="2" t="b">
        <v>0</v>
      </c>
      <c r="V90" s="13">
        <v>22319.20422605054</v>
      </c>
    </row>
    <row r="91" spans="2:22" x14ac:dyDescent="0.2">
      <c r="B91" s="2" t="s">
        <v>106</v>
      </c>
      <c r="E91" s="2" t="s">
        <v>101</v>
      </c>
      <c r="F91" s="2" t="s">
        <v>102</v>
      </c>
      <c r="G91" s="7" t="s">
        <v>41</v>
      </c>
      <c r="H91" s="2">
        <v>600</v>
      </c>
      <c r="J91" s="12"/>
      <c r="N91" s="2">
        <v>7.4</v>
      </c>
      <c r="O91" s="2" t="s">
        <v>63</v>
      </c>
      <c r="Q91" s="2">
        <v>310</v>
      </c>
      <c r="R91" s="2" t="s">
        <v>34</v>
      </c>
      <c r="S91" s="2" t="s">
        <v>104</v>
      </c>
      <c r="U91" s="2" t="b">
        <v>0</v>
      </c>
      <c r="V91" s="13">
        <v>9152.3098271822309</v>
      </c>
    </row>
    <row r="92" spans="2:22" x14ac:dyDescent="0.2">
      <c r="B92" s="2" t="s">
        <v>57</v>
      </c>
      <c r="E92" s="2" t="s">
        <v>101</v>
      </c>
      <c r="F92" s="2" t="s">
        <v>102</v>
      </c>
      <c r="G92" s="7" t="s">
        <v>41</v>
      </c>
      <c r="H92" s="2">
        <v>600</v>
      </c>
      <c r="J92" s="12"/>
      <c r="N92" s="2">
        <v>7.4</v>
      </c>
      <c r="O92" s="2" t="s">
        <v>63</v>
      </c>
      <c r="Q92" s="2">
        <v>310</v>
      </c>
      <c r="R92" s="2" t="s">
        <v>34</v>
      </c>
      <c r="S92" s="2" t="s">
        <v>103</v>
      </c>
      <c r="U92" s="2" t="b">
        <v>0</v>
      </c>
      <c r="V92" s="13">
        <v>55440.000000000029</v>
      </c>
    </row>
    <row r="93" spans="2:22" x14ac:dyDescent="0.2">
      <c r="B93" s="2" t="s">
        <v>55</v>
      </c>
      <c r="E93" s="2" t="s">
        <v>101</v>
      </c>
      <c r="F93" s="2" t="s">
        <v>102</v>
      </c>
      <c r="G93" s="7" t="s">
        <v>41</v>
      </c>
      <c r="H93" s="2">
        <v>600</v>
      </c>
      <c r="J93" s="12"/>
      <c r="N93" s="2">
        <v>7.4</v>
      </c>
      <c r="O93" s="2" t="s">
        <v>63</v>
      </c>
      <c r="Q93" s="2">
        <v>310</v>
      </c>
      <c r="R93" s="2" t="s">
        <v>34</v>
      </c>
      <c r="S93" s="2" t="s">
        <v>104</v>
      </c>
      <c r="U93" s="2" t="b">
        <v>0</v>
      </c>
      <c r="V93" s="13">
        <v>40046.017416110473</v>
      </c>
    </row>
    <row r="94" spans="2:22" x14ac:dyDescent="0.2">
      <c r="B94" s="2" t="s">
        <v>107</v>
      </c>
      <c r="E94" s="2" t="s">
        <v>101</v>
      </c>
      <c r="F94" s="2" t="s">
        <v>102</v>
      </c>
      <c r="G94" s="7" t="s">
        <v>41</v>
      </c>
      <c r="H94" s="2">
        <v>600</v>
      </c>
      <c r="J94" s="12"/>
      <c r="N94" s="2">
        <v>7.4</v>
      </c>
      <c r="O94" s="2" t="s">
        <v>63</v>
      </c>
      <c r="Q94" s="2">
        <v>310</v>
      </c>
      <c r="R94" s="2" t="s">
        <v>34</v>
      </c>
      <c r="S94" s="2" t="s">
        <v>104</v>
      </c>
      <c r="U94" s="2" t="b">
        <v>0</v>
      </c>
      <c r="V94" s="13">
        <v>56517.428214784173</v>
      </c>
    </row>
    <row r="95" spans="2:22" x14ac:dyDescent="0.2">
      <c r="B95" s="2" t="s">
        <v>56</v>
      </c>
      <c r="E95" s="2" t="s">
        <v>101</v>
      </c>
      <c r="F95" s="2" t="s">
        <v>102</v>
      </c>
      <c r="G95" s="7" t="s">
        <v>41</v>
      </c>
      <c r="H95" s="2">
        <v>600</v>
      </c>
      <c r="J95" s="12"/>
      <c r="N95" s="2">
        <v>7.4</v>
      </c>
      <c r="O95" s="2" t="s">
        <v>63</v>
      </c>
      <c r="Q95" s="2">
        <v>310</v>
      </c>
      <c r="R95" s="2" t="s">
        <v>34</v>
      </c>
      <c r="S95" s="2" t="s">
        <v>104</v>
      </c>
      <c r="U95" s="2" t="b">
        <v>0</v>
      </c>
      <c r="V95" s="13">
        <v>97298.803350498813</v>
      </c>
    </row>
    <row r="96" spans="2:22" x14ac:dyDescent="0.2">
      <c r="B96" s="2" t="s">
        <v>108</v>
      </c>
      <c r="E96" s="2" t="s">
        <v>101</v>
      </c>
      <c r="F96" s="2" t="s">
        <v>102</v>
      </c>
      <c r="G96" s="7" t="s">
        <v>41</v>
      </c>
      <c r="H96" s="2">
        <v>600</v>
      </c>
      <c r="J96" s="12"/>
      <c r="N96" s="2">
        <v>7.4</v>
      </c>
      <c r="O96" s="2" t="s">
        <v>63</v>
      </c>
      <c r="Q96" s="2">
        <v>310</v>
      </c>
      <c r="R96" s="2" t="s">
        <v>34</v>
      </c>
      <c r="S96" s="2" t="s">
        <v>104</v>
      </c>
      <c r="U96" s="2" t="b">
        <v>0</v>
      </c>
      <c r="V96" s="13">
        <v>42892.919363116249</v>
      </c>
    </row>
    <row r="97" spans="2:24" x14ac:dyDescent="0.2">
      <c r="B97" s="2" t="s">
        <v>190</v>
      </c>
      <c r="E97" s="2" t="s">
        <v>101</v>
      </c>
      <c r="F97" s="2" t="s">
        <v>102</v>
      </c>
      <c r="G97" s="7" t="s">
        <v>41</v>
      </c>
      <c r="H97" s="2">
        <v>600</v>
      </c>
      <c r="J97" s="12"/>
      <c r="N97" s="2">
        <v>7.4</v>
      </c>
      <c r="O97" s="2" t="s">
        <v>63</v>
      </c>
      <c r="Q97" s="2">
        <v>310</v>
      </c>
      <c r="R97" s="2" t="s">
        <v>34</v>
      </c>
      <c r="S97" s="2" t="s">
        <v>104</v>
      </c>
      <c r="U97" s="2" t="b">
        <v>0</v>
      </c>
      <c r="V97" s="13">
        <v>11690.236631758387</v>
      </c>
    </row>
    <row r="98" spans="2:24" x14ac:dyDescent="0.2">
      <c r="B98" s="2" t="s">
        <v>109</v>
      </c>
      <c r="E98" s="2" t="s">
        <v>101</v>
      </c>
      <c r="F98" s="2" t="s">
        <v>102</v>
      </c>
      <c r="G98" s="7" t="s">
        <v>41</v>
      </c>
      <c r="H98" s="2">
        <v>600</v>
      </c>
      <c r="J98" s="12"/>
      <c r="N98" s="2">
        <v>7.4</v>
      </c>
      <c r="O98" s="2" t="s">
        <v>63</v>
      </c>
      <c r="Q98" s="2">
        <v>310</v>
      </c>
      <c r="R98" s="2" t="s">
        <v>34</v>
      </c>
      <c r="S98" s="2" t="s">
        <v>104</v>
      </c>
      <c r="U98" s="2" t="b">
        <v>0</v>
      </c>
      <c r="V98" s="13">
        <v>123985.90134535865</v>
      </c>
    </row>
    <row r="99" spans="2:24" x14ac:dyDescent="0.2">
      <c r="B99" s="2" t="s">
        <v>110</v>
      </c>
      <c r="E99" s="2" t="s">
        <v>101</v>
      </c>
      <c r="F99" s="2" t="s">
        <v>102</v>
      </c>
      <c r="G99" s="7" t="s">
        <v>41</v>
      </c>
      <c r="H99" s="2">
        <v>600</v>
      </c>
      <c r="J99" s="12"/>
      <c r="N99" s="2">
        <v>7.4</v>
      </c>
      <c r="O99" s="2" t="s">
        <v>63</v>
      </c>
      <c r="Q99" s="2">
        <v>310</v>
      </c>
      <c r="R99" s="2" t="s">
        <v>34</v>
      </c>
      <c r="S99" s="2" t="s">
        <v>104</v>
      </c>
      <c r="U99" s="2" t="b">
        <v>0</v>
      </c>
      <c r="V99" s="13">
        <v>39748.969734248094</v>
      </c>
    </row>
    <row r="100" spans="2:24" x14ac:dyDescent="0.2">
      <c r="B100" s="2" t="s">
        <v>111</v>
      </c>
      <c r="E100" s="2" t="s">
        <v>101</v>
      </c>
      <c r="F100" s="2" t="s">
        <v>102</v>
      </c>
      <c r="G100" s="7" t="s">
        <v>41</v>
      </c>
      <c r="H100" s="2">
        <v>600</v>
      </c>
      <c r="J100" s="12"/>
      <c r="N100" s="2">
        <v>7.4</v>
      </c>
      <c r="O100" s="2" t="s">
        <v>63</v>
      </c>
      <c r="Q100" s="2">
        <v>310</v>
      </c>
      <c r="R100" s="2" t="s">
        <v>34</v>
      </c>
      <c r="S100" s="2" t="s">
        <v>104</v>
      </c>
      <c r="U100" s="2" t="b">
        <v>0</v>
      </c>
      <c r="V100" s="13">
        <v>58702.450253839561</v>
      </c>
    </row>
    <row r="101" spans="2:24" x14ac:dyDescent="0.2">
      <c r="B101" s="2" t="s">
        <v>112</v>
      </c>
      <c r="E101" s="2" t="s">
        <v>101</v>
      </c>
      <c r="F101" s="2" t="s">
        <v>102</v>
      </c>
      <c r="G101" s="7" t="s">
        <v>41</v>
      </c>
      <c r="H101" s="2">
        <v>600</v>
      </c>
      <c r="J101" s="12"/>
      <c r="N101" s="2">
        <v>7.4</v>
      </c>
      <c r="O101" s="2" t="s">
        <v>63</v>
      </c>
      <c r="Q101" s="2">
        <v>310</v>
      </c>
      <c r="R101" s="2" t="s">
        <v>34</v>
      </c>
      <c r="S101" s="2" t="s">
        <v>104</v>
      </c>
      <c r="U101" s="2" t="b">
        <v>0</v>
      </c>
      <c r="V101" s="13">
        <v>140727.99374443459</v>
      </c>
    </row>
    <row r="102" spans="2:24" x14ac:dyDescent="0.2">
      <c r="B102" s="2" t="s">
        <v>113</v>
      </c>
      <c r="E102" s="2" t="s">
        <v>101</v>
      </c>
      <c r="F102" s="2" t="s">
        <v>102</v>
      </c>
      <c r="G102" s="7" t="s">
        <v>41</v>
      </c>
      <c r="H102" s="2">
        <v>600</v>
      </c>
      <c r="J102" s="12"/>
      <c r="N102" s="2">
        <v>7.4</v>
      </c>
      <c r="O102" s="2" t="s">
        <v>63</v>
      </c>
      <c r="Q102" s="2">
        <v>310</v>
      </c>
      <c r="R102" s="2" t="s">
        <v>34</v>
      </c>
      <c r="S102" s="2" t="s">
        <v>104</v>
      </c>
      <c r="U102" s="2" t="b">
        <v>0</v>
      </c>
      <c r="V102" s="13">
        <v>140591.29437718762</v>
      </c>
    </row>
    <row r="103" spans="2:24" x14ac:dyDescent="0.2">
      <c r="B103" s="2" t="s">
        <v>99</v>
      </c>
      <c r="E103" s="2" t="s">
        <v>101</v>
      </c>
      <c r="F103" s="2" t="s">
        <v>102</v>
      </c>
      <c r="G103" s="7" t="s">
        <v>41</v>
      </c>
      <c r="H103" s="2">
        <v>600</v>
      </c>
      <c r="J103" s="12"/>
      <c r="N103" s="2">
        <v>7.4</v>
      </c>
      <c r="O103" s="2" t="s">
        <v>63</v>
      </c>
      <c r="Q103" s="2">
        <v>310</v>
      </c>
      <c r="R103" s="2" t="s">
        <v>34</v>
      </c>
      <c r="S103" s="2" t="s">
        <v>104</v>
      </c>
      <c r="U103" s="2" t="b">
        <v>0</v>
      </c>
      <c r="V103" s="13">
        <v>83223.965910817002</v>
      </c>
    </row>
    <row r="104" spans="2:24" x14ac:dyDescent="0.2">
      <c r="B104" s="2" t="s">
        <v>100</v>
      </c>
      <c r="E104" s="2" t="s">
        <v>101</v>
      </c>
      <c r="F104" s="2" t="s">
        <v>102</v>
      </c>
      <c r="G104" s="7" t="s">
        <v>41</v>
      </c>
      <c r="H104" s="2">
        <v>600</v>
      </c>
      <c r="J104" s="12"/>
      <c r="N104" s="2">
        <v>7.4</v>
      </c>
      <c r="O104" s="2" t="s">
        <v>63</v>
      </c>
      <c r="Q104" s="2">
        <v>310</v>
      </c>
      <c r="R104" s="2" t="s">
        <v>34</v>
      </c>
      <c r="S104" s="2" t="s">
        <v>104</v>
      </c>
      <c r="U104" s="2" t="b">
        <v>0</v>
      </c>
      <c r="V104" s="13">
        <v>146589.64447008155</v>
      </c>
    </row>
    <row r="105" spans="2:24" x14ac:dyDescent="0.2">
      <c r="B105" s="2" t="s">
        <v>175</v>
      </c>
      <c r="E105" s="2" t="s">
        <v>101</v>
      </c>
      <c r="F105" s="2" t="s">
        <v>102</v>
      </c>
      <c r="G105" s="7" t="s">
        <v>41</v>
      </c>
      <c r="H105" s="2">
        <v>600</v>
      </c>
      <c r="J105" s="12"/>
      <c r="N105" s="2">
        <v>7.4</v>
      </c>
      <c r="O105" s="2" t="s">
        <v>63</v>
      </c>
      <c r="Q105" s="2">
        <v>310</v>
      </c>
      <c r="R105" s="2" t="s">
        <v>34</v>
      </c>
      <c r="S105" s="2" t="s">
        <v>104</v>
      </c>
      <c r="U105" s="2" t="b">
        <v>0</v>
      </c>
      <c r="V105" s="13">
        <v>43084.176018034072</v>
      </c>
    </row>
    <row r="106" spans="2:24" x14ac:dyDescent="0.2">
      <c r="B106" s="2" t="s">
        <v>114</v>
      </c>
      <c r="E106" s="2" t="s">
        <v>101</v>
      </c>
      <c r="F106" s="2" t="s">
        <v>102</v>
      </c>
      <c r="G106" s="7" t="s">
        <v>41</v>
      </c>
      <c r="H106" s="2">
        <v>600</v>
      </c>
      <c r="J106" s="12"/>
      <c r="N106" s="2">
        <v>7.4</v>
      </c>
      <c r="O106" s="2" t="s">
        <v>63</v>
      </c>
      <c r="Q106" s="2">
        <v>310</v>
      </c>
      <c r="R106" s="2" t="s">
        <v>34</v>
      </c>
      <c r="S106" s="2" t="s">
        <v>103</v>
      </c>
      <c r="U106" s="2" t="b">
        <v>0</v>
      </c>
      <c r="V106" s="13">
        <v>33760.000000000087</v>
      </c>
    </row>
    <row r="107" spans="2:24" x14ac:dyDescent="0.2">
      <c r="B107" s="2" t="s">
        <v>29</v>
      </c>
      <c r="E107" s="2" t="s">
        <v>115</v>
      </c>
      <c r="F107" s="2" t="s">
        <v>116</v>
      </c>
      <c r="G107" s="7" t="s">
        <v>31</v>
      </c>
      <c r="H107" s="2">
        <f>(12+47)/2</f>
        <v>29.5</v>
      </c>
      <c r="J107" s="12" t="s">
        <v>117</v>
      </c>
      <c r="K107" s="2" t="s">
        <v>118</v>
      </c>
      <c r="L107" s="2">
        <v>6.1</v>
      </c>
      <c r="M107" s="2">
        <v>169.5</v>
      </c>
      <c r="N107" s="2">
        <v>7.4</v>
      </c>
      <c r="O107" s="2" t="s">
        <v>119</v>
      </c>
      <c r="P107" s="2">
        <v>50</v>
      </c>
      <c r="Q107" s="2">
        <v>310</v>
      </c>
      <c r="R107" s="2" t="s">
        <v>78</v>
      </c>
      <c r="U107" s="2" t="b">
        <v>0</v>
      </c>
      <c r="V107" s="13">
        <v>630</v>
      </c>
    </row>
    <row r="108" spans="2:24" x14ac:dyDescent="0.2">
      <c r="B108" s="2" t="s">
        <v>38</v>
      </c>
      <c r="E108" s="2" t="s">
        <v>115</v>
      </c>
      <c r="F108" s="2" t="s">
        <v>116</v>
      </c>
      <c r="G108" s="7" t="s">
        <v>31</v>
      </c>
      <c r="H108" s="2">
        <f>(12+47)/2</f>
        <v>29.5</v>
      </c>
      <c r="J108" s="12" t="s">
        <v>120</v>
      </c>
      <c r="K108" s="2" t="s">
        <v>121</v>
      </c>
      <c r="L108" s="2">
        <v>6.2</v>
      </c>
      <c r="M108" s="2">
        <v>61.7</v>
      </c>
      <c r="N108" s="2">
        <v>7.4</v>
      </c>
      <c r="O108" s="2" t="s">
        <v>119</v>
      </c>
      <c r="P108" s="2">
        <v>50</v>
      </c>
      <c r="Q108" s="2">
        <v>310</v>
      </c>
      <c r="R108" s="2" t="s">
        <v>78</v>
      </c>
      <c r="U108" s="2" t="b">
        <v>0</v>
      </c>
      <c r="V108" s="13">
        <v>8000</v>
      </c>
    </row>
    <row r="109" spans="2:24" x14ac:dyDescent="0.2">
      <c r="B109" s="2" t="s">
        <v>38</v>
      </c>
      <c r="E109" s="2" t="s">
        <v>115</v>
      </c>
      <c r="F109" s="2" t="s">
        <v>116</v>
      </c>
      <c r="G109" s="7" t="s">
        <v>41</v>
      </c>
      <c r="H109" s="2">
        <f>(12+47)/2</f>
        <v>29.5</v>
      </c>
      <c r="J109" s="12" t="s">
        <v>120</v>
      </c>
      <c r="K109" s="2" t="s">
        <v>121</v>
      </c>
      <c r="L109" s="2">
        <v>6.2</v>
      </c>
      <c r="M109" s="2">
        <v>61.7</v>
      </c>
      <c r="N109" s="2">
        <v>7.4</v>
      </c>
      <c r="O109" s="2" t="s">
        <v>119</v>
      </c>
      <c r="P109" s="2">
        <v>50</v>
      </c>
      <c r="Q109" s="2">
        <v>310</v>
      </c>
      <c r="R109" s="2" t="s">
        <v>78</v>
      </c>
      <c r="U109" s="2" t="b">
        <v>0</v>
      </c>
      <c r="V109" s="13">
        <v>20000</v>
      </c>
    </row>
    <row r="110" spans="2:24" x14ac:dyDescent="0.2">
      <c r="B110" s="2" t="s">
        <v>57</v>
      </c>
      <c r="E110" s="2" t="s">
        <v>122</v>
      </c>
      <c r="F110" s="2" t="s">
        <v>123</v>
      </c>
      <c r="G110" s="7" t="s">
        <v>41</v>
      </c>
      <c r="H110" s="2">
        <v>6</v>
      </c>
      <c r="J110" s="9" t="s">
        <v>124</v>
      </c>
      <c r="K110" s="2" t="s">
        <v>125</v>
      </c>
      <c r="L110" s="2">
        <v>0.33</v>
      </c>
      <c r="M110" s="2">
        <v>2</v>
      </c>
      <c r="N110" s="2">
        <v>6.4</v>
      </c>
      <c r="Q110" s="2">
        <v>310</v>
      </c>
      <c r="R110" s="2" t="s">
        <v>170</v>
      </c>
      <c r="S110" s="2" t="s">
        <v>126</v>
      </c>
      <c r="U110" s="2" t="b">
        <v>1</v>
      </c>
      <c r="V110" s="13">
        <f>1/W110</f>
        <v>12500000</v>
      </c>
      <c r="W110" s="13">
        <v>8.0000000000000002E-8</v>
      </c>
      <c r="X110" s="2">
        <v>2</v>
      </c>
    </row>
    <row r="111" spans="2:24" x14ac:dyDescent="0.2">
      <c r="B111" s="2" t="s">
        <v>127</v>
      </c>
      <c r="E111" s="2" t="s">
        <v>122</v>
      </c>
      <c r="F111" s="2" t="s">
        <v>123</v>
      </c>
      <c r="G111" s="7" t="s">
        <v>41</v>
      </c>
      <c r="H111" s="2">
        <v>6</v>
      </c>
      <c r="J111" s="9" t="s">
        <v>124</v>
      </c>
      <c r="K111" s="2" t="s">
        <v>125</v>
      </c>
      <c r="L111" s="2">
        <v>0.33</v>
      </c>
      <c r="M111" s="2">
        <v>2</v>
      </c>
      <c r="N111" s="2">
        <v>6.4</v>
      </c>
      <c r="Q111" s="2">
        <v>310</v>
      </c>
      <c r="R111" s="2" t="s">
        <v>170</v>
      </c>
      <c r="S111" s="2" t="s">
        <v>126</v>
      </c>
      <c r="U111" s="2" t="b">
        <v>1</v>
      </c>
      <c r="V111" s="13">
        <f t="shared" ref="V111:V116" si="4">1/W111</f>
        <v>2500</v>
      </c>
      <c r="W111" s="13">
        <v>4.0000000000000002E-4</v>
      </c>
      <c r="X111" s="2">
        <v>0.5</v>
      </c>
    </row>
    <row r="112" spans="2:24" x14ac:dyDescent="0.2">
      <c r="B112" s="2" t="s">
        <v>128</v>
      </c>
      <c r="E112" s="2" t="s">
        <v>122</v>
      </c>
      <c r="F112" s="2" t="s">
        <v>123</v>
      </c>
      <c r="G112" s="7" t="s">
        <v>41</v>
      </c>
      <c r="H112" s="2">
        <v>6</v>
      </c>
      <c r="J112" s="9" t="s">
        <v>124</v>
      </c>
      <c r="K112" s="2" t="s">
        <v>125</v>
      </c>
      <c r="L112" s="2">
        <v>0.33</v>
      </c>
      <c r="M112" s="2">
        <v>2</v>
      </c>
      <c r="N112" s="2">
        <v>6.4</v>
      </c>
      <c r="Q112" s="2">
        <v>310</v>
      </c>
      <c r="R112" s="2" t="s">
        <v>170</v>
      </c>
      <c r="S112" s="2" t="s">
        <v>126</v>
      </c>
      <c r="U112" s="2" t="b">
        <v>1</v>
      </c>
      <c r="V112" s="13">
        <f t="shared" si="4"/>
        <v>12499.999999999998</v>
      </c>
      <c r="W112" s="13">
        <v>8.0000000000000007E-5</v>
      </c>
      <c r="X112" s="2">
        <v>0.3</v>
      </c>
    </row>
    <row r="113" spans="2:24" x14ac:dyDescent="0.2">
      <c r="B113" s="2" t="s">
        <v>129</v>
      </c>
      <c r="E113" s="2" t="s">
        <v>122</v>
      </c>
      <c r="F113" s="2" t="s">
        <v>123</v>
      </c>
      <c r="G113" s="7" t="s">
        <v>41</v>
      </c>
      <c r="H113" s="2">
        <v>6</v>
      </c>
      <c r="J113" s="9" t="s">
        <v>124</v>
      </c>
      <c r="K113" s="2" t="s">
        <v>125</v>
      </c>
      <c r="L113" s="2">
        <v>0.33</v>
      </c>
      <c r="M113" s="2">
        <v>2</v>
      </c>
      <c r="N113" s="2">
        <v>6.4</v>
      </c>
      <c r="Q113" s="2">
        <v>310</v>
      </c>
      <c r="R113" s="2" t="s">
        <v>170</v>
      </c>
      <c r="S113" s="2" t="s">
        <v>126</v>
      </c>
      <c r="U113" s="2" t="b">
        <v>1</v>
      </c>
      <c r="V113" s="13">
        <f t="shared" si="4"/>
        <v>11111.111111111111</v>
      </c>
      <c r="W113" s="13">
        <v>9.0000000000000006E-5</v>
      </c>
      <c r="X113" s="2">
        <v>0.6</v>
      </c>
    </row>
    <row r="114" spans="2:24" x14ac:dyDescent="0.2">
      <c r="B114" s="2" t="s">
        <v>29</v>
      </c>
      <c r="E114" s="2" t="s">
        <v>122</v>
      </c>
      <c r="F114" s="2" t="s">
        <v>123</v>
      </c>
      <c r="G114" s="7" t="s">
        <v>41</v>
      </c>
      <c r="H114" s="2">
        <v>6</v>
      </c>
      <c r="J114" s="9" t="s">
        <v>124</v>
      </c>
      <c r="K114" s="2" t="s">
        <v>125</v>
      </c>
      <c r="L114" s="2">
        <v>0.33</v>
      </c>
      <c r="M114" s="2">
        <v>2</v>
      </c>
      <c r="N114" s="2">
        <v>6.4</v>
      </c>
      <c r="Q114" s="2">
        <v>310</v>
      </c>
      <c r="R114" s="2" t="s">
        <v>170</v>
      </c>
      <c r="S114" s="2" t="s">
        <v>126</v>
      </c>
      <c r="U114" s="2" t="b">
        <v>1</v>
      </c>
      <c r="V114" s="13">
        <f t="shared" si="4"/>
        <v>10000</v>
      </c>
      <c r="W114" s="13">
        <v>1E-4</v>
      </c>
      <c r="X114" s="2">
        <v>2</v>
      </c>
    </row>
    <row r="115" spans="2:24" x14ac:dyDescent="0.2">
      <c r="B115" s="2" t="s">
        <v>130</v>
      </c>
      <c r="E115" s="2" t="s">
        <v>122</v>
      </c>
      <c r="F115" s="2" t="s">
        <v>123</v>
      </c>
      <c r="G115" s="7" t="s">
        <v>41</v>
      </c>
      <c r="H115" s="2">
        <v>6</v>
      </c>
      <c r="J115" s="9" t="s">
        <v>124</v>
      </c>
      <c r="K115" s="2" t="s">
        <v>125</v>
      </c>
      <c r="L115" s="2">
        <v>0.33</v>
      </c>
      <c r="M115" s="2">
        <v>2</v>
      </c>
      <c r="N115" s="2">
        <v>6.4</v>
      </c>
      <c r="Q115" s="2">
        <v>310</v>
      </c>
      <c r="R115" s="2" t="s">
        <v>170</v>
      </c>
      <c r="S115" s="2" t="s">
        <v>126</v>
      </c>
      <c r="U115" s="2" t="b">
        <v>1</v>
      </c>
      <c r="V115" s="13">
        <f t="shared" si="4"/>
        <v>2500</v>
      </c>
      <c r="W115" s="13">
        <v>4.0000000000000002E-4</v>
      </c>
      <c r="X115" s="2">
        <v>0.5</v>
      </c>
    </row>
    <row r="116" spans="2:24" x14ac:dyDescent="0.2">
      <c r="B116" s="2" t="s">
        <v>131</v>
      </c>
      <c r="E116" s="2" t="s">
        <v>122</v>
      </c>
      <c r="F116" s="2" t="s">
        <v>123</v>
      </c>
      <c r="G116" s="7" t="s">
        <v>41</v>
      </c>
      <c r="H116" s="2">
        <v>6</v>
      </c>
      <c r="J116" s="9" t="s">
        <v>124</v>
      </c>
      <c r="K116" s="2" t="s">
        <v>125</v>
      </c>
      <c r="L116" s="2">
        <v>0.33</v>
      </c>
      <c r="M116" s="2">
        <v>2</v>
      </c>
      <c r="N116" s="2">
        <v>6.4</v>
      </c>
      <c r="Q116" s="2">
        <v>310</v>
      </c>
      <c r="R116" s="2" t="s">
        <v>170</v>
      </c>
      <c r="S116" s="2" t="s">
        <v>126</v>
      </c>
      <c r="U116" s="2" t="b">
        <v>1</v>
      </c>
      <c r="V116" s="13">
        <f t="shared" si="4"/>
        <v>3333.3333333333335</v>
      </c>
      <c r="W116" s="13">
        <v>2.9999999999999997E-4</v>
      </c>
      <c r="X116" s="2">
        <v>0.7</v>
      </c>
    </row>
    <row r="117" spans="2:24" x14ac:dyDescent="0.2">
      <c r="B117" s="2" t="s">
        <v>46</v>
      </c>
      <c r="E117" s="2" t="s">
        <v>132</v>
      </c>
      <c r="F117" s="2" t="s">
        <v>133</v>
      </c>
      <c r="G117" s="7" t="s">
        <v>41</v>
      </c>
      <c r="H117" s="2">
        <v>6</v>
      </c>
      <c r="J117" s="9" t="s">
        <v>124</v>
      </c>
      <c r="K117" s="2" t="s">
        <v>125</v>
      </c>
      <c r="L117" s="2">
        <v>0.33</v>
      </c>
      <c r="M117" s="2">
        <v>2</v>
      </c>
      <c r="N117" s="2">
        <v>7.4</v>
      </c>
      <c r="O117" s="2" t="s">
        <v>63</v>
      </c>
      <c r="P117" s="2">
        <v>0.1</v>
      </c>
      <c r="Q117" s="2">
        <v>310</v>
      </c>
      <c r="R117" s="2" t="s">
        <v>34</v>
      </c>
      <c r="S117" s="2" t="s">
        <v>126</v>
      </c>
      <c r="U117" s="2" t="b">
        <v>1</v>
      </c>
      <c r="V117" s="13">
        <f>1/W117</f>
        <v>2386.6348448687349</v>
      </c>
      <c r="W117" s="2">
        <v>4.1899999999999999E-4</v>
      </c>
    </row>
    <row r="118" spans="2:24" x14ac:dyDescent="0.2">
      <c r="B118" s="2" t="s">
        <v>90</v>
      </c>
      <c r="E118" s="2" t="s">
        <v>132</v>
      </c>
      <c r="F118" s="2" t="s">
        <v>133</v>
      </c>
      <c r="G118" s="7" t="s">
        <v>41</v>
      </c>
      <c r="H118" s="2">
        <v>6</v>
      </c>
      <c r="J118" s="9" t="s">
        <v>124</v>
      </c>
      <c r="K118" s="2" t="s">
        <v>125</v>
      </c>
      <c r="L118" s="2">
        <v>0.33</v>
      </c>
      <c r="M118" s="2">
        <v>2</v>
      </c>
      <c r="N118" s="2">
        <v>7.4</v>
      </c>
      <c r="O118" s="2" t="s">
        <v>63</v>
      </c>
      <c r="P118" s="2">
        <v>0.1</v>
      </c>
      <c r="Q118" s="2">
        <v>310</v>
      </c>
      <c r="R118" s="2" t="s">
        <v>34</v>
      </c>
      <c r="S118" s="2" t="s">
        <v>126</v>
      </c>
      <c r="U118" s="2" t="b">
        <v>1</v>
      </c>
      <c r="V118" s="13">
        <f t="shared" ref="V118:V130" si="5">1/W118</f>
        <v>3496.5034965034965</v>
      </c>
      <c r="W118" s="2">
        <v>2.8600000000000001E-4</v>
      </c>
    </row>
    <row r="119" spans="2:24" x14ac:dyDescent="0.2">
      <c r="B119" s="2" t="s">
        <v>49</v>
      </c>
      <c r="E119" s="2" t="s">
        <v>132</v>
      </c>
      <c r="F119" s="2" t="s">
        <v>133</v>
      </c>
      <c r="G119" s="7" t="s">
        <v>41</v>
      </c>
      <c r="H119" s="2">
        <v>6</v>
      </c>
      <c r="J119" s="9" t="s">
        <v>124</v>
      </c>
      <c r="K119" s="2" t="s">
        <v>125</v>
      </c>
      <c r="L119" s="2">
        <v>0.33</v>
      </c>
      <c r="M119" s="2">
        <v>2</v>
      </c>
      <c r="N119" s="2">
        <v>7.4</v>
      </c>
      <c r="O119" s="2" t="s">
        <v>63</v>
      </c>
      <c r="P119" s="2">
        <v>0.1</v>
      </c>
      <c r="Q119" s="2">
        <v>310</v>
      </c>
      <c r="R119" s="2" t="s">
        <v>34</v>
      </c>
      <c r="S119" s="2" t="s">
        <v>126</v>
      </c>
      <c r="U119" s="2" t="b">
        <v>1</v>
      </c>
      <c r="V119" s="13">
        <f t="shared" si="5"/>
        <v>5128.2051282051279</v>
      </c>
      <c r="W119" s="2">
        <v>1.95E-4</v>
      </c>
    </row>
    <row r="120" spans="2:24" x14ac:dyDescent="0.2">
      <c r="B120" s="2" t="s">
        <v>50</v>
      </c>
      <c r="E120" s="2" t="s">
        <v>132</v>
      </c>
      <c r="F120" s="2" t="s">
        <v>133</v>
      </c>
      <c r="G120" s="7" t="s">
        <v>41</v>
      </c>
      <c r="H120" s="2">
        <v>6</v>
      </c>
      <c r="J120" s="9" t="s">
        <v>124</v>
      </c>
      <c r="K120" s="2" t="s">
        <v>125</v>
      </c>
      <c r="L120" s="2">
        <v>0.33</v>
      </c>
      <c r="M120" s="2">
        <v>2</v>
      </c>
      <c r="N120" s="2">
        <v>7.4</v>
      </c>
      <c r="O120" s="2" t="s">
        <v>63</v>
      </c>
      <c r="P120" s="2">
        <v>0.1</v>
      </c>
      <c r="Q120" s="2">
        <v>310</v>
      </c>
      <c r="R120" s="2" t="s">
        <v>34</v>
      </c>
      <c r="S120" s="2" t="s">
        <v>126</v>
      </c>
      <c r="U120" s="2" t="b">
        <v>1</v>
      </c>
      <c r="V120" s="13">
        <f t="shared" si="5"/>
        <v>5813.9534883720926</v>
      </c>
      <c r="W120" s="2">
        <v>1.7200000000000001E-4</v>
      </c>
    </row>
    <row r="121" spans="2:24" x14ac:dyDescent="0.2">
      <c r="B121" s="2" t="s">
        <v>29</v>
      </c>
      <c r="E121" s="2" t="s">
        <v>132</v>
      </c>
      <c r="F121" s="2" t="s">
        <v>133</v>
      </c>
      <c r="G121" s="7" t="s">
        <v>41</v>
      </c>
      <c r="H121" s="2">
        <v>6</v>
      </c>
      <c r="J121" s="9" t="s">
        <v>124</v>
      </c>
      <c r="K121" s="2" t="s">
        <v>125</v>
      </c>
      <c r="L121" s="2">
        <v>0.33</v>
      </c>
      <c r="M121" s="2">
        <v>2</v>
      </c>
      <c r="N121" s="2">
        <v>7.4</v>
      </c>
      <c r="O121" s="2" t="s">
        <v>63</v>
      </c>
      <c r="P121" s="2">
        <v>0.1</v>
      </c>
      <c r="Q121" s="2">
        <v>310</v>
      </c>
      <c r="R121" s="2" t="s">
        <v>34</v>
      </c>
      <c r="S121" s="2" t="s">
        <v>126</v>
      </c>
      <c r="U121" s="2" t="b">
        <v>1</v>
      </c>
      <c r="V121" s="13">
        <f t="shared" si="5"/>
        <v>8695.652173913044</v>
      </c>
      <c r="W121" s="2">
        <v>1.15E-4</v>
      </c>
    </row>
    <row r="122" spans="2:24" x14ac:dyDescent="0.2">
      <c r="B122" s="2" t="s">
        <v>38</v>
      </c>
      <c r="E122" s="2" t="s">
        <v>132</v>
      </c>
      <c r="F122" s="2" t="s">
        <v>133</v>
      </c>
      <c r="G122" s="7" t="s">
        <v>41</v>
      </c>
      <c r="H122" s="2">
        <v>6</v>
      </c>
      <c r="J122" s="9" t="s">
        <v>124</v>
      </c>
      <c r="K122" s="2" t="s">
        <v>125</v>
      </c>
      <c r="L122" s="2">
        <v>0.33</v>
      </c>
      <c r="M122" s="2">
        <v>2</v>
      </c>
      <c r="N122" s="2">
        <v>7.4</v>
      </c>
      <c r="O122" s="2" t="s">
        <v>63</v>
      </c>
      <c r="P122" s="2">
        <v>0.1</v>
      </c>
      <c r="Q122" s="2">
        <v>310</v>
      </c>
      <c r="R122" s="2" t="s">
        <v>34</v>
      </c>
      <c r="S122" s="2" t="s">
        <v>126</v>
      </c>
      <c r="U122" s="2" t="b">
        <v>1</v>
      </c>
      <c r="V122" s="13">
        <f t="shared" si="5"/>
        <v>13698.630136986301</v>
      </c>
      <c r="W122" s="2">
        <v>7.2999999999999999E-5</v>
      </c>
    </row>
    <row r="123" spans="2:24" x14ac:dyDescent="0.2">
      <c r="B123" s="2" t="s">
        <v>51</v>
      </c>
      <c r="E123" s="2" t="s">
        <v>132</v>
      </c>
      <c r="F123" s="2" t="s">
        <v>133</v>
      </c>
      <c r="G123" s="7" t="s">
        <v>41</v>
      </c>
      <c r="H123" s="2">
        <v>6</v>
      </c>
      <c r="J123" s="9" t="s">
        <v>124</v>
      </c>
      <c r="K123" s="2" t="s">
        <v>125</v>
      </c>
      <c r="L123" s="2">
        <v>0.33</v>
      </c>
      <c r="M123" s="2">
        <v>2</v>
      </c>
      <c r="N123" s="2">
        <v>7.4</v>
      </c>
      <c r="O123" s="2" t="s">
        <v>63</v>
      </c>
      <c r="P123" s="2">
        <v>0.1</v>
      </c>
      <c r="Q123" s="2">
        <v>310</v>
      </c>
      <c r="R123" s="2" t="s">
        <v>34</v>
      </c>
      <c r="S123" s="2" t="s">
        <v>126</v>
      </c>
      <c r="U123" s="2" t="b">
        <v>1</v>
      </c>
      <c r="V123" s="13">
        <f t="shared" si="5"/>
        <v>15384.615384615387</v>
      </c>
      <c r="W123" s="2">
        <v>6.4999999999999994E-5</v>
      </c>
    </row>
    <row r="124" spans="2:24" x14ac:dyDescent="0.2">
      <c r="B124" s="2" t="s">
        <v>52</v>
      </c>
      <c r="E124" s="2" t="s">
        <v>132</v>
      </c>
      <c r="F124" s="2" t="s">
        <v>133</v>
      </c>
      <c r="G124" s="7" t="s">
        <v>41</v>
      </c>
      <c r="H124" s="2">
        <v>6</v>
      </c>
      <c r="J124" s="9" t="s">
        <v>124</v>
      </c>
      <c r="K124" s="2" t="s">
        <v>125</v>
      </c>
      <c r="L124" s="2">
        <v>0.33</v>
      </c>
      <c r="M124" s="2">
        <v>2</v>
      </c>
      <c r="N124" s="2">
        <v>7.4</v>
      </c>
      <c r="O124" s="2" t="s">
        <v>63</v>
      </c>
      <c r="P124" s="2">
        <v>0.1</v>
      </c>
      <c r="Q124" s="2">
        <v>310</v>
      </c>
      <c r="R124" s="2" t="s">
        <v>34</v>
      </c>
      <c r="S124" s="2" t="s">
        <v>126</v>
      </c>
      <c r="U124" s="2" t="b">
        <v>1</v>
      </c>
      <c r="V124" s="13">
        <f t="shared" si="5"/>
        <v>12658.227848101267</v>
      </c>
      <c r="W124" s="2">
        <v>7.8999999999999996E-5</v>
      </c>
    </row>
    <row r="125" spans="2:24" x14ac:dyDescent="0.2">
      <c r="B125" s="2" t="s">
        <v>91</v>
      </c>
      <c r="E125" s="2" t="s">
        <v>132</v>
      </c>
      <c r="F125" s="2" t="s">
        <v>133</v>
      </c>
      <c r="G125" s="7" t="s">
        <v>41</v>
      </c>
      <c r="H125" s="2">
        <v>6</v>
      </c>
      <c r="J125" s="9" t="s">
        <v>124</v>
      </c>
      <c r="K125" s="2" t="s">
        <v>125</v>
      </c>
      <c r="L125" s="2">
        <v>0.33</v>
      </c>
      <c r="M125" s="2">
        <v>2</v>
      </c>
      <c r="N125" s="2">
        <v>7.4</v>
      </c>
      <c r="O125" s="2" t="s">
        <v>63</v>
      </c>
      <c r="P125" s="2">
        <v>0.1</v>
      </c>
      <c r="Q125" s="2">
        <v>310</v>
      </c>
      <c r="R125" s="2" t="s">
        <v>34</v>
      </c>
      <c r="S125" s="2" t="s">
        <v>126</v>
      </c>
      <c r="U125" s="2" t="b">
        <v>1</v>
      </c>
      <c r="V125" s="13">
        <f t="shared" si="5"/>
        <v>9708.7378640776697</v>
      </c>
      <c r="W125" s="2">
        <v>1.03E-4</v>
      </c>
    </row>
    <row r="126" spans="2:24" x14ac:dyDescent="0.2">
      <c r="B126" s="2" t="s">
        <v>134</v>
      </c>
      <c r="E126" s="2" t="s">
        <v>132</v>
      </c>
      <c r="F126" s="2" t="s">
        <v>133</v>
      </c>
      <c r="G126" s="7" t="s">
        <v>41</v>
      </c>
      <c r="H126" s="2">
        <v>6</v>
      </c>
      <c r="J126" s="9" t="s">
        <v>124</v>
      </c>
      <c r="K126" s="2" t="s">
        <v>125</v>
      </c>
      <c r="L126" s="2">
        <v>0.33</v>
      </c>
      <c r="M126" s="2">
        <v>2</v>
      </c>
      <c r="N126" s="2">
        <v>7.4</v>
      </c>
      <c r="O126" s="2" t="s">
        <v>63</v>
      </c>
      <c r="P126" s="2">
        <v>0.1</v>
      </c>
      <c r="Q126" s="2">
        <v>310</v>
      </c>
      <c r="R126" s="2" t="s">
        <v>34</v>
      </c>
      <c r="S126" s="2" t="s">
        <v>126</v>
      </c>
      <c r="U126" s="2" t="b">
        <v>1</v>
      </c>
      <c r="V126" s="13">
        <f t="shared" si="5"/>
        <v>3773.5849056603774</v>
      </c>
      <c r="W126" s="2">
        <v>2.6499999999999999E-4</v>
      </c>
    </row>
    <row r="127" spans="2:24" x14ac:dyDescent="0.2">
      <c r="B127" s="2" t="s">
        <v>55</v>
      </c>
      <c r="E127" s="2" t="s">
        <v>132</v>
      </c>
      <c r="F127" s="2" t="s">
        <v>133</v>
      </c>
      <c r="G127" s="7" t="s">
        <v>41</v>
      </c>
      <c r="H127" s="2">
        <v>6</v>
      </c>
      <c r="J127" s="9" t="s">
        <v>124</v>
      </c>
      <c r="K127" s="2" t="s">
        <v>125</v>
      </c>
      <c r="L127" s="2">
        <v>0.33</v>
      </c>
      <c r="M127" s="2">
        <v>2</v>
      </c>
      <c r="N127" s="2">
        <v>7.4</v>
      </c>
      <c r="O127" s="2" t="s">
        <v>63</v>
      </c>
      <c r="P127" s="2">
        <v>0.1</v>
      </c>
      <c r="Q127" s="2">
        <v>310</v>
      </c>
      <c r="R127" s="2" t="s">
        <v>34</v>
      </c>
      <c r="S127" s="2" t="s">
        <v>126</v>
      </c>
      <c r="U127" s="2" t="b">
        <v>1</v>
      </c>
      <c r="V127" s="13">
        <f t="shared" si="5"/>
        <v>5917.1597633136098</v>
      </c>
      <c r="W127" s="2">
        <v>1.6899999999999999E-4</v>
      </c>
    </row>
    <row r="128" spans="2:24" x14ac:dyDescent="0.2">
      <c r="B128" s="2" t="s">
        <v>56</v>
      </c>
      <c r="E128" s="2" t="s">
        <v>132</v>
      </c>
      <c r="F128" s="2" t="s">
        <v>133</v>
      </c>
      <c r="G128" s="7" t="s">
        <v>41</v>
      </c>
      <c r="H128" s="2">
        <v>6</v>
      </c>
      <c r="J128" s="9" t="s">
        <v>124</v>
      </c>
      <c r="K128" s="2" t="s">
        <v>125</v>
      </c>
      <c r="L128" s="2">
        <v>0.33</v>
      </c>
      <c r="M128" s="2">
        <v>2</v>
      </c>
      <c r="N128" s="2">
        <v>7.4</v>
      </c>
      <c r="O128" s="2" t="s">
        <v>63</v>
      </c>
      <c r="P128" s="2">
        <v>0.1</v>
      </c>
      <c r="Q128" s="2">
        <v>310</v>
      </c>
      <c r="R128" s="2" t="s">
        <v>34</v>
      </c>
      <c r="S128" s="2" t="s">
        <v>126</v>
      </c>
      <c r="U128" s="2" t="b">
        <v>1</v>
      </c>
      <c r="V128" s="13">
        <f t="shared" si="5"/>
        <v>12658.227848101267</v>
      </c>
      <c r="W128" s="2">
        <v>7.8999999999999996E-5</v>
      </c>
    </row>
    <row r="129" spans="2:23" x14ac:dyDescent="0.2">
      <c r="B129" s="2" t="s">
        <v>57</v>
      </c>
      <c r="E129" s="2" t="s">
        <v>132</v>
      </c>
      <c r="F129" s="2" t="s">
        <v>133</v>
      </c>
      <c r="G129" s="7" t="s">
        <v>41</v>
      </c>
      <c r="H129" s="2">
        <v>6</v>
      </c>
      <c r="J129" s="9" t="s">
        <v>124</v>
      </c>
      <c r="K129" s="2" t="s">
        <v>125</v>
      </c>
      <c r="L129" s="2">
        <v>0.33</v>
      </c>
      <c r="M129" s="2">
        <v>2</v>
      </c>
      <c r="N129" s="2">
        <v>7.4</v>
      </c>
      <c r="O129" s="2" t="s">
        <v>63</v>
      </c>
      <c r="P129" s="2">
        <v>0.1</v>
      </c>
      <c r="Q129" s="2">
        <v>310</v>
      </c>
      <c r="R129" s="2" t="s">
        <v>34</v>
      </c>
      <c r="S129" s="2" t="s">
        <v>126</v>
      </c>
      <c r="U129" s="2" t="b">
        <v>1</v>
      </c>
      <c r="V129" s="13">
        <f t="shared" si="5"/>
        <v>26315.78947368421</v>
      </c>
      <c r="W129" s="2">
        <v>3.8000000000000002E-5</v>
      </c>
    </row>
    <row r="130" spans="2:23" x14ac:dyDescent="0.2">
      <c r="B130" s="2" t="s">
        <v>174</v>
      </c>
      <c r="E130" s="2" t="s">
        <v>132</v>
      </c>
      <c r="F130" s="2" t="s">
        <v>133</v>
      </c>
      <c r="G130" s="7" t="s">
        <v>41</v>
      </c>
      <c r="H130" s="2">
        <v>6</v>
      </c>
      <c r="J130" s="9" t="s">
        <v>124</v>
      </c>
      <c r="K130" s="2" t="s">
        <v>125</v>
      </c>
      <c r="L130" s="2">
        <v>0.33</v>
      </c>
      <c r="M130" s="2">
        <v>2</v>
      </c>
      <c r="N130" s="2">
        <v>7.4</v>
      </c>
      <c r="O130" s="2" t="s">
        <v>63</v>
      </c>
      <c r="P130" s="2">
        <v>0.1</v>
      </c>
      <c r="Q130" s="2">
        <v>310</v>
      </c>
      <c r="R130" s="2" t="s">
        <v>34</v>
      </c>
      <c r="S130" s="2" t="s">
        <v>126</v>
      </c>
      <c r="U130" s="2" t="b">
        <v>1</v>
      </c>
      <c r="V130" s="13">
        <f t="shared" si="5"/>
        <v>14925.373134328358</v>
      </c>
      <c r="W130" s="2">
        <v>6.7000000000000002E-5</v>
      </c>
    </row>
    <row r="131" spans="2:23" x14ac:dyDescent="0.2">
      <c r="B131" s="2" t="s">
        <v>38</v>
      </c>
      <c r="E131" s="2" t="s">
        <v>135</v>
      </c>
      <c r="F131" s="2" t="s">
        <v>136</v>
      </c>
      <c r="G131" s="7" t="s">
        <v>41</v>
      </c>
      <c r="H131" s="2">
        <v>1</v>
      </c>
      <c r="J131" s="9" t="s">
        <v>137</v>
      </c>
      <c r="K131" s="9" t="s">
        <v>137</v>
      </c>
      <c r="L131" s="2">
        <v>3</v>
      </c>
      <c r="M131" s="2">
        <v>18</v>
      </c>
      <c r="N131" s="2">
        <v>7.4</v>
      </c>
      <c r="O131" s="2" t="s">
        <v>63</v>
      </c>
      <c r="Q131" s="2">
        <v>298</v>
      </c>
      <c r="R131" s="2" t="s">
        <v>71</v>
      </c>
      <c r="S131" s="2" t="s">
        <v>138</v>
      </c>
      <c r="U131" s="2" t="b">
        <v>0</v>
      </c>
      <c r="V131" s="13">
        <v>7810000</v>
      </c>
    </row>
    <row r="132" spans="2:23" x14ac:dyDescent="0.2">
      <c r="B132" s="2" t="s">
        <v>38</v>
      </c>
      <c r="E132" s="2" t="s">
        <v>135</v>
      </c>
      <c r="F132" s="2" t="s">
        <v>136</v>
      </c>
      <c r="G132" s="7" t="s">
        <v>41</v>
      </c>
      <c r="H132" s="2">
        <v>1</v>
      </c>
      <c r="J132" s="9" t="s">
        <v>137</v>
      </c>
      <c r="K132" s="9" t="s">
        <v>137</v>
      </c>
      <c r="L132" s="2">
        <v>3</v>
      </c>
      <c r="M132" s="2">
        <v>18</v>
      </c>
      <c r="N132" s="2">
        <v>7.4</v>
      </c>
      <c r="O132" s="2" t="s">
        <v>63</v>
      </c>
      <c r="Q132" s="2">
        <v>304</v>
      </c>
      <c r="R132" s="2" t="s">
        <v>71</v>
      </c>
      <c r="S132" s="2" t="s">
        <v>138</v>
      </c>
      <c r="U132" s="2" t="b">
        <v>0</v>
      </c>
      <c r="V132" s="13">
        <v>202000</v>
      </c>
    </row>
    <row r="133" spans="2:23" x14ac:dyDescent="0.2">
      <c r="B133" s="2" t="s">
        <v>38</v>
      </c>
      <c r="E133" s="2" t="s">
        <v>135</v>
      </c>
      <c r="F133" s="2" t="s">
        <v>136</v>
      </c>
      <c r="G133" s="7" t="s">
        <v>41</v>
      </c>
      <c r="H133" s="2">
        <v>1</v>
      </c>
      <c r="J133" s="9" t="s">
        <v>137</v>
      </c>
      <c r="K133" s="9" t="s">
        <v>137</v>
      </c>
      <c r="L133" s="2">
        <v>3</v>
      </c>
      <c r="M133" s="2">
        <v>18</v>
      </c>
      <c r="N133" s="2">
        <v>7.4</v>
      </c>
      <c r="O133" s="2" t="s">
        <v>63</v>
      </c>
      <c r="Q133" s="2">
        <v>310</v>
      </c>
      <c r="R133" s="2" t="s">
        <v>71</v>
      </c>
      <c r="S133" s="2" t="s">
        <v>138</v>
      </c>
      <c r="U133" s="2" t="b">
        <v>0</v>
      </c>
      <c r="V133" s="13">
        <v>99000</v>
      </c>
    </row>
    <row r="134" spans="2:23" x14ac:dyDescent="0.2">
      <c r="B134" s="2" t="s">
        <v>139</v>
      </c>
      <c r="E134" s="2" t="s">
        <v>135</v>
      </c>
      <c r="F134" s="2" t="s">
        <v>136</v>
      </c>
      <c r="G134" s="7" t="s">
        <v>41</v>
      </c>
      <c r="H134" s="2">
        <v>1</v>
      </c>
      <c r="J134" s="9" t="s">
        <v>137</v>
      </c>
      <c r="K134" s="9" t="s">
        <v>137</v>
      </c>
      <c r="L134" s="2">
        <v>3</v>
      </c>
      <c r="M134" s="2">
        <v>18</v>
      </c>
      <c r="N134" s="2">
        <v>7.4</v>
      </c>
      <c r="O134" s="2" t="s">
        <v>63</v>
      </c>
      <c r="Q134" s="2">
        <v>298</v>
      </c>
      <c r="R134" s="2" t="s">
        <v>71</v>
      </c>
      <c r="S134" s="2" t="s">
        <v>138</v>
      </c>
      <c r="U134" s="2" t="b">
        <v>0</v>
      </c>
      <c r="V134" s="13">
        <v>3700000</v>
      </c>
    </row>
    <row r="135" spans="2:23" x14ac:dyDescent="0.2">
      <c r="B135" s="2" t="s">
        <v>139</v>
      </c>
      <c r="E135" s="2" t="s">
        <v>135</v>
      </c>
      <c r="F135" s="2" t="s">
        <v>136</v>
      </c>
      <c r="G135" s="7" t="s">
        <v>41</v>
      </c>
      <c r="H135" s="2">
        <v>1</v>
      </c>
      <c r="J135" s="9" t="s">
        <v>137</v>
      </c>
      <c r="K135" s="9" t="s">
        <v>137</v>
      </c>
      <c r="L135" s="2">
        <v>3</v>
      </c>
      <c r="M135" s="2">
        <v>18</v>
      </c>
      <c r="N135" s="2">
        <v>7.4</v>
      </c>
      <c r="O135" s="2" t="s">
        <v>63</v>
      </c>
      <c r="Q135" s="2">
        <v>304</v>
      </c>
      <c r="R135" s="2" t="s">
        <v>71</v>
      </c>
      <c r="S135" s="2" t="s">
        <v>138</v>
      </c>
      <c r="U135" s="2" t="b">
        <v>0</v>
      </c>
      <c r="V135" s="13">
        <v>85400000</v>
      </c>
    </row>
    <row r="136" spans="2:23" x14ac:dyDescent="0.2">
      <c r="B136" s="2" t="s">
        <v>139</v>
      </c>
      <c r="E136" s="2" t="s">
        <v>135</v>
      </c>
      <c r="F136" s="2" t="s">
        <v>136</v>
      </c>
      <c r="G136" s="7" t="s">
        <v>41</v>
      </c>
      <c r="H136" s="2">
        <v>1</v>
      </c>
      <c r="J136" s="9" t="s">
        <v>137</v>
      </c>
      <c r="K136" s="9" t="s">
        <v>137</v>
      </c>
      <c r="L136" s="2">
        <v>3</v>
      </c>
      <c r="M136" s="2">
        <v>18</v>
      </c>
      <c r="N136" s="2">
        <v>7.4</v>
      </c>
      <c r="O136" s="2" t="s">
        <v>63</v>
      </c>
      <c r="Q136" s="2">
        <v>310</v>
      </c>
      <c r="R136" s="2" t="s">
        <v>71</v>
      </c>
      <c r="S136" s="2" t="s">
        <v>138</v>
      </c>
      <c r="U136" s="2" t="b">
        <v>0</v>
      </c>
      <c r="V136" s="13">
        <v>2310000000</v>
      </c>
    </row>
    <row r="137" spans="2:23" x14ac:dyDescent="0.2">
      <c r="B137" s="2" t="s">
        <v>29</v>
      </c>
      <c r="E137" s="2" t="s">
        <v>135</v>
      </c>
      <c r="F137" s="2" t="s">
        <v>136</v>
      </c>
      <c r="G137" s="7" t="s">
        <v>41</v>
      </c>
      <c r="H137" s="2">
        <v>1</v>
      </c>
      <c r="J137" s="9" t="s">
        <v>137</v>
      </c>
      <c r="K137" s="9" t="s">
        <v>137</v>
      </c>
      <c r="L137" s="2">
        <v>3</v>
      </c>
      <c r="M137" s="2">
        <v>18</v>
      </c>
      <c r="N137" s="2">
        <v>7.4</v>
      </c>
      <c r="O137" s="2" t="s">
        <v>63</v>
      </c>
      <c r="Q137" s="2">
        <v>298</v>
      </c>
      <c r="R137" s="2" t="s">
        <v>71</v>
      </c>
      <c r="S137" s="2" t="s">
        <v>138</v>
      </c>
      <c r="U137" s="2" t="b">
        <v>0</v>
      </c>
      <c r="V137" s="13">
        <v>2270000</v>
      </c>
    </row>
    <row r="138" spans="2:23" x14ac:dyDescent="0.2">
      <c r="B138" s="2" t="s">
        <v>29</v>
      </c>
      <c r="E138" s="2" t="s">
        <v>135</v>
      </c>
      <c r="F138" s="2" t="s">
        <v>136</v>
      </c>
      <c r="G138" s="7" t="s">
        <v>41</v>
      </c>
      <c r="H138" s="2">
        <v>1</v>
      </c>
      <c r="J138" s="9" t="s">
        <v>137</v>
      </c>
      <c r="K138" s="9" t="s">
        <v>137</v>
      </c>
      <c r="L138" s="2">
        <v>3</v>
      </c>
      <c r="M138" s="2">
        <v>18</v>
      </c>
      <c r="N138" s="2">
        <v>7.4</v>
      </c>
      <c r="O138" s="2" t="s">
        <v>63</v>
      </c>
      <c r="Q138" s="2">
        <v>304</v>
      </c>
      <c r="R138" s="2" t="s">
        <v>71</v>
      </c>
      <c r="S138" s="2" t="s">
        <v>138</v>
      </c>
      <c r="U138" s="2" t="b">
        <v>0</v>
      </c>
      <c r="V138" s="13">
        <v>2230000</v>
      </c>
    </row>
    <row r="139" spans="2:23" x14ac:dyDescent="0.2">
      <c r="B139" s="2" t="s">
        <v>29</v>
      </c>
      <c r="E139" s="2" t="s">
        <v>135</v>
      </c>
      <c r="F139" s="2" t="s">
        <v>136</v>
      </c>
      <c r="G139" s="7" t="s">
        <v>41</v>
      </c>
      <c r="H139" s="2">
        <v>1</v>
      </c>
      <c r="J139" s="9" t="s">
        <v>137</v>
      </c>
      <c r="K139" s="9" t="s">
        <v>137</v>
      </c>
      <c r="L139" s="2">
        <v>3</v>
      </c>
      <c r="M139" s="2">
        <v>18</v>
      </c>
      <c r="N139" s="2">
        <v>7.4</v>
      </c>
      <c r="O139" s="2" t="s">
        <v>63</v>
      </c>
      <c r="Q139" s="2">
        <v>310</v>
      </c>
      <c r="R139" s="2" t="s">
        <v>71</v>
      </c>
      <c r="S139" s="2" t="s">
        <v>138</v>
      </c>
      <c r="U139" s="2" t="b">
        <v>0</v>
      </c>
      <c r="V139" s="13">
        <v>1980000</v>
      </c>
    </row>
    <row r="140" spans="2:23" x14ac:dyDescent="0.2">
      <c r="B140" s="2" t="s">
        <v>140</v>
      </c>
      <c r="E140" s="2" t="s">
        <v>135</v>
      </c>
      <c r="F140" s="2" t="s">
        <v>136</v>
      </c>
      <c r="G140" s="7" t="s">
        <v>41</v>
      </c>
      <c r="H140" s="2">
        <v>1</v>
      </c>
      <c r="J140" s="9" t="s">
        <v>137</v>
      </c>
      <c r="K140" s="9" t="s">
        <v>137</v>
      </c>
      <c r="L140" s="2">
        <v>3</v>
      </c>
      <c r="M140" s="2">
        <v>18</v>
      </c>
      <c r="N140" s="2">
        <v>7.4</v>
      </c>
      <c r="O140" s="2" t="s">
        <v>63</v>
      </c>
      <c r="Q140" s="2">
        <v>298</v>
      </c>
      <c r="R140" s="2" t="s">
        <v>71</v>
      </c>
      <c r="S140" s="2" t="s">
        <v>138</v>
      </c>
      <c r="U140" s="2" t="b">
        <v>0</v>
      </c>
      <c r="V140" s="13">
        <v>159000</v>
      </c>
    </row>
    <row r="141" spans="2:23" x14ac:dyDescent="0.2">
      <c r="B141" s="2" t="s">
        <v>140</v>
      </c>
      <c r="E141" s="2" t="s">
        <v>135</v>
      </c>
      <c r="F141" s="2" t="s">
        <v>136</v>
      </c>
      <c r="G141" s="7" t="s">
        <v>41</v>
      </c>
      <c r="H141" s="2">
        <v>1</v>
      </c>
      <c r="J141" s="9" t="s">
        <v>137</v>
      </c>
      <c r="K141" s="9" t="s">
        <v>137</v>
      </c>
      <c r="L141" s="2">
        <v>3</v>
      </c>
      <c r="M141" s="2">
        <v>18</v>
      </c>
      <c r="N141" s="2">
        <v>7.4</v>
      </c>
      <c r="O141" s="2" t="s">
        <v>63</v>
      </c>
      <c r="Q141" s="2">
        <v>304</v>
      </c>
      <c r="R141" s="2" t="s">
        <v>71</v>
      </c>
      <c r="S141" s="2" t="s">
        <v>138</v>
      </c>
      <c r="U141" s="2" t="b">
        <v>0</v>
      </c>
      <c r="V141" s="13">
        <v>45500</v>
      </c>
    </row>
    <row r="142" spans="2:23" x14ac:dyDescent="0.2">
      <c r="B142" s="2" t="s">
        <v>140</v>
      </c>
      <c r="E142" s="2" t="s">
        <v>135</v>
      </c>
      <c r="F142" s="2" t="s">
        <v>136</v>
      </c>
      <c r="G142" s="7" t="s">
        <v>41</v>
      </c>
      <c r="H142" s="2">
        <v>1</v>
      </c>
      <c r="J142" s="9" t="s">
        <v>137</v>
      </c>
      <c r="K142" s="9" t="s">
        <v>137</v>
      </c>
      <c r="L142" s="2">
        <v>3</v>
      </c>
      <c r="M142" s="2">
        <v>18</v>
      </c>
      <c r="N142" s="2">
        <v>7.4</v>
      </c>
      <c r="O142" s="2" t="s">
        <v>63</v>
      </c>
      <c r="Q142" s="2">
        <v>310</v>
      </c>
      <c r="R142" s="2" t="s">
        <v>71</v>
      </c>
      <c r="S142" s="2" t="s">
        <v>138</v>
      </c>
      <c r="U142" s="2" t="b">
        <v>0</v>
      </c>
      <c r="V142" s="13">
        <v>29900</v>
      </c>
    </row>
    <row r="143" spans="2:23" x14ac:dyDescent="0.2">
      <c r="B143" s="2" t="s">
        <v>50</v>
      </c>
      <c r="E143" s="2" t="s">
        <v>135</v>
      </c>
      <c r="F143" s="2" t="s">
        <v>136</v>
      </c>
      <c r="G143" s="7" t="s">
        <v>41</v>
      </c>
      <c r="H143" s="2">
        <v>1</v>
      </c>
      <c r="J143" s="9" t="s">
        <v>137</v>
      </c>
      <c r="K143" s="9" t="s">
        <v>137</v>
      </c>
      <c r="L143" s="2">
        <v>3</v>
      </c>
      <c r="M143" s="2">
        <v>18</v>
      </c>
      <c r="N143" s="2">
        <v>7.4</v>
      </c>
      <c r="O143" s="2" t="s">
        <v>63</v>
      </c>
      <c r="Q143" s="2">
        <v>298</v>
      </c>
      <c r="R143" s="2" t="s">
        <v>71</v>
      </c>
      <c r="S143" s="2" t="s">
        <v>138</v>
      </c>
      <c r="U143" s="2" t="b">
        <v>0</v>
      </c>
      <c r="V143" s="13">
        <v>4530</v>
      </c>
    </row>
    <row r="144" spans="2:23" x14ac:dyDescent="0.2">
      <c r="B144" s="2" t="s">
        <v>50</v>
      </c>
      <c r="E144" s="2" t="s">
        <v>135</v>
      </c>
      <c r="F144" s="2" t="s">
        <v>136</v>
      </c>
      <c r="G144" s="7" t="s">
        <v>41</v>
      </c>
      <c r="H144" s="2">
        <v>1</v>
      </c>
      <c r="J144" s="9" t="s">
        <v>137</v>
      </c>
      <c r="K144" s="9" t="s">
        <v>137</v>
      </c>
      <c r="L144" s="2">
        <v>3</v>
      </c>
      <c r="M144" s="2">
        <v>18</v>
      </c>
      <c r="N144" s="2">
        <v>7.4</v>
      </c>
      <c r="O144" s="2" t="s">
        <v>63</v>
      </c>
      <c r="Q144" s="2">
        <v>304</v>
      </c>
      <c r="R144" s="2" t="s">
        <v>71</v>
      </c>
      <c r="S144" s="2" t="s">
        <v>138</v>
      </c>
      <c r="U144" s="2" t="b">
        <v>0</v>
      </c>
      <c r="V144" s="13">
        <v>535000</v>
      </c>
    </row>
    <row r="145" spans="2:24" x14ac:dyDescent="0.2">
      <c r="B145" s="2" t="s">
        <v>50</v>
      </c>
      <c r="E145" s="2" t="s">
        <v>135</v>
      </c>
      <c r="F145" s="2" t="s">
        <v>136</v>
      </c>
      <c r="G145" s="7" t="s">
        <v>41</v>
      </c>
      <c r="H145" s="2">
        <v>1</v>
      </c>
      <c r="J145" s="9" t="s">
        <v>137</v>
      </c>
      <c r="K145" s="9" t="s">
        <v>137</v>
      </c>
      <c r="L145" s="2">
        <v>3</v>
      </c>
      <c r="M145" s="2">
        <v>18</v>
      </c>
      <c r="N145" s="2">
        <v>7.4</v>
      </c>
      <c r="O145" s="2" t="s">
        <v>63</v>
      </c>
      <c r="Q145" s="2">
        <v>310</v>
      </c>
      <c r="R145" s="2" t="s">
        <v>71</v>
      </c>
      <c r="S145" s="2" t="s">
        <v>138</v>
      </c>
      <c r="U145" s="2" t="b">
        <v>0</v>
      </c>
      <c r="V145" s="13">
        <v>747000</v>
      </c>
    </row>
    <row r="146" spans="2:24" x14ac:dyDescent="0.2">
      <c r="B146" s="2" t="s">
        <v>141</v>
      </c>
      <c r="E146" s="2" t="s">
        <v>135</v>
      </c>
      <c r="F146" s="2" t="s">
        <v>136</v>
      </c>
      <c r="G146" s="7" t="s">
        <v>41</v>
      </c>
      <c r="H146" s="2">
        <v>1</v>
      </c>
      <c r="J146" s="9" t="s">
        <v>137</v>
      </c>
      <c r="K146" s="9" t="s">
        <v>137</v>
      </c>
      <c r="L146" s="2">
        <v>3</v>
      </c>
      <c r="M146" s="2">
        <v>18</v>
      </c>
      <c r="N146" s="2">
        <v>7.4</v>
      </c>
      <c r="O146" s="2" t="s">
        <v>63</v>
      </c>
      <c r="Q146" s="2">
        <v>298</v>
      </c>
      <c r="R146" s="2" t="s">
        <v>71</v>
      </c>
      <c r="S146" s="2" t="s">
        <v>138</v>
      </c>
      <c r="U146" s="2" t="b">
        <v>0</v>
      </c>
      <c r="V146" s="13">
        <v>1520</v>
      </c>
    </row>
    <row r="147" spans="2:24" x14ac:dyDescent="0.2">
      <c r="B147" s="2" t="s">
        <v>141</v>
      </c>
      <c r="E147" s="2" t="s">
        <v>135</v>
      </c>
      <c r="F147" s="2" t="s">
        <v>136</v>
      </c>
      <c r="G147" s="7" t="s">
        <v>41</v>
      </c>
      <c r="H147" s="2">
        <v>1</v>
      </c>
      <c r="J147" s="9" t="s">
        <v>137</v>
      </c>
      <c r="K147" s="9" t="s">
        <v>137</v>
      </c>
      <c r="L147" s="2">
        <v>3</v>
      </c>
      <c r="M147" s="2">
        <v>18</v>
      </c>
      <c r="N147" s="2">
        <v>7.4</v>
      </c>
      <c r="O147" s="2" t="s">
        <v>63</v>
      </c>
      <c r="Q147" s="2">
        <v>304</v>
      </c>
      <c r="R147" s="2" t="s">
        <v>71</v>
      </c>
      <c r="S147" s="2" t="s">
        <v>138</v>
      </c>
      <c r="U147" s="2" t="b">
        <v>0</v>
      </c>
      <c r="V147" s="13">
        <v>4930</v>
      </c>
    </row>
    <row r="148" spans="2:24" x14ac:dyDescent="0.2">
      <c r="B148" s="2" t="s">
        <v>141</v>
      </c>
      <c r="E148" s="2" t="s">
        <v>135</v>
      </c>
      <c r="F148" s="2" t="s">
        <v>136</v>
      </c>
      <c r="G148" s="7" t="s">
        <v>41</v>
      </c>
      <c r="H148" s="2">
        <v>1</v>
      </c>
      <c r="J148" s="9" t="s">
        <v>137</v>
      </c>
      <c r="K148" s="9" t="s">
        <v>137</v>
      </c>
      <c r="L148" s="2">
        <v>3</v>
      </c>
      <c r="M148" s="2">
        <v>18</v>
      </c>
      <c r="N148" s="2">
        <v>7.4</v>
      </c>
      <c r="O148" s="2" t="s">
        <v>63</v>
      </c>
      <c r="Q148" s="2">
        <v>310</v>
      </c>
      <c r="R148" s="2" t="s">
        <v>71</v>
      </c>
      <c r="S148" s="2" t="s">
        <v>138</v>
      </c>
      <c r="U148" s="2" t="b">
        <v>0</v>
      </c>
      <c r="V148" s="13">
        <v>20700</v>
      </c>
    </row>
    <row r="149" spans="2:24" x14ac:dyDescent="0.2">
      <c r="B149" s="2" t="s">
        <v>29</v>
      </c>
      <c r="E149" s="2" t="s">
        <v>166</v>
      </c>
      <c r="F149" s="2" t="s">
        <v>167</v>
      </c>
      <c r="G149" s="7" t="s">
        <v>31</v>
      </c>
      <c r="H149" s="2">
        <v>1</v>
      </c>
      <c r="J149" s="9" t="s">
        <v>61</v>
      </c>
      <c r="K149" s="9" t="s">
        <v>61</v>
      </c>
      <c r="L149" s="2">
        <v>1</v>
      </c>
      <c r="M149" s="2">
        <v>20</v>
      </c>
      <c r="N149" s="2">
        <v>7.4</v>
      </c>
      <c r="O149" s="2" t="s">
        <v>119</v>
      </c>
      <c r="P149" s="2">
        <v>0.02</v>
      </c>
      <c r="Q149" s="2">
        <v>300</v>
      </c>
      <c r="R149" s="2" t="s">
        <v>71</v>
      </c>
      <c r="S149" s="2" t="s">
        <v>72</v>
      </c>
      <c r="U149" s="2" t="b">
        <v>0</v>
      </c>
      <c r="V149" s="13">
        <v>43600</v>
      </c>
    </row>
    <row r="150" spans="2:24" x14ac:dyDescent="0.2">
      <c r="B150" s="2" t="s">
        <v>29</v>
      </c>
      <c r="E150" s="2" t="s">
        <v>166</v>
      </c>
      <c r="F150" s="2" t="s">
        <v>167</v>
      </c>
      <c r="G150" s="7" t="s">
        <v>31</v>
      </c>
      <c r="H150" s="2">
        <v>1</v>
      </c>
      <c r="J150" s="9" t="s">
        <v>61</v>
      </c>
      <c r="K150" s="9" t="s">
        <v>61</v>
      </c>
      <c r="L150" s="2">
        <v>1</v>
      </c>
      <c r="M150" s="2">
        <v>20</v>
      </c>
      <c r="N150" s="2">
        <v>7.4</v>
      </c>
      <c r="O150" s="2" t="s">
        <v>119</v>
      </c>
      <c r="P150" s="2">
        <v>0.02</v>
      </c>
      <c r="Q150" s="2">
        <v>310</v>
      </c>
      <c r="R150" s="2" t="s">
        <v>71</v>
      </c>
      <c r="S150" s="2" t="s">
        <v>72</v>
      </c>
      <c r="U150" s="2" t="b">
        <v>0</v>
      </c>
      <c r="V150" s="13">
        <v>29300</v>
      </c>
    </row>
    <row r="151" spans="2:24" x14ac:dyDescent="0.2">
      <c r="B151" s="2" t="s">
        <v>29</v>
      </c>
      <c r="E151" s="2" t="s">
        <v>166</v>
      </c>
      <c r="F151" s="2" t="s">
        <v>167</v>
      </c>
      <c r="G151" s="7" t="s">
        <v>31</v>
      </c>
      <c r="H151" s="2">
        <v>1</v>
      </c>
      <c r="J151" s="9" t="s">
        <v>61</v>
      </c>
      <c r="K151" s="9" t="s">
        <v>61</v>
      </c>
      <c r="L151" s="2">
        <v>1</v>
      </c>
      <c r="M151" s="2">
        <v>20</v>
      </c>
      <c r="N151" s="2">
        <v>7.4</v>
      </c>
      <c r="O151" s="2" t="s">
        <v>119</v>
      </c>
      <c r="P151" s="2">
        <v>0.02</v>
      </c>
      <c r="Q151" s="2">
        <v>320</v>
      </c>
      <c r="R151" s="2" t="s">
        <v>71</v>
      </c>
      <c r="S151" s="2" t="s">
        <v>72</v>
      </c>
      <c r="U151" s="2" t="b">
        <v>0</v>
      </c>
      <c r="V151" s="13">
        <v>21700</v>
      </c>
    </row>
    <row r="152" spans="2:24" x14ac:dyDescent="0.2">
      <c r="B152" s="2" t="s">
        <v>51</v>
      </c>
      <c r="E152" s="2" t="s">
        <v>166</v>
      </c>
      <c r="F152" s="2" t="s">
        <v>167</v>
      </c>
      <c r="G152" s="7" t="s">
        <v>31</v>
      </c>
      <c r="H152" s="2">
        <v>1</v>
      </c>
      <c r="J152" s="9" t="s">
        <v>169</v>
      </c>
      <c r="K152" s="9" t="s">
        <v>169</v>
      </c>
      <c r="L152" s="2">
        <v>0.25</v>
      </c>
      <c r="M152" s="2">
        <v>7</v>
      </c>
      <c r="N152" s="2">
        <v>7.4</v>
      </c>
      <c r="O152" s="2" t="s">
        <v>119</v>
      </c>
      <c r="P152" s="2">
        <v>0.02</v>
      </c>
      <c r="Q152" s="2">
        <v>300</v>
      </c>
      <c r="R152" s="2" t="s">
        <v>71</v>
      </c>
      <c r="S152" s="2" t="s">
        <v>72</v>
      </c>
      <c r="U152" s="2" t="b">
        <v>0</v>
      </c>
      <c r="V152" s="13">
        <v>684600</v>
      </c>
    </row>
    <row r="153" spans="2:24" x14ac:dyDescent="0.2">
      <c r="B153" s="2" t="s">
        <v>51</v>
      </c>
      <c r="E153" s="2" t="s">
        <v>166</v>
      </c>
      <c r="F153" s="2" t="s">
        <v>167</v>
      </c>
      <c r="G153" s="7" t="s">
        <v>31</v>
      </c>
      <c r="H153" s="2">
        <v>1</v>
      </c>
      <c r="J153" s="9" t="s">
        <v>169</v>
      </c>
      <c r="K153" s="9" t="s">
        <v>169</v>
      </c>
      <c r="L153" s="2">
        <v>0.25</v>
      </c>
      <c r="M153" s="2">
        <v>7</v>
      </c>
      <c r="N153" s="2">
        <v>7.4</v>
      </c>
      <c r="O153" s="2" t="s">
        <v>119</v>
      </c>
      <c r="P153" s="2">
        <v>0.02</v>
      </c>
      <c r="Q153" s="2">
        <v>310</v>
      </c>
      <c r="R153" s="2" t="s">
        <v>71</v>
      </c>
      <c r="S153" s="2" t="s">
        <v>72</v>
      </c>
      <c r="U153" s="2" t="b">
        <v>0</v>
      </c>
      <c r="V153" s="13">
        <v>441700</v>
      </c>
    </row>
    <row r="154" spans="2:24" x14ac:dyDescent="0.2">
      <c r="B154" s="2" t="s">
        <v>51</v>
      </c>
      <c r="E154" s="2" t="s">
        <v>166</v>
      </c>
      <c r="F154" s="2" t="s">
        <v>167</v>
      </c>
      <c r="G154" s="7" t="s">
        <v>31</v>
      </c>
      <c r="H154" s="2">
        <v>1</v>
      </c>
      <c r="J154" s="9" t="s">
        <v>169</v>
      </c>
      <c r="K154" s="9" t="s">
        <v>169</v>
      </c>
      <c r="L154" s="2">
        <v>0.25</v>
      </c>
      <c r="M154" s="2">
        <v>7</v>
      </c>
      <c r="N154" s="2">
        <v>7.4</v>
      </c>
      <c r="O154" s="2" t="s">
        <v>119</v>
      </c>
      <c r="P154" s="2">
        <v>0.02</v>
      </c>
      <c r="Q154" s="2">
        <v>320</v>
      </c>
      <c r="R154" s="2" t="s">
        <v>71</v>
      </c>
      <c r="S154" s="2" t="s">
        <v>72</v>
      </c>
      <c r="U154" s="2" t="b">
        <v>0</v>
      </c>
      <c r="V154" s="13">
        <v>272200</v>
      </c>
    </row>
    <row r="155" spans="2:24" x14ac:dyDescent="0.2">
      <c r="B155" s="2" t="s">
        <v>57</v>
      </c>
      <c r="E155" s="2" t="s">
        <v>171</v>
      </c>
      <c r="F155" s="2" t="s">
        <v>172</v>
      </c>
      <c r="G155" s="7" t="s">
        <v>41</v>
      </c>
      <c r="H155" s="2">
        <v>5</v>
      </c>
      <c r="J155" s="9" t="s">
        <v>173</v>
      </c>
      <c r="K155" s="2" t="s">
        <v>70</v>
      </c>
      <c r="L155" s="2">
        <v>0.2</v>
      </c>
      <c r="M155" s="2">
        <v>10</v>
      </c>
      <c r="Q155" s="2">
        <v>310</v>
      </c>
      <c r="R155" s="2" t="s">
        <v>170</v>
      </c>
      <c r="S155" s="2" t="s">
        <v>126</v>
      </c>
      <c r="U155" s="2" t="b">
        <v>1</v>
      </c>
      <c r="V155" s="13">
        <f>1/W155</f>
        <v>32573.289902280128</v>
      </c>
      <c r="W155" s="2">
        <f>30.7/1000000</f>
        <v>3.0700000000000001E-5</v>
      </c>
      <c r="X155" s="2">
        <v>3.8</v>
      </c>
    </row>
    <row r="156" spans="2:24" x14ac:dyDescent="0.2">
      <c r="B156" s="2" t="s">
        <v>174</v>
      </c>
      <c r="E156" s="2" t="s">
        <v>171</v>
      </c>
      <c r="F156" s="2" t="s">
        <v>172</v>
      </c>
      <c r="G156" s="7" t="s">
        <v>41</v>
      </c>
      <c r="H156" s="2">
        <v>5</v>
      </c>
      <c r="J156" s="9" t="s">
        <v>173</v>
      </c>
      <c r="K156" s="2" t="s">
        <v>70</v>
      </c>
      <c r="L156" s="2">
        <v>0.2</v>
      </c>
      <c r="M156" s="2">
        <v>10</v>
      </c>
      <c r="Q156" s="2">
        <v>310</v>
      </c>
      <c r="R156" s="2" t="s">
        <v>170</v>
      </c>
      <c r="S156" s="2" t="s">
        <v>126</v>
      </c>
      <c r="U156" s="2" t="b">
        <v>1</v>
      </c>
      <c r="V156" s="13">
        <f>1/W156</f>
        <v>59880.239520958086</v>
      </c>
      <c r="W156" s="2">
        <f>16.7/1000000</f>
        <v>1.6699999999999999E-5</v>
      </c>
      <c r="X156" s="2">
        <v>3.3</v>
      </c>
    </row>
    <row r="157" spans="2:24" x14ac:dyDescent="0.2">
      <c r="B157" s="2" t="s">
        <v>46</v>
      </c>
      <c r="E157" s="2" t="s">
        <v>176</v>
      </c>
      <c r="F157" s="2" t="s">
        <v>177</v>
      </c>
      <c r="G157" s="7" t="s">
        <v>41</v>
      </c>
      <c r="H157" s="2">
        <v>130</v>
      </c>
      <c r="R157" s="2" t="s">
        <v>89</v>
      </c>
      <c r="U157" s="2" t="b">
        <v>0</v>
      </c>
      <c r="V157" s="13">
        <f>1/W157</f>
        <v>378.78787878787881</v>
      </c>
      <c r="W157" s="2">
        <v>2.64E-3</v>
      </c>
    </row>
    <row r="158" spans="2:24" x14ac:dyDescent="0.2">
      <c r="B158" s="2" t="s">
        <v>49</v>
      </c>
      <c r="E158" s="2" t="s">
        <v>176</v>
      </c>
      <c r="F158" s="2" t="s">
        <v>177</v>
      </c>
      <c r="G158" s="7" t="s">
        <v>41</v>
      </c>
      <c r="H158" s="2">
        <v>130</v>
      </c>
      <c r="R158" s="2" t="s">
        <v>89</v>
      </c>
      <c r="U158" s="2" t="b">
        <v>0</v>
      </c>
      <c r="V158" s="13">
        <f t="shared" ref="V158:V184" si="6">1/W158</f>
        <v>584.79532163742692</v>
      </c>
      <c r="W158" s="2">
        <v>1.7099999999999999E-3</v>
      </c>
    </row>
    <row r="159" spans="2:24" x14ac:dyDescent="0.2">
      <c r="B159" s="2" t="s">
        <v>29</v>
      </c>
      <c r="E159" s="2" t="s">
        <v>176</v>
      </c>
      <c r="F159" s="2" t="s">
        <v>177</v>
      </c>
      <c r="G159" s="7" t="s">
        <v>41</v>
      </c>
      <c r="H159" s="2">
        <v>130</v>
      </c>
      <c r="R159" s="2" t="s">
        <v>89</v>
      </c>
      <c r="U159" s="2" t="b">
        <v>0</v>
      </c>
      <c r="V159" s="13">
        <f t="shared" si="6"/>
        <v>1265.8227848101264</v>
      </c>
      <c r="W159" s="2">
        <v>7.9000000000000001E-4</v>
      </c>
    </row>
    <row r="160" spans="2:24" x14ac:dyDescent="0.2">
      <c r="B160" s="2" t="s">
        <v>55</v>
      </c>
      <c r="E160" s="2" t="s">
        <v>176</v>
      </c>
      <c r="F160" s="2" t="s">
        <v>177</v>
      </c>
      <c r="G160" s="7" t="s">
        <v>41</v>
      </c>
      <c r="H160" s="2">
        <v>130</v>
      </c>
      <c r="R160" s="2" t="s">
        <v>89</v>
      </c>
      <c r="U160" s="2" t="b">
        <v>0</v>
      </c>
      <c r="V160" s="13">
        <f t="shared" si="6"/>
        <v>595.2380952380953</v>
      </c>
      <c r="W160" s="2">
        <v>1.6799999999999999E-3</v>
      </c>
    </row>
    <row r="161" spans="2:23" x14ac:dyDescent="0.2">
      <c r="B161" s="2" t="s">
        <v>57</v>
      </c>
      <c r="E161" s="2" t="s">
        <v>176</v>
      </c>
      <c r="F161" s="2" t="s">
        <v>177</v>
      </c>
      <c r="G161" s="7" t="s">
        <v>41</v>
      </c>
      <c r="H161" s="2">
        <v>130</v>
      </c>
      <c r="R161" s="2" t="s">
        <v>89</v>
      </c>
      <c r="U161" s="2" t="b">
        <v>0</v>
      </c>
      <c r="V161" s="13">
        <f t="shared" si="6"/>
        <v>1449.2753623188407</v>
      </c>
      <c r="W161" s="2">
        <v>6.8999999999999997E-4</v>
      </c>
    </row>
    <row r="162" spans="2:23" x14ac:dyDescent="0.2">
      <c r="B162" s="2" t="s">
        <v>53</v>
      </c>
      <c r="E162" s="2" t="s">
        <v>176</v>
      </c>
      <c r="F162" s="2" t="s">
        <v>177</v>
      </c>
      <c r="G162" s="7" t="s">
        <v>41</v>
      </c>
      <c r="H162" s="2">
        <v>130</v>
      </c>
      <c r="R162" s="2" t="s">
        <v>89</v>
      </c>
      <c r="U162" s="2" t="b">
        <v>0</v>
      </c>
      <c r="V162" s="13">
        <f t="shared" si="6"/>
        <v>636.9426751592357</v>
      </c>
      <c r="W162" s="2">
        <v>1.57E-3</v>
      </c>
    </row>
    <row r="163" spans="2:23" x14ac:dyDescent="0.2">
      <c r="B163" s="2" t="s">
        <v>100</v>
      </c>
      <c r="E163" s="2" t="s">
        <v>176</v>
      </c>
      <c r="F163" s="2" t="s">
        <v>177</v>
      </c>
      <c r="G163" s="7" t="s">
        <v>41</v>
      </c>
      <c r="H163" s="2">
        <v>130</v>
      </c>
      <c r="R163" s="2" t="s">
        <v>89</v>
      </c>
      <c r="U163" s="2" t="b">
        <v>0</v>
      </c>
      <c r="V163" s="13">
        <f t="shared" si="6"/>
        <v>2439.0243902439024</v>
      </c>
      <c r="W163" s="2">
        <v>4.0999999999999999E-4</v>
      </c>
    </row>
    <row r="164" spans="2:23" x14ac:dyDescent="0.2">
      <c r="B164" s="2" t="s">
        <v>46</v>
      </c>
      <c r="E164" s="2" t="s">
        <v>176</v>
      </c>
      <c r="F164" s="2" t="s">
        <v>177</v>
      </c>
      <c r="G164" s="7" t="s">
        <v>31</v>
      </c>
      <c r="H164" s="2">
        <v>180</v>
      </c>
      <c r="R164" s="2" t="s">
        <v>89</v>
      </c>
      <c r="U164" s="2" t="b">
        <v>0</v>
      </c>
      <c r="V164" s="13">
        <f t="shared" si="6"/>
        <v>326.79738562091501</v>
      </c>
      <c r="W164" s="2">
        <v>3.0600000000000002E-3</v>
      </c>
    </row>
    <row r="165" spans="2:23" x14ac:dyDescent="0.2">
      <c r="B165" s="2" t="s">
        <v>49</v>
      </c>
      <c r="E165" s="2" t="s">
        <v>176</v>
      </c>
      <c r="F165" s="2" t="s">
        <v>177</v>
      </c>
      <c r="G165" s="7" t="s">
        <v>31</v>
      </c>
      <c r="H165" s="2">
        <v>180</v>
      </c>
      <c r="R165" s="2" t="s">
        <v>89</v>
      </c>
      <c r="U165" s="2" t="b">
        <v>0</v>
      </c>
      <c r="V165" s="13">
        <f t="shared" si="6"/>
        <v>460.82949308755758</v>
      </c>
      <c r="W165" s="2">
        <v>2.1700000000000001E-3</v>
      </c>
    </row>
    <row r="166" spans="2:23" x14ac:dyDescent="0.2">
      <c r="B166" s="2" t="s">
        <v>29</v>
      </c>
      <c r="E166" s="2" t="s">
        <v>176</v>
      </c>
      <c r="F166" s="2" t="s">
        <v>177</v>
      </c>
      <c r="G166" s="7" t="s">
        <v>31</v>
      </c>
      <c r="H166" s="2">
        <v>180</v>
      </c>
      <c r="R166" s="2" t="s">
        <v>89</v>
      </c>
      <c r="U166" s="2" t="b">
        <v>0</v>
      </c>
      <c r="V166" s="13">
        <f t="shared" si="6"/>
        <v>1010.1010101010102</v>
      </c>
      <c r="W166" s="2">
        <v>9.8999999999999999E-4</v>
      </c>
    </row>
    <row r="167" spans="2:23" x14ac:dyDescent="0.2">
      <c r="B167" s="2" t="s">
        <v>55</v>
      </c>
      <c r="E167" s="2" t="s">
        <v>176</v>
      </c>
      <c r="F167" s="2" t="s">
        <v>177</v>
      </c>
      <c r="G167" s="7" t="s">
        <v>31</v>
      </c>
      <c r="H167" s="2">
        <v>180</v>
      </c>
      <c r="R167" s="2" t="s">
        <v>89</v>
      </c>
      <c r="U167" s="2" t="b">
        <v>0</v>
      </c>
      <c r="V167" s="13">
        <f t="shared" si="6"/>
        <v>1250</v>
      </c>
      <c r="W167" s="2">
        <v>8.0000000000000004E-4</v>
      </c>
    </row>
    <row r="168" spans="2:23" x14ac:dyDescent="0.2">
      <c r="B168" s="2" t="s">
        <v>57</v>
      </c>
      <c r="E168" s="2" t="s">
        <v>176</v>
      </c>
      <c r="F168" s="2" t="s">
        <v>177</v>
      </c>
      <c r="G168" s="7" t="s">
        <v>31</v>
      </c>
      <c r="H168" s="2">
        <v>180</v>
      </c>
      <c r="R168" s="2" t="s">
        <v>89</v>
      </c>
      <c r="U168" s="2" t="b">
        <v>0</v>
      </c>
      <c r="V168" s="13">
        <f t="shared" si="6"/>
        <v>1162.7906976744187</v>
      </c>
      <c r="W168" s="2">
        <v>8.5999999999999998E-4</v>
      </c>
    </row>
    <row r="169" spans="2:23" x14ac:dyDescent="0.2">
      <c r="B169" s="2" t="s">
        <v>53</v>
      </c>
      <c r="E169" s="2" t="s">
        <v>176</v>
      </c>
      <c r="F169" s="2" t="s">
        <v>177</v>
      </c>
      <c r="G169" s="7" t="s">
        <v>31</v>
      </c>
      <c r="H169" s="2">
        <v>180</v>
      </c>
      <c r="R169" s="2" t="s">
        <v>89</v>
      </c>
      <c r="U169" s="2" t="b">
        <v>0</v>
      </c>
      <c r="V169" s="13">
        <f t="shared" si="6"/>
        <v>392.15686274509807</v>
      </c>
      <c r="W169" s="2">
        <v>2.5499999999999997E-3</v>
      </c>
    </row>
    <row r="170" spans="2:23" x14ac:dyDescent="0.2">
      <c r="B170" s="2" t="s">
        <v>100</v>
      </c>
      <c r="E170" s="2" t="s">
        <v>176</v>
      </c>
      <c r="F170" s="2" t="s">
        <v>177</v>
      </c>
      <c r="G170" s="7" t="s">
        <v>31</v>
      </c>
      <c r="H170" s="2">
        <v>180</v>
      </c>
      <c r="R170" s="2" t="s">
        <v>89</v>
      </c>
      <c r="U170" s="2" t="b">
        <v>0</v>
      </c>
      <c r="V170" s="13">
        <f t="shared" si="6"/>
        <v>719.42446043165467</v>
      </c>
      <c r="W170" s="2">
        <v>1.39E-3</v>
      </c>
    </row>
    <row r="171" spans="2:23" x14ac:dyDescent="0.2">
      <c r="B171" s="2" t="s">
        <v>46</v>
      </c>
      <c r="E171" s="2" t="s">
        <v>176</v>
      </c>
      <c r="F171" s="2" t="s">
        <v>177</v>
      </c>
      <c r="G171" s="2" t="s">
        <v>178</v>
      </c>
      <c r="H171" s="2">
        <v>110</v>
      </c>
      <c r="R171" s="2" t="s">
        <v>89</v>
      </c>
      <c r="U171" s="2" t="b">
        <v>0</v>
      </c>
      <c r="V171" s="13">
        <f t="shared" si="6"/>
        <v>781.24999999999989</v>
      </c>
      <c r="W171" s="2">
        <v>1.2800000000000001E-3</v>
      </c>
    </row>
    <row r="172" spans="2:23" x14ac:dyDescent="0.2">
      <c r="B172" s="2" t="s">
        <v>49</v>
      </c>
      <c r="E172" s="2" t="s">
        <v>176</v>
      </c>
      <c r="F172" s="2" t="s">
        <v>177</v>
      </c>
      <c r="G172" s="2" t="s">
        <v>178</v>
      </c>
      <c r="H172" s="2">
        <v>110</v>
      </c>
      <c r="R172" s="2" t="s">
        <v>89</v>
      </c>
      <c r="U172" s="2" t="b">
        <v>0</v>
      </c>
      <c r="V172" s="13">
        <f t="shared" si="6"/>
        <v>1052.6315789473683</v>
      </c>
      <c r="W172" s="2">
        <v>9.5E-4</v>
      </c>
    </row>
    <row r="173" spans="2:23" x14ac:dyDescent="0.2">
      <c r="B173" s="2" t="s">
        <v>29</v>
      </c>
      <c r="E173" s="2" t="s">
        <v>176</v>
      </c>
      <c r="F173" s="2" t="s">
        <v>177</v>
      </c>
      <c r="G173" s="2" t="s">
        <v>178</v>
      </c>
      <c r="H173" s="2">
        <v>110</v>
      </c>
      <c r="R173" s="2" t="s">
        <v>89</v>
      </c>
      <c r="U173" s="2" t="b">
        <v>0</v>
      </c>
      <c r="V173" s="13">
        <f t="shared" si="6"/>
        <v>2702.7027027027029</v>
      </c>
      <c r="W173" s="2">
        <v>3.6999999999999999E-4</v>
      </c>
    </row>
    <row r="174" spans="2:23" x14ac:dyDescent="0.2">
      <c r="B174" s="2" t="s">
        <v>55</v>
      </c>
      <c r="E174" s="2" t="s">
        <v>176</v>
      </c>
      <c r="F174" s="2" t="s">
        <v>177</v>
      </c>
      <c r="G174" s="2" t="s">
        <v>178</v>
      </c>
      <c r="H174" s="2">
        <v>110</v>
      </c>
      <c r="R174" s="2" t="s">
        <v>89</v>
      </c>
      <c r="U174" s="2" t="b">
        <v>0</v>
      </c>
      <c r="V174" s="13">
        <f t="shared" si="6"/>
        <v>800</v>
      </c>
      <c r="W174" s="2">
        <v>1.25E-3</v>
      </c>
    </row>
    <row r="175" spans="2:23" x14ac:dyDescent="0.2">
      <c r="B175" s="2" t="s">
        <v>57</v>
      </c>
      <c r="E175" s="2" t="s">
        <v>176</v>
      </c>
      <c r="F175" s="2" t="s">
        <v>177</v>
      </c>
      <c r="G175" s="2" t="s">
        <v>178</v>
      </c>
      <c r="H175" s="2">
        <v>110</v>
      </c>
      <c r="R175" s="2" t="s">
        <v>89</v>
      </c>
      <c r="U175" s="2" t="b">
        <v>0</v>
      </c>
      <c r="V175" s="13">
        <f t="shared" si="6"/>
        <v>2631.5789473684208</v>
      </c>
      <c r="W175" s="2">
        <v>3.8000000000000002E-4</v>
      </c>
    </row>
    <row r="176" spans="2:23" x14ac:dyDescent="0.2">
      <c r="B176" s="2" t="s">
        <v>53</v>
      </c>
      <c r="E176" s="2" t="s">
        <v>176</v>
      </c>
      <c r="F176" s="2" t="s">
        <v>177</v>
      </c>
      <c r="G176" s="2" t="s">
        <v>178</v>
      </c>
      <c r="H176" s="2">
        <v>110</v>
      </c>
      <c r="R176" s="2" t="s">
        <v>89</v>
      </c>
      <c r="U176" s="2" t="b">
        <v>0</v>
      </c>
      <c r="V176" s="13">
        <f t="shared" si="6"/>
        <v>471.69811320754718</v>
      </c>
      <c r="W176" s="2">
        <v>2.1199999999999999E-3</v>
      </c>
    </row>
    <row r="177" spans="2:23" x14ac:dyDescent="0.2">
      <c r="B177" s="2" t="s">
        <v>100</v>
      </c>
      <c r="E177" s="2" t="s">
        <v>176</v>
      </c>
      <c r="F177" s="2" t="s">
        <v>177</v>
      </c>
      <c r="G177" s="2" t="s">
        <v>178</v>
      </c>
      <c r="H177" s="2">
        <v>110</v>
      </c>
      <c r="R177" s="2" t="s">
        <v>89</v>
      </c>
      <c r="U177" s="2" t="b">
        <v>0</v>
      </c>
      <c r="V177" s="13">
        <f t="shared" si="6"/>
        <v>1923.0769230769229</v>
      </c>
      <c r="W177" s="2">
        <v>5.2000000000000006E-4</v>
      </c>
    </row>
    <row r="178" spans="2:23" x14ac:dyDescent="0.2">
      <c r="B178" s="2" t="s">
        <v>46</v>
      </c>
      <c r="E178" s="2" t="s">
        <v>176</v>
      </c>
      <c r="F178" s="2" t="s">
        <v>177</v>
      </c>
      <c r="G178" s="7" t="s">
        <v>75</v>
      </c>
      <c r="H178" s="2">
        <v>180</v>
      </c>
      <c r="R178" s="2" t="s">
        <v>89</v>
      </c>
      <c r="U178" s="2" t="b">
        <v>0</v>
      </c>
      <c r="V178" s="13">
        <f t="shared" si="6"/>
        <v>526.31578947368416</v>
      </c>
      <c r="W178" s="2">
        <v>1.9E-3</v>
      </c>
    </row>
    <row r="179" spans="2:23" x14ac:dyDescent="0.2">
      <c r="B179" s="2" t="s">
        <v>49</v>
      </c>
      <c r="E179" s="2" t="s">
        <v>176</v>
      </c>
      <c r="F179" s="2" t="s">
        <v>177</v>
      </c>
      <c r="G179" s="7" t="s">
        <v>75</v>
      </c>
      <c r="H179" s="2">
        <v>180</v>
      </c>
      <c r="R179" s="2" t="s">
        <v>89</v>
      </c>
      <c r="U179" s="2" t="b">
        <v>0</v>
      </c>
      <c r="V179" s="13">
        <f t="shared" si="6"/>
        <v>751.87969924812035</v>
      </c>
      <c r="W179" s="2">
        <v>1.33E-3</v>
      </c>
    </row>
    <row r="180" spans="2:23" x14ac:dyDescent="0.2">
      <c r="B180" s="2" t="s">
        <v>29</v>
      </c>
      <c r="E180" s="2" t="s">
        <v>176</v>
      </c>
      <c r="F180" s="2" t="s">
        <v>177</v>
      </c>
      <c r="G180" s="7" t="s">
        <v>75</v>
      </c>
      <c r="H180" s="2">
        <v>180</v>
      </c>
      <c r="R180" s="2" t="s">
        <v>89</v>
      </c>
      <c r="U180" s="2" t="b">
        <v>0</v>
      </c>
      <c r="V180" s="13">
        <f t="shared" si="6"/>
        <v>2500</v>
      </c>
      <c r="W180" s="2">
        <v>4.0000000000000002E-4</v>
      </c>
    </row>
    <row r="181" spans="2:23" x14ac:dyDescent="0.2">
      <c r="B181" s="2" t="s">
        <v>55</v>
      </c>
      <c r="E181" s="2" t="s">
        <v>176</v>
      </c>
      <c r="F181" s="2" t="s">
        <v>177</v>
      </c>
      <c r="G181" s="7" t="s">
        <v>75</v>
      </c>
      <c r="H181" s="2">
        <v>180</v>
      </c>
      <c r="R181" s="2" t="s">
        <v>89</v>
      </c>
      <c r="U181" s="2" t="b">
        <v>0</v>
      </c>
      <c r="V181" s="13">
        <f t="shared" si="6"/>
        <v>709.21985815602841</v>
      </c>
      <c r="W181" s="2">
        <v>1.41E-3</v>
      </c>
    </row>
    <row r="182" spans="2:23" x14ac:dyDescent="0.2">
      <c r="B182" s="2" t="s">
        <v>57</v>
      </c>
      <c r="E182" s="2" t="s">
        <v>176</v>
      </c>
      <c r="F182" s="2" t="s">
        <v>177</v>
      </c>
      <c r="G182" s="7" t="s">
        <v>75</v>
      </c>
      <c r="H182" s="2">
        <v>180</v>
      </c>
      <c r="R182" s="2" t="s">
        <v>89</v>
      </c>
      <c r="U182" s="2" t="b">
        <v>0</v>
      </c>
      <c r="V182" s="13">
        <f t="shared" si="6"/>
        <v>2380.9523809523812</v>
      </c>
      <c r="W182" s="2">
        <v>4.1999999999999996E-4</v>
      </c>
    </row>
    <row r="183" spans="2:23" x14ac:dyDescent="0.2">
      <c r="B183" s="2" t="s">
        <v>53</v>
      </c>
      <c r="E183" s="2" t="s">
        <v>176</v>
      </c>
      <c r="F183" s="2" t="s">
        <v>177</v>
      </c>
      <c r="G183" s="7" t="s">
        <v>75</v>
      </c>
      <c r="H183" s="2">
        <v>180</v>
      </c>
      <c r="R183" s="2" t="s">
        <v>89</v>
      </c>
      <c r="U183" s="2" t="b">
        <v>0</v>
      </c>
      <c r="V183" s="13">
        <f t="shared" si="6"/>
        <v>609.7560975609756</v>
      </c>
      <c r="W183" s="2">
        <v>1.64E-3</v>
      </c>
    </row>
    <row r="184" spans="2:23" x14ac:dyDescent="0.2">
      <c r="B184" s="2" t="s">
        <v>100</v>
      </c>
      <c r="E184" s="2" t="s">
        <v>176</v>
      </c>
      <c r="F184" s="2" t="s">
        <v>177</v>
      </c>
      <c r="G184" s="7" t="s">
        <v>75</v>
      </c>
      <c r="H184" s="2">
        <v>180</v>
      </c>
      <c r="R184" s="2" t="s">
        <v>89</v>
      </c>
      <c r="U184" s="2" t="b">
        <v>0</v>
      </c>
      <c r="V184" s="13">
        <f t="shared" si="6"/>
        <v>3030.3030303030305</v>
      </c>
      <c r="W184" s="2">
        <v>3.3E-4</v>
      </c>
    </row>
  </sheetData>
  <hyperlinks>
    <hyperlink ref="F2" r:id="rId1" display="https://doi.org/10.1021/es101334s" xr:uid="{00000000-0004-0000-0000-000000000000}"/>
    <hyperlink ref="F3" r:id="rId2" display="https://doi.org/10.1021/es101334s" xr:uid="{00000000-0004-0000-0000-000001000000}"/>
    <hyperlink ref="F4" r:id="rId3" display="https://doi.org/10.1021/es101334s" xr:uid="{00000000-0004-0000-0000-000002000000}"/>
    <hyperlink ref="F5" r:id="rId4" display="https://doi.org/10.1021/es101334s" xr:uid="{00000000-0004-0000-0000-000003000000}"/>
    <hyperlink ref="F6" r:id="rId5" display="https://doi.org/10.1021/es101334s" xr:uid="{00000000-0004-0000-0000-000004000000}"/>
    <hyperlink ref="F7" r:id="rId6" display="https://doi.org/10.1021/es101334s" xr:uid="{00000000-0004-0000-0000-000005000000}"/>
    <hyperlink ref="F8" r:id="rId7" display="https://doi.org/10.1021/es101334s" xr:uid="{00000000-0004-0000-0000-000006000000}"/>
    <hyperlink ref="F9" r:id="rId8" display="https://doi.org/10.1021/es101334s" xr:uid="{00000000-0004-0000-0000-000007000000}"/>
  </hyperlinks>
  <pageMargins left="0.7" right="0.7" top="0.75" bottom="0.75" header="0.3" footer="0.3"/>
  <pageSetup orientation="portrait" horizontalDpi="360" verticalDpi="360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"/>
  <sheetViews>
    <sheetView workbookViewId="0">
      <selection sqref="A1:B17"/>
    </sheetView>
  </sheetViews>
  <sheetFormatPr baseColWidth="10" defaultColWidth="8.83203125" defaultRowHeight="15" x14ac:dyDescent="0.2"/>
  <sheetData>
    <row r="1" spans="1:2" x14ac:dyDescent="0.2">
      <c r="A1" s="3" t="s">
        <v>3</v>
      </c>
      <c r="B1" s="3" t="s">
        <v>142</v>
      </c>
    </row>
    <row r="2" spans="1:2" x14ac:dyDescent="0.2">
      <c r="A2" s="4" t="s">
        <v>18</v>
      </c>
      <c r="B2" s="3" t="s">
        <v>143</v>
      </c>
    </row>
    <row r="3" spans="1:2" ht="18" x14ac:dyDescent="0.25">
      <c r="A3" s="3" t="s">
        <v>19</v>
      </c>
      <c r="B3" s="3" t="s">
        <v>144</v>
      </c>
    </row>
    <row r="4" spans="1:2" ht="18" x14ac:dyDescent="0.25">
      <c r="A4" s="5" t="s">
        <v>20</v>
      </c>
      <c r="B4" s="3" t="s">
        <v>145</v>
      </c>
    </row>
    <row r="5" spans="1:2" x14ac:dyDescent="0.2">
      <c r="A5" s="4" t="s">
        <v>21</v>
      </c>
      <c r="B5" s="3" t="s">
        <v>146</v>
      </c>
    </row>
    <row r="6" spans="1:2" x14ac:dyDescent="0.2">
      <c r="A6" s="4" t="s">
        <v>147</v>
      </c>
      <c r="B6" s="3" t="s">
        <v>148</v>
      </c>
    </row>
    <row r="7" spans="1:2" ht="18" x14ac:dyDescent="0.25">
      <c r="A7" s="4" t="s">
        <v>22</v>
      </c>
      <c r="B7" s="3" t="s">
        <v>149</v>
      </c>
    </row>
    <row r="8" spans="1:2" ht="18" x14ac:dyDescent="0.25">
      <c r="A8" s="4" t="s">
        <v>23</v>
      </c>
      <c r="B8" s="3" t="s">
        <v>150</v>
      </c>
    </row>
    <row r="9" spans="1:2" ht="18" x14ac:dyDescent="0.25">
      <c r="A9" s="4" t="s">
        <v>24</v>
      </c>
      <c r="B9" s="3" t="s">
        <v>151</v>
      </c>
    </row>
    <row r="10" spans="1:2" ht="18" x14ac:dyDescent="0.25">
      <c r="A10" s="4" t="s">
        <v>152</v>
      </c>
      <c r="B10" s="3" t="s">
        <v>153</v>
      </c>
    </row>
    <row r="11" spans="1:2" x14ac:dyDescent="0.2">
      <c r="A11" s="3" t="s">
        <v>26</v>
      </c>
      <c r="B11" s="3" t="s">
        <v>154</v>
      </c>
    </row>
    <row r="12" spans="1:2" x14ac:dyDescent="0.2">
      <c r="A12" s="4" t="s">
        <v>155</v>
      </c>
      <c r="B12" s="6" t="s">
        <v>156</v>
      </c>
    </row>
    <row r="13" spans="1:2" x14ac:dyDescent="0.2">
      <c r="A13" s="4" t="s">
        <v>157</v>
      </c>
      <c r="B13" s="3" t="s">
        <v>158</v>
      </c>
    </row>
    <row r="14" spans="1:2" x14ac:dyDescent="0.2">
      <c r="A14" s="4" t="s">
        <v>63</v>
      </c>
      <c r="B14" s="6" t="s">
        <v>159</v>
      </c>
    </row>
    <row r="15" spans="1:2" x14ac:dyDescent="0.2">
      <c r="A15" s="4" t="s">
        <v>160</v>
      </c>
      <c r="B15" s="3" t="s">
        <v>161</v>
      </c>
    </row>
    <row r="16" spans="1:2" x14ac:dyDescent="0.2">
      <c r="A16" s="4" t="s">
        <v>162</v>
      </c>
      <c r="B16" s="6" t="s">
        <v>163</v>
      </c>
    </row>
    <row r="17" spans="1:2" x14ac:dyDescent="0.2">
      <c r="A17" s="4" t="s">
        <v>164</v>
      </c>
      <c r="B17" s="6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Periklis Tsiros</dc:creator>
  <cp:lastModifiedBy>Vassilis Minadakis</cp:lastModifiedBy>
  <dcterms:created xsi:type="dcterms:W3CDTF">2024-03-27T13:07:09Z</dcterms:created>
  <dcterms:modified xsi:type="dcterms:W3CDTF">2024-04-26T13:14:35Z</dcterms:modified>
</cp:coreProperties>
</file>