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avinda\Trading\ASTA\ASTA KANNADA\FOME\"/>
    </mc:Choice>
  </mc:AlternateContent>
  <xr:revisionPtr revIDLastSave="0" documentId="8_{BF2BF6BE-FEA1-42A2-A467-6344EF5A8955}" xr6:coauthVersionLast="47" xr6:coauthVersionMax="47" xr10:uidLastSave="{00000000-0000-0000-0000-000000000000}"/>
  <bookViews>
    <workbookView xWindow="-108" yWindow="-108" windowWidth="23256" windowHeight="12456" xr2:uid="{603DA828-E649-4C9E-861B-FC847DEBE61F}"/>
  </bookViews>
  <sheets>
    <sheet name="3G24" sheetId="1" r:id="rId1"/>
    <sheet name="When Strateg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8" i="1" l="1"/>
  <c r="J408" i="1"/>
  <c r="J409" i="1" s="1"/>
  <c r="K409" i="1" s="1"/>
  <c r="K406" i="1"/>
  <c r="K399" i="1"/>
  <c r="K401" i="1" s="1"/>
  <c r="I399" i="1"/>
  <c r="I400" i="1" s="1"/>
  <c r="J400" i="1" s="1"/>
  <c r="K398" i="1"/>
  <c r="K397" i="1"/>
  <c r="I389" i="1"/>
  <c r="I390" i="1" s="1"/>
  <c r="J386" i="1"/>
  <c r="M385" i="1"/>
  <c r="L385" i="1"/>
  <c r="L384" i="1"/>
  <c r="L383" i="1"/>
  <c r="N378" i="1"/>
  <c r="O378" i="1" s="1"/>
  <c r="L378" i="1"/>
  <c r="L381" i="1" s="1"/>
  <c r="J378" i="1"/>
  <c r="J379" i="1" s="1"/>
  <c r="N377" i="1"/>
  <c r="N376" i="1"/>
  <c r="I372" i="1"/>
  <c r="J372" i="1" s="1"/>
  <c r="I371" i="1"/>
  <c r="J371" i="1" s="1"/>
  <c r="I370" i="1"/>
  <c r="I369" i="1"/>
  <c r="L368" i="1"/>
  <c r="L367" i="1"/>
  <c r="L369" i="1" s="1"/>
  <c r="M369" i="1" s="1"/>
  <c r="L346" i="1"/>
  <c r="L347" i="1" s="1"/>
  <c r="H350" i="1" s="1"/>
  <c r="J346" i="1"/>
  <c r="L345" i="1"/>
  <c r="J345" i="1"/>
  <c r="O312" i="1"/>
  <c r="M313" i="1" s="1"/>
  <c r="O313" i="1" s="1"/>
  <c r="M314" i="1" s="1"/>
  <c r="O314" i="1" s="1"/>
  <c r="M312" i="1"/>
  <c r="O311" i="1"/>
  <c r="M311" i="1"/>
  <c r="H310" i="1"/>
  <c r="J306" i="1"/>
  <c r="I304" i="1"/>
  <c r="L302" i="1"/>
  <c r="N302" i="1" s="1"/>
  <c r="N301" i="1"/>
  <c r="L301" i="1"/>
  <c r="J292" i="1"/>
  <c r="N292" i="1" s="1"/>
  <c r="O292" i="1" s="1"/>
  <c r="N290" i="1"/>
  <c r="M287" i="1"/>
  <c r="N287" i="1" s="1"/>
  <c r="N286" i="1"/>
  <c r="M286" i="1"/>
  <c r="N282" i="1"/>
  <c r="M282" i="1"/>
  <c r="L268" i="1"/>
  <c r="N267" i="1"/>
  <c r="L267" i="1"/>
  <c r="L269" i="1" s="1"/>
  <c r="O266" i="1"/>
  <c r="N266" i="1"/>
  <c r="O265" i="1"/>
  <c r="N265" i="1"/>
  <c r="M263" i="1"/>
  <c r="N263" i="1" s="1"/>
  <c r="P266" i="1" s="1"/>
  <c r="P267" i="1" s="1"/>
  <c r="L255" i="1"/>
  <c r="M255" i="1" s="1"/>
  <c r="L254" i="1"/>
  <c r="I250" i="1"/>
  <c r="J248" i="1" s="1"/>
  <c r="J249" i="1"/>
  <c r="G214" i="1"/>
  <c r="H213" i="1"/>
  <c r="H212" i="1"/>
  <c r="C187" i="1"/>
  <c r="C186" i="1"/>
  <c r="I181" i="1"/>
  <c r="I180" i="1"/>
  <c r="I179" i="1"/>
  <c r="G179" i="1"/>
  <c r="I171" i="1"/>
  <c r="G171" i="1"/>
  <c r="I170" i="1"/>
  <c r="I169" i="1"/>
  <c r="G169" i="1"/>
  <c r="G170" i="1" s="1"/>
  <c r="C168" i="1"/>
  <c r="C167" i="1"/>
  <c r="D160" i="1"/>
  <c r="D159" i="1"/>
  <c r="B147" i="1"/>
  <c r="B146" i="1"/>
  <c r="E124" i="1"/>
  <c r="M102" i="1"/>
  <c r="J102" i="1"/>
  <c r="J101" i="1"/>
  <c r="M101" i="1" s="1"/>
  <c r="J100" i="1"/>
  <c r="M100" i="1" s="1"/>
  <c r="E97" i="1"/>
  <c r="F94" i="1" s="1"/>
  <c r="E96" i="1"/>
  <c r="F95" i="1"/>
  <c r="E94" i="1"/>
  <c r="E91" i="1"/>
  <c r="C75" i="1"/>
  <c r="G72" i="1"/>
  <c r="E72" i="1"/>
  <c r="G71" i="1"/>
  <c r="G73" i="1" s="1"/>
  <c r="G74" i="1" s="1"/>
  <c r="H74" i="1" s="1"/>
  <c r="E71" i="1"/>
  <c r="C68" i="1"/>
  <c r="C67" i="1"/>
  <c r="H59" i="1"/>
  <c r="I59" i="1" s="1"/>
  <c r="J59" i="1" s="1"/>
  <c r="F59" i="1"/>
  <c r="H58" i="1"/>
  <c r="I58" i="1" s="1"/>
  <c r="J58" i="1" s="1"/>
  <c r="F58" i="1"/>
  <c r="H57" i="1"/>
  <c r="I57" i="1" s="1"/>
  <c r="J57" i="1" s="1"/>
  <c r="F57" i="1"/>
  <c r="E53" i="1"/>
  <c r="E52" i="1"/>
  <c r="E51" i="1"/>
  <c r="E50" i="1"/>
  <c r="E49" i="1"/>
  <c r="E48" i="1"/>
  <c r="E47" i="1"/>
  <c r="D42" i="1"/>
  <c r="D41" i="1"/>
  <c r="C39" i="1"/>
  <c r="L270" i="1" l="1"/>
  <c r="N270" i="1" s="1"/>
  <c r="N269" i="1"/>
  <c r="N271" i="1" s="1"/>
  <c r="J274" i="1"/>
  <c r="J273" i="1"/>
</calcChain>
</file>

<file path=xl/sharedStrings.xml><?xml version="1.0" encoding="utf-8"?>
<sst xmlns="http://schemas.openxmlformats.org/spreadsheetml/2006/main" count="829" uniqueCount="480">
  <si>
    <t>Option Chain</t>
  </si>
  <si>
    <t>Weekly</t>
  </si>
  <si>
    <t>Nifty &amp; Sensex</t>
  </si>
  <si>
    <t>Option Greeks</t>
  </si>
  <si>
    <t>Delta</t>
  </si>
  <si>
    <t>Monthly</t>
  </si>
  <si>
    <t>All Stock Futures, Indicies Futures, Banknifty, Finnifty, Midcapnifty, Crudeoil, Natural gas, Copper, Aluminum, Nikel</t>
  </si>
  <si>
    <t>Quarterly</t>
  </si>
  <si>
    <t>Gold and Silver</t>
  </si>
  <si>
    <t>Exchange</t>
  </si>
  <si>
    <t>NSE &amp; BSE</t>
  </si>
  <si>
    <t>Stocks</t>
  </si>
  <si>
    <t>9.15-3.30</t>
  </si>
  <si>
    <t>MCX</t>
  </si>
  <si>
    <t>Commodities</t>
  </si>
  <si>
    <t>9-11.30 (11.50)</t>
  </si>
  <si>
    <t>ATM &amp; OTM strike options will become zero on expiry</t>
  </si>
  <si>
    <t>ITM strike option will have IV on expiry</t>
  </si>
  <si>
    <t>Before expiry ITM will have IV and TV</t>
  </si>
  <si>
    <t>Difference between the strike is called spread</t>
  </si>
  <si>
    <t>Nifty has 50 strike or spread</t>
  </si>
  <si>
    <t>Rate of change of premium with respect to spot movment</t>
  </si>
  <si>
    <t>If the delta is 0.5, then price moves half of what spot moves</t>
  </si>
  <si>
    <t>Futures will always have Delta 1</t>
  </si>
  <si>
    <t>Reliance</t>
  </si>
  <si>
    <t>Options</t>
  </si>
  <si>
    <t>Tomorrow if Reliance moves by 100 point, then each strike will move with delta</t>
  </si>
  <si>
    <t>ATM</t>
  </si>
  <si>
    <t>0.5-0.55</t>
  </si>
  <si>
    <t>Moderate</t>
  </si>
  <si>
    <t>ATM will have 0.5 to 0.55 delta</t>
  </si>
  <si>
    <t>ITM</t>
  </si>
  <si>
    <t>0.55-1</t>
  </si>
  <si>
    <t>More move</t>
  </si>
  <si>
    <t>If the price moves by 100 points</t>
  </si>
  <si>
    <t>OTM</t>
  </si>
  <si>
    <t>0.5-0.05</t>
  </si>
  <si>
    <t>Less move</t>
  </si>
  <si>
    <t>ATM Strike</t>
  </si>
  <si>
    <t>Then ATM strike moves by 50 points</t>
  </si>
  <si>
    <t>Delta 0.5</t>
  </si>
  <si>
    <t>1 ITM</t>
  </si>
  <si>
    <t>0.55-0.6</t>
  </si>
  <si>
    <t>2 ITM</t>
  </si>
  <si>
    <t>0.6-0.65</t>
  </si>
  <si>
    <t>DEEP ITM</t>
  </si>
  <si>
    <t>Delta might reach 1, then it will act like a futures</t>
  </si>
  <si>
    <t>Nifty</t>
  </si>
  <si>
    <t>Spot moved by 50 points</t>
  </si>
  <si>
    <t>It will be move by 0.5 delta which means in this example it moves by 25 points</t>
  </si>
  <si>
    <t>Delta is 0.5</t>
  </si>
  <si>
    <t>24650CE</t>
  </si>
  <si>
    <t>24650PE</t>
  </si>
  <si>
    <t>Spot</t>
  </si>
  <si>
    <t>100 points moved up</t>
  </si>
  <si>
    <t>Strike</t>
  </si>
  <si>
    <t>Premium will move by</t>
  </si>
  <si>
    <t>Advatnage for buying</t>
  </si>
  <si>
    <t>Less delta is advantage for sellers</t>
  </si>
  <si>
    <t>Bajaj finance</t>
  </si>
  <si>
    <t>Premium</t>
  </si>
  <si>
    <t>Lot Size</t>
  </si>
  <si>
    <t>Margin</t>
  </si>
  <si>
    <t>Target 121</t>
  </si>
  <si>
    <t>Profit</t>
  </si>
  <si>
    <t>ROI</t>
  </si>
  <si>
    <t>6900CE</t>
  </si>
  <si>
    <t>7000CE</t>
  </si>
  <si>
    <t>7100CE</t>
  </si>
  <si>
    <t>IV Of 24600CE</t>
  </si>
  <si>
    <t>Spot - Strike</t>
  </si>
  <si>
    <t>IV</t>
  </si>
  <si>
    <t>Remaining is TV</t>
  </si>
  <si>
    <t>TV</t>
  </si>
  <si>
    <t>CE IV</t>
  </si>
  <si>
    <t>PE IV</t>
  </si>
  <si>
    <t>Derivatives Market</t>
  </si>
  <si>
    <t>Portfolio pledging</t>
  </si>
  <si>
    <t>Futures</t>
  </si>
  <si>
    <t>You have portfolio</t>
  </si>
  <si>
    <t>You have 5-10 Stocks which has grown now to 5L</t>
  </si>
  <si>
    <t>When you pledge, your stocks are not sold</t>
  </si>
  <si>
    <t>Broker will give appropriate amount with interest</t>
  </si>
  <si>
    <t>You have to use for option selling</t>
  </si>
  <si>
    <t>Ultratech Cement</t>
  </si>
  <si>
    <t>Capital</t>
  </si>
  <si>
    <t>Entry</t>
  </si>
  <si>
    <t>SL</t>
  </si>
  <si>
    <t>Risk</t>
  </si>
  <si>
    <t>Investment</t>
  </si>
  <si>
    <t>Patience</t>
  </si>
  <si>
    <t>Reward</t>
  </si>
  <si>
    <t>Skill</t>
  </si>
  <si>
    <t>Faith</t>
  </si>
  <si>
    <t>Knowledge</t>
  </si>
  <si>
    <t>BEP</t>
  </si>
  <si>
    <t>Your entry itself is BEP</t>
  </si>
  <si>
    <t>Silver</t>
  </si>
  <si>
    <t>Stocks, Indices and Commodities</t>
  </si>
  <si>
    <t>Silver Mini</t>
  </si>
  <si>
    <r>
      <t xml:space="preserve">You can trade in </t>
    </r>
    <r>
      <rPr>
        <b/>
        <sz val="14"/>
        <color theme="1"/>
        <rFont val="Calibri"/>
        <family val="2"/>
        <scheme val="minor"/>
      </rPr>
      <t>both the driection</t>
    </r>
    <r>
      <rPr>
        <sz val="14"/>
        <color theme="1"/>
        <rFont val="Calibri"/>
        <family val="2"/>
        <scheme val="minor"/>
      </rPr>
      <t xml:space="preserve"> (Bullish &amp; Bearish)</t>
    </r>
  </si>
  <si>
    <t>Siver Micro</t>
  </si>
  <si>
    <t>It will expiry, mainyl monthly (Gold and Silver has 3 months expiry)</t>
  </si>
  <si>
    <r>
      <t xml:space="preserve">Stock and Indicies are traded in </t>
    </r>
    <r>
      <rPr>
        <b/>
        <sz val="14"/>
        <color theme="1"/>
        <rFont val="Calibri"/>
        <family val="2"/>
        <scheme val="minor"/>
      </rPr>
      <t>NSE</t>
    </r>
    <r>
      <rPr>
        <sz val="14"/>
        <color theme="1"/>
        <rFont val="Calibri"/>
        <family val="2"/>
        <scheme val="minor"/>
      </rPr>
      <t xml:space="preserve"> exchange</t>
    </r>
  </si>
  <si>
    <r>
      <t xml:space="preserve">Commodities are tarded in </t>
    </r>
    <r>
      <rPr>
        <b/>
        <sz val="14"/>
        <color theme="1"/>
        <rFont val="Calibri"/>
        <family val="2"/>
        <scheme val="minor"/>
      </rPr>
      <t>MCX</t>
    </r>
    <r>
      <rPr>
        <sz val="14"/>
        <color theme="1"/>
        <rFont val="Calibri"/>
        <family val="2"/>
        <scheme val="minor"/>
      </rPr>
      <t xml:space="preserve"> exchange</t>
    </r>
  </si>
  <si>
    <t>We need margin money to trade</t>
  </si>
  <si>
    <t>VIEW</t>
  </si>
  <si>
    <t>Buying</t>
  </si>
  <si>
    <t>Seller</t>
  </si>
  <si>
    <t>Buyer</t>
  </si>
  <si>
    <t>LTP</t>
  </si>
  <si>
    <t>Last trade price</t>
  </si>
  <si>
    <t>CALL</t>
  </si>
  <si>
    <t>Bullish</t>
  </si>
  <si>
    <t>Bearish</t>
  </si>
  <si>
    <t>We pay premium (Money goes out of our pocket)</t>
  </si>
  <si>
    <t>PUT</t>
  </si>
  <si>
    <r>
      <t xml:space="preserve">Options are used to make money in all the </t>
    </r>
    <r>
      <rPr>
        <b/>
        <sz val="14"/>
        <color theme="1"/>
        <rFont val="Calibri"/>
        <family val="2"/>
        <scheme val="minor"/>
      </rPr>
      <t>3 directions</t>
    </r>
    <r>
      <rPr>
        <sz val="14"/>
        <color theme="1"/>
        <rFont val="Calibri"/>
        <family val="2"/>
        <scheme val="minor"/>
      </rPr>
      <t xml:space="preserve"> of the market</t>
    </r>
  </si>
  <si>
    <t>3 Directions: Bullish, Bearish &amp; Sideways</t>
  </si>
  <si>
    <t>Margin benefit</t>
  </si>
  <si>
    <t>ATM, ITM and OTM</t>
  </si>
  <si>
    <t>Expiry</t>
  </si>
  <si>
    <t>Weekly &amp; Monthly</t>
  </si>
  <si>
    <t>Intrinsic value + Time value</t>
  </si>
  <si>
    <t>Time value become zero on expiry</t>
  </si>
  <si>
    <t>Open Interest</t>
  </si>
  <si>
    <t>Understand in sellers perspective</t>
  </si>
  <si>
    <t>BUYER</t>
  </si>
  <si>
    <t>Option Buyer</t>
  </si>
  <si>
    <t>CALL (CE)</t>
  </si>
  <si>
    <t>View Is Bullish</t>
  </si>
  <si>
    <t>As a bull I buy CE</t>
  </si>
  <si>
    <t>View is Bearish</t>
  </si>
  <si>
    <t>Loss is limited to premium paid</t>
  </si>
  <si>
    <t>Profit is unlimited</t>
  </si>
  <si>
    <t>Debit - Buyer pay upfront premium</t>
  </si>
  <si>
    <t>I am buying ATM CE</t>
  </si>
  <si>
    <t>ATM will have 0.5 Delta</t>
  </si>
  <si>
    <t>As a buyer I bought 52500CE by paying premium of 670 * lot size(15) = 10500</t>
  </si>
  <si>
    <t>As a buyer I bought 52o900PE by paying premium of 517 * lot size(15) = 7775</t>
  </si>
  <si>
    <r>
      <t xml:space="preserve">When market is bullish </t>
    </r>
    <r>
      <rPr>
        <b/>
        <sz val="14"/>
        <color theme="1"/>
        <rFont val="Calibri"/>
        <family val="2"/>
        <scheme val="minor"/>
      </rPr>
      <t>CE premium will go up</t>
    </r>
  </si>
  <si>
    <r>
      <t xml:space="preserve">When market is bearish </t>
    </r>
    <r>
      <rPr>
        <b/>
        <sz val="14"/>
        <color theme="1"/>
        <rFont val="Calibri"/>
        <family val="2"/>
        <scheme val="minor"/>
      </rPr>
      <t>PE premium will go up</t>
    </r>
  </si>
  <si>
    <t>OPTION Seller</t>
  </si>
  <si>
    <t>CALL Seller</t>
  </si>
  <si>
    <t>PUT Seller</t>
  </si>
  <si>
    <t>We need big margin</t>
  </si>
  <si>
    <r>
      <t xml:space="preserve">View is </t>
    </r>
    <r>
      <rPr>
        <b/>
        <sz val="14"/>
        <color rgb="FFFF0000"/>
        <rFont val="Calibri"/>
        <family val="2"/>
        <scheme val="minor"/>
      </rPr>
      <t>Bearish</t>
    </r>
    <r>
      <rPr>
        <sz val="14"/>
        <color theme="1"/>
        <rFont val="Calibri"/>
        <family val="2"/>
        <scheme val="minor"/>
      </rPr>
      <t xml:space="preserve"> when you want to sell CE</t>
    </r>
  </si>
  <si>
    <r>
      <t xml:space="preserve">View is </t>
    </r>
    <r>
      <rPr>
        <b/>
        <sz val="14"/>
        <color theme="9" tint="-0.499984740745262"/>
        <rFont val="Calibri"/>
        <family val="2"/>
        <scheme val="minor"/>
      </rPr>
      <t>Bullish</t>
    </r>
    <r>
      <rPr>
        <sz val="14"/>
        <color theme="1"/>
        <rFont val="Calibri"/>
        <family val="2"/>
        <scheme val="minor"/>
      </rPr>
      <t xml:space="preserve"> when you want to sell PE</t>
    </r>
  </si>
  <si>
    <t>Credit - Seller receive the premium</t>
  </si>
  <si>
    <t>Loss is unlimited</t>
  </si>
  <si>
    <t>Profit is limited to premium recieved</t>
  </si>
  <si>
    <t>Ex: Banknifty</t>
  </si>
  <si>
    <t>Margin: 117000</t>
  </si>
  <si>
    <t>Premium received = 585</t>
  </si>
  <si>
    <t>Premium received = 740 (740*15 = 1100)</t>
  </si>
  <si>
    <t>View Bullish</t>
  </si>
  <si>
    <t>View Bearish</t>
  </si>
  <si>
    <t>CALL Premium goes up</t>
  </si>
  <si>
    <t>PUT Premium goes up</t>
  </si>
  <si>
    <t>PUT Premium goes down</t>
  </si>
  <si>
    <t>Sellers</t>
  </si>
  <si>
    <t>CALL Premium goes down</t>
  </si>
  <si>
    <t>11300CE</t>
  </si>
  <si>
    <t>ULTRATECH CEMENT</t>
  </si>
  <si>
    <t>CE BEP</t>
  </si>
  <si>
    <t>Strike + Premium</t>
  </si>
  <si>
    <t>Buyer and Seller have same BEP</t>
  </si>
  <si>
    <t>Seller makes profit below BEP and makes loss above BEP</t>
  </si>
  <si>
    <t>Buyer makes profit above BEP and loss below BEP</t>
  </si>
  <si>
    <t>BEP to be calculated with reference to expiry</t>
  </si>
  <si>
    <t>BEP is 11609</t>
  </si>
  <si>
    <t>Above BEP</t>
  </si>
  <si>
    <t>Below BEP</t>
  </si>
  <si>
    <t>Scenario 1</t>
  </si>
  <si>
    <t>Scenario 2</t>
  </si>
  <si>
    <t>Scenario 3</t>
  </si>
  <si>
    <t>When spot closed at 11609</t>
  </si>
  <si>
    <t>When spot closed at 11700</t>
  </si>
  <si>
    <t>When spot closed at 11500</t>
  </si>
  <si>
    <t>We pay premium</t>
  </si>
  <si>
    <t>Buyer gets back 309</t>
  </si>
  <si>
    <t>We receive premium</t>
  </si>
  <si>
    <t>Seller has to pay be 309</t>
  </si>
  <si>
    <t>is no los no profit zone/point</t>
  </si>
  <si>
    <t>No loss and no profit</t>
  </si>
  <si>
    <t>11300PE</t>
  </si>
  <si>
    <t>BEP is 11112</t>
  </si>
  <si>
    <t>When spot closed at 11112</t>
  </si>
  <si>
    <t>When spot closed at 11300</t>
  </si>
  <si>
    <t>When spot closed at 11000</t>
  </si>
  <si>
    <t>Strike-Spot</t>
  </si>
  <si>
    <t>Buyer gets back 188</t>
  </si>
  <si>
    <t>Seller has to pay be 188</t>
  </si>
  <si>
    <t>PE BEP</t>
  </si>
  <si>
    <t>Strike - Premium</t>
  </si>
  <si>
    <t>Seller makes profit above BEP and makes loss below BEP</t>
  </si>
  <si>
    <t>Buyer makes profit below BEP and loss above BEP</t>
  </si>
  <si>
    <t>CE option - Buying</t>
  </si>
  <si>
    <t>PE option - Buying</t>
  </si>
  <si>
    <t>Resistance/TL/Flag BO</t>
  </si>
  <si>
    <t>Support/TL/Flag BD</t>
  </si>
  <si>
    <t>EMA PCO</t>
  </si>
  <si>
    <t>EMA NCO</t>
  </si>
  <si>
    <t>Weapon Candle - Strong Bullish (BO Candle)</t>
  </si>
  <si>
    <t>Weapon Candle - Strong Bearish (BD Candle)</t>
  </si>
  <si>
    <t>Volume</t>
  </si>
  <si>
    <t>Chart Pattern</t>
  </si>
  <si>
    <t>UBB Challenge (2 TF)</t>
  </si>
  <si>
    <t>Always check 2 TF (Wave and Tide)</t>
  </si>
  <si>
    <t>LBB Challenge (2 TF)</t>
  </si>
  <si>
    <t>Choose ATM or 1 OTM or 1 ITM</t>
  </si>
  <si>
    <t>OI Down (Shedding - TMG)</t>
  </si>
  <si>
    <t>Short Staddle</t>
  </si>
  <si>
    <t>Selling ATM CE and PE</t>
  </si>
  <si>
    <t>I get Credit</t>
  </si>
  <si>
    <t>CE</t>
  </si>
  <si>
    <t>PE</t>
  </si>
  <si>
    <t>BEAR CALL SPREAD</t>
  </si>
  <si>
    <t>Credit</t>
  </si>
  <si>
    <t>BEAR</t>
  </si>
  <si>
    <t>ACTION-WHAT INSTRUMENT YOU WANT TO TRADE</t>
  </si>
  <si>
    <t>SELL CE</t>
  </si>
  <si>
    <t>SPREAD</t>
  </si>
  <si>
    <t>HEDGING/PRORECTION</t>
  </si>
  <si>
    <t>View</t>
  </si>
  <si>
    <t>Action</t>
  </si>
  <si>
    <t>When</t>
  </si>
  <si>
    <t>Setups</t>
  </si>
  <si>
    <t>BULLISH</t>
  </si>
  <si>
    <t>Buy Call</t>
  </si>
  <si>
    <t>Momentum</t>
  </si>
  <si>
    <t>TLBO/Mothe Candle BO/Flag BO/Genuine BO</t>
  </si>
  <si>
    <t>PE Sell</t>
  </si>
  <si>
    <t>Reversal/Swing</t>
  </si>
  <si>
    <t>Double Bottom/FBD/Bull Counter Attach/Inverted H&amp;S/BKP/Cup and Handle</t>
  </si>
  <si>
    <t>Bull PUT Spread</t>
  </si>
  <si>
    <t>Bull CALL Spread</t>
  </si>
  <si>
    <t>Buy Futures</t>
  </si>
  <si>
    <t>Covered CALL</t>
  </si>
  <si>
    <t>BEARISH</t>
  </si>
  <si>
    <t>Buy PUT</t>
  </si>
  <si>
    <t>TLBD/Mothe Candle BD/Flag BD/Genuine BD</t>
  </si>
  <si>
    <t>Sell CALL</t>
  </si>
  <si>
    <t>Double Top/FBO/Bear Counter attack/Head and Shoulder/BKT</t>
  </si>
  <si>
    <t>Bear CALL Spread</t>
  </si>
  <si>
    <t>Bear PUT Spread</t>
  </si>
  <si>
    <t>Sell Futures</t>
  </si>
  <si>
    <t>Covered PUT</t>
  </si>
  <si>
    <t>SIDEWAYS</t>
  </si>
  <si>
    <t>SHORT STRADDLE</t>
  </si>
  <si>
    <t>When price is with the band, not making price extremes</t>
  </si>
  <si>
    <t>SHORT STRANGLE</t>
  </si>
  <si>
    <t>SHORT IRON BUTTERFLY</t>
  </si>
  <si>
    <t>SHORT IRON CONDOR</t>
  </si>
  <si>
    <t>SELL ATM CE and PE</t>
  </si>
  <si>
    <t>SELL OTM CE and PE</t>
  </si>
  <si>
    <t>Sell CE at Resistance and Sell PE at support
When we see price is between strong reistance and support</t>
  </si>
  <si>
    <t>NAKED SELLING</t>
  </si>
  <si>
    <t>SELL</t>
  </si>
  <si>
    <t>PREMIUM</t>
  </si>
  <si>
    <t>Above BEP Seller makes unimited loss</t>
  </si>
  <si>
    <t>Below BEP Seller makes unimited loss</t>
  </si>
  <si>
    <t>Total Credit</t>
  </si>
  <si>
    <t>Beyond BEP - Unlimited loss</t>
  </si>
  <si>
    <t>OTM delta will be less and premium errosion is not fast</t>
  </si>
  <si>
    <t>ITM Delta increases so loss increases more then OTM</t>
  </si>
  <si>
    <t>ATM CE AND PE SELL</t>
  </si>
  <si>
    <t>Margin Money</t>
  </si>
  <si>
    <t>REWARD</t>
  </si>
  <si>
    <t>NET CREDIT</t>
  </si>
  <si>
    <t>RISK</t>
  </si>
  <si>
    <t>UNLIMITED</t>
  </si>
  <si>
    <t>BUY</t>
  </si>
  <si>
    <t>Total Debit</t>
  </si>
  <si>
    <t>Net Credit</t>
  </si>
  <si>
    <t>Max Profit</t>
  </si>
  <si>
    <t>Profit is optimized</t>
  </si>
  <si>
    <t>Net Credit -Spread Diff</t>
  </si>
  <si>
    <t>Max Loss</t>
  </si>
  <si>
    <t>Loss Limited</t>
  </si>
  <si>
    <t>Upside BEP</t>
  </si>
  <si>
    <t>Range (Profit range)</t>
  </si>
  <si>
    <t>Above BEP Loss</t>
  </si>
  <si>
    <t>Downside BEP</t>
  </si>
  <si>
    <t>Below BEP Loss</t>
  </si>
  <si>
    <t>STRATEGY</t>
  </si>
  <si>
    <t>MAX LOSS AND MAX GAIN</t>
  </si>
  <si>
    <t>Naked Buy</t>
  </si>
  <si>
    <t>Buy</t>
  </si>
  <si>
    <t>Max Loss = Net Debit</t>
  </si>
  <si>
    <t>Sell</t>
  </si>
  <si>
    <t>Net Debit</t>
  </si>
  <si>
    <t>Spread Diff -Net Debit</t>
  </si>
  <si>
    <t>DRREDDY</t>
  </si>
  <si>
    <t>By Expiry</t>
  </si>
  <si>
    <t>Buy CE</t>
  </si>
  <si>
    <t>Loss is limited</t>
  </si>
  <si>
    <t>Profit Porb</t>
  </si>
  <si>
    <t>Bull CE Spread</t>
  </si>
  <si>
    <t>Debit Strategy</t>
  </si>
  <si>
    <t>Spread Diff - Net Debit</t>
  </si>
  <si>
    <t>End of 2nd year</t>
  </si>
  <si>
    <t>End of 3rd year</t>
  </si>
  <si>
    <t>End of 4th year</t>
  </si>
  <si>
    <t>End of 5th year</t>
  </si>
  <si>
    <t>End of 6th year</t>
  </si>
  <si>
    <t>Long (Bullish)</t>
  </si>
  <si>
    <t>OI Up and Price Up</t>
  </si>
  <si>
    <t>Short (Bearish)</t>
  </si>
  <si>
    <t>OI Up and Price Down</t>
  </si>
  <si>
    <t>Short Covering (Carefully Bullish)</t>
  </si>
  <si>
    <t>OI Down and Price Up</t>
  </si>
  <si>
    <t>Long Covering (Carefully Bearish)</t>
  </si>
  <si>
    <t>OI Down and Price Down</t>
  </si>
  <si>
    <t>CALL OI</t>
  </si>
  <si>
    <t>CALL PRICE</t>
  </si>
  <si>
    <t>INTERPRETATION</t>
  </si>
  <si>
    <t>CE Option Buying</t>
  </si>
  <si>
    <t>UP</t>
  </si>
  <si>
    <t>BULLISH/CAREFULL AS BULL</t>
  </si>
  <si>
    <t>BULL PUT SPREAD</t>
  </si>
  <si>
    <t>TLBO/Flag BO/Resistance BO</t>
  </si>
  <si>
    <t>DOWN</t>
  </si>
  <si>
    <t>STRONG BULLISH</t>
  </si>
  <si>
    <t>NAKED CE BUY/BULL CALL SPREAD</t>
  </si>
  <si>
    <t>Ungali</t>
  </si>
  <si>
    <t>UBBC (2 TF's)</t>
  </si>
  <si>
    <t>STRONG BEARISH</t>
  </si>
  <si>
    <t>NAKED SELLING/BEAR PUT SPREAD</t>
  </si>
  <si>
    <t>OI Down and Price UP</t>
  </si>
  <si>
    <t>HV Dshould be low for buying</t>
  </si>
  <si>
    <t>5 crossing 13</t>
  </si>
  <si>
    <t>Price should be above 50EMA</t>
  </si>
  <si>
    <t>PUT OI</t>
  </si>
  <si>
    <t>PUT PRICE</t>
  </si>
  <si>
    <t>BEARISH/CAREFULL AS BEAR</t>
  </si>
  <si>
    <t>NAKED PE BUY/BEAR PUT SPREAD</t>
  </si>
  <si>
    <t>SELLER</t>
  </si>
  <si>
    <t>NAKED PE SELL/BULL CALL SPREAD</t>
  </si>
  <si>
    <t>TATA MOTORS</t>
  </si>
  <si>
    <t>Date-18th Dec</t>
  </si>
  <si>
    <t>Dec 20th</t>
  </si>
  <si>
    <t>Lot Size = 550</t>
  </si>
  <si>
    <t>COVERED PUT</t>
  </si>
  <si>
    <t>SELL FUTURES</t>
  </si>
  <si>
    <t>BUY CALL</t>
  </si>
  <si>
    <t>780 (8.75)</t>
  </si>
  <si>
    <t>Reward Unlmited</t>
  </si>
  <si>
    <t>VERTICAL SPREADS</t>
  </si>
  <si>
    <t>SPREAD TYPE</t>
  </si>
  <si>
    <t>BULL CALL SPREAD</t>
  </si>
  <si>
    <t>DEBIT SPREAD</t>
  </si>
  <si>
    <t>BULLISH (MOMENTUM)</t>
  </si>
  <si>
    <t>Primary action is BUY</t>
  </si>
  <si>
    <t>View is bullish, I Buy ATM CE and Sell OTM CE in spreads</t>
  </si>
  <si>
    <t>CREDIT SPREAD</t>
  </si>
  <si>
    <t>BULLISH REVERSAL</t>
  </si>
  <si>
    <t>MEDIUM PROBABILITY</t>
  </si>
  <si>
    <t>Primary action is SELL</t>
  </si>
  <si>
    <t>View is sideways to Bullish, I am selling PUT and Buying OTM PE in spreads</t>
  </si>
  <si>
    <t>BEAR PUT SPREAD</t>
  </si>
  <si>
    <t>BEARISH (MOMENTUM)</t>
  </si>
  <si>
    <t>View is Bearish, I buy ATM PE and Sell OTM PE</t>
  </si>
  <si>
    <t>BEARISH REVERSAL</t>
  </si>
  <si>
    <t>View is sideways to bearish, I sell ATM CE and Buy OTM CE</t>
  </si>
  <si>
    <t>WHAT IF ANALYSIS</t>
  </si>
  <si>
    <t>CHAMBAL FERTILIZERS</t>
  </si>
  <si>
    <t>DOUBLE TOP/BEARISH REVERSAL</t>
  </si>
  <si>
    <t>Naked Selling margin 320000</t>
  </si>
  <si>
    <t>Lot Size = 1900</t>
  </si>
  <si>
    <t>ATM CE</t>
  </si>
  <si>
    <t>OTM CE</t>
  </si>
  <si>
    <t>CIPLA</t>
  </si>
  <si>
    <t>3-12-204</t>
  </si>
  <si>
    <t>DOUBLE TOP IN 15 MINS</t>
  </si>
  <si>
    <t>Spread Diff - Net Credit</t>
  </si>
  <si>
    <t>Maring</t>
  </si>
  <si>
    <t>Lot Size 325</t>
  </si>
  <si>
    <t>Probability of winning</t>
  </si>
  <si>
    <t>Debit Spread</t>
  </si>
  <si>
    <t>FBO - BEARISH REVERSAL</t>
  </si>
  <si>
    <t>INFY</t>
  </si>
  <si>
    <t>Jan Expiry</t>
  </si>
  <si>
    <t>DT with FBO</t>
  </si>
  <si>
    <t>1L</t>
  </si>
  <si>
    <t>NAKED SELLING (ATM CE &amp; PE)</t>
  </si>
  <si>
    <t>NAKED SELLING (OTM CE &amp; PE)</t>
  </si>
  <si>
    <t>Sell CE at resistance and sell PE at support</t>
  </si>
  <si>
    <t>IN CASE OF SUPPORT BD - EXIT PE</t>
  </si>
  <si>
    <t>When we cover to Short Straddle, it becomes Short Iron Butterfly</t>
  </si>
  <si>
    <t>IN CASE OF RESISTANCE BO - EXIT CE</t>
  </si>
  <si>
    <t>When we cover to Short Strangle, it becomes Short Iron Condor</t>
  </si>
  <si>
    <t>SELL OTM CE (CE ABOVE RESISTANCE)</t>
  </si>
  <si>
    <t>SELL OTM PE (PE BELOW SUPPORT)</t>
  </si>
  <si>
    <t>Strategy Name</t>
  </si>
  <si>
    <t>Strategy (Which)</t>
  </si>
  <si>
    <t>Spread</t>
  </si>
  <si>
    <t>Setup (When to do)</t>
  </si>
  <si>
    <t>Action (How)</t>
  </si>
  <si>
    <t>Which Strike</t>
  </si>
  <si>
    <t>Risk to Reward</t>
  </si>
  <si>
    <t>Benefit</t>
  </si>
  <si>
    <t>Bullish Reversal</t>
  </si>
  <si>
    <t>Naked Selling</t>
  </si>
  <si>
    <t>YNJ</t>
  </si>
  <si>
    <t>Double Bottom</t>
  </si>
  <si>
    <t>Sell PE</t>
  </si>
  <si>
    <t>ATM/OTM</t>
  </si>
  <si>
    <t>High Risk</t>
  </si>
  <si>
    <t>If market goes sideways, premiums will get eroded faster</t>
  </si>
  <si>
    <t>FBD/Bull Counter attack</t>
  </si>
  <si>
    <t>Reward is limited</t>
  </si>
  <si>
    <t>Premium received will be the profit, if market closes on or above  BEP</t>
  </si>
  <si>
    <t>BB - BKP</t>
  </si>
  <si>
    <t>Bearish Reversal</t>
  </si>
  <si>
    <t>Double Top</t>
  </si>
  <si>
    <t>Sell CE</t>
  </si>
  <si>
    <t>FBO/Bear Counter attack</t>
  </si>
  <si>
    <t>Premium received will be the profit, if market closes on or below  BEP</t>
  </si>
  <si>
    <t>BB - BKT</t>
  </si>
  <si>
    <t>Bullish Strong</t>
  </si>
  <si>
    <t>Bull Call Spread</t>
  </si>
  <si>
    <t>Debit</t>
  </si>
  <si>
    <t>Trend Line BO with UBBC</t>
  </si>
  <si>
    <t>Buy ATM CE and Sell OTM CE</t>
  </si>
  <si>
    <t>ATM &amp; OTM</t>
  </si>
  <si>
    <t>Risk and Reward are limited</t>
  </si>
  <si>
    <t>For positional buying to capture the move</t>
  </si>
  <si>
    <t>Ratio Spread</t>
  </si>
  <si>
    <t>TMG in CALL and TMJ in PE</t>
  </si>
  <si>
    <t>Buy 2 lot ATM CE and Sell 1 lot OTM CE</t>
  </si>
  <si>
    <t>Risk is limited, Reward is unlimited</t>
  </si>
  <si>
    <t>For positional buying to capture maximum move till the target</t>
  </si>
  <si>
    <t>Naked CE Buying (Intrdaday)</t>
  </si>
  <si>
    <t>Golden cross overs</t>
  </si>
  <si>
    <t>Buy ATM/ITM (1 or 2)/OTM (1 or 2)</t>
  </si>
  <si>
    <t>ATM/ITM &amp; OTM</t>
  </si>
  <si>
    <t>For Intraday</t>
  </si>
  <si>
    <t>Bullish Watchful</t>
  </si>
  <si>
    <t>Bull Put Spread</t>
  </si>
  <si>
    <t>Mild bullish after reversal</t>
  </si>
  <si>
    <t>Sell ATM PE and Buy OTM PE</t>
  </si>
  <si>
    <t>ATM and OTM</t>
  </si>
  <si>
    <t>When targets are small</t>
  </si>
  <si>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Sell OTM PE and Buy farther OTM PE</t>
    </r>
  </si>
  <si>
    <t>OTM and OTM</t>
  </si>
  <si>
    <t>Mild bullish/ Probability of bullishness is medium or low</t>
  </si>
  <si>
    <t>Bearish Strong</t>
  </si>
  <si>
    <t>Bear Put Spread</t>
  </si>
  <si>
    <t>Trend Line BD with LBBC</t>
  </si>
  <si>
    <t>Buy ATM PE and Sell OTM PE</t>
  </si>
  <si>
    <t>TMG in PE and TMJ in CE</t>
  </si>
  <si>
    <t>Buy 2 lot of ATM PE and Sell 1 lot OTM PE</t>
  </si>
  <si>
    <t>Naked PE Buying (Intrdaday)</t>
  </si>
  <si>
    <t>Buy ATM/ITM/OTM PE</t>
  </si>
  <si>
    <t>Bearish Watchful</t>
  </si>
  <si>
    <t>Bear Call Spread</t>
  </si>
  <si>
    <t>Mild Bearish after reversal</t>
  </si>
  <si>
    <t>Sell ATM CE and Buy OTM CE</t>
  </si>
  <si>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Sell OTM CE and Buy farther OTM CE</t>
    </r>
  </si>
  <si>
    <t>Mild Bearish/ Probability of bearishness is medium or low</t>
  </si>
  <si>
    <t>Neutral/Sideways</t>
  </si>
  <si>
    <t>Straddle</t>
  </si>
  <si>
    <t>Short Straddle</t>
  </si>
  <si>
    <t>When price starts moving inside BB</t>
  </si>
  <si>
    <t>Sell ATM CE and ATM PE</t>
  </si>
  <si>
    <t>Total Credit + Premium (Upper Side)
Total Credit - Premium (Lower Side)</t>
  </si>
  <si>
    <t>High Risk as its naked selling</t>
  </si>
  <si>
    <t>When market is sideways and market is sideways 60 to 65% of the times</t>
  </si>
  <si>
    <t>Short IRON Butterfly</t>
  </si>
  <si>
    <t>When price is middle of the BB</t>
  </si>
  <si>
    <t>Total Credit + Premium (Upper Side)</t>
  </si>
  <si>
    <t>Risk is capped and Reward is optimized</t>
  </si>
  <si>
    <t>When price is range bound in higher TF's</t>
  </si>
  <si>
    <t>Total Credit - Premium (Lower Side)</t>
  </si>
  <si>
    <t>Strangle</t>
  </si>
  <si>
    <t>Sell OTM CE (Above Resistance) and OTM PE (Below Support)</t>
  </si>
  <si>
    <t>Short IRON Condor</t>
  </si>
  <si>
    <t>Sell OTM CE and Buy Farther OTM CE</t>
  </si>
  <si>
    <t>Sell OTM PE and Buy Farther OTM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</si>
</sst>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EECF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quotePrefix="1" applyFont="1"/>
    <xf numFmtId="164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2" borderId="0" xfId="0" applyFont="1" applyFill="1"/>
    <xf numFmtId="0" fontId="3" fillId="3" borderId="0" xfId="0" applyFont="1" applyFill="1"/>
    <xf numFmtId="0" fontId="2" fillId="4" borderId="2" xfId="0" applyFont="1" applyFill="1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2" fontId="1" fillId="0" borderId="0" xfId="0" applyNumberFormat="1" applyFont="1"/>
    <xf numFmtId="0" fontId="2" fillId="0" borderId="0" xfId="0" quotePrefix="1" applyFont="1"/>
    <xf numFmtId="0" fontId="1" fillId="0" borderId="2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2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4" borderId="0" xfId="0" applyFont="1" applyFill="1"/>
    <xf numFmtId="0" fontId="2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7" fontId="1" fillId="0" borderId="0" xfId="0" quotePrefix="1" applyNumberFormat="1" applyFont="1"/>
    <xf numFmtId="0" fontId="2" fillId="4" borderId="2" xfId="0" applyFont="1" applyFill="1" applyBorder="1"/>
    <xf numFmtId="0" fontId="6" fillId="0" borderId="2" xfId="0" applyFont="1" applyBorder="1"/>
    <xf numFmtId="0" fontId="4" fillId="0" borderId="2" xfId="0" applyFont="1" applyBorder="1"/>
    <xf numFmtId="14" fontId="1" fillId="0" borderId="0" xfId="0" applyNumberFormat="1" applyFont="1"/>
    <xf numFmtId="0" fontId="2" fillId="0" borderId="0" xfId="0" applyFont="1" applyAlignment="1">
      <alignment horizontal="left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2" xfId="0" applyFont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/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/>
    <xf numFmtId="0" fontId="8" fillId="0" borderId="10" xfId="0" applyFont="1" applyBorder="1"/>
    <xf numFmtId="0" fontId="7" fillId="0" borderId="11" xfId="0" applyFont="1" applyBorder="1" applyAlignment="1">
      <alignment vertical="center"/>
    </xf>
    <xf numFmtId="0" fontId="8" fillId="0" borderId="12" xfId="0" applyFont="1" applyBorder="1"/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/>
    <xf numFmtId="0" fontId="8" fillId="0" borderId="16" xfId="0" applyFont="1" applyBorder="1"/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/>
    <xf numFmtId="0" fontId="8" fillId="0" borderId="9" xfId="0" applyFont="1" applyBorder="1"/>
    <xf numFmtId="0" fontId="8" fillId="0" borderId="20" xfId="0" applyFont="1" applyBorder="1"/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11" xfId="0" applyFont="1" applyBorder="1"/>
    <xf numFmtId="0" fontId="8" fillId="0" borderId="13" xfId="0" applyFont="1" applyBorder="1"/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3F55-A6A7-40E2-8174-3247B6350569}">
  <dimension ref="A2:T419"/>
  <sheetViews>
    <sheetView tabSelected="1" topLeftCell="F395" zoomScale="107" zoomScaleNormal="107" workbookViewId="0">
      <selection activeCell="J416" sqref="J416"/>
    </sheetView>
  </sheetViews>
  <sheetFormatPr defaultRowHeight="18" x14ac:dyDescent="0.35"/>
  <cols>
    <col min="1" max="1" width="12.77734375" style="1" customWidth="1"/>
    <col min="2" max="2" width="15.88671875" style="1" bestFit="1" customWidth="1"/>
    <col min="3" max="3" width="19.6640625" style="1" customWidth="1"/>
    <col min="4" max="4" width="56.44140625" style="1" bestFit="1" customWidth="1"/>
    <col min="5" max="5" width="85.6640625" style="1" bestFit="1" customWidth="1"/>
    <col min="6" max="6" width="29" style="1" customWidth="1"/>
    <col min="7" max="7" width="35.5546875" style="1" customWidth="1"/>
    <col min="8" max="8" width="20.109375" style="1" customWidth="1"/>
    <col min="9" max="9" width="33.33203125" style="1" customWidth="1"/>
    <col min="10" max="11" width="26.44140625" style="1" customWidth="1"/>
    <col min="12" max="12" width="46.6640625" style="1" customWidth="1"/>
    <col min="13" max="13" width="22.88671875" style="1" bestFit="1" customWidth="1"/>
    <col min="14" max="14" width="17.21875" style="1" customWidth="1"/>
    <col min="15" max="19" width="12.77734375" style="1" customWidth="1"/>
  </cols>
  <sheetData>
    <row r="2" spans="2:7" x14ac:dyDescent="0.35">
      <c r="B2" s="1" t="s">
        <v>0</v>
      </c>
      <c r="E2" s="1" t="s">
        <v>1</v>
      </c>
      <c r="F2" s="1" t="s">
        <v>2</v>
      </c>
    </row>
    <row r="3" spans="2:7" x14ac:dyDescent="0.35">
      <c r="B3" s="1" t="s">
        <v>3</v>
      </c>
      <c r="C3" s="1" t="s">
        <v>4</v>
      </c>
      <c r="E3" s="1" t="s">
        <v>5</v>
      </c>
      <c r="F3" s="1" t="s">
        <v>6</v>
      </c>
    </row>
    <row r="4" spans="2:7" x14ac:dyDescent="0.35">
      <c r="E4" s="1" t="s">
        <v>7</v>
      </c>
      <c r="F4" s="1" t="s">
        <v>8</v>
      </c>
    </row>
    <row r="6" spans="2:7" x14ac:dyDescent="0.35">
      <c r="E6" s="1" t="s">
        <v>9</v>
      </c>
    </row>
    <row r="7" spans="2:7" x14ac:dyDescent="0.35">
      <c r="E7" s="1" t="s">
        <v>10</v>
      </c>
      <c r="F7" s="1" t="s">
        <v>11</v>
      </c>
      <c r="G7" s="1" t="s">
        <v>12</v>
      </c>
    </row>
    <row r="8" spans="2:7" x14ac:dyDescent="0.35">
      <c r="E8" s="1" t="s">
        <v>13</v>
      </c>
      <c r="F8" s="1" t="s">
        <v>14</v>
      </c>
      <c r="G8" s="1" t="s">
        <v>15</v>
      </c>
    </row>
    <row r="11" spans="2:7" x14ac:dyDescent="0.35">
      <c r="E11" s="1" t="s">
        <v>16</v>
      </c>
    </row>
    <row r="12" spans="2:7" x14ac:dyDescent="0.35">
      <c r="E12" s="1" t="s">
        <v>17</v>
      </c>
    </row>
    <row r="14" spans="2:7" x14ac:dyDescent="0.35">
      <c r="E14" s="1" t="s">
        <v>18</v>
      </c>
    </row>
    <row r="16" spans="2:7" x14ac:dyDescent="0.35">
      <c r="B16" s="1" t="s">
        <v>19</v>
      </c>
    </row>
    <row r="17" spans="2:13" x14ac:dyDescent="0.35">
      <c r="B17" s="1" t="s">
        <v>20</v>
      </c>
    </row>
    <row r="20" spans="2:13" x14ac:dyDescent="0.35">
      <c r="B20" s="1" t="s">
        <v>4</v>
      </c>
      <c r="C20" s="1" t="s">
        <v>21</v>
      </c>
    </row>
    <row r="23" spans="2:13" x14ac:dyDescent="0.35">
      <c r="B23" s="1" t="s">
        <v>22</v>
      </c>
    </row>
    <row r="24" spans="2:13" x14ac:dyDescent="0.35">
      <c r="J24" s="1" t="s">
        <v>23</v>
      </c>
    </row>
    <row r="25" spans="2:13" x14ac:dyDescent="0.35">
      <c r="B25" s="1" t="s">
        <v>24</v>
      </c>
      <c r="C25" s="1">
        <v>1279</v>
      </c>
      <c r="J25" s="1" t="s">
        <v>25</v>
      </c>
    </row>
    <row r="26" spans="2:13" x14ac:dyDescent="0.35">
      <c r="B26" s="1" t="s">
        <v>26</v>
      </c>
      <c r="J26" s="1" t="s">
        <v>27</v>
      </c>
      <c r="L26" s="1" t="s">
        <v>28</v>
      </c>
      <c r="M26" s="1" t="s">
        <v>29</v>
      </c>
    </row>
    <row r="27" spans="2:13" x14ac:dyDescent="0.35">
      <c r="C27" s="1" t="s">
        <v>30</v>
      </c>
      <c r="J27" s="1" t="s">
        <v>31</v>
      </c>
      <c r="L27" s="1" t="s">
        <v>32</v>
      </c>
      <c r="M27" s="1" t="s">
        <v>33</v>
      </c>
    </row>
    <row r="28" spans="2:13" x14ac:dyDescent="0.35">
      <c r="B28" s="1" t="s">
        <v>24</v>
      </c>
      <c r="C28" s="1" t="s">
        <v>34</v>
      </c>
      <c r="J28" s="1" t="s">
        <v>35</v>
      </c>
      <c r="L28" s="1" t="s">
        <v>36</v>
      </c>
      <c r="M28" s="1" t="s">
        <v>37</v>
      </c>
    </row>
    <row r="29" spans="2:13" x14ac:dyDescent="0.35">
      <c r="B29" s="1" t="s">
        <v>38</v>
      </c>
      <c r="C29" s="1" t="s">
        <v>39</v>
      </c>
      <c r="F29" s="1" t="s">
        <v>40</v>
      </c>
    </row>
    <row r="30" spans="2:13" x14ac:dyDescent="0.35">
      <c r="B30" s="1" t="s">
        <v>41</v>
      </c>
      <c r="C30" s="1" t="s">
        <v>42</v>
      </c>
    </row>
    <row r="31" spans="2:13" x14ac:dyDescent="0.35">
      <c r="B31" s="1" t="s">
        <v>43</v>
      </c>
      <c r="C31" s="1" t="s">
        <v>44</v>
      </c>
    </row>
    <row r="34" spans="1:5" x14ac:dyDescent="0.35">
      <c r="B34" s="1" t="s">
        <v>45</v>
      </c>
      <c r="C34" s="1" t="s">
        <v>46</v>
      </c>
    </row>
    <row r="37" spans="1:5" x14ac:dyDescent="0.35">
      <c r="B37" s="1" t="s">
        <v>47</v>
      </c>
      <c r="C37" s="1" t="s">
        <v>48</v>
      </c>
    </row>
    <row r="38" spans="1:5" x14ac:dyDescent="0.35">
      <c r="B38" s="1" t="s">
        <v>38</v>
      </c>
      <c r="C38" s="1">
        <v>24650</v>
      </c>
      <c r="D38" s="1">
        <v>50</v>
      </c>
      <c r="E38" s="1" t="s">
        <v>49</v>
      </c>
    </row>
    <row r="39" spans="1:5" x14ac:dyDescent="0.35">
      <c r="B39" s="1" t="s">
        <v>50</v>
      </c>
      <c r="C39" s="1">
        <f>50*0.5</f>
        <v>25</v>
      </c>
    </row>
    <row r="41" spans="1:5" x14ac:dyDescent="0.35">
      <c r="B41" s="1" t="s">
        <v>51</v>
      </c>
      <c r="C41" s="2">
        <v>54</v>
      </c>
      <c r="D41" s="1">
        <f>C41+25</f>
        <v>79</v>
      </c>
    </row>
    <row r="42" spans="1:5" x14ac:dyDescent="0.35">
      <c r="B42" s="1" t="s">
        <v>52</v>
      </c>
      <c r="C42" s="2">
        <v>66</v>
      </c>
      <c r="D42" s="1">
        <f>C42-25</f>
        <v>41</v>
      </c>
    </row>
    <row r="45" spans="1:5" x14ac:dyDescent="0.35">
      <c r="B45" s="1" t="s">
        <v>53</v>
      </c>
      <c r="C45" s="1">
        <v>24650</v>
      </c>
      <c r="D45" s="1" t="s">
        <v>54</v>
      </c>
    </row>
    <row r="46" spans="1:5" x14ac:dyDescent="0.35">
      <c r="B46" s="1" t="s">
        <v>55</v>
      </c>
      <c r="C46" s="1" t="s">
        <v>4</v>
      </c>
      <c r="D46" s="3">
        <v>100</v>
      </c>
    </row>
    <row r="47" spans="1:5" x14ac:dyDescent="0.35">
      <c r="A47" s="1" t="s">
        <v>31</v>
      </c>
      <c r="B47" s="2">
        <v>24500</v>
      </c>
      <c r="C47" s="2">
        <v>0.79</v>
      </c>
      <c r="D47" s="1" t="s">
        <v>56</v>
      </c>
      <c r="E47" s="2">
        <f>C47*$D$46</f>
        <v>79</v>
      </c>
    </row>
    <row r="48" spans="1:5" x14ac:dyDescent="0.35">
      <c r="A48" s="1" t="s">
        <v>31</v>
      </c>
      <c r="B48" s="2">
        <v>24550</v>
      </c>
      <c r="C48" s="2">
        <v>0.71</v>
      </c>
      <c r="D48" s="1" t="s">
        <v>56</v>
      </c>
      <c r="E48" s="2">
        <f>C48*$D$46</f>
        <v>71</v>
      </c>
    </row>
    <row r="49" spans="1:11" x14ac:dyDescent="0.35">
      <c r="A49" s="1" t="s">
        <v>31</v>
      </c>
      <c r="B49" s="2">
        <v>24600</v>
      </c>
      <c r="C49" s="2">
        <v>0.6</v>
      </c>
      <c r="D49" s="1" t="s">
        <v>56</v>
      </c>
      <c r="E49" s="2">
        <f>C49*$D$46</f>
        <v>60</v>
      </c>
    </row>
    <row r="50" spans="1:11" x14ac:dyDescent="0.35">
      <c r="A50" s="4" t="s">
        <v>27</v>
      </c>
      <c r="B50" s="3">
        <v>24650</v>
      </c>
      <c r="C50" s="3">
        <v>0.5</v>
      </c>
      <c r="D50" s="4" t="s">
        <v>56</v>
      </c>
      <c r="E50" s="3">
        <f>C50*D46</f>
        <v>50</v>
      </c>
      <c r="F50" s="1" t="s">
        <v>57</v>
      </c>
    </row>
    <row r="51" spans="1:11" x14ac:dyDescent="0.35">
      <c r="A51" s="1" t="s">
        <v>35</v>
      </c>
      <c r="B51" s="2">
        <v>24700</v>
      </c>
      <c r="C51" s="2">
        <v>0.35</v>
      </c>
      <c r="D51" s="1" t="s">
        <v>56</v>
      </c>
      <c r="E51" s="2">
        <f>C51*$D$46</f>
        <v>35</v>
      </c>
    </row>
    <row r="52" spans="1:11" x14ac:dyDescent="0.35">
      <c r="A52" s="1" t="s">
        <v>35</v>
      </c>
      <c r="B52" s="2">
        <v>24750</v>
      </c>
      <c r="C52" s="2">
        <v>0.26</v>
      </c>
      <c r="D52" s="1" t="s">
        <v>56</v>
      </c>
      <c r="E52" s="2">
        <f>C52*$D$46</f>
        <v>26</v>
      </c>
    </row>
    <row r="53" spans="1:11" x14ac:dyDescent="0.35">
      <c r="A53" s="1" t="s">
        <v>35</v>
      </c>
      <c r="B53" s="2">
        <v>24800</v>
      </c>
      <c r="C53" s="2">
        <v>0.19</v>
      </c>
      <c r="D53" s="1" t="s">
        <v>56</v>
      </c>
      <c r="E53" s="2">
        <f>C53*$D$46</f>
        <v>19</v>
      </c>
      <c r="F53" s="1" t="s">
        <v>58</v>
      </c>
    </row>
    <row r="54" spans="1:11" x14ac:dyDescent="0.35">
      <c r="B54" s="2"/>
      <c r="C54" s="2"/>
      <c r="E54" s="2"/>
    </row>
    <row r="56" spans="1:11" x14ac:dyDescent="0.35">
      <c r="C56" s="1" t="s">
        <v>59</v>
      </c>
      <c r="D56" s="1" t="s">
        <v>60</v>
      </c>
      <c r="E56" s="1" t="s">
        <v>61</v>
      </c>
      <c r="F56" s="1" t="s">
        <v>62</v>
      </c>
      <c r="G56" s="1" t="s">
        <v>63</v>
      </c>
      <c r="H56" s="2">
        <v>121</v>
      </c>
      <c r="I56" s="1" t="s">
        <v>64</v>
      </c>
      <c r="J56" s="1" t="s">
        <v>65</v>
      </c>
    </row>
    <row r="57" spans="1:11" x14ac:dyDescent="0.35">
      <c r="B57" s="1" t="s">
        <v>31</v>
      </c>
      <c r="C57" s="1" t="s">
        <v>66</v>
      </c>
      <c r="D57" s="2">
        <v>198</v>
      </c>
      <c r="E57" s="2">
        <v>125</v>
      </c>
      <c r="F57" s="2">
        <f>D57*E57</f>
        <v>24750</v>
      </c>
      <c r="G57" s="2">
        <v>0.6</v>
      </c>
      <c r="H57" s="2">
        <f>G57*$H$56</f>
        <v>72.599999999999994</v>
      </c>
      <c r="I57" s="2">
        <f>H57*125</f>
        <v>9075</v>
      </c>
      <c r="J57" s="5">
        <f>I57/F57*100</f>
        <v>36.666666666666664</v>
      </c>
      <c r="K57" s="5"/>
    </row>
    <row r="58" spans="1:11" x14ac:dyDescent="0.35">
      <c r="B58" s="4" t="s">
        <v>27</v>
      </c>
      <c r="C58" s="4" t="s">
        <v>67</v>
      </c>
      <c r="D58" s="3">
        <v>137</v>
      </c>
      <c r="E58" s="3">
        <v>125</v>
      </c>
      <c r="F58" s="3">
        <f>D58*E58</f>
        <v>17125</v>
      </c>
      <c r="G58" s="3">
        <v>0.5</v>
      </c>
      <c r="H58" s="3">
        <f>G58*$H$56</f>
        <v>60.5</v>
      </c>
      <c r="I58" s="3">
        <f>H58*125</f>
        <v>7562.5</v>
      </c>
      <c r="J58" s="6">
        <f>I58/F58*100</f>
        <v>44.160583941605843</v>
      </c>
      <c r="K58" s="6"/>
    </row>
    <row r="59" spans="1:11" x14ac:dyDescent="0.35">
      <c r="B59" s="1" t="s">
        <v>35</v>
      </c>
      <c r="C59" s="1" t="s">
        <v>68</v>
      </c>
      <c r="D59" s="2">
        <v>89</v>
      </c>
      <c r="E59" s="2">
        <v>125</v>
      </c>
      <c r="F59" s="2">
        <f>D59*E59</f>
        <v>11125</v>
      </c>
      <c r="G59" s="2">
        <v>0.3</v>
      </c>
      <c r="H59" s="2">
        <f>G59*$H$56</f>
        <v>36.299999999999997</v>
      </c>
      <c r="I59" s="2">
        <f>H59*125</f>
        <v>4537.5</v>
      </c>
      <c r="J59" s="5">
        <f>I59/F59*100</f>
        <v>40.786516853932589</v>
      </c>
      <c r="K59" s="5"/>
    </row>
    <row r="62" spans="1:11" x14ac:dyDescent="0.35">
      <c r="D62" s="1" t="s">
        <v>60</v>
      </c>
    </row>
    <row r="63" spans="1:11" x14ac:dyDescent="0.35">
      <c r="B63" s="1" t="s">
        <v>69</v>
      </c>
      <c r="D63" s="1">
        <v>80</v>
      </c>
    </row>
    <row r="64" spans="1:11" x14ac:dyDescent="0.35">
      <c r="C64" s="7" t="s">
        <v>70</v>
      </c>
    </row>
    <row r="65" spans="2:8" x14ac:dyDescent="0.35">
      <c r="B65" s="1" t="s">
        <v>53</v>
      </c>
      <c r="C65" s="1">
        <v>24641</v>
      </c>
    </row>
    <row r="66" spans="2:8" x14ac:dyDescent="0.35">
      <c r="B66" s="1" t="s">
        <v>55</v>
      </c>
      <c r="C66" s="1">
        <v>24600</v>
      </c>
    </row>
    <row r="67" spans="2:8" x14ac:dyDescent="0.35">
      <c r="B67" s="4" t="s">
        <v>71</v>
      </c>
      <c r="C67" s="4">
        <f>C65-C66</f>
        <v>41</v>
      </c>
    </row>
    <row r="68" spans="2:8" x14ac:dyDescent="0.35">
      <c r="B68" s="1" t="s">
        <v>72</v>
      </c>
      <c r="C68" s="1">
        <f>80-41</f>
        <v>39</v>
      </c>
    </row>
    <row r="70" spans="2:8" x14ac:dyDescent="0.35">
      <c r="D70" s="2" t="s">
        <v>71</v>
      </c>
      <c r="E70" s="2" t="s">
        <v>73</v>
      </c>
    </row>
    <row r="71" spans="2:8" x14ac:dyDescent="0.35">
      <c r="B71" s="1" t="s">
        <v>51</v>
      </c>
      <c r="C71" s="1">
        <v>203</v>
      </c>
      <c r="D71" s="2">
        <v>19</v>
      </c>
      <c r="E71" s="2">
        <f>C71-D71</f>
        <v>184</v>
      </c>
      <c r="F71" s="1">
        <v>54</v>
      </c>
      <c r="G71" s="1">
        <f>C71-F71</f>
        <v>149</v>
      </c>
    </row>
    <row r="72" spans="2:8" x14ac:dyDescent="0.35">
      <c r="B72" s="1" t="s">
        <v>52</v>
      </c>
      <c r="C72" s="1">
        <v>154</v>
      </c>
      <c r="D72" s="2">
        <v>0</v>
      </c>
      <c r="E72" s="2">
        <f>C72</f>
        <v>154</v>
      </c>
      <c r="F72" s="1">
        <v>66</v>
      </c>
      <c r="G72" s="1">
        <f>C72-F72</f>
        <v>88</v>
      </c>
    </row>
    <row r="73" spans="2:8" x14ac:dyDescent="0.35">
      <c r="B73" s="1" t="s">
        <v>53</v>
      </c>
      <c r="C73" s="1">
        <v>24669</v>
      </c>
      <c r="D73" s="2"/>
      <c r="E73" s="2"/>
      <c r="G73" s="1">
        <f>SUM(G71:G72)</f>
        <v>237</v>
      </c>
    </row>
    <row r="74" spans="2:8" x14ac:dyDescent="0.35">
      <c r="B74" s="1" t="s">
        <v>55</v>
      </c>
      <c r="C74" s="1">
        <v>24650</v>
      </c>
      <c r="D74" s="2"/>
      <c r="E74" s="2"/>
      <c r="G74" s="1">
        <f>G73*25</f>
        <v>5925</v>
      </c>
      <c r="H74" s="1">
        <f>G74/85000</f>
        <v>6.9705882352941173E-2</v>
      </c>
    </row>
    <row r="75" spans="2:8" x14ac:dyDescent="0.35">
      <c r="B75" s="1" t="s">
        <v>74</v>
      </c>
      <c r="C75" s="1">
        <f>C73-C74</f>
        <v>19</v>
      </c>
      <c r="D75" s="2"/>
      <c r="E75" s="2"/>
    </row>
    <row r="76" spans="2:8" x14ac:dyDescent="0.35">
      <c r="B76" s="1" t="s">
        <v>75</v>
      </c>
    </row>
    <row r="80" spans="2:8" x14ac:dyDescent="0.35">
      <c r="B80" s="1" t="s">
        <v>76</v>
      </c>
    </row>
    <row r="81" spans="2:10" x14ac:dyDescent="0.35">
      <c r="D81" s="1" t="s">
        <v>77</v>
      </c>
    </row>
    <row r="82" spans="2:10" x14ac:dyDescent="0.35">
      <c r="B82" s="1" t="s">
        <v>78</v>
      </c>
      <c r="D82" s="1" t="s">
        <v>79</v>
      </c>
      <c r="E82" s="1" t="s">
        <v>80</v>
      </c>
    </row>
    <row r="83" spans="2:10" x14ac:dyDescent="0.35">
      <c r="B83" s="1" t="s">
        <v>25</v>
      </c>
      <c r="E83" s="1" t="s">
        <v>81</v>
      </c>
    </row>
    <row r="84" spans="2:10" x14ac:dyDescent="0.35">
      <c r="E84" s="1" t="s">
        <v>82</v>
      </c>
    </row>
    <row r="85" spans="2:10" x14ac:dyDescent="0.35">
      <c r="E85" s="1" t="s">
        <v>83</v>
      </c>
    </row>
    <row r="87" spans="2:10" x14ac:dyDescent="0.35">
      <c r="B87" s="4" t="s">
        <v>84</v>
      </c>
      <c r="D87" s="1" t="s">
        <v>85</v>
      </c>
      <c r="E87" s="1">
        <v>100000</v>
      </c>
    </row>
    <row r="88" spans="2:10" x14ac:dyDescent="0.35">
      <c r="D88" s="1" t="s">
        <v>86</v>
      </c>
      <c r="E88" s="1">
        <v>12000</v>
      </c>
    </row>
    <row r="89" spans="2:10" x14ac:dyDescent="0.35">
      <c r="D89" s="1" t="s">
        <v>87</v>
      </c>
      <c r="E89" s="1">
        <v>11800</v>
      </c>
    </row>
    <row r="90" spans="2:10" x14ac:dyDescent="0.35">
      <c r="D90" s="1" t="s">
        <v>88</v>
      </c>
      <c r="E90" s="1">
        <v>200</v>
      </c>
    </row>
    <row r="91" spans="2:10" x14ac:dyDescent="0.35">
      <c r="D91" s="1" t="s">
        <v>89</v>
      </c>
      <c r="E91" s="1">
        <f>7*E88</f>
        <v>84000</v>
      </c>
      <c r="J91" s="1" t="s">
        <v>90</v>
      </c>
    </row>
    <row r="92" spans="2:10" x14ac:dyDescent="0.35">
      <c r="D92" s="1" t="s">
        <v>91</v>
      </c>
      <c r="E92" s="1">
        <v>1500</v>
      </c>
      <c r="J92" s="1" t="s">
        <v>92</v>
      </c>
    </row>
    <row r="93" spans="2:10" x14ac:dyDescent="0.35">
      <c r="F93" s="1" t="s">
        <v>65</v>
      </c>
      <c r="J93" s="1" t="s">
        <v>93</v>
      </c>
    </row>
    <row r="94" spans="2:10" x14ac:dyDescent="0.35">
      <c r="B94" s="4" t="s">
        <v>78</v>
      </c>
      <c r="C94" s="1" t="s">
        <v>61</v>
      </c>
      <c r="D94" s="1">
        <v>50</v>
      </c>
      <c r="E94" s="1">
        <f>D94*E88</f>
        <v>600000</v>
      </c>
      <c r="F94" s="1">
        <f>E97/E94*100</f>
        <v>12.5</v>
      </c>
      <c r="J94" s="1" t="s">
        <v>94</v>
      </c>
    </row>
    <row r="95" spans="2:10" x14ac:dyDescent="0.35">
      <c r="C95" s="1" t="s">
        <v>62</v>
      </c>
      <c r="D95" s="1">
        <v>50</v>
      </c>
      <c r="E95" s="1">
        <v>105430</v>
      </c>
      <c r="F95" s="8">
        <f>E97/E95*100</f>
        <v>71.137247462771498</v>
      </c>
    </row>
    <row r="96" spans="2:10" x14ac:dyDescent="0.35">
      <c r="C96" s="1" t="s">
        <v>88</v>
      </c>
      <c r="D96" s="1">
        <v>200</v>
      </c>
      <c r="E96" s="1">
        <f>D96*D95</f>
        <v>10000</v>
      </c>
    </row>
    <row r="97" spans="2:20" x14ac:dyDescent="0.35">
      <c r="C97" s="1" t="s">
        <v>91</v>
      </c>
      <c r="D97" s="1">
        <v>1500</v>
      </c>
      <c r="E97" s="1">
        <f>D97*D95</f>
        <v>75000</v>
      </c>
    </row>
    <row r="98" spans="2:20" x14ac:dyDescent="0.35">
      <c r="B98" s="1" t="s">
        <v>95</v>
      </c>
      <c r="C98" s="1" t="s">
        <v>96</v>
      </c>
      <c r="J98" s="1" t="s">
        <v>64</v>
      </c>
      <c r="L98" s="1" t="s">
        <v>62</v>
      </c>
      <c r="M98" s="1" t="s">
        <v>65</v>
      </c>
    </row>
    <row r="100" spans="2:20" x14ac:dyDescent="0.35">
      <c r="B100" s="4" t="s">
        <v>78</v>
      </c>
      <c r="G100" s="1" t="s">
        <v>97</v>
      </c>
      <c r="H100" s="1">
        <v>30</v>
      </c>
      <c r="I100" s="1">
        <v>5500</v>
      </c>
      <c r="J100" s="1">
        <f>I100*H100</f>
        <v>165000</v>
      </c>
      <c r="L100" s="1">
        <v>490000</v>
      </c>
      <c r="M100" s="5">
        <f>J100/L100*100</f>
        <v>33.673469387755098</v>
      </c>
    </row>
    <row r="101" spans="2:20" x14ac:dyDescent="0.35">
      <c r="B101" s="1" t="s">
        <v>98</v>
      </c>
      <c r="G101" s="1" t="s">
        <v>99</v>
      </c>
      <c r="H101" s="1">
        <v>5</v>
      </c>
      <c r="I101" s="1">
        <v>5500</v>
      </c>
      <c r="J101" s="1">
        <f>I101*H101</f>
        <v>27500</v>
      </c>
      <c r="L101" s="1">
        <v>83000</v>
      </c>
      <c r="M101" s="5">
        <f>J101/L101*100</f>
        <v>33.132530120481931</v>
      </c>
    </row>
    <row r="102" spans="2:20" x14ac:dyDescent="0.35">
      <c r="B102" s="1" t="s">
        <v>100</v>
      </c>
      <c r="G102" s="1" t="s">
        <v>101</v>
      </c>
      <c r="H102" s="1">
        <v>1</v>
      </c>
      <c r="I102" s="1">
        <v>5500</v>
      </c>
      <c r="J102" s="1">
        <f>I102*H102</f>
        <v>5500</v>
      </c>
      <c r="L102" s="1">
        <v>17000</v>
      </c>
      <c r="M102" s="5">
        <f>J102/L102*100</f>
        <v>32.352941176470587</v>
      </c>
    </row>
    <row r="103" spans="2:20" x14ac:dyDescent="0.35">
      <c r="B103" s="1" t="s">
        <v>102</v>
      </c>
    </row>
    <row r="104" spans="2:20" x14ac:dyDescent="0.35">
      <c r="B104" s="1" t="s">
        <v>103</v>
      </c>
    </row>
    <row r="105" spans="2:20" x14ac:dyDescent="0.35">
      <c r="B105" s="1" t="s">
        <v>104</v>
      </c>
    </row>
    <row r="106" spans="2:20" x14ac:dyDescent="0.35">
      <c r="B106" s="1" t="s">
        <v>105</v>
      </c>
    </row>
    <row r="108" spans="2:20" x14ac:dyDescent="0.35">
      <c r="C108" s="9" t="s">
        <v>106</v>
      </c>
      <c r="D108" s="9"/>
    </row>
    <row r="109" spans="2:20" x14ac:dyDescent="0.35">
      <c r="B109" s="10" t="s">
        <v>25</v>
      </c>
      <c r="C109" s="10" t="s">
        <v>107</v>
      </c>
      <c r="D109" s="10" t="s">
        <v>108</v>
      </c>
      <c r="E109" s="1" t="s">
        <v>109</v>
      </c>
      <c r="H109" s="1" t="s">
        <v>110</v>
      </c>
      <c r="I109" s="1" t="s">
        <v>111</v>
      </c>
      <c r="T109" s="1"/>
    </row>
    <row r="110" spans="2:20" x14ac:dyDescent="0.35">
      <c r="B110" s="11" t="s">
        <v>112</v>
      </c>
      <c r="C110" s="11" t="s">
        <v>113</v>
      </c>
      <c r="D110" s="12" t="s">
        <v>114</v>
      </c>
      <c r="E110" s="1" t="s">
        <v>115</v>
      </c>
      <c r="I110" s="1" t="s">
        <v>60</v>
      </c>
      <c r="T110" s="1"/>
    </row>
    <row r="111" spans="2:20" x14ac:dyDescent="0.35">
      <c r="B111" s="12" t="s">
        <v>116</v>
      </c>
      <c r="C111" s="12" t="s">
        <v>114</v>
      </c>
      <c r="D111" s="11" t="s">
        <v>113</v>
      </c>
      <c r="T111" s="1"/>
    </row>
    <row r="113" spans="2:14" x14ac:dyDescent="0.35">
      <c r="B113" s="1" t="s">
        <v>117</v>
      </c>
    </row>
    <row r="114" spans="2:14" x14ac:dyDescent="0.35">
      <c r="B114" s="1" t="s">
        <v>118</v>
      </c>
    </row>
    <row r="115" spans="2:14" x14ac:dyDescent="0.35">
      <c r="B115" s="1" t="s">
        <v>119</v>
      </c>
    </row>
    <row r="116" spans="2:14" x14ac:dyDescent="0.35">
      <c r="B116" s="4" t="s">
        <v>55</v>
      </c>
      <c r="C116" s="1" t="s">
        <v>120</v>
      </c>
    </row>
    <row r="117" spans="2:14" x14ac:dyDescent="0.35">
      <c r="B117" s="4" t="s">
        <v>121</v>
      </c>
      <c r="C117" s="1" t="s">
        <v>122</v>
      </c>
    </row>
    <row r="118" spans="2:14" x14ac:dyDescent="0.35">
      <c r="B118" s="4" t="s">
        <v>60</v>
      </c>
      <c r="C118" s="1" t="s">
        <v>123</v>
      </c>
    </row>
    <row r="119" spans="2:14" x14ac:dyDescent="0.35">
      <c r="C119" s="1" t="s">
        <v>124</v>
      </c>
    </row>
    <row r="120" spans="2:14" x14ac:dyDescent="0.35">
      <c r="B120" s="4" t="s">
        <v>125</v>
      </c>
      <c r="C120" s="1" t="s">
        <v>126</v>
      </c>
    </row>
    <row r="121" spans="2:14" x14ac:dyDescent="0.35">
      <c r="B121" s="1" t="s">
        <v>95</v>
      </c>
    </row>
    <row r="122" spans="2:14" x14ac:dyDescent="0.35">
      <c r="B122" s="1" t="s">
        <v>4</v>
      </c>
    </row>
    <row r="124" spans="2:14" x14ac:dyDescent="0.35">
      <c r="B124" s="4" t="s">
        <v>25</v>
      </c>
      <c r="C124" s="1" t="s">
        <v>61</v>
      </c>
      <c r="D124" s="1">
        <v>50</v>
      </c>
      <c r="E124" s="1">
        <f>12000*D124</f>
        <v>600000</v>
      </c>
    </row>
    <row r="125" spans="2:14" x14ac:dyDescent="0.35">
      <c r="B125" s="13" t="s">
        <v>127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2:14" x14ac:dyDescent="0.35">
      <c r="B126" s="14" t="s">
        <v>128</v>
      </c>
      <c r="C126" s="11" t="s">
        <v>129</v>
      </c>
      <c r="D126" s="14" t="s">
        <v>130</v>
      </c>
      <c r="E126" s="14" t="s">
        <v>131</v>
      </c>
      <c r="F126" s="11"/>
      <c r="H126" s="15" t="s">
        <v>116</v>
      </c>
      <c r="I126" s="1" t="s">
        <v>132</v>
      </c>
    </row>
    <row r="127" spans="2:14" x14ac:dyDescent="0.35">
      <c r="B127" s="4" t="s">
        <v>133</v>
      </c>
      <c r="H127" s="4" t="s">
        <v>133</v>
      </c>
    </row>
    <row r="128" spans="2:14" x14ac:dyDescent="0.35">
      <c r="B128" s="4" t="s">
        <v>134</v>
      </c>
      <c r="H128" s="4" t="s">
        <v>134</v>
      </c>
    </row>
    <row r="129" spans="2:14" x14ac:dyDescent="0.35">
      <c r="B129" s="4" t="s">
        <v>135</v>
      </c>
      <c r="H129" s="4" t="s">
        <v>135</v>
      </c>
    </row>
    <row r="130" spans="2:14" x14ac:dyDescent="0.35">
      <c r="B130" s="4" t="s">
        <v>136</v>
      </c>
    </row>
    <row r="131" spans="2:14" x14ac:dyDescent="0.35">
      <c r="B131" s="1" t="s">
        <v>137</v>
      </c>
      <c r="H131" s="1" t="s">
        <v>137</v>
      </c>
    </row>
    <row r="132" spans="2:14" x14ac:dyDescent="0.35">
      <c r="B132" s="1" t="s">
        <v>138</v>
      </c>
      <c r="H132" s="1" t="s">
        <v>139</v>
      </c>
    </row>
    <row r="134" spans="2:14" x14ac:dyDescent="0.35">
      <c r="B134" s="1" t="s">
        <v>140</v>
      </c>
      <c r="H134" s="1" t="s">
        <v>141</v>
      </c>
    </row>
    <row r="136" spans="2:14" x14ac:dyDescent="0.35">
      <c r="B136" s="13" t="s">
        <v>142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2:14" x14ac:dyDescent="0.35">
      <c r="B137" s="4" t="s">
        <v>143</v>
      </c>
      <c r="G137" s="4" t="s">
        <v>144</v>
      </c>
    </row>
    <row r="138" spans="2:14" x14ac:dyDescent="0.35">
      <c r="B138" s="1" t="s">
        <v>145</v>
      </c>
      <c r="G138" s="1" t="s">
        <v>145</v>
      </c>
    </row>
    <row r="139" spans="2:14" x14ac:dyDescent="0.35">
      <c r="B139" s="1" t="s">
        <v>146</v>
      </c>
      <c r="G139" s="1" t="s">
        <v>147</v>
      </c>
    </row>
    <row r="140" spans="2:14" x14ac:dyDescent="0.35">
      <c r="B140" s="4" t="s">
        <v>148</v>
      </c>
      <c r="G140" s="4" t="s">
        <v>148</v>
      </c>
    </row>
    <row r="141" spans="2:14" x14ac:dyDescent="0.35">
      <c r="B141" s="1" t="s">
        <v>149</v>
      </c>
      <c r="G141" s="1" t="s">
        <v>149</v>
      </c>
    </row>
    <row r="142" spans="2:14" x14ac:dyDescent="0.35">
      <c r="B142" s="4" t="s">
        <v>150</v>
      </c>
      <c r="G142" s="4" t="s">
        <v>150</v>
      </c>
    </row>
    <row r="143" spans="2:14" x14ac:dyDescent="0.35">
      <c r="B143" s="1" t="s">
        <v>151</v>
      </c>
      <c r="G143" s="1" t="s">
        <v>151</v>
      </c>
    </row>
    <row r="144" spans="2:14" x14ac:dyDescent="0.35">
      <c r="B144" s="1" t="s">
        <v>152</v>
      </c>
      <c r="G144" s="1" t="s">
        <v>152</v>
      </c>
    </row>
    <row r="145" spans="2:7" x14ac:dyDescent="0.35">
      <c r="B145" s="1" t="s">
        <v>153</v>
      </c>
      <c r="G145" s="1" t="s">
        <v>154</v>
      </c>
    </row>
    <row r="146" spans="2:7" x14ac:dyDescent="0.35">
      <c r="B146" s="1">
        <f>230*15</f>
        <v>3450</v>
      </c>
    </row>
    <row r="147" spans="2:7" x14ac:dyDescent="0.35">
      <c r="B147" s="16">
        <f>B146/117000*100</f>
        <v>2.9487179487179485</v>
      </c>
      <c r="C147" s="1" t="s">
        <v>65</v>
      </c>
    </row>
    <row r="150" spans="2:7" x14ac:dyDescent="0.35">
      <c r="B150" s="4" t="s">
        <v>155</v>
      </c>
      <c r="E150" s="4" t="s">
        <v>156</v>
      </c>
    </row>
    <row r="151" spans="2:7" x14ac:dyDescent="0.35">
      <c r="B151" s="1" t="s">
        <v>157</v>
      </c>
      <c r="D151" s="1" t="s">
        <v>109</v>
      </c>
      <c r="E151" s="1" t="s">
        <v>158</v>
      </c>
      <c r="F151" s="1" t="s">
        <v>109</v>
      </c>
    </row>
    <row r="152" spans="2:7" x14ac:dyDescent="0.35">
      <c r="B152" s="1" t="s">
        <v>159</v>
      </c>
      <c r="D152" s="1" t="s">
        <v>160</v>
      </c>
      <c r="E152" s="1" t="s">
        <v>161</v>
      </c>
      <c r="F152" s="1" t="s">
        <v>160</v>
      </c>
    </row>
    <row r="155" spans="2:7" x14ac:dyDescent="0.35">
      <c r="B155" s="4" t="s">
        <v>55</v>
      </c>
      <c r="C155" s="4" t="s">
        <v>162</v>
      </c>
      <c r="E155" s="4" t="s">
        <v>163</v>
      </c>
    </row>
    <row r="156" spans="2:7" x14ac:dyDescent="0.35">
      <c r="B156" s="1" t="s">
        <v>60</v>
      </c>
      <c r="C156" s="1">
        <v>309</v>
      </c>
    </row>
    <row r="157" spans="2:7" x14ac:dyDescent="0.35">
      <c r="B157" s="1" t="s">
        <v>27</v>
      </c>
    </row>
    <row r="158" spans="2:7" x14ac:dyDescent="0.35">
      <c r="B158" s="1" t="s">
        <v>53</v>
      </c>
      <c r="C158" s="1">
        <v>11380</v>
      </c>
    </row>
    <row r="159" spans="2:7" x14ac:dyDescent="0.35">
      <c r="B159" s="4" t="s">
        <v>71</v>
      </c>
      <c r="C159" s="17" t="s">
        <v>70</v>
      </c>
      <c r="D159" s="2">
        <f>C158-11300</f>
        <v>80</v>
      </c>
    </row>
    <row r="160" spans="2:7" x14ac:dyDescent="0.35">
      <c r="C160" s="1" t="s">
        <v>73</v>
      </c>
      <c r="D160" s="2">
        <f>309-80</f>
        <v>229</v>
      </c>
    </row>
    <row r="161" spans="2:9" x14ac:dyDescent="0.35">
      <c r="B161" s="4" t="s">
        <v>164</v>
      </c>
      <c r="C161" s="4" t="s">
        <v>165</v>
      </c>
    </row>
    <row r="162" spans="2:9" x14ac:dyDescent="0.35">
      <c r="B162" s="1" t="s">
        <v>166</v>
      </c>
    </row>
    <row r="163" spans="2:9" x14ac:dyDescent="0.35">
      <c r="B163" s="4" t="s">
        <v>167</v>
      </c>
    </row>
    <row r="164" spans="2:9" x14ac:dyDescent="0.35">
      <c r="B164" s="4" t="s">
        <v>168</v>
      </c>
    </row>
    <row r="165" spans="2:9" x14ac:dyDescent="0.35">
      <c r="B165" s="1" t="s">
        <v>169</v>
      </c>
      <c r="F165" s="4" t="s">
        <v>55</v>
      </c>
      <c r="G165" s="4" t="s">
        <v>162</v>
      </c>
    </row>
    <row r="166" spans="2:9" x14ac:dyDescent="0.35">
      <c r="E166" s="10" t="s">
        <v>170</v>
      </c>
      <c r="F166" s="10" t="s">
        <v>171</v>
      </c>
      <c r="G166" s="18"/>
      <c r="H166" s="18"/>
      <c r="I166" s="19" t="s">
        <v>172</v>
      </c>
    </row>
    <row r="167" spans="2:9" x14ac:dyDescent="0.35">
      <c r="B167" s="1" t="s">
        <v>95</v>
      </c>
      <c r="C167" s="1">
        <f>11300+309</f>
        <v>11609</v>
      </c>
      <c r="D167" s="1" t="s">
        <v>53</v>
      </c>
      <c r="E167" s="10" t="s">
        <v>173</v>
      </c>
      <c r="F167" s="10" t="s">
        <v>174</v>
      </c>
      <c r="G167" s="10"/>
      <c r="H167" s="10"/>
      <c r="I167" s="19" t="s">
        <v>175</v>
      </c>
    </row>
    <row r="168" spans="2:9" x14ac:dyDescent="0.35">
      <c r="B168" s="1" t="s">
        <v>71</v>
      </c>
      <c r="C168" s="1">
        <f>11609-11300</f>
        <v>309</v>
      </c>
      <c r="E168" s="10" t="s">
        <v>176</v>
      </c>
      <c r="F168" s="10" t="s">
        <v>177</v>
      </c>
      <c r="G168" s="18"/>
      <c r="H168" s="18"/>
      <c r="I168" s="19" t="s">
        <v>178</v>
      </c>
    </row>
    <row r="169" spans="2:9" x14ac:dyDescent="0.35">
      <c r="E169" s="18"/>
      <c r="F169" s="18" t="s">
        <v>71</v>
      </c>
      <c r="G169" s="18">
        <f>11700-11300</f>
        <v>400</v>
      </c>
      <c r="H169" s="18"/>
      <c r="I169" s="20">
        <f>11500-11300</f>
        <v>200</v>
      </c>
    </row>
    <row r="170" spans="2:9" x14ac:dyDescent="0.35">
      <c r="B170" s="4" t="s">
        <v>109</v>
      </c>
      <c r="C170" s="1" t="s">
        <v>179</v>
      </c>
      <c r="E170" s="18" t="s">
        <v>180</v>
      </c>
      <c r="F170" s="18" t="s">
        <v>109</v>
      </c>
      <c r="G170" s="10">
        <f>G169-309</f>
        <v>91</v>
      </c>
      <c r="H170" s="18" t="s">
        <v>171</v>
      </c>
      <c r="I170" s="20">
        <f>200-309</f>
        <v>-109</v>
      </c>
    </row>
    <row r="171" spans="2:9" x14ac:dyDescent="0.35">
      <c r="B171" s="4" t="s">
        <v>108</v>
      </c>
      <c r="C171" s="1" t="s">
        <v>181</v>
      </c>
      <c r="E171" s="18" t="s">
        <v>182</v>
      </c>
      <c r="F171" s="21" t="s">
        <v>108</v>
      </c>
      <c r="G171" s="10">
        <f>309-400</f>
        <v>-91</v>
      </c>
      <c r="H171" s="18" t="s">
        <v>171</v>
      </c>
      <c r="I171" s="20">
        <f>309-I169</f>
        <v>109</v>
      </c>
    </row>
    <row r="172" spans="2:9" x14ac:dyDescent="0.35">
      <c r="B172" s="4" t="s">
        <v>95</v>
      </c>
      <c r="C172" s="1" t="s">
        <v>183</v>
      </c>
      <c r="E172" s="18" t="s">
        <v>184</v>
      </c>
      <c r="F172" s="18"/>
      <c r="G172" s="18"/>
      <c r="H172" s="18"/>
      <c r="I172" s="20"/>
    </row>
    <row r="174" spans="2:9" x14ac:dyDescent="0.35">
      <c r="B174" s="4" t="s">
        <v>116</v>
      </c>
    </row>
    <row r="175" spans="2:9" x14ac:dyDescent="0.35">
      <c r="B175" s="4" t="s">
        <v>55</v>
      </c>
      <c r="C175" s="4" t="s">
        <v>185</v>
      </c>
      <c r="F175" s="4" t="s">
        <v>55</v>
      </c>
      <c r="G175" s="4" t="s">
        <v>185</v>
      </c>
    </row>
    <row r="176" spans="2:9" x14ac:dyDescent="0.35">
      <c r="B176" s="1" t="s">
        <v>60</v>
      </c>
      <c r="C176" s="1">
        <v>188</v>
      </c>
      <c r="E176" s="10" t="s">
        <v>186</v>
      </c>
      <c r="F176" s="10" t="s">
        <v>171</v>
      </c>
      <c r="G176" s="18"/>
      <c r="H176" s="18"/>
      <c r="I176" s="19" t="s">
        <v>172</v>
      </c>
    </row>
    <row r="177" spans="2:9" x14ac:dyDescent="0.35">
      <c r="B177" s="1" t="s">
        <v>27</v>
      </c>
      <c r="E177" s="10" t="s">
        <v>173</v>
      </c>
      <c r="F177" s="10" t="s">
        <v>174</v>
      </c>
      <c r="G177" s="10">
        <v>11300</v>
      </c>
      <c r="H177" s="10"/>
      <c r="I177" s="19" t="s">
        <v>175</v>
      </c>
    </row>
    <row r="178" spans="2:9" x14ac:dyDescent="0.35">
      <c r="B178" s="1" t="s">
        <v>53</v>
      </c>
      <c r="C178" s="1">
        <v>11380</v>
      </c>
      <c r="E178" s="10" t="s">
        <v>187</v>
      </c>
      <c r="F178" s="10" t="s">
        <v>188</v>
      </c>
      <c r="G178" s="18"/>
      <c r="H178" s="18"/>
      <c r="I178" s="19" t="s">
        <v>189</v>
      </c>
    </row>
    <row r="179" spans="2:9" x14ac:dyDescent="0.35">
      <c r="B179" s="4" t="s">
        <v>71</v>
      </c>
      <c r="C179" s="17" t="s">
        <v>190</v>
      </c>
      <c r="E179" s="18"/>
      <c r="F179" s="18" t="s">
        <v>71</v>
      </c>
      <c r="G179" s="18">
        <f>11300-11300</f>
        <v>0</v>
      </c>
      <c r="H179" s="18"/>
      <c r="I179" s="20">
        <f>11300-11000</f>
        <v>300</v>
      </c>
    </row>
    <row r="180" spans="2:9" x14ac:dyDescent="0.35">
      <c r="B180" s="1" t="s">
        <v>71</v>
      </c>
      <c r="C180" s="1">
        <v>0</v>
      </c>
      <c r="E180" s="18" t="s">
        <v>191</v>
      </c>
      <c r="F180" s="18" t="s">
        <v>109</v>
      </c>
      <c r="G180" s="10">
        <v>-188</v>
      </c>
      <c r="H180" s="18" t="s">
        <v>171</v>
      </c>
      <c r="I180" s="20">
        <f>300-188</f>
        <v>112</v>
      </c>
    </row>
    <row r="181" spans="2:9" x14ac:dyDescent="0.35">
      <c r="B181" s="1" t="s">
        <v>73</v>
      </c>
      <c r="C181" s="1">
        <v>188</v>
      </c>
      <c r="E181" s="18" t="s">
        <v>192</v>
      </c>
      <c r="F181" s="21" t="s">
        <v>108</v>
      </c>
      <c r="G181" s="10">
        <v>188</v>
      </c>
      <c r="H181" s="18" t="s">
        <v>171</v>
      </c>
      <c r="I181" s="20">
        <f>188-I179</f>
        <v>-112</v>
      </c>
    </row>
    <row r="182" spans="2:9" x14ac:dyDescent="0.35">
      <c r="B182" s="4" t="s">
        <v>109</v>
      </c>
      <c r="C182" s="1" t="s">
        <v>179</v>
      </c>
      <c r="E182" s="18" t="s">
        <v>184</v>
      </c>
      <c r="F182" s="18"/>
      <c r="G182" s="18"/>
      <c r="H182" s="18"/>
      <c r="I182" s="20"/>
    </row>
    <row r="183" spans="2:9" x14ac:dyDescent="0.35">
      <c r="B183" s="4" t="s">
        <v>108</v>
      </c>
      <c r="C183" s="1" t="s">
        <v>181</v>
      </c>
    </row>
    <row r="184" spans="2:9" x14ac:dyDescent="0.35">
      <c r="B184" s="4" t="s">
        <v>95</v>
      </c>
      <c r="C184" s="1" t="s">
        <v>183</v>
      </c>
    </row>
    <row r="185" spans="2:9" x14ac:dyDescent="0.35">
      <c r="B185" s="4" t="s">
        <v>193</v>
      </c>
      <c r="C185" s="4" t="s">
        <v>194</v>
      </c>
    </row>
    <row r="186" spans="2:9" x14ac:dyDescent="0.35">
      <c r="B186" s="1" t="s">
        <v>95</v>
      </c>
      <c r="C186" s="4">
        <f>11300-188</f>
        <v>11112</v>
      </c>
    </row>
    <row r="187" spans="2:9" x14ac:dyDescent="0.35">
      <c r="B187" s="1" t="s">
        <v>71</v>
      </c>
      <c r="C187" s="4">
        <f>11300-C186</f>
        <v>188</v>
      </c>
    </row>
    <row r="188" spans="2:9" x14ac:dyDescent="0.35">
      <c r="B188" s="4" t="s">
        <v>116</v>
      </c>
    </row>
    <row r="189" spans="2:9" x14ac:dyDescent="0.35">
      <c r="B189" s="1" t="s">
        <v>166</v>
      </c>
    </row>
    <row r="190" spans="2:9" x14ac:dyDescent="0.35">
      <c r="B190" s="4" t="s">
        <v>195</v>
      </c>
    </row>
    <row r="191" spans="2:9" x14ac:dyDescent="0.35">
      <c r="B191" s="4" t="s">
        <v>196</v>
      </c>
    </row>
    <row r="192" spans="2:9" x14ac:dyDescent="0.35">
      <c r="B192" s="1" t="s">
        <v>169</v>
      </c>
    </row>
    <row r="195" spans="3:8" x14ac:dyDescent="0.35">
      <c r="D195" s="4" t="s">
        <v>197</v>
      </c>
      <c r="H195" s="4" t="s">
        <v>198</v>
      </c>
    </row>
    <row r="196" spans="3:8" x14ac:dyDescent="0.35">
      <c r="C196" s="1">
        <v>1</v>
      </c>
      <c r="D196" s="1" t="s">
        <v>199</v>
      </c>
      <c r="G196" s="1">
        <v>1</v>
      </c>
      <c r="H196" s="1" t="s">
        <v>200</v>
      </c>
    </row>
    <row r="197" spans="3:8" x14ac:dyDescent="0.35">
      <c r="C197" s="1">
        <v>2</v>
      </c>
      <c r="D197" s="1" t="s">
        <v>201</v>
      </c>
      <c r="G197" s="1">
        <v>2</v>
      </c>
      <c r="H197" s="1" t="s">
        <v>202</v>
      </c>
    </row>
    <row r="198" spans="3:8" x14ac:dyDescent="0.35">
      <c r="C198" s="1">
        <v>3</v>
      </c>
      <c r="D198" s="1" t="s">
        <v>203</v>
      </c>
      <c r="G198" s="1">
        <v>3</v>
      </c>
      <c r="H198" s="1" t="s">
        <v>204</v>
      </c>
    </row>
    <row r="199" spans="3:8" x14ac:dyDescent="0.35">
      <c r="C199" s="1">
        <v>4</v>
      </c>
      <c r="D199" s="1" t="s">
        <v>205</v>
      </c>
      <c r="G199" s="1">
        <v>4</v>
      </c>
      <c r="H199" s="1" t="s">
        <v>205</v>
      </c>
    </row>
    <row r="200" spans="3:8" x14ac:dyDescent="0.35">
      <c r="C200" s="1">
        <v>5</v>
      </c>
      <c r="D200" s="1" t="s">
        <v>206</v>
      </c>
      <c r="G200" s="1">
        <v>5</v>
      </c>
      <c r="H200" s="1" t="s">
        <v>206</v>
      </c>
    </row>
    <row r="201" spans="3:8" x14ac:dyDescent="0.35">
      <c r="C201" s="1">
        <v>6</v>
      </c>
      <c r="D201" s="1" t="s">
        <v>207</v>
      </c>
      <c r="E201" s="1" t="s">
        <v>208</v>
      </c>
      <c r="G201" s="1">
        <v>6</v>
      </c>
      <c r="H201" s="1" t="s">
        <v>209</v>
      </c>
    </row>
    <row r="202" spans="3:8" x14ac:dyDescent="0.35">
      <c r="C202" s="1">
        <v>7</v>
      </c>
      <c r="D202" s="1" t="s">
        <v>210</v>
      </c>
      <c r="G202" s="1">
        <v>7</v>
      </c>
      <c r="H202" s="1" t="s">
        <v>210</v>
      </c>
    </row>
    <row r="203" spans="3:8" x14ac:dyDescent="0.35">
      <c r="C203" s="1">
        <v>8</v>
      </c>
      <c r="D203" s="1" t="s">
        <v>211</v>
      </c>
      <c r="G203" s="1">
        <v>8</v>
      </c>
      <c r="H203" s="1" t="s">
        <v>211</v>
      </c>
    </row>
    <row r="210" spans="2:9" x14ac:dyDescent="0.35">
      <c r="D210" s="1" t="s">
        <v>212</v>
      </c>
      <c r="E210" s="1" t="s">
        <v>213</v>
      </c>
      <c r="F210" s="1" t="s">
        <v>214</v>
      </c>
    </row>
    <row r="211" spans="2:9" x14ac:dyDescent="0.35">
      <c r="H211" s="1" t="s">
        <v>95</v>
      </c>
    </row>
    <row r="212" spans="2:9" x14ac:dyDescent="0.35">
      <c r="E212" s="1">
        <v>4800</v>
      </c>
      <c r="F212" s="1" t="s">
        <v>215</v>
      </c>
      <c r="G212" s="1">
        <v>95</v>
      </c>
      <c r="H212" s="3">
        <f>E212+G214</f>
        <v>4943</v>
      </c>
    </row>
    <row r="213" spans="2:9" x14ac:dyDescent="0.35">
      <c r="E213" s="1">
        <v>4800</v>
      </c>
      <c r="F213" s="1" t="s">
        <v>216</v>
      </c>
      <c r="G213" s="1">
        <v>48</v>
      </c>
      <c r="H213" s="3">
        <f>E213-G214</f>
        <v>4657</v>
      </c>
    </row>
    <row r="214" spans="2:9" x14ac:dyDescent="0.35">
      <c r="G214" s="1">
        <f>SUM(G212:G213)</f>
        <v>143</v>
      </c>
    </row>
    <row r="216" spans="2:9" x14ac:dyDescent="0.35">
      <c r="D216" s="1" t="s">
        <v>217</v>
      </c>
      <c r="E216" s="1" t="s">
        <v>218</v>
      </c>
    </row>
    <row r="217" spans="2:9" x14ac:dyDescent="0.35">
      <c r="C217" s="1">
        <v>1</v>
      </c>
      <c r="D217" s="1" t="s">
        <v>219</v>
      </c>
      <c r="E217" s="1" t="s">
        <v>106</v>
      </c>
    </row>
    <row r="218" spans="2:9" x14ac:dyDescent="0.35">
      <c r="C218" s="1">
        <v>2</v>
      </c>
      <c r="D218" s="1" t="s">
        <v>220</v>
      </c>
      <c r="E218" s="1" t="s">
        <v>221</v>
      </c>
    </row>
    <row r="219" spans="2:9" x14ac:dyDescent="0.35">
      <c r="C219" s="1">
        <v>3</v>
      </c>
      <c r="D219" s="1" t="s">
        <v>222</v>
      </c>
      <c r="E219" s="1" t="s">
        <v>223</v>
      </c>
    </row>
    <row r="222" spans="2:9" x14ac:dyDescent="0.35">
      <c r="B222" s="1" t="s">
        <v>224</v>
      </c>
      <c r="C222" s="1" t="s">
        <v>225</v>
      </c>
      <c r="D222" s="1" t="s">
        <v>226</v>
      </c>
      <c r="E222" s="1" t="s">
        <v>227</v>
      </c>
    </row>
    <row r="223" spans="2:9" x14ac:dyDescent="0.35">
      <c r="B223" s="1" t="s">
        <v>228</v>
      </c>
      <c r="C223" s="1" t="s">
        <v>229</v>
      </c>
      <c r="D223" s="1" t="s">
        <v>230</v>
      </c>
      <c r="E223" s="1" t="s">
        <v>231</v>
      </c>
    </row>
    <row r="224" spans="2:9" x14ac:dyDescent="0.35">
      <c r="C224" s="1" t="s">
        <v>232</v>
      </c>
      <c r="D224" s="1" t="s">
        <v>233</v>
      </c>
      <c r="E224" s="1" t="s">
        <v>234</v>
      </c>
      <c r="F224" s="2"/>
      <c r="G224" s="2"/>
      <c r="H224" s="2"/>
      <c r="I224" s="2"/>
    </row>
    <row r="225" spans="2:12" x14ac:dyDescent="0.35">
      <c r="C225" s="1" t="s">
        <v>235</v>
      </c>
      <c r="D225" s="1" t="s">
        <v>233</v>
      </c>
      <c r="E225" s="1" t="s">
        <v>234</v>
      </c>
      <c r="F225" s="2"/>
      <c r="G225" s="2"/>
      <c r="H225" s="2"/>
      <c r="I225" s="2"/>
    </row>
    <row r="226" spans="2:12" x14ac:dyDescent="0.35">
      <c r="C226" s="1" t="s">
        <v>236</v>
      </c>
      <c r="D226" s="1" t="s">
        <v>230</v>
      </c>
      <c r="E226" s="1" t="s">
        <v>231</v>
      </c>
      <c r="F226" s="2"/>
      <c r="G226" s="2"/>
      <c r="H226" s="2"/>
      <c r="I226" s="2"/>
      <c r="L226" s="2"/>
    </row>
    <row r="227" spans="2:12" x14ac:dyDescent="0.35">
      <c r="C227" s="1" t="s">
        <v>237</v>
      </c>
      <c r="D227" s="1" t="s">
        <v>230</v>
      </c>
      <c r="F227" s="2"/>
      <c r="G227" s="2"/>
      <c r="H227" s="2"/>
      <c r="I227" s="2"/>
      <c r="L227" s="2"/>
    </row>
    <row r="228" spans="2:12" x14ac:dyDescent="0.35">
      <c r="C228" s="1" t="s">
        <v>238</v>
      </c>
      <c r="D228" s="1" t="s">
        <v>230</v>
      </c>
      <c r="F228" s="2"/>
      <c r="G228" s="2"/>
      <c r="H228" s="2"/>
      <c r="I228" s="2"/>
      <c r="L228" s="2"/>
    </row>
    <row r="229" spans="2:12" x14ac:dyDescent="0.35">
      <c r="F229" s="2"/>
      <c r="G229" s="2"/>
      <c r="H229" s="2"/>
      <c r="I229" s="2"/>
      <c r="L229" s="2"/>
    </row>
    <row r="230" spans="2:12" x14ac:dyDescent="0.35">
      <c r="B230" s="1" t="s">
        <v>239</v>
      </c>
      <c r="C230" s="1" t="s">
        <v>240</v>
      </c>
      <c r="D230" s="1" t="s">
        <v>230</v>
      </c>
      <c r="E230" s="1" t="s">
        <v>241</v>
      </c>
      <c r="F230" s="2"/>
      <c r="G230" s="2"/>
      <c r="I230" s="2"/>
      <c r="L230" s="2"/>
    </row>
    <row r="231" spans="2:12" x14ac:dyDescent="0.35">
      <c r="C231" s="1" t="s">
        <v>242</v>
      </c>
      <c r="D231" s="1" t="s">
        <v>233</v>
      </c>
      <c r="E231" s="1" t="s">
        <v>243</v>
      </c>
      <c r="F231" s="2"/>
      <c r="G231" s="2"/>
      <c r="H231" s="2"/>
      <c r="I231" s="2"/>
    </row>
    <row r="232" spans="2:12" x14ac:dyDescent="0.35">
      <c r="C232" s="1" t="s">
        <v>244</v>
      </c>
      <c r="D232" s="1" t="s">
        <v>233</v>
      </c>
      <c r="E232" s="1" t="s">
        <v>243</v>
      </c>
      <c r="F232" s="2"/>
      <c r="G232" s="2"/>
      <c r="H232" s="2"/>
      <c r="I232" s="2"/>
    </row>
    <row r="233" spans="2:12" x14ac:dyDescent="0.35">
      <c r="C233" s="1" t="s">
        <v>245</v>
      </c>
      <c r="D233" s="1" t="s">
        <v>230</v>
      </c>
      <c r="E233" s="1" t="s">
        <v>241</v>
      </c>
      <c r="F233" s="2"/>
      <c r="G233" s="2"/>
      <c r="H233" s="2"/>
      <c r="I233" s="2"/>
    </row>
    <row r="234" spans="2:12" x14ac:dyDescent="0.35">
      <c r="C234" s="1" t="s">
        <v>246</v>
      </c>
      <c r="D234" s="1" t="s">
        <v>230</v>
      </c>
      <c r="F234" s="2"/>
      <c r="G234" s="2"/>
      <c r="H234" s="2"/>
      <c r="I234" s="2"/>
    </row>
    <row r="235" spans="2:12" x14ac:dyDescent="0.35">
      <c r="C235" s="1" t="s">
        <v>247</v>
      </c>
      <c r="D235" s="1" t="s">
        <v>230</v>
      </c>
      <c r="F235" s="2"/>
      <c r="G235" s="2"/>
      <c r="H235" s="2"/>
      <c r="I235" s="2"/>
    </row>
    <row r="236" spans="2:12" x14ac:dyDescent="0.35">
      <c r="F236" s="2"/>
      <c r="G236" s="2"/>
      <c r="H236" s="2"/>
      <c r="I236" s="2"/>
    </row>
    <row r="237" spans="2:12" x14ac:dyDescent="0.35">
      <c r="B237" s="1" t="s">
        <v>248</v>
      </c>
      <c r="C237" s="1" t="s">
        <v>249</v>
      </c>
      <c r="E237" s="1" t="s">
        <v>250</v>
      </c>
      <c r="F237" s="2"/>
      <c r="G237" s="2"/>
      <c r="H237" s="2"/>
      <c r="I237" s="2"/>
    </row>
    <row r="238" spans="2:12" x14ac:dyDescent="0.35">
      <c r="C238" s="1" t="s">
        <v>251</v>
      </c>
      <c r="E238" s="1" t="s">
        <v>250</v>
      </c>
      <c r="F238" s="2"/>
      <c r="G238" s="2"/>
      <c r="H238" s="2"/>
      <c r="I238" s="2"/>
    </row>
    <row r="239" spans="2:12" x14ac:dyDescent="0.35">
      <c r="C239" s="1" t="s">
        <v>252</v>
      </c>
      <c r="E239" s="1" t="s">
        <v>250</v>
      </c>
      <c r="F239" s="2"/>
      <c r="G239" s="2"/>
      <c r="H239" s="2"/>
      <c r="I239" s="2"/>
    </row>
    <row r="240" spans="2:12" x14ac:dyDescent="0.35">
      <c r="C240" s="1" t="s">
        <v>253</v>
      </c>
      <c r="E240" s="1" t="s">
        <v>250</v>
      </c>
      <c r="F240" s="2"/>
      <c r="G240" s="2"/>
      <c r="H240" s="2"/>
      <c r="I240" s="2"/>
    </row>
    <row r="241" spans="3:14" x14ac:dyDescent="0.35">
      <c r="F241" s="2"/>
      <c r="G241" s="2"/>
      <c r="H241" s="2"/>
      <c r="I241" s="2"/>
    </row>
    <row r="242" spans="3:14" x14ac:dyDescent="0.35">
      <c r="F242" s="2"/>
      <c r="G242" s="2"/>
      <c r="H242" s="2"/>
      <c r="I242" s="2"/>
    </row>
    <row r="243" spans="3:14" x14ac:dyDescent="0.35">
      <c r="C243" s="1" t="s">
        <v>249</v>
      </c>
      <c r="D243" s="1" t="s">
        <v>254</v>
      </c>
      <c r="F243" s="2"/>
      <c r="G243" s="2"/>
      <c r="H243" s="2"/>
      <c r="I243" s="2"/>
    </row>
    <row r="244" spans="3:14" ht="36" x14ac:dyDescent="0.35">
      <c r="C244" s="1" t="s">
        <v>251</v>
      </c>
      <c r="D244" s="1" t="s">
        <v>255</v>
      </c>
      <c r="E244" s="22" t="s">
        <v>256</v>
      </c>
      <c r="F244" s="2"/>
      <c r="G244" s="2"/>
      <c r="H244" s="2"/>
      <c r="I244" s="2"/>
    </row>
    <row r="245" spans="3:14" x14ac:dyDescent="0.35">
      <c r="F245" s="2"/>
      <c r="G245" s="2"/>
      <c r="H245" s="2"/>
      <c r="I245" s="2"/>
    </row>
    <row r="246" spans="3:14" x14ac:dyDescent="0.35">
      <c r="F246" s="2"/>
      <c r="G246" s="2"/>
      <c r="H246" s="2" t="s">
        <v>257</v>
      </c>
      <c r="I246" s="23" t="s">
        <v>249</v>
      </c>
    </row>
    <row r="247" spans="3:14" x14ac:dyDescent="0.35">
      <c r="F247" s="2"/>
      <c r="H247" s="2" t="s">
        <v>258</v>
      </c>
      <c r="I247" s="1" t="s">
        <v>259</v>
      </c>
      <c r="J247" s="1" t="s">
        <v>95</v>
      </c>
    </row>
    <row r="248" spans="3:14" x14ac:dyDescent="0.35">
      <c r="F248" s="2"/>
      <c r="G248" s="1">
        <v>52800</v>
      </c>
      <c r="H248" s="2" t="s">
        <v>215</v>
      </c>
      <c r="I248" s="2">
        <v>577</v>
      </c>
      <c r="J248" s="1">
        <f>G248+I250</f>
        <v>53812</v>
      </c>
      <c r="L248" s="1" t="s">
        <v>260</v>
      </c>
    </row>
    <row r="249" spans="3:14" x14ac:dyDescent="0.35">
      <c r="F249" s="2"/>
      <c r="G249" s="1">
        <v>52800</v>
      </c>
      <c r="H249" s="2" t="s">
        <v>216</v>
      </c>
      <c r="I249" s="2">
        <v>435</v>
      </c>
      <c r="J249" s="1">
        <f>G249-I250</f>
        <v>51788</v>
      </c>
      <c r="L249" s="1" t="s">
        <v>261</v>
      </c>
    </row>
    <row r="250" spans="3:14" x14ac:dyDescent="0.35">
      <c r="F250" s="2"/>
      <c r="H250" s="1" t="s">
        <v>262</v>
      </c>
      <c r="I250" s="2">
        <f>SUM(I248:I249)</f>
        <v>1012</v>
      </c>
    </row>
    <row r="251" spans="3:14" x14ac:dyDescent="0.35">
      <c r="G251" s="1" t="s">
        <v>263</v>
      </c>
    </row>
    <row r="253" spans="3:14" x14ac:dyDescent="0.35">
      <c r="G253" s="1">
        <v>52800</v>
      </c>
      <c r="H253" s="2" t="s">
        <v>215</v>
      </c>
      <c r="I253" s="1">
        <v>577</v>
      </c>
      <c r="J253" s="1">
        <v>17</v>
      </c>
      <c r="L253" s="24">
        <v>17</v>
      </c>
      <c r="N253" s="1" t="s">
        <v>264</v>
      </c>
    </row>
    <row r="254" spans="3:14" x14ac:dyDescent="0.35">
      <c r="G254" s="1">
        <v>52800</v>
      </c>
      <c r="H254" s="2" t="s">
        <v>216</v>
      </c>
      <c r="I254" s="1">
        <v>435</v>
      </c>
      <c r="J254" s="1">
        <v>1914</v>
      </c>
      <c r="L254" s="24">
        <f>I254-J254</f>
        <v>-1479</v>
      </c>
      <c r="N254" s="1" t="s">
        <v>265</v>
      </c>
    </row>
    <row r="255" spans="3:14" x14ac:dyDescent="0.35">
      <c r="L255" s="1">
        <f>SUM(L253:L254)</f>
        <v>-1462</v>
      </c>
      <c r="M255" s="1">
        <f>L255*15</f>
        <v>-21930</v>
      </c>
    </row>
    <row r="258" spans="8:17" x14ac:dyDescent="0.35">
      <c r="H258" s="1" t="s">
        <v>249</v>
      </c>
      <c r="J258" s="1" t="s">
        <v>266</v>
      </c>
      <c r="N258" s="1">
        <v>120000</v>
      </c>
      <c r="O258" s="1" t="s">
        <v>267</v>
      </c>
    </row>
    <row r="259" spans="8:17" x14ac:dyDescent="0.35">
      <c r="H259" s="1" t="s">
        <v>268</v>
      </c>
      <c r="J259" s="1" t="s">
        <v>269</v>
      </c>
    </row>
    <row r="260" spans="8:17" x14ac:dyDescent="0.35">
      <c r="H260" s="1" t="s">
        <v>270</v>
      </c>
      <c r="J260" s="1" t="s">
        <v>271</v>
      </c>
    </row>
    <row r="262" spans="8:17" x14ac:dyDescent="0.35">
      <c r="H262" s="1" t="s">
        <v>252</v>
      </c>
      <c r="L262" s="1" t="s">
        <v>60</v>
      </c>
    </row>
    <row r="263" spans="8:17" x14ac:dyDescent="0.35">
      <c r="H263" s="25">
        <v>52800</v>
      </c>
      <c r="I263" s="2" t="s">
        <v>215</v>
      </c>
      <c r="J263" s="1" t="s">
        <v>258</v>
      </c>
      <c r="L263" s="26">
        <v>577</v>
      </c>
      <c r="M263" s="1">
        <f>L263-L264</f>
        <v>179</v>
      </c>
      <c r="N263" s="1">
        <f>M263*15</f>
        <v>2685</v>
      </c>
    </row>
    <row r="264" spans="8:17" x14ac:dyDescent="0.35">
      <c r="H264" s="1">
        <v>53200</v>
      </c>
      <c r="I264" s="2" t="s">
        <v>215</v>
      </c>
      <c r="J264" s="1" t="s">
        <v>272</v>
      </c>
      <c r="L264" s="2">
        <v>398</v>
      </c>
    </row>
    <row r="265" spans="8:17" x14ac:dyDescent="0.35">
      <c r="H265" s="25">
        <v>52800</v>
      </c>
      <c r="I265" s="2" t="s">
        <v>216</v>
      </c>
      <c r="J265" s="1" t="s">
        <v>258</v>
      </c>
      <c r="L265" s="26">
        <v>435</v>
      </c>
      <c r="M265" s="1">
        <v>1974</v>
      </c>
      <c r="N265" s="1">
        <f>L265-M265</f>
        <v>-1539</v>
      </c>
      <c r="O265" s="1">
        <f>N265*15</f>
        <v>-23085</v>
      </c>
    </row>
    <row r="266" spans="8:17" x14ac:dyDescent="0.35">
      <c r="H266" s="1">
        <v>52400</v>
      </c>
      <c r="I266" s="2" t="s">
        <v>216</v>
      </c>
      <c r="J266" s="1" t="s">
        <v>272</v>
      </c>
      <c r="L266" s="2">
        <v>280</v>
      </c>
      <c r="M266" s="1">
        <v>1585</v>
      </c>
      <c r="N266" s="1">
        <f>M266-L266</f>
        <v>1305</v>
      </c>
      <c r="O266" s="1">
        <f>N266*15</f>
        <v>19575</v>
      </c>
      <c r="P266" s="1">
        <f>O266+N263</f>
        <v>22260</v>
      </c>
    </row>
    <row r="267" spans="8:17" x14ac:dyDescent="0.35">
      <c r="I267" s="1" t="s">
        <v>262</v>
      </c>
      <c r="L267" s="1">
        <f>L263+L265</f>
        <v>1012</v>
      </c>
      <c r="N267" s="1">
        <f>SUM(N265:N266)</f>
        <v>-234</v>
      </c>
      <c r="P267" s="4">
        <f>P266+O265</f>
        <v>-825</v>
      </c>
    </row>
    <row r="268" spans="8:17" x14ac:dyDescent="0.35">
      <c r="I268" s="1" t="s">
        <v>273</v>
      </c>
      <c r="L268" s="1">
        <f>L264+L266</f>
        <v>678</v>
      </c>
    </row>
    <row r="269" spans="8:17" x14ac:dyDescent="0.35">
      <c r="I269" s="4" t="s">
        <v>274</v>
      </c>
      <c r="L269" s="1">
        <f>L267-L268</f>
        <v>334</v>
      </c>
      <c r="M269" s="4" t="s">
        <v>275</v>
      </c>
      <c r="N269" s="1">
        <f>15*L269</f>
        <v>5010</v>
      </c>
      <c r="O269" s="1" t="s">
        <v>276</v>
      </c>
      <c r="Q269" s="1">
        <v>40000</v>
      </c>
    </row>
    <row r="270" spans="8:17" x14ac:dyDescent="0.35">
      <c r="I270" s="4" t="s">
        <v>277</v>
      </c>
      <c r="L270" s="1">
        <f>L269 - 400</f>
        <v>-66</v>
      </c>
      <c r="M270" s="4" t="s">
        <v>278</v>
      </c>
      <c r="N270" s="1">
        <f>15*L270</f>
        <v>-990</v>
      </c>
      <c r="O270" s="1" t="s">
        <v>279</v>
      </c>
    </row>
    <row r="271" spans="8:17" x14ac:dyDescent="0.35">
      <c r="I271" s="1" t="s">
        <v>65</v>
      </c>
      <c r="N271" s="1">
        <f>N269/Q269*100</f>
        <v>12.525</v>
      </c>
    </row>
    <row r="273" spans="8:15" x14ac:dyDescent="0.35">
      <c r="I273" s="1" t="s">
        <v>280</v>
      </c>
      <c r="J273" s="1">
        <f>H263+L269</f>
        <v>53134</v>
      </c>
      <c r="M273" s="1" t="s">
        <v>281</v>
      </c>
      <c r="O273" s="1" t="s">
        <v>282</v>
      </c>
    </row>
    <row r="274" spans="8:15" x14ac:dyDescent="0.35">
      <c r="I274" s="1" t="s">
        <v>283</v>
      </c>
      <c r="J274" s="1">
        <f>H265-L269</f>
        <v>52466</v>
      </c>
      <c r="O274" s="1" t="s">
        <v>284</v>
      </c>
    </row>
    <row r="276" spans="8:15" x14ac:dyDescent="0.35">
      <c r="H276" s="1" t="s">
        <v>285</v>
      </c>
      <c r="I276" s="1" t="s">
        <v>252</v>
      </c>
    </row>
    <row r="277" spans="8:15" x14ac:dyDescent="0.35">
      <c r="I277" s="1" t="s">
        <v>95</v>
      </c>
    </row>
    <row r="278" spans="8:15" x14ac:dyDescent="0.35">
      <c r="I278" s="1" t="s">
        <v>286</v>
      </c>
    </row>
    <row r="280" spans="8:15" x14ac:dyDescent="0.35">
      <c r="J280" s="1" t="s">
        <v>287</v>
      </c>
      <c r="L280" s="2"/>
    </row>
    <row r="281" spans="8:15" x14ac:dyDescent="0.35">
      <c r="H281" s="4" t="s">
        <v>288</v>
      </c>
      <c r="I281" s="1">
        <v>23800</v>
      </c>
      <c r="J281" s="1" t="s">
        <v>216</v>
      </c>
      <c r="L281" s="2">
        <v>214</v>
      </c>
    </row>
    <row r="282" spans="8:15" x14ac:dyDescent="0.35">
      <c r="I282" s="1" t="s">
        <v>289</v>
      </c>
      <c r="L282" s="2">
        <v>214</v>
      </c>
      <c r="M282" s="1">
        <f>L282*25</f>
        <v>5350</v>
      </c>
      <c r="N282" s="1">
        <f>M282*10</f>
        <v>53500</v>
      </c>
    </row>
    <row r="283" spans="8:15" x14ac:dyDescent="0.35">
      <c r="L283" s="2"/>
    </row>
    <row r="284" spans="8:15" x14ac:dyDescent="0.35">
      <c r="I284" s="1">
        <v>23800</v>
      </c>
      <c r="J284" s="1" t="s">
        <v>216</v>
      </c>
      <c r="L284" s="2" t="s">
        <v>288</v>
      </c>
      <c r="M284" s="2">
        <v>214</v>
      </c>
    </row>
    <row r="285" spans="8:15" x14ac:dyDescent="0.35">
      <c r="I285" s="1">
        <v>23600</v>
      </c>
      <c r="J285" s="1" t="s">
        <v>216</v>
      </c>
      <c r="L285" s="2" t="s">
        <v>290</v>
      </c>
      <c r="M285" s="2">
        <v>162</v>
      </c>
    </row>
    <row r="286" spans="8:15" x14ac:dyDescent="0.35">
      <c r="L286" s="1" t="s">
        <v>291</v>
      </c>
      <c r="M286" s="2">
        <f>M284-M285</f>
        <v>52</v>
      </c>
      <c r="N286" s="1">
        <f>M286*25</f>
        <v>1300</v>
      </c>
      <c r="O286" s="1" t="s">
        <v>278</v>
      </c>
    </row>
    <row r="287" spans="8:15" x14ac:dyDescent="0.35">
      <c r="J287" s="1" t="s">
        <v>292</v>
      </c>
      <c r="M287" s="2">
        <f>200-52</f>
        <v>148</v>
      </c>
      <c r="N287" s="1">
        <f>M287*25</f>
        <v>3700</v>
      </c>
      <c r="O287" s="1" t="s">
        <v>275</v>
      </c>
    </row>
    <row r="289" spans="8:15" x14ac:dyDescent="0.35">
      <c r="M289" s="1" t="s">
        <v>61</v>
      </c>
    </row>
    <row r="290" spans="8:15" x14ac:dyDescent="0.35">
      <c r="H290" s="4" t="s">
        <v>293</v>
      </c>
      <c r="I290" s="1">
        <v>1300</v>
      </c>
      <c r="J290" s="1" t="s">
        <v>215</v>
      </c>
      <c r="L290" s="2">
        <v>27</v>
      </c>
      <c r="M290" s="1">
        <v>625</v>
      </c>
      <c r="N290" s="1">
        <f>M290*L290</f>
        <v>16875</v>
      </c>
    </row>
    <row r="291" spans="8:15" x14ac:dyDescent="0.35">
      <c r="H291" s="1" t="s">
        <v>71</v>
      </c>
      <c r="I291" s="7" t="s">
        <v>70</v>
      </c>
    </row>
    <row r="292" spans="8:15" x14ac:dyDescent="0.35">
      <c r="H292" s="1" t="s">
        <v>71</v>
      </c>
      <c r="I292" s="1" t="s">
        <v>294</v>
      </c>
      <c r="J292" s="1">
        <f>1420-1300</f>
        <v>120</v>
      </c>
      <c r="N292" s="1">
        <f>J292-27</f>
        <v>93</v>
      </c>
      <c r="O292" s="1">
        <f>N292*M290</f>
        <v>58125</v>
      </c>
    </row>
    <row r="295" spans="8:15" x14ac:dyDescent="0.35">
      <c r="H295" s="1" t="s">
        <v>295</v>
      </c>
      <c r="I295" s="1" t="s">
        <v>296</v>
      </c>
      <c r="J295" s="1">
        <v>16875</v>
      </c>
    </row>
    <row r="296" spans="8:15" x14ac:dyDescent="0.35">
      <c r="I296" s="1" t="s">
        <v>297</v>
      </c>
      <c r="J296" s="1">
        <v>58000</v>
      </c>
    </row>
    <row r="298" spans="8:15" x14ac:dyDescent="0.35">
      <c r="H298" s="1" t="s">
        <v>298</v>
      </c>
      <c r="I298" s="1" t="s">
        <v>299</v>
      </c>
    </row>
    <row r="299" spans="8:15" x14ac:dyDescent="0.35">
      <c r="H299" s="1" t="s">
        <v>288</v>
      </c>
      <c r="I299" s="1">
        <v>1300</v>
      </c>
      <c r="J299" s="1" t="s">
        <v>215</v>
      </c>
      <c r="L299" s="1">
        <v>27</v>
      </c>
    </row>
    <row r="300" spans="8:15" x14ac:dyDescent="0.35">
      <c r="H300" s="1" t="s">
        <v>290</v>
      </c>
      <c r="I300" s="1">
        <v>1330</v>
      </c>
      <c r="J300" s="1" t="s">
        <v>215</v>
      </c>
      <c r="L300" s="1">
        <v>13</v>
      </c>
    </row>
    <row r="301" spans="8:15" x14ac:dyDescent="0.35">
      <c r="I301" s="1" t="s">
        <v>291</v>
      </c>
      <c r="L301" s="1">
        <f>L299-L300</f>
        <v>14</v>
      </c>
      <c r="M301" s="1" t="s">
        <v>278</v>
      </c>
      <c r="N301" s="1">
        <f>L301*625</f>
        <v>8750</v>
      </c>
    </row>
    <row r="302" spans="8:15" x14ac:dyDescent="0.35">
      <c r="H302" s="1" t="s">
        <v>300</v>
      </c>
      <c r="L302" s="1">
        <f>30-14</f>
        <v>16</v>
      </c>
      <c r="M302" s="1" t="s">
        <v>275</v>
      </c>
      <c r="N302" s="1">
        <f>L302*625</f>
        <v>10000</v>
      </c>
    </row>
    <row r="304" spans="8:15" x14ac:dyDescent="0.35">
      <c r="I304" s="1">
        <f>27-10</f>
        <v>17</v>
      </c>
    </row>
    <row r="305" spans="7:15" x14ac:dyDescent="0.35">
      <c r="I305" s="1">
        <v>13</v>
      </c>
    </row>
    <row r="306" spans="7:15" x14ac:dyDescent="0.35">
      <c r="I306" s="1">
        <v>4</v>
      </c>
      <c r="J306" s="1">
        <f>I306*625</f>
        <v>2500</v>
      </c>
    </row>
    <row r="310" spans="7:15" x14ac:dyDescent="0.35">
      <c r="G310" s="1">
        <v>20000</v>
      </c>
      <c r="H310" s="1">
        <f>G310*12</f>
        <v>240000</v>
      </c>
      <c r="J310" s="1" t="s">
        <v>301</v>
      </c>
      <c r="M310" s="1">
        <v>480000</v>
      </c>
    </row>
    <row r="311" spans="7:15" x14ac:dyDescent="0.35">
      <c r="H311" s="1">
        <v>240000</v>
      </c>
      <c r="J311" s="1" t="s">
        <v>302</v>
      </c>
      <c r="M311" s="1">
        <f>M310*2</f>
        <v>960000</v>
      </c>
      <c r="N311" s="1">
        <v>240000</v>
      </c>
      <c r="O311" s="1">
        <f>M311+N311</f>
        <v>1200000</v>
      </c>
    </row>
    <row r="312" spans="7:15" x14ac:dyDescent="0.35">
      <c r="H312" s="1">
        <v>240000</v>
      </c>
      <c r="J312" s="1" t="s">
        <v>303</v>
      </c>
      <c r="M312" s="1">
        <f>O311*2</f>
        <v>2400000</v>
      </c>
      <c r="N312" s="1">
        <v>240000</v>
      </c>
      <c r="O312" s="1">
        <f>M312+N312</f>
        <v>2640000</v>
      </c>
    </row>
    <row r="313" spans="7:15" x14ac:dyDescent="0.35">
      <c r="H313" s="1">
        <v>240000</v>
      </c>
      <c r="J313" s="1" t="s">
        <v>304</v>
      </c>
      <c r="M313" s="1">
        <f>O312*2</f>
        <v>5280000</v>
      </c>
      <c r="N313" s="1">
        <v>240000</v>
      </c>
      <c r="O313" s="1">
        <f>M313+N313</f>
        <v>5520000</v>
      </c>
    </row>
    <row r="314" spans="7:15" x14ac:dyDescent="0.35">
      <c r="H314" s="1">
        <v>240000</v>
      </c>
      <c r="J314" s="1" t="s">
        <v>305</v>
      </c>
      <c r="M314" s="1">
        <f>O313*2</f>
        <v>11040000</v>
      </c>
      <c r="N314" s="1">
        <v>240000</v>
      </c>
      <c r="O314" s="1">
        <f>M314+N314</f>
        <v>11280000</v>
      </c>
    </row>
    <row r="319" spans="7:15" x14ac:dyDescent="0.35">
      <c r="G319" s="1" t="s">
        <v>306</v>
      </c>
      <c r="H319" s="1" t="s">
        <v>307</v>
      </c>
    </row>
    <row r="320" spans="7:15" x14ac:dyDescent="0.35">
      <c r="G320" s="1" t="s">
        <v>308</v>
      </c>
      <c r="H320" s="1" t="s">
        <v>309</v>
      </c>
    </row>
    <row r="321" spans="7:14" x14ac:dyDescent="0.35">
      <c r="G321" s="1" t="s">
        <v>310</v>
      </c>
      <c r="H321" s="1" t="s">
        <v>311</v>
      </c>
    </row>
    <row r="322" spans="7:14" x14ac:dyDescent="0.35">
      <c r="G322" s="1" t="s">
        <v>312</v>
      </c>
      <c r="H322" s="1" t="s">
        <v>313</v>
      </c>
    </row>
    <row r="325" spans="7:14" x14ac:dyDescent="0.35">
      <c r="G325" s="27" t="s">
        <v>112</v>
      </c>
      <c r="H325" s="27"/>
      <c r="I325" s="27"/>
    </row>
    <row r="326" spans="7:14" x14ac:dyDescent="0.35">
      <c r="G326" s="28" t="s">
        <v>314</v>
      </c>
      <c r="H326" s="28" t="s">
        <v>315</v>
      </c>
      <c r="I326" s="28" t="s">
        <v>316</v>
      </c>
      <c r="N326" s="1" t="s">
        <v>317</v>
      </c>
    </row>
    <row r="327" spans="7:14" x14ac:dyDescent="0.35">
      <c r="G327" s="20" t="s">
        <v>318</v>
      </c>
      <c r="H327" s="20" t="s">
        <v>318</v>
      </c>
      <c r="I327" s="29" t="s">
        <v>319</v>
      </c>
      <c r="J327" s="1" t="s">
        <v>109</v>
      </c>
      <c r="K327" s="1" t="s">
        <v>320</v>
      </c>
      <c r="M327" s="1">
        <v>1</v>
      </c>
      <c r="N327" s="1" t="s">
        <v>321</v>
      </c>
    </row>
    <row r="328" spans="7:14" x14ac:dyDescent="0.35">
      <c r="G328" s="20" t="s">
        <v>322</v>
      </c>
      <c r="H328" s="20" t="s">
        <v>318</v>
      </c>
      <c r="I328" s="29" t="s">
        <v>323</v>
      </c>
      <c r="J328" s="1" t="s">
        <v>109</v>
      </c>
      <c r="K328" s="1" t="s">
        <v>324</v>
      </c>
      <c r="M328" s="1">
        <v>2</v>
      </c>
      <c r="N328" s="1" t="s">
        <v>325</v>
      </c>
    </row>
    <row r="329" spans="7:14" x14ac:dyDescent="0.35">
      <c r="G329" s="20" t="s">
        <v>322</v>
      </c>
      <c r="H329" s="20" t="s">
        <v>322</v>
      </c>
      <c r="I329" s="30" t="s">
        <v>239</v>
      </c>
      <c r="J329" s="1" t="s">
        <v>108</v>
      </c>
      <c r="K329" s="1" t="s">
        <v>217</v>
      </c>
      <c r="M329" s="1">
        <v>3</v>
      </c>
      <c r="N329" s="1" t="s">
        <v>326</v>
      </c>
    </row>
    <row r="330" spans="7:14" x14ac:dyDescent="0.35">
      <c r="G330" s="20" t="s">
        <v>318</v>
      </c>
      <c r="H330" s="20" t="s">
        <v>322</v>
      </c>
      <c r="I330" s="30" t="s">
        <v>327</v>
      </c>
      <c r="J330" s="1" t="s">
        <v>108</v>
      </c>
      <c r="K330" s="1" t="s">
        <v>328</v>
      </c>
      <c r="M330" s="1">
        <v>4</v>
      </c>
      <c r="N330" s="4" t="s">
        <v>329</v>
      </c>
    </row>
    <row r="331" spans="7:14" x14ac:dyDescent="0.35">
      <c r="G331" s="2"/>
      <c r="H331" s="2"/>
      <c r="I331" s="2"/>
      <c r="M331" s="1">
        <v>5</v>
      </c>
      <c r="N331" s="1" t="s">
        <v>330</v>
      </c>
    </row>
    <row r="332" spans="7:14" x14ac:dyDescent="0.35">
      <c r="G332" s="2"/>
      <c r="H332" s="2"/>
      <c r="I332" s="2"/>
      <c r="M332" s="1">
        <v>6</v>
      </c>
      <c r="N332" s="1" t="s">
        <v>331</v>
      </c>
    </row>
    <row r="333" spans="7:14" x14ac:dyDescent="0.35">
      <c r="G333" s="31" t="s">
        <v>216</v>
      </c>
      <c r="H333" s="31"/>
      <c r="I333" s="31"/>
      <c r="M333" s="1">
        <v>7</v>
      </c>
      <c r="N333" s="1" t="s">
        <v>332</v>
      </c>
    </row>
    <row r="334" spans="7:14" x14ac:dyDescent="0.35">
      <c r="G334" s="28" t="s">
        <v>333</v>
      </c>
      <c r="H334" s="28" t="s">
        <v>334</v>
      </c>
      <c r="I334" s="28" t="s">
        <v>316</v>
      </c>
    </row>
    <row r="335" spans="7:14" x14ac:dyDescent="0.35">
      <c r="G335" s="20" t="s">
        <v>318</v>
      </c>
      <c r="H335" s="20" t="s">
        <v>318</v>
      </c>
      <c r="I335" s="30" t="s">
        <v>335</v>
      </c>
      <c r="J335" s="1" t="s">
        <v>127</v>
      </c>
      <c r="K335" s="1" t="s">
        <v>217</v>
      </c>
    </row>
    <row r="336" spans="7:14" x14ac:dyDescent="0.35">
      <c r="G336" s="20" t="s">
        <v>322</v>
      </c>
      <c r="H336" s="20" t="s">
        <v>318</v>
      </c>
      <c r="I336" s="30" t="s">
        <v>327</v>
      </c>
      <c r="J336" s="1" t="s">
        <v>127</v>
      </c>
      <c r="K336" s="1" t="s">
        <v>336</v>
      </c>
    </row>
    <row r="337" spans="7:12" x14ac:dyDescent="0.35">
      <c r="G337" s="20" t="s">
        <v>322</v>
      </c>
      <c r="H337" s="20" t="s">
        <v>322</v>
      </c>
      <c r="I337" s="29" t="s">
        <v>228</v>
      </c>
      <c r="J337" s="1" t="s">
        <v>337</v>
      </c>
      <c r="K337" s="1" t="s">
        <v>320</v>
      </c>
    </row>
    <row r="338" spans="7:12" x14ac:dyDescent="0.35">
      <c r="G338" s="20" t="s">
        <v>318</v>
      </c>
      <c r="H338" s="20" t="s">
        <v>322</v>
      </c>
      <c r="I338" s="29" t="s">
        <v>323</v>
      </c>
      <c r="J338" s="1" t="s">
        <v>337</v>
      </c>
      <c r="K338" s="1" t="s">
        <v>338</v>
      </c>
    </row>
    <row r="343" spans="7:12" x14ac:dyDescent="0.35">
      <c r="G343" s="4" t="s">
        <v>339</v>
      </c>
      <c r="H343" s="4" t="s">
        <v>340</v>
      </c>
      <c r="I343" s="32" t="s">
        <v>341</v>
      </c>
      <c r="J343" s="1" t="s">
        <v>342</v>
      </c>
    </row>
    <row r="344" spans="7:12" x14ac:dyDescent="0.35">
      <c r="G344" s="1" t="s">
        <v>343</v>
      </c>
      <c r="I344" s="2"/>
      <c r="J344" s="2"/>
      <c r="K344" s="2"/>
      <c r="L344" s="2"/>
    </row>
    <row r="345" spans="7:12" x14ac:dyDescent="0.35">
      <c r="G345" s="1" t="s">
        <v>344</v>
      </c>
      <c r="H345" s="2">
        <v>770</v>
      </c>
      <c r="I345" s="2">
        <v>722</v>
      </c>
      <c r="J345" s="2">
        <f>H345-I345</f>
        <v>48</v>
      </c>
      <c r="K345" s="2"/>
      <c r="L345" s="2">
        <f>J345*550</f>
        <v>26400</v>
      </c>
    </row>
    <row r="346" spans="7:12" x14ac:dyDescent="0.35">
      <c r="G346" s="1" t="s">
        <v>345</v>
      </c>
      <c r="H346" s="2" t="s">
        <v>346</v>
      </c>
      <c r="I346" s="2">
        <v>0.9</v>
      </c>
      <c r="J346" s="2">
        <f>I346-8.75</f>
        <v>-7.85</v>
      </c>
      <c r="K346" s="2"/>
      <c r="L346" s="2">
        <f>J346*550</f>
        <v>-4317.5</v>
      </c>
    </row>
    <row r="347" spans="7:12" x14ac:dyDescent="0.35">
      <c r="G347" s="1" t="s">
        <v>62</v>
      </c>
      <c r="H347" s="2">
        <v>40000</v>
      </c>
      <c r="I347" s="2"/>
      <c r="J347" s="2"/>
      <c r="K347" s="2"/>
      <c r="L347" s="2">
        <f>SUM(L345:L346)</f>
        <v>22082.5</v>
      </c>
    </row>
    <row r="348" spans="7:12" x14ac:dyDescent="0.35">
      <c r="G348" s="1" t="s">
        <v>88</v>
      </c>
      <c r="H348" s="2">
        <v>4800</v>
      </c>
      <c r="I348" s="2"/>
      <c r="J348" s="2"/>
      <c r="K348" s="2"/>
      <c r="L348" s="2"/>
    </row>
    <row r="349" spans="7:12" x14ac:dyDescent="0.35">
      <c r="G349" s="1" t="s">
        <v>347</v>
      </c>
    </row>
    <row r="350" spans="7:12" x14ac:dyDescent="0.35">
      <c r="G350" s="4" t="s">
        <v>65</v>
      </c>
      <c r="H350" s="4">
        <f>L347/H347*100</f>
        <v>55.206250000000004</v>
      </c>
    </row>
    <row r="353" spans="6:20" x14ac:dyDescent="0.35">
      <c r="G353" s="33" t="s">
        <v>348</v>
      </c>
      <c r="H353" s="33" t="s">
        <v>349</v>
      </c>
      <c r="I353" s="33" t="s">
        <v>106</v>
      </c>
      <c r="J353" s="33" t="s">
        <v>106</v>
      </c>
      <c r="K353" s="33" t="s">
        <v>225</v>
      </c>
      <c r="T353" s="1"/>
    </row>
    <row r="354" spans="6:20" x14ac:dyDescent="0.35">
      <c r="F354" s="1">
        <v>1</v>
      </c>
      <c r="G354" s="18" t="s">
        <v>350</v>
      </c>
      <c r="H354" s="18" t="s">
        <v>351</v>
      </c>
      <c r="I354" s="18" t="s">
        <v>352</v>
      </c>
      <c r="J354" s="34" t="s">
        <v>323</v>
      </c>
      <c r="K354" s="18" t="s">
        <v>353</v>
      </c>
      <c r="L354" s="1" t="s">
        <v>354</v>
      </c>
      <c r="T354" s="1"/>
    </row>
    <row r="355" spans="6:20" x14ac:dyDescent="0.35">
      <c r="F355" s="1">
        <v>2</v>
      </c>
      <c r="G355" s="18" t="s">
        <v>320</v>
      </c>
      <c r="H355" s="18" t="s">
        <v>355</v>
      </c>
      <c r="I355" s="18" t="s">
        <v>356</v>
      </c>
      <c r="J355" s="18" t="s">
        <v>357</v>
      </c>
      <c r="K355" s="18" t="s">
        <v>358</v>
      </c>
      <c r="L355" s="1" t="s">
        <v>359</v>
      </c>
      <c r="T355" s="1"/>
    </row>
    <row r="356" spans="6:20" x14ac:dyDescent="0.35">
      <c r="F356" s="1">
        <v>3</v>
      </c>
      <c r="G356" s="18" t="s">
        <v>360</v>
      </c>
      <c r="H356" s="18" t="s">
        <v>351</v>
      </c>
      <c r="I356" s="18" t="s">
        <v>361</v>
      </c>
      <c r="J356" s="35" t="s">
        <v>327</v>
      </c>
      <c r="K356" s="18" t="s">
        <v>353</v>
      </c>
      <c r="L356" s="1" t="s">
        <v>362</v>
      </c>
      <c r="T356" s="1"/>
    </row>
    <row r="357" spans="6:20" x14ac:dyDescent="0.35">
      <c r="F357" s="1">
        <v>4</v>
      </c>
      <c r="G357" s="18" t="s">
        <v>217</v>
      </c>
      <c r="H357" s="18" t="s">
        <v>355</v>
      </c>
      <c r="I357" s="18" t="s">
        <v>363</v>
      </c>
      <c r="J357" s="18" t="s">
        <v>357</v>
      </c>
      <c r="K357" s="18" t="s">
        <v>358</v>
      </c>
      <c r="L357" s="1" t="s">
        <v>364</v>
      </c>
      <c r="T357" s="1"/>
    </row>
    <row r="361" spans="6:20" x14ac:dyDescent="0.35">
      <c r="G361" s="1" t="s">
        <v>365</v>
      </c>
    </row>
    <row r="363" spans="6:20" x14ac:dyDescent="0.35">
      <c r="G363" s="1" t="s">
        <v>366</v>
      </c>
      <c r="H363" s="36">
        <v>45643</v>
      </c>
    </row>
    <row r="364" spans="6:20" x14ac:dyDescent="0.35">
      <c r="G364" s="1" t="s">
        <v>217</v>
      </c>
    </row>
    <row r="365" spans="6:20" x14ac:dyDescent="0.35">
      <c r="G365" s="1" t="s">
        <v>106</v>
      </c>
      <c r="H365" s="1" t="s">
        <v>367</v>
      </c>
    </row>
    <row r="366" spans="6:20" x14ac:dyDescent="0.35">
      <c r="H366" s="1" t="s">
        <v>368</v>
      </c>
      <c r="I366" s="2"/>
      <c r="J366" s="1" t="s">
        <v>369</v>
      </c>
      <c r="K366" s="36">
        <v>45646</v>
      </c>
    </row>
    <row r="367" spans="6:20" x14ac:dyDescent="0.35">
      <c r="G367" s="2" t="s">
        <v>370</v>
      </c>
      <c r="H367" s="2">
        <v>530</v>
      </c>
      <c r="I367" s="2">
        <v>10</v>
      </c>
      <c r="J367" s="1" t="s">
        <v>258</v>
      </c>
      <c r="K367" s="2">
        <v>1.9</v>
      </c>
      <c r="L367" s="1">
        <f>I367-K367</f>
        <v>8.1</v>
      </c>
    </row>
    <row r="368" spans="6:20" x14ac:dyDescent="0.35">
      <c r="G368" s="2" t="s">
        <v>371</v>
      </c>
      <c r="H368" s="2">
        <v>550</v>
      </c>
      <c r="I368" s="2">
        <v>4.4000000000000004</v>
      </c>
      <c r="J368" s="1" t="s">
        <v>272</v>
      </c>
      <c r="K368" s="2">
        <v>0.7</v>
      </c>
      <c r="L368" s="1">
        <f>K368-I368</f>
        <v>-3.7</v>
      </c>
    </row>
    <row r="369" spans="7:20" x14ac:dyDescent="0.35">
      <c r="G369" s="2"/>
      <c r="H369" s="2" t="s">
        <v>269</v>
      </c>
      <c r="I369" s="2">
        <f>I367-I368</f>
        <v>5.6</v>
      </c>
      <c r="L369" s="1">
        <f>SUM(L367:L368)</f>
        <v>4.3999999999999995</v>
      </c>
      <c r="M369" s="1">
        <f>L369*1900</f>
        <v>8359.9999999999982</v>
      </c>
    </row>
    <row r="370" spans="7:20" x14ac:dyDescent="0.35">
      <c r="G370" s="2"/>
      <c r="H370" s="2"/>
      <c r="I370" s="2">
        <f>I369*1900</f>
        <v>10640</v>
      </c>
    </row>
    <row r="371" spans="7:20" x14ac:dyDescent="0.35">
      <c r="H371" s="1" t="s">
        <v>275</v>
      </c>
      <c r="I371" s="2">
        <f>I369</f>
        <v>5.6</v>
      </c>
      <c r="J371" s="2">
        <f>I371*1900</f>
        <v>10640</v>
      </c>
    </row>
    <row r="372" spans="7:20" x14ac:dyDescent="0.35">
      <c r="H372" s="1" t="s">
        <v>278</v>
      </c>
      <c r="I372" s="2">
        <f>20-5.6</f>
        <v>14.4</v>
      </c>
      <c r="J372" s="2">
        <f>I372*1900</f>
        <v>27360</v>
      </c>
    </row>
    <row r="373" spans="7:20" x14ac:dyDescent="0.35">
      <c r="I373" s="2"/>
    </row>
    <row r="374" spans="7:20" x14ac:dyDescent="0.35">
      <c r="G374" s="1" t="s">
        <v>372</v>
      </c>
      <c r="H374" s="36">
        <v>45645</v>
      </c>
      <c r="I374" s="2"/>
    </row>
    <row r="375" spans="7:20" x14ac:dyDescent="0.35">
      <c r="G375" s="1" t="s">
        <v>320</v>
      </c>
      <c r="H375" s="2"/>
      <c r="I375" s="2"/>
      <c r="J375" s="2"/>
      <c r="K375" s="2" t="s">
        <v>61</v>
      </c>
      <c r="L375" s="2" t="s">
        <v>62</v>
      </c>
      <c r="M375" s="36">
        <v>45646</v>
      </c>
      <c r="T375" s="1"/>
    </row>
    <row r="376" spans="7:20" x14ac:dyDescent="0.35">
      <c r="G376" s="2">
        <v>1460</v>
      </c>
      <c r="H376" s="2" t="s">
        <v>216</v>
      </c>
      <c r="I376" s="2" t="s">
        <v>258</v>
      </c>
      <c r="J376" s="2">
        <v>11.55</v>
      </c>
      <c r="K376" s="2">
        <v>325</v>
      </c>
      <c r="L376" s="2">
        <v>83000</v>
      </c>
      <c r="M376" s="2">
        <v>5.9</v>
      </c>
      <c r="N376" s="1">
        <f>J376-M376</f>
        <v>5.65</v>
      </c>
      <c r="T376" s="1"/>
    </row>
    <row r="377" spans="7:20" x14ac:dyDescent="0.35">
      <c r="G377" s="2">
        <v>1420</v>
      </c>
      <c r="H377" s="2" t="s">
        <v>216</v>
      </c>
      <c r="I377" s="2" t="s">
        <v>272</v>
      </c>
      <c r="J377" s="2">
        <v>5.5</v>
      </c>
      <c r="K377" s="2"/>
      <c r="M377" s="1">
        <v>1.75</v>
      </c>
      <c r="N377" s="1">
        <f>M377-J377</f>
        <v>-3.75</v>
      </c>
    </row>
    <row r="378" spans="7:20" x14ac:dyDescent="0.35">
      <c r="H378" s="2"/>
      <c r="I378" s="2" t="s">
        <v>269</v>
      </c>
      <c r="J378" s="2">
        <f>J376-J377</f>
        <v>6.0500000000000007</v>
      </c>
      <c r="K378" s="2" t="s">
        <v>275</v>
      </c>
      <c r="L378" s="2">
        <f>J378*325</f>
        <v>1966.2500000000002</v>
      </c>
      <c r="N378" s="1">
        <f>SUM(N376:N377)</f>
        <v>1.9000000000000004</v>
      </c>
      <c r="O378" s="1">
        <f>N378*325</f>
        <v>617.50000000000011</v>
      </c>
    </row>
    <row r="379" spans="7:20" x14ac:dyDescent="0.35">
      <c r="H379" s="2"/>
      <c r="I379" s="2"/>
      <c r="J379" s="2">
        <f>40-J378</f>
        <v>33.950000000000003</v>
      </c>
      <c r="K379" s="2" t="s">
        <v>278</v>
      </c>
      <c r="L379" s="2"/>
    </row>
    <row r="380" spans="7:20" x14ac:dyDescent="0.35">
      <c r="H380" s="2"/>
      <c r="I380" s="2"/>
      <c r="J380" s="2"/>
      <c r="K380" s="2" t="s">
        <v>62</v>
      </c>
      <c r="L380" s="2">
        <v>25000</v>
      </c>
    </row>
    <row r="381" spans="7:20" x14ac:dyDescent="0.35">
      <c r="G381" s="1" t="s">
        <v>372</v>
      </c>
      <c r="H381" s="2" t="s">
        <v>373</v>
      </c>
      <c r="I381" s="2"/>
      <c r="J381" s="2"/>
      <c r="K381" s="2" t="s">
        <v>65</v>
      </c>
      <c r="L381" s="2">
        <f>L378/L380*100</f>
        <v>7.8650000000000011</v>
      </c>
    </row>
    <row r="382" spans="7:20" x14ac:dyDescent="0.35">
      <c r="G382" s="1" t="s">
        <v>374</v>
      </c>
      <c r="H382" s="2"/>
      <c r="I382" s="2"/>
      <c r="J382" s="2"/>
      <c r="K382" s="2"/>
    </row>
    <row r="383" spans="7:20" x14ac:dyDescent="0.35">
      <c r="G383" s="1" t="s">
        <v>258</v>
      </c>
      <c r="H383" s="2">
        <v>1540</v>
      </c>
      <c r="I383" s="2" t="s">
        <v>215</v>
      </c>
      <c r="J383" s="2">
        <v>32</v>
      </c>
      <c r="K383" s="2">
        <v>1.85</v>
      </c>
      <c r="L383" s="2">
        <f>J383-K383</f>
        <v>30.15</v>
      </c>
    </row>
    <row r="384" spans="7:20" x14ac:dyDescent="0.35">
      <c r="G384" s="1" t="s">
        <v>272</v>
      </c>
      <c r="H384" s="2">
        <v>1580</v>
      </c>
      <c r="I384" s="2" t="s">
        <v>215</v>
      </c>
      <c r="J384" s="2">
        <v>16</v>
      </c>
      <c r="K384" s="2">
        <v>1</v>
      </c>
      <c r="L384" s="2">
        <f>K384-J384</f>
        <v>-15</v>
      </c>
    </row>
    <row r="385" spans="6:13" x14ac:dyDescent="0.35">
      <c r="H385" s="1" t="s">
        <v>275</v>
      </c>
      <c r="I385" s="2" t="s">
        <v>274</v>
      </c>
      <c r="J385" s="1">
        <v>16</v>
      </c>
      <c r="L385" s="2">
        <f>SUM(L383:L384)</f>
        <v>15.149999999999999</v>
      </c>
      <c r="M385" s="2">
        <f>L385*325</f>
        <v>4923.7499999999991</v>
      </c>
    </row>
    <row r="386" spans="6:13" x14ac:dyDescent="0.35">
      <c r="H386" s="1" t="s">
        <v>278</v>
      </c>
      <c r="I386" s="2" t="s">
        <v>375</v>
      </c>
      <c r="J386" s="1">
        <f>40-16</f>
        <v>24</v>
      </c>
    </row>
    <row r="387" spans="6:13" x14ac:dyDescent="0.35">
      <c r="H387" s="1" t="s">
        <v>376</v>
      </c>
      <c r="I387" s="2">
        <v>20000</v>
      </c>
    </row>
    <row r="388" spans="6:13" x14ac:dyDescent="0.35">
      <c r="H388" s="1" t="s">
        <v>377</v>
      </c>
      <c r="I388" s="2"/>
    </row>
    <row r="389" spans="6:13" x14ac:dyDescent="0.35">
      <c r="H389" s="1" t="s">
        <v>64</v>
      </c>
      <c r="I389" s="2">
        <f>J385*325</f>
        <v>5200</v>
      </c>
    </row>
    <row r="390" spans="6:13" x14ac:dyDescent="0.35">
      <c r="H390" s="4" t="s">
        <v>65</v>
      </c>
      <c r="I390" s="3">
        <f>I389/I387*100</f>
        <v>26</v>
      </c>
    </row>
    <row r="391" spans="6:13" x14ac:dyDescent="0.35">
      <c r="G391" s="1" t="s">
        <v>88</v>
      </c>
    </row>
    <row r="392" spans="6:13" x14ac:dyDescent="0.35">
      <c r="G392" s="1" t="s">
        <v>65</v>
      </c>
    </row>
    <row r="393" spans="6:13" x14ac:dyDescent="0.35">
      <c r="G393" s="1" t="s">
        <v>378</v>
      </c>
    </row>
    <row r="395" spans="6:13" x14ac:dyDescent="0.35">
      <c r="G395" s="1" t="s">
        <v>372</v>
      </c>
      <c r="H395" s="1" t="s">
        <v>379</v>
      </c>
      <c r="I395" s="1" t="s">
        <v>245</v>
      </c>
    </row>
    <row r="396" spans="6:13" x14ac:dyDescent="0.35">
      <c r="G396" s="1" t="s">
        <v>230</v>
      </c>
      <c r="H396" s="36">
        <v>45631</v>
      </c>
    </row>
    <row r="397" spans="6:13" x14ac:dyDescent="0.35">
      <c r="F397" s="2" t="s">
        <v>288</v>
      </c>
      <c r="G397" s="2">
        <v>1500</v>
      </c>
      <c r="H397" s="2" t="s">
        <v>216</v>
      </c>
      <c r="I397" s="2">
        <v>46</v>
      </c>
      <c r="J397" s="2">
        <v>64</v>
      </c>
      <c r="K397" s="2">
        <f>J397-I397</f>
        <v>18</v>
      </c>
    </row>
    <row r="398" spans="6:13" x14ac:dyDescent="0.35">
      <c r="F398" s="2" t="s">
        <v>290</v>
      </c>
      <c r="G398" s="2">
        <v>1460</v>
      </c>
      <c r="H398" s="2" t="s">
        <v>216</v>
      </c>
      <c r="I398" s="2">
        <v>26</v>
      </c>
      <c r="J398" s="2">
        <v>34</v>
      </c>
      <c r="K398" s="2">
        <f>I398-J398</f>
        <v>-8</v>
      </c>
    </row>
    <row r="399" spans="6:13" x14ac:dyDescent="0.35">
      <c r="G399" s="2" t="s">
        <v>278</v>
      </c>
      <c r="H399" s="2" t="s">
        <v>291</v>
      </c>
      <c r="I399" s="2">
        <f>I397-I398</f>
        <v>20</v>
      </c>
      <c r="J399" s="2"/>
      <c r="K399" s="2">
        <f>10*325</f>
        <v>3250</v>
      </c>
    </row>
    <row r="400" spans="6:13" x14ac:dyDescent="0.35">
      <c r="G400" s="2" t="s">
        <v>275</v>
      </c>
      <c r="I400" s="2">
        <f>40-I399</f>
        <v>20</v>
      </c>
      <c r="J400" s="2">
        <f>I400*325</f>
        <v>6500</v>
      </c>
      <c r="K400" s="2"/>
    </row>
    <row r="401" spans="7:11" x14ac:dyDescent="0.35">
      <c r="G401" s="2"/>
      <c r="H401" s="2"/>
      <c r="I401" s="2"/>
      <c r="J401" s="2" t="s">
        <v>65</v>
      </c>
      <c r="K401" s="5">
        <f>K399/35000*100</f>
        <v>9.2857142857142865</v>
      </c>
    </row>
    <row r="402" spans="7:11" x14ac:dyDescent="0.35">
      <c r="G402" s="2"/>
      <c r="H402" s="2"/>
      <c r="I402" s="2"/>
      <c r="J402" s="2"/>
      <c r="K402" s="2"/>
    </row>
    <row r="403" spans="7:11" x14ac:dyDescent="0.35">
      <c r="G403" s="3" t="s">
        <v>217</v>
      </c>
      <c r="H403" s="37" t="s">
        <v>380</v>
      </c>
      <c r="I403" s="3"/>
      <c r="J403" s="2"/>
      <c r="K403" s="2"/>
    </row>
    <row r="404" spans="7:11" x14ac:dyDescent="0.35">
      <c r="G404" s="2" t="s">
        <v>381</v>
      </c>
      <c r="H404" s="2" t="s">
        <v>382</v>
      </c>
      <c r="I404" s="2" t="s">
        <v>61</v>
      </c>
      <c r="J404" s="2">
        <v>400</v>
      </c>
      <c r="K404" s="2"/>
    </row>
    <row r="405" spans="7:11" x14ac:dyDescent="0.35">
      <c r="G405" s="2" t="s">
        <v>383</v>
      </c>
      <c r="H405" s="2"/>
      <c r="I405" s="2" t="s">
        <v>62</v>
      </c>
      <c r="J405" s="2" t="s">
        <v>384</v>
      </c>
      <c r="K405" s="2"/>
    </row>
    <row r="406" spans="7:11" x14ac:dyDescent="0.35">
      <c r="G406" s="2" t="s">
        <v>290</v>
      </c>
      <c r="H406" s="2">
        <v>2000</v>
      </c>
      <c r="I406" s="2" t="s">
        <v>215</v>
      </c>
      <c r="J406" s="2">
        <v>37</v>
      </c>
      <c r="K406" s="2">
        <f>J406*J404</f>
        <v>14800</v>
      </c>
    </row>
    <row r="407" spans="7:11" x14ac:dyDescent="0.35">
      <c r="G407" s="2" t="s">
        <v>288</v>
      </c>
      <c r="H407" s="2">
        <v>2020</v>
      </c>
      <c r="I407" s="2" t="s">
        <v>215</v>
      </c>
      <c r="J407" s="2">
        <v>25</v>
      </c>
      <c r="K407" s="2"/>
    </row>
    <row r="408" spans="7:11" x14ac:dyDescent="0.35">
      <c r="G408" s="2"/>
      <c r="H408" s="2" t="s">
        <v>275</v>
      </c>
      <c r="I408" s="2" t="s">
        <v>274</v>
      </c>
      <c r="J408" s="3">
        <f>J406-J407</f>
        <v>12</v>
      </c>
      <c r="K408" s="3">
        <f>J408*400</f>
        <v>4800</v>
      </c>
    </row>
    <row r="409" spans="7:11" x14ac:dyDescent="0.35">
      <c r="G409" s="2"/>
      <c r="H409" s="2" t="s">
        <v>278</v>
      </c>
      <c r="I409" s="2" t="s">
        <v>375</v>
      </c>
      <c r="J409" s="2">
        <f>40-J408</f>
        <v>28</v>
      </c>
      <c r="K409" s="2">
        <f>J409*400</f>
        <v>11200</v>
      </c>
    </row>
    <row r="410" spans="7:11" x14ac:dyDescent="0.35">
      <c r="G410" s="2"/>
      <c r="H410" s="2"/>
      <c r="I410" s="2"/>
      <c r="J410" s="2"/>
    </row>
    <row r="411" spans="7:11" x14ac:dyDescent="0.35">
      <c r="G411" s="2"/>
      <c r="H411" s="2"/>
      <c r="I411" s="2"/>
      <c r="J411" s="2"/>
    </row>
    <row r="412" spans="7:11" x14ac:dyDescent="0.35">
      <c r="G412" s="2" t="s">
        <v>248</v>
      </c>
      <c r="H412" s="23" t="s">
        <v>249</v>
      </c>
      <c r="I412" s="23" t="s">
        <v>385</v>
      </c>
      <c r="J412" s="2"/>
    </row>
    <row r="413" spans="7:11" x14ac:dyDescent="0.35">
      <c r="H413" s="1" t="s">
        <v>251</v>
      </c>
      <c r="I413" s="23" t="s">
        <v>386</v>
      </c>
      <c r="J413" s="1" t="s">
        <v>387</v>
      </c>
    </row>
    <row r="415" spans="7:11" x14ac:dyDescent="0.35">
      <c r="G415" s="1" t="s">
        <v>249</v>
      </c>
      <c r="H415" s="1" t="s">
        <v>388</v>
      </c>
      <c r="J415" s="1" t="s">
        <v>389</v>
      </c>
    </row>
    <row r="416" spans="7:11" x14ac:dyDescent="0.35">
      <c r="H416" s="1" t="s">
        <v>390</v>
      </c>
    </row>
    <row r="417" spans="7:10" x14ac:dyDescent="0.35">
      <c r="J417" s="1" t="s">
        <v>391</v>
      </c>
    </row>
    <row r="418" spans="7:10" x14ac:dyDescent="0.35">
      <c r="G418" s="1" t="s">
        <v>251</v>
      </c>
      <c r="H418" s="1" t="s">
        <v>392</v>
      </c>
    </row>
    <row r="419" spans="7:10" x14ac:dyDescent="0.35">
      <c r="H419" s="1" t="s">
        <v>393</v>
      </c>
    </row>
  </sheetData>
  <mergeCells count="5">
    <mergeCell ref="C108:D108"/>
    <mergeCell ref="B125:N125"/>
    <mergeCell ref="B136:N136"/>
    <mergeCell ref="G325:I325"/>
    <mergeCell ref="G333:I3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6AF4-65B1-4E19-BA5B-E1BDC53010DF}">
  <dimension ref="A1:J36"/>
  <sheetViews>
    <sheetView workbookViewId="0">
      <selection activeCell="J416" sqref="J416"/>
    </sheetView>
  </sheetViews>
  <sheetFormatPr defaultRowHeight="14.4" x14ac:dyDescent="0.3"/>
  <cols>
    <col min="1" max="1" width="17.77734375" bestFit="1" customWidth="1"/>
    <col min="2" max="2" width="20.21875" bestFit="1" customWidth="1"/>
    <col min="3" max="3" width="27.88671875" bestFit="1" customWidth="1"/>
    <col min="4" max="4" width="9.6640625" style="84" customWidth="1"/>
    <col min="5" max="5" width="39.6640625" bestFit="1" customWidth="1"/>
    <col min="6" max="6" width="59" bestFit="1" customWidth="1"/>
    <col min="7" max="7" width="16.88671875" bestFit="1" customWidth="1"/>
    <col min="8" max="8" width="29.77734375" customWidth="1"/>
    <col min="9" max="9" width="34.109375" bestFit="1" customWidth="1"/>
    <col min="10" max="10" width="69.6640625" bestFit="1" customWidth="1"/>
  </cols>
  <sheetData>
    <row r="1" spans="1:10" ht="18.600000000000001" thickTop="1" x14ac:dyDescent="0.3">
      <c r="A1" s="38" t="s">
        <v>224</v>
      </c>
      <c r="B1" s="38" t="s">
        <v>394</v>
      </c>
      <c r="C1" s="38" t="s">
        <v>395</v>
      </c>
      <c r="D1" s="39" t="s">
        <v>396</v>
      </c>
      <c r="E1" s="38" t="s">
        <v>397</v>
      </c>
      <c r="F1" s="38" t="s">
        <v>398</v>
      </c>
      <c r="G1" s="38" t="s">
        <v>399</v>
      </c>
      <c r="H1" s="38" t="s">
        <v>95</v>
      </c>
      <c r="I1" s="38" t="s">
        <v>400</v>
      </c>
      <c r="J1" s="40" t="s">
        <v>401</v>
      </c>
    </row>
    <row r="2" spans="1:10" ht="16.8" customHeight="1" x14ac:dyDescent="0.3">
      <c r="A2" s="41" t="s">
        <v>402</v>
      </c>
      <c r="B2" s="42" t="s">
        <v>403</v>
      </c>
      <c r="C2" s="43" t="s">
        <v>404</v>
      </c>
      <c r="D2" s="43" t="s">
        <v>218</v>
      </c>
      <c r="E2" s="44" t="s">
        <v>405</v>
      </c>
      <c r="F2" s="43" t="s">
        <v>406</v>
      </c>
      <c r="G2" s="43" t="s">
        <v>407</v>
      </c>
      <c r="H2" s="43" t="s">
        <v>194</v>
      </c>
      <c r="I2" s="44" t="s">
        <v>408</v>
      </c>
      <c r="J2" s="44" t="s">
        <v>409</v>
      </c>
    </row>
    <row r="3" spans="1:10" ht="15.6" x14ac:dyDescent="0.3">
      <c r="A3" s="41"/>
      <c r="B3" s="42"/>
      <c r="C3" s="45"/>
      <c r="D3" s="45"/>
      <c r="E3" s="44" t="s">
        <v>410</v>
      </c>
      <c r="F3" s="45"/>
      <c r="G3" s="45"/>
      <c r="H3" s="45"/>
      <c r="I3" s="44" t="s">
        <v>411</v>
      </c>
      <c r="J3" s="44" t="s">
        <v>412</v>
      </c>
    </row>
    <row r="4" spans="1:10" ht="15.6" x14ac:dyDescent="0.3">
      <c r="A4" s="41"/>
      <c r="B4" s="42"/>
      <c r="C4" s="46"/>
      <c r="D4" s="46"/>
      <c r="E4" s="44" t="s">
        <v>413</v>
      </c>
      <c r="F4" s="46"/>
      <c r="G4" s="46"/>
      <c r="H4" s="46"/>
      <c r="I4" s="44"/>
      <c r="J4" s="44"/>
    </row>
    <row r="5" spans="1:10" ht="15.6" x14ac:dyDescent="0.3">
      <c r="A5" s="41" t="s">
        <v>414</v>
      </c>
      <c r="B5" s="42" t="s">
        <v>403</v>
      </c>
      <c r="C5" s="43" t="s">
        <v>404</v>
      </c>
      <c r="D5" s="43" t="s">
        <v>218</v>
      </c>
      <c r="E5" s="44" t="s">
        <v>415</v>
      </c>
      <c r="F5" s="43" t="s">
        <v>416</v>
      </c>
      <c r="G5" s="43" t="s">
        <v>407</v>
      </c>
      <c r="H5" s="43" t="s">
        <v>165</v>
      </c>
      <c r="I5" s="44" t="s">
        <v>408</v>
      </c>
      <c r="J5" s="44" t="s">
        <v>409</v>
      </c>
    </row>
    <row r="6" spans="1:10" ht="15.6" x14ac:dyDescent="0.3">
      <c r="A6" s="41"/>
      <c r="B6" s="42"/>
      <c r="C6" s="45"/>
      <c r="D6" s="45"/>
      <c r="E6" s="44" t="s">
        <v>417</v>
      </c>
      <c r="F6" s="45"/>
      <c r="G6" s="45"/>
      <c r="H6" s="45"/>
      <c r="I6" s="44" t="s">
        <v>411</v>
      </c>
      <c r="J6" s="44" t="s">
        <v>418</v>
      </c>
    </row>
    <row r="7" spans="1:10" ht="15.6" x14ac:dyDescent="0.3">
      <c r="A7" s="41"/>
      <c r="B7" s="42"/>
      <c r="C7" s="46"/>
      <c r="D7" s="46"/>
      <c r="E7" s="44" t="s">
        <v>419</v>
      </c>
      <c r="F7" s="46"/>
      <c r="G7" s="46"/>
      <c r="H7" s="46"/>
      <c r="I7" s="44"/>
      <c r="J7" s="44"/>
    </row>
    <row r="8" spans="1:10" ht="15.6" x14ac:dyDescent="0.3">
      <c r="A8" s="41" t="s">
        <v>420</v>
      </c>
      <c r="B8" s="42" t="s">
        <v>396</v>
      </c>
      <c r="C8" s="44" t="s">
        <v>421</v>
      </c>
      <c r="D8" s="43" t="s">
        <v>422</v>
      </c>
      <c r="E8" s="47" t="s">
        <v>423</v>
      </c>
      <c r="F8" s="44" t="s">
        <v>424</v>
      </c>
      <c r="G8" s="44" t="s">
        <v>425</v>
      </c>
      <c r="H8" s="43" t="s">
        <v>165</v>
      </c>
      <c r="I8" s="44" t="s">
        <v>426</v>
      </c>
      <c r="J8" s="44" t="s">
        <v>427</v>
      </c>
    </row>
    <row r="9" spans="1:10" ht="15.6" x14ac:dyDescent="0.3">
      <c r="A9" s="41"/>
      <c r="B9" s="42"/>
      <c r="C9" s="44" t="s">
        <v>428</v>
      </c>
      <c r="D9" s="45"/>
      <c r="E9" s="44" t="s">
        <v>429</v>
      </c>
      <c r="F9" s="44" t="s">
        <v>430</v>
      </c>
      <c r="G9" s="44" t="s">
        <v>425</v>
      </c>
      <c r="H9" s="45"/>
      <c r="I9" s="44" t="s">
        <v>431</v>
      </c>
      <c r="J9" s="44" t="s">
        <v>432</v>
      </c>
    </row>
    <row r="10" spans="1:10" ht="16.2" thickBot="1" x14ac:dyDescent="0.35">
      <c r="A10" s="48"/>
      <c r="B10" s="49"/>
      <c r="C10" s="50" t="s">
        <v>433</v>
      </c>
      <c r="D10" s="45"/>
      <c r="E10" s="50" t="s">
        <v>434</v>
      </c>
      <c r="F10" s="50" t="s">
        <v>435</v>
      </c>
      <c r="G10" s="50" t="s">
        <v>436</v>
      </c>
      <c r="H10" s="45"/>
      <c r="I10" s="50" t="s">
        <v>431</v>
      </c>
      <c r="J10" s="50" t="s">
        <v>437</v>
      </c>
    </row>
    <row r="11" spans="1:10" ht="15.6" x14ac:dyDescent="0.3">
      <c r="A11" s="51" t="s">
        <v>438</v>
      </c>
      <c r="B11" s="52" t="s">
        <v>396</v>
      </c>
      <c r="C11" s="53" t="s">
        <v>439</v>
      </c>
      <c r="D11" s="53" t="s">
        <v>218</v>
      </c>
      <c r="E11" s="54" t="s">
        <v>440</v>
      </c>
      <c r="F11" s="54" t="s">
        <v>441</v>
      </c>
      <c r="G11" s="54" t="s">
        <v>442</v>
      </c>
      <c r="H11" s="53" t="s">
        <v>194</v>
      </c>
      <c r="I11" s="54" t="s">
        <v>426</v>
      </c>
      <c r="J11" s="55" t="s">
        <v>443</v>
      </c>
    </row>
    <row r="12" spans="1:10" ht="15.6" x14ac:dyDescent="0.3">
      <c r="A12" s="56"/>
      <c r="B12" s="42"/>
      <c r="C12" s="45"/>
      <c r="D12" s="45"/>
      <c r="E12" s="44" t="s">
        <v>443</v>
      </c>
      <c r="F12" s="44" t="s">
        <v>444</v>
      </c>
      <c r="G12" s="44" t="s">
        <v>445</v>
      </c>
      <c r="H12" s="45"/>
      <c r="I12" s="44"/>
      <c r="J12" s="57" t="s">
        <v>446</v>
      </c>
    </row>
    <row r="13" spans="1:10" ht="16.2" thickBot="1" x14ac:dyDescent="0.35">
      <c r="A13" s="58"/>
      <c r="B13" s="59"/>
      <c r="C13" s="60"/>
      <c r="D13" s="60"/>
      <c r="E13" s="61"/>
      <c r="F13" s="61"/>
      <c r="G13" s="61"/>
      <c r="H13" s="60"/>
      <c r="I13" s="61"/>
      <c r="J13" s="62"/>
    </row>
    <row r="14" spans="1:10" ht="15.6" x14ac:dyDescent="0.3">
      <c r="A14" s="63" t="s">
        <v>447</v>
      </c>
      <c r="B14" s="64" t="s">
        <v>396</v>
      </c>
      <c r="C14" s="44" t="s">
        <v>448</v>
      </c>
      <c r="D14" s="43" t="s">
        <v>422</v>
      </c>
      <c r="E14" s="47" t="s">
        <v>449</v>
      </c>
      <c r="F14" s="65" t="s">
        <v>450</v>
      </c>
      <c r="G14" s="65" t="s">
        <v>442</v>
      </c>
      <c r="H14" s="53" t="s">
        <v>194</v>
      </c>
      <c r="I14" s="44" t="s">
        <v>426</v>
      </c>
      <c r="J14" s="44" t="s">
        <v>427</v>
      </c>
    </row>
    <row r="15" spans="1:10" ht="15.6" x14ac:dyDescent="0.3">
      <c r="A15" s="41"/>
      <c r="B15" s="42"/>
      <c r="C15" s="44" t="s">
        <v>428</v>
      </c>
      <c r="D15" s="45"/>
      <c r="E15" s="44" t="s">
        <v>451</v>
      </c>
      <c r="F15" s="44" t="s">
        <v>452</v>
      </c>
      <c r="G15" s="65" t="s">
        <v>442</v>
      </c>
      <c r="H15" s="45"/>
      <c r="I15" s="44" t="s">
        <v>431</v>
      </c>
      <c r="J15" s="44" t="s">
        <v>432</v>
      </c>
    </row>
    <row r="16" spans="1:10" ht="16.2" thickBot="1" x14ac:dyDescent="0.35">
      <c r="A16" s="41"/>
      <c r="B16" s="42"/>
      <c r="C16" s="50" t="s">
        <v>453</v>
      </c>
      <c r="D16" s="45"/>
      <c r="E16" s="50" t="s">
        <v>434</v>
      </c>
      <c r="F16" s="44" t="s">
        <v>454</v>
      </c>
      <c r="G16" s="44" t="s">
        <v>436</v>
      </c>
      <c r="H16" s="60"/>
      <c r="I16" s="50" t="s">
        <v>431</v>
      </c>
      <c r="J16" s="50" t="s">
        <v>437</v>
      </c>
    </row>
    <row r="17" spans="1:10" ht="15.6" x14ac:dyDescent="0.3">
      <c r="A17" s="41" t="s">
        <v>455</v>
      </c>
      <c r="B17" s="42" t="s">
        <v>396</v>
      </c>
      <c r="C17" s="53" t="s">
        <v>456</v>
      </c>
      <c r="D17" s="53" t="s">
        <v>218</v>
      </c>
      <c r="E17" s="54" t="s">
        <v>457</v>
      </c>
      <c r="F17" s="54" t="s">
        <v>458</v>
      </c>
      <c r="G17" s="54" t="s">
        <v>442</v>
      </c>
      <c r="H17" s="53" t="s">
        <v>165</v>
      </c>
      <c r="I17" s="54" t="s">
        <v>426</v>
      </c>
      <c r="J17" s="55" t="s">
        <v>443</v>
      </c>
    </row>
    <row r="18" spans="1:10" ht="15.6" x14ac:dyDescent="0.3">
      <c r="A18" s="41"/>
      <c r="B18" s="42"/>
      <c r="C18" s="45"/>
      <c r="D18" s="45"/>
      <c r="E18" s="44" t="s">
        <v>443</v>
      </c>
      <c r="F18" s="44" t="s">
        <v>459</v>
      </c>
      <c r="G18" s="44" t="s">
        <v>445</v>
      </c>
      <c r="H18" s="45"/>
      <c r="I18" s="44"/>
      <c r="J18" s="57" t="s">
        <v>460</v>
      </c>
    </row>
    <row r="19" spans="1:10" ht="16.2" thickBot="1" x14ac:dyDescent="0.35">
      <c r="A19" s="41"/>
      <c r="B19" s="42"/>
      <c r="C19" s="60"/>
      <c r="D19" s="60"/>
      <c r="E19" s="61"/>
      <c r="F19" s="61"/>
      <c r="G19" s="61"/>
      <c r="H19" s="60"/>
      <c r="I19" s="61"/>
      <c r="J19" s="44"/>
    </row>
    <row r="20" spans="1:10" ht="63" thickBot="1" x14ac:dyDescent="0.35">
      <c r="A20" s="41" t="s">
        <v>461</v>
      </c>
      <c r="B20" s="66" t="s">
        <v>462</v>
      </c>
      <c r="C20" s="66" t="s">
        <v>463</v>
      </c>
      <c r="D20" s="53" t="s">
        <v>218</v>
      </c>
      <c r="E20" s="50" t="s">
        <v>464</v>
      </c>
      <c r="F20" s="50" t="s">
        <v>465</v>
      </c>
      <c r="G20" s="50" t="s">
        <v>27</v>
      </c>
      <c r="H20" s="67" t="s">
        <v>466</v>
      </c>
      <c r="I20" s="50" t="s">
        <v>467</v>
      </c>
      <c r="J20" s="44" t="s">
        <v>468</v>
      </c>
    </row>
    <row r="21" spans="1:10" ht="16.2" thickBot="1" x14ac:dyDescent="0.35">
      <c r="A21" s="68"/>
      <c r="B21" s="69" t="s">
        <v>469</v>
      </c>
      <c r="C21" s="70" t="s">
        <v>469</v>
      </c>
      <c r="D21" s="71"/>
      <c r="E21" s="72" t="s">
        <v>470</v>
      </c>
      <c r="F21" s="54" t="s">
        <v>458</v>
      </c>
      <c r="G21" s="54" t="s">
        <v>442</v>
      </c>
      <c r="H21" s="54" t="s">
        <v>471</v>
      </c>
      <c r="I21" s="73" t="s">
        <v>472</v>
      </c>
      <c r="J21" s="74"/>
    </row>
    <row r="22" spans="1:10" ht="15.6" x14ac:dyDescent="0.3">
      <c r="A22" s="68"/>
      <c r="B22" s="75"/>
      <c r="C22" s="76"/>
      <c r="D22" s="71"/>
      <c r="E22" s="77" t="s">
        <v>473</v>
      </c>
      <c r="F22" s="44" t="s">
        <v>441</v>
      </c>
      <c r="G22" s="54" t="s">
        <v>442</v>
      </c>
      <c r="H22" s="44" t="s">
        <v>474</v>
      </c>
      <c r="I22" s="44" t="s">
        <v>472</v>
      </c>
      <c r="J22" s="50" t="s">
        <v>468</v>
      </c>
    </row>
    <row r="23" spans="1:10" ht="15.6" x14ac:dyDescent="0.3">
      <c r="A23" s="68"/>
      <c r="B23" s="75"/>
      <c r="C23" s="76"/>
      <c r="D23" s="71"/>
      <c r="E23" s="77"/>
      <c r="F23" s="44"/>
      <c r="G23" s="44"/>
      <c r="H23" s="44"/>
      <c r="I23" s="44"/>
      <c r="J23" s="57"/>
    </row>
    <row r="24" spans="1:10" ht="16.2" thickBot="1" x14ac:dyDescent="0.35">
      <c r="A24" s="68"/>
      <c r="B24" s="75"/>
      <c r="C24" s="76"/>
      <c r="D24" s="71"/>
      <c r="E24" s="78"/>
      <c r="F24" s="61"/>
      <c r="G24" s="61"/>
      <c r="H24" s="61"/>
      <c r="I24" s="61"/>
      <c r="J24" s="62"/>
    </row>
    <row r="25" spans="1:10" ht="16.2" thickBot="1" x14ac:dyDescent="0.35">
      <c r="A25" s="68"/>
      <c r="B25" s="79"/>
      <c r="C25" s="80"/>
      <c r="D25" s="81"/>
      <c r="E25" s="50"/>
      <c r="F25" s="50"/>
      <c r="G25" s="65"/>
      <c r="H25" s="65"/>
      <c r="I25" s="65"/>
      <c r="J25" s="65"/>
    </row>
    <row r="26" spans="1:10" ht="16.2" thickBot="1" x14ac:dyDescent="0.35">
      <c r="A26" s="41"/>
      <c r="B26" s="82" t="s">
        <v>475</v>
      </c>
      <c r="C26" s="66" t="s">
        <v>463</v>
      </c>
      <c r="D26" s="53" t="s">
        <v>218</v>
      </c>
      <c r="E26" s="50" t="s">
        <v>464</v>
      </c>
      <c r="F26" s="50" t="s">
        <v>476</v>
      </c>
      <c r="G26" s="44" t="s">
        <v>445</v>
      </c>
      <c r="H26" s="54" t="s">
        <v>471</v>
      </c>
      <c r="I26" s="50" t="s">
        <v>467</v>
      </c>
      <c r="J26" s="50" t="s">
        <v>468</v>
      </c>
    </row>
    <row r="27" spans="1:10" ht="16.2" thickBot="1" x14ac:dyDescent="0.35">
      <c r="A27" s="68"/>
      <c r="B27" s="69" t="s">
        <v>477</v>
      </c>
      <c r="C27" s="70" t="s">
        <v>477</v>
      </c>
      <c r="D27" s="71"/>
      <c r="E27" s="72" t="s">
        <v>470</v>
      </c>
      <c r="F27" s="54" t="s">
        <v>478</v>
      </c>
      <c r="G27" s="44" t="s">
        <v>445</v>
      </c>
      <c r="H27" s="44" t="s">
        <v>474</v>
      </c>
      <c r="I27" s="44" t="s">
        <v>472</v>
      </c>
      <c r="J27" s="44"/>
    </row>
    <row r="28" spans="1:10" ht="15.6" x14ac:dyDescent="0.3">
      <c r="A28" s="68"/>
      <c r="B28" s="75"/>
      <c r="C28" s="76"/>
      <c r="D28" s="71"/>
      <c r="E28" s="77" t="s">
        <v>473</v>
      </c>
      <c r="F28" s="54" t="s">
        <v>479</v>
      </c>
      <c r="G28" s="44" t="s">
        <v>445</v>
      </c>
      <c r="H28" s="44"/>
      <c r="I28" s="44"/>
      <c r="J28" s="44"/>
    </row>
    <row r="29" spans="1:10" ht="15.6" x14ac:dyDescent="0.3">
      <c r="A29" s="68"/>
      <c r="B29" s="75"/>
      <c r="C29" s="76"/>
      <c r="D29" s="71"/>
      <c r="E29" s="44"/>
      <c r="F29" s="44"/>
      <c r="G29" s="44"/>
      <c r="H29" s="44"/>
      <c r="I29" s="44"/>
      <c r="J29" s="44"/>
    </row>
    <row r="30" spans="1:10" ht="15.6" x14ac:dyDescent="0.3">
      <c r="A30" s="68"/>
      <c r="B30" s="75"/>
      <c r="C30" s="76"/>
      <c r="D30" s="71"/>
      <c r="E30" s="44"/>
      <c r="F30" s="44"/>
      <c r="G30" s="44"/>
      <c r="H30" s="44"/>
      <c r="I30" s="44"/>
      <c r="J30" s="44"/>
    </row>
    <row r="31" spans="1:10" ht="16.2" thickBot="1" x14ac:dyDescent="0.35">
      <c r="A31" s="68"/>
      <c r="B31" s="79"/>
      <c r="C31" s="80"/>
      <c r="D31" s="81"/>
      <c r="E31" s="44"/>
      <c r="F31" s="44"/>
      <c r="G31" s="44"/>
      <c r="H31" s="44"/>
      <c r="I31" s="44"/>
      <c r="J31" s="44"/>
    </row>
    <row r="35" spans="4:4" x14ac:dyDescent="0.3">
      <c r="D35" s="83"/>
    </row>
    <row r="36" spans="4:4" x14ac:dyDescent="0.3">
      <c r="D36" s="83"/>
    </row>
  </sheetData>
  <mergeCells count="39">
    <mergeCell ref="A20:A31"/>
    <mergeCell ref="D20:D25"/>
    <mergeCell ref="B21:B25"/>
    <mergeCell ref="C21:C25"/>
    <mergeCell ref="D26:D31"/>
    <mergeCell ref="B27:B31"/>
    <mergeCell ref="C27:C31"/>
    <mergeCell ref="A14:A16"/>
    <mergeCell ref="B14:B16"/>
    <mergeCell ref="D14:D16"/>
    <mergeCell ref="H14:H16"/>
    <mergeCell ref="A17:A19"/>
    <mergeCell ref="B17:B19"/>
    <mergeCell ref="C17:C19"/>
    <mergeCell ref="D17:D19"/>
    <mergeCell ref="H17:H19"/>
    <mergeCell ref="A8:A10"/>
    <mergeCell ref="B8:B10"/>
    <mergeCell ref="D8:D10"/>
    <mergeCell ref="H8:H10"/>
    <mergeCell ref="A11:A13"/>
    <mergeCell ref="B11:B13"/>
    <mergeCell ref="C11:C13"/>
    <mergeCell ref="D11:D13"/>
    <mergeCell ref="H11:H13"/>
    <mergeCell ref="H2:H4"/>
    <mergeCell ref="A5:A7"/>
    <mergeCell ref="B5:B7"/>
    <mergeCell ref="C5:C7"/>
    <mergeCell ref="D5:D7"/>
    <mergeCell ref="F5:F7"/>
    <mergeCell ref="G5:G7"/>
    <mergeCell ref="H5:H7"/>
    <mergeCell ref="A2:A4"/>
    <mergeCell ref="B2:B4"/>
    <mergeCell ref="C2:C4"/>
    <mergeCell ref="D2:D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3G24</vt:lpstr>
      <vt:lpstr>When 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Aravinda S H</dc:creator>
  <cp:lastModifiedBy>Aravinda S H</cp:lastModifiedBy>
  <dcterms:created xsi:type="dcterms:W3CDTF">2024-12-22T12:04:16Z</dcterms:created>
  <dcterms:modified xsi:type="dcterms:W3CDTF">2024-12-22T12:05:00Z</dcterms:modified>
</cp:coreProperties>
</file>